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N113" i="1" l="1"/>
  <c r="M113" i="1"/>
  <c r="K113" i="1"/>
  <c r="N107" i="1" l="1"/>
  <c r="M107" i="1"/>
  <c r="K107" i="1"/>
  <c r="N127" i="1" l="1"/>
  <c r="M127" i="1"/>
  <c r="N120" i="1" l="1"/>
  <c r="M120" i="1"/>
  <c r="K120" i="1"/>
  <c r="N132" i="1" l="1"/>
  <c r="M132" i="1"/>
  <c r="K132" i="1"/>
  <c r="N128" i="1" l="1"/>
  <c r="M128" i="1"/>
  <c r="K128" i="1"/>
  <c r="N106" i="1"/>
  <c r="M106" i="1"/>
  <c r="K106" i="1"/>
  <c r="R146" i="1"/>
  <c r="R105" i="1"/>
  <c r="N105" i="1"/>
  <c r="M105" i="1"/>
  <c r="K105" i="1"/>
  <c r="N116" i="1" l="1"/>
  <c r="M116" i="1"/>
  <c r="K116" i="1"/>
  <c r="N117" i="1" l="1"/>
  <c r="M117" i="1"/>
  <c r="K117" i="1"/>
  <c r="N103" i="1" l="1"/>
  <c r="M103" i="1"/>
  <c r="K103" i="1"/>
  <c r="N104" i="1"/>
  <c r="M104" i="1"/>
  <c r="K104" i="1"/>
  <c r="N124" i="1" l="1"/>
  <c r="M124" i="1"/>
  <c r="N114" i="1"/>
  <c r="M114" i="1"/>
  <c r="K114" i="1"/>
  <c r="N121" i="1" l="1"/>
  <c r="M121" i="1"/>
  <c r="K121" i="1"/>
  <c r="N125" i="1" l="1"/>
  <c r="M125" i="1"/>
  <c r="K125" i="1"/>
  <c r="N130" i="1" l="1"/>
  <c r="M130" i="1"/>
  <c r="K130" i="1"/>
  <c r="N115" i="1"/>
  <c r="M115" i="1"/>
  <c r="K115" i="1"/>
  <c r="N126" i="1" l="1"/>
  <c r="M126" i="1"/>
  <c r="K126" i="1"/>
  <c r="N109" i="1" l="1"/>
  <c r="M109" i="1"/>
  <c r="K109" i="1"/>
  <c r="N108" i="1" l="1"/>
  <c r="M108" i="1"/>
  <c r="K108" i="1"/>
  <c r="G132" i="1"/>
  <c r="F132" i="1"/>
  <c r="G130" i="1"/>
  <c r="F130" i="1"/>
  <c r="G128" i="1"/>
  <c r="F128" i="1"/>
  <c r="G127" i="1"/>
  <c r="F127" i="1"/>
  <c r="G126" i="1"/>
  <c r="F126" i="1"/>
  <c r="G125" i="1"/>
  <c r="F125" i="1"/>
  <c r="G124" i="1"/>
  <c r="F124" i="1"/>
  <c r="G121" i="1"/>
  <c r="F121" i="1"/>
  <c r="G120" i="1"/>
  <c r="F120" i="1"/>
  <c r="D132" i="1"/>
  <c r="D126" i="1"/>
  <c r="D121" i="1"/>
  <c r="G117" i="1"/>
  <c r="F117" i="1"/>
  <c r="G116" i="1"/>
  <c r="F116" i="1"/>
  <c r="G114" i="1"/>
  <c r="F114" i="1"/>
  <c r="G113" i="1"/>
  <c r="F113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D117" i="1"/>
  <c r="D116" i="1"/>
  <c r="D114" i="1"/>
  <c r="D113" i="1"/>
  <c r="D109" i="1"/>
  <c r="D108" i="1"/>
  <c r="D107" i="1"/>
  <c r="D106" i="1"/>
  <c r="D105" i="1"/>
  <c r="D104" i="1"/>
  <c r="S85" i="1" l="1"/>
  <c r="R208" i="1" l="1"/>
  <c r="R209" i="1"/>
  <c r="V124" i="1" l="1"/>
  <c r="U124" i="1"/>
  <c r="T124" i="1"/>
  <c r="R124" i="1"/>
  <c r="S131" i="1"/>
  <c r="V131" i="1"/>
  <c r="U131" i="1"/>
  <c r="T131" i="1"/>
  <c r="R131" i="1"/>
  <c r="V51" i="1"/>
  <c r="U51" i="1"/>
  <c r="T51" i="1"/>
  <c r="S51" i="1"/>
  <c r="R51" i="1"/>
  <c r="S124" i="1" l="1"/>
  <c r="V115" i="1" l="1"/>
  <c r="U115" i="1"/>
  <c r="T115" i="1"/>
  <c r="S115" i="1"/>
  <c r="R115" i="1"/>
  <c r="R212" i="1"/>
  <c r="R163" i="1"/>
  <c r="R103" i="1" l="1"/>
  <c r="R159" i="1"/>
  <c r="S159" i="1"/>
  <c r="T159" i="1"/>
  <c r="U159" i="1"/>
  <c r="V159" i="1"/>
  <c r="R82" i="1" l="1"/>
  <c r="V193" i="1"/>
  <c r="U193" i="1"/>
  <c r="T193" i="1"/>
  <c r="S193" i="1"/>
  <c r="R193" i="1"/>
  <c r="V192" i="1"/>
  <c r="U192" i="1"/>
  <c r="T192" i="1"/>
  <c r="S192" i="1"/>
  <c r="R192" i="1"/>
  <c r="R52" i="1" l="1"/>
  <c r="V52" i="1"/>
  <c r="U52" i="1"/>
  <c r="T52" i="1"/>
  <c r="S52" i="1"/>
  <c r="K61" i="1"/>
  <c r="E47" i="1" l="1"/>
  <c r="E48" i="1"/>
  <c r="L40" i="1"/>
  <c r="L51" i="1"/>
  <c r="E51" i="1"/>
  <c r="C14" i="2"/>
  <c r="L38" i="1"/>
  <c r="L58" i="1"/>
  <c r="E52" i="1"/>
  <c r="L52" i="1"/>
  <c r="U166" i="1" l="1"/>
  <c r="V166" i="1"/>
  <c r="R166" i="1"/>
  <c r="S166" i="1"/>
  <c r="T166" i="1"/>
  <c r="R54" i="1"/>
  <c r="V54" i="1"/>
  <c r="U54" i="1"/>
  <c r="T54" i="1"/>
  <c r="S54" i="1"/>
  <c r="V177" i="1" l="1"/>
  <c r="R107" i="1" l="1"/>
  <c r="S107" i="1"/>
  <c r="T107" i="1"/>
  <c r="U107" i="1"/>
  <c r="V107" i="1"/>
  <c r="R32" i="1"/>
  <c r="R70" i="1"/>
  <c r="S70" i="1"/>
  <c r="T70" i="1"/>
  <c r="U70" i="1"/>
  <c r="V70" i="1"/>
  <c r="V32" i="1"/>
  <c r="U32" i="1"/>
  <c r="T32" i="1"/>
  <c r="S32" i="1"/>
  <c r="T104" i="1" l="1"/>
  <c r="U104" i="1"/>
  <c r="V104" i="1"/>
  <c r="S104" i="1"/>
  <c r="R104" i="1"/>
  <c r="R89" i="1" l="1"/>
  <c r="O133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6" i="1"/>
  <c r="S106" i="1"/>
  <c r="T106" i="1"/>
  <c r="U106" i="1"/>
  <c r="V106" i="1"/>
  <c r="R158" i="1" l="1"/>
  <c r="S59" i="1" l="1"/>
  <c r="D141" i="1" l="1"/>
  <c r="I4" i="6"/>
  <c r="I3" i="6" s="1"/>
  <c r="H4" i="6"/>
  <c r="G4" i="6"/>
  <c r="G3" i="6" s="1"/>
  <c r="F4" i="6"/>
  <c r="E4" i="6"/>
  <c r="D4" i="6"/>
  <c r="C4" i="6"/>
  <c r="B4" i="6"/>
  <c r="H3" i="6"/>
  <c r="F3" i="6"/>
  <c r="E3" i="6"/>
  <c r="D3" i="6"/>
  <c r="C3" i="6"/>
  <c r="B3" i="6"/>
  <c r="R109" i="1" l="1"/>
  <c r="S109" i="1"/>
  <c r="T109" i="1"/>
  <c r="U109" i="1"/>
  <c r="V109" i="1"/>
  <c r="R110" i="1"/>
  <c r="S110" i="1"/>
  <c r="T110" i="1"/>
  <c r="U110" i="1"/>
  <c r="V110" i="1"/>
  <c r="R97" i="1" l="1"/>
  <c r="S97" i="1"/>
  <c r="T97" i="1"/>
  <c r="U97" i="1"/>
  <c r="V97" i="1"/>
  <c r="R59" i="1"/>
  <c r="V59" i="1"/>
  <c r="U59" i="1"/>
  <c r="T59" i="1"/>
  <c r="R188" i="1"/>
  <c r="R147" i="1" l="1"/>
  <c r="R126" i="1" l="1"/>
  <c r="S126" i="1"/>
  <c r="T126" i="1"/>
  <c r="U126" i="1"/>
  <c r="V126" i="1"/>
  <c r="R83" i="1"/>
  <c r="S83" i="1"/>
  <c r="T83" i="1"/>
  <c r="U83" i="1"/>
  <c r="V83" i="1"/>
  <c r="V202" i="1" l="1"/>
  <c r="T164" i="1"/>
  <c r="S164" i="1"/>
  <c r="R129" i="1" l="1"/>
  <c r="V160" i="1" l="1"/>
  <c r="T151" i="1" l="1"/>
  <c r="R145" i="1"/>
  <c r="S145" i="1"/>
  <c r="T145" i="1"/>
  <c r="U145" i="1"/>
  <c r="V145" i="1"/>
  <c r="R167" i="1"/>
  <c r="S167" i="1"/>
  <c r="T167" i="1"/>
  <c r="U167" i="1"/>
  <c r="V167" i="1"/>
  <c r="R125" i="1" l="1"/>
  <c r="S125" i="1"/>
  <c r="S189" i="1" l="1"/>
  <c r="V125" i="1"/>
  <c r="U125" i="1"/>
  <c r="T125" i="1"/>
  <c r="R72" i="1" l="1"/>
  <c r="V80" i="1" l="1"/>
  <c r="U80" i="1"/>
  <c r="T80" i="1"/>
  <c r="S80" i="1"/>
  <c r="R80" i="1"/>
  <c r="V86" i="1" l="1"/>
  <c r="U86" i="1"/>
  <c r="T86" i="1"/>
  <c r="S86" i="1"/>
  <c r="R86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0" i="1"/>
  <c r="U190" i="1"/>
  <c r="T190" i="1"/>
  <c r="S190" i="1"/>
  <c r="R190" i="1"/>
  <c r="T34" i="1" l="1"/>
  <c r="S22" i="1" l="1"/>
  <c r="T22" i="1"/>
  <c r="V108" i="1" l="1"/>
  <c r="R108" i="1"/>
  <c r="S108" i="1"/>
  <c r="T108" i="1"/>
  <c r="U108" i="1"/>
  <c r="R13" i="1" l="1"/>
  <c r="R50" i="1" l="1"/>
  <c r="V50" i="1"/>
  <c r="U50" i="1"/>
  <c r="T50" i="1"/>
  <c r="S50" i="1"/>
  <c r="V137" i="1" l="1"/>
  <c r="U137" i="1"/>
  <c r="T137" i="1"/>
  <c r="S137" i="1"/>
  <c r="R137" i="1"/>
  <c r="R77" i="1" l="1"/>
  <c r="S183" i="1" l="1"/>
  <c r="D178" i="1" l="1"/>
  <c r="B19" i="2" s="1"/>
  <c r="B9" i="2" s="1"/>
  <c r="D133" i="1"/>
  <c r="E124" i="1" s="1"/>
  <c r="E107" i="1" l="1"/>
  <c r="E115" i="1"/>
  <c r="E106" i="1"/>
  <c r="E104" i="1"/>
  <c r="B16" i="2"/>
  <c r="B6" i="2" s="1"/>
  <c r="E121" i="1"/>
  <c r="E126" i="1"/>
  <c r="E109" i="1"/>
  <c r="E125" i="1"/>
  <c r="R96" i="1"/>
  <c r="S96" i="1"/>
  <c r="T96" i="1"/>
  <c r="U96" i="1"/>
  <c r="V96" i="1"/>
  <c r="D218" i="1"/>
  <c r="D197" i="1"/>
  <c r="D61" i="1"/>
  <c r="B20" i="2" l="1"/>
  <c r="B10" i="2" s="1"/>
  <c r="E193" i="1"/>
  <c r="E192" i="1"/>
  <c r="B14" i="2"/>
  <c r="B4" i="2" s="1"/>
  <c r="E137" i="1"/>
  <c r="B17" i="2"/>
  <c r="B7" i="2" s="1"/>
  <c r="E187" i="1"/>
  <c r="E188" i="1"/>
  <c r="E189" i="1"/>
  <c r="E190" i="1"/>
  <c r="E191" i="1"/>
  <c r="E194" i="1"/>
  <c r="E195" i="1"/>
  <c r="E196" i="1"/>
  <c r="R176" i="1"/>
  <c r="R88" i="1" l="1"/>
  <c r="S88" i="1"/>
  <c r="T88" i="1"/>
  <c r="V88" i="1"/>
  <c r="U88" i="1"/>
  <c r="D23" i="1" l="1"/>
  <c r="B13" i="2" s="1"/>
  <c r="B3" i="2" l="1"/>
  <c r="E10" i="1"/>
  <c r="R122" i="1"/>
  <c r="R20" i="1" l="1"/>
  <c r="R207" i="1" l="1"/>
  <c r="S207" i="1"/>
  <c r="T207" i="1"/>
  <c r="U207" i="1"/>
  <c r="V207" i="1"/>
  <c r="S208" i="1"/>
  <c r="T208" i="1"/>
  <c r="U208" i="1"/>
  <c r="V208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S212" i="1"/>
  <c r="T212" i="1"/>
  <c r="U212" i="1"/>
  <c r="V212" i="1"/>
  <c r="R213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S218" i="1"/>
  <c r="U218" i="1"/>
  <c r="V218" i="1"/>
  <c r="V206" i="1"/>
  <c r="U206" i="1"/>
  <c r="T206" i="1"/>
  <c r="S206" i="1"/>
  <c r="R206" i="1"/>
  <c r="U202" i="1"/>
  <c r="T202" i="1"/>
  <c r="S202" i="1"/>
  <c r="R202" i="1"/>
  <c r="V201" i="1"/>
  <c r="U201" i="1"/>
  <c r="T201" i="1"/>
  <c r="S201" i="1"/>
  <c r="R201" i="1"/>
  <c r="R187" i="1"/>
  <c r="S187" i="1"/>
  <c r="T187" i="1"/>
  <c r="U187" i="1"/>
  <c r="V187" i="1"/>
  <c r="S188" i="1"/>
  <c r="T188" i="1"/>
  <c r="U188" i="1"/>
  <c r="V188" i="1"/>
  <c r="R189" i="1"/>
  <c r="T189" i="1"/>
  <c r="U189" i="1"/>
  <c r="V189" i="1"/>
  <c r="R191" i="1"/>
  <c r="S191" i="1"/>
  <c r="T191" i="1"/>
  <c r="U191" i="1"/>
  <c r="V191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S197" i="1"/>
  <c r="U197" i="1"/>
  <c r="V197" i="1"/>
  <c r="V186" i="1"/>
  <c r="U186" i="1"/>
  <c r="T186" i="1"/>
  <c r="S186" i="1"/>
  <c r="R186" i="1"/>
  <c r="V183" i="1"/>
  <c r="U183" i="1"/>
  <c r="T183" i="1"/>
  <c r="R183" i="1"/>
  <c r="V182" i="1"/>
  <c r="U182" i="1"/>
  <c r="T182" i="1"/>
  <c r="S182" i="1"/>
  <c r="R182" i="1"/>
  <c r="S176" i="1"/>
  <c r="T176" i="1"/>
  <c r="U176" i="1"/>
  <c r="V176" i="1"/>
  <c r="R177" i="1"/>
  <c r="S177" i="1"/>
  <c r="T177" i="1"/>
  <c r="U177" i="1"/>
  <c r="S178" i="1"/>
  <c r="U178" i="1"/>
  <c r="V178" i="1"/>
  <c r="V175" i="1"/>
  <c r="U175" i="1"/>
  <c r="T175" i="1"/>
  <c r="S175" i="1"/>
  <c r="R175" i="1"/>
  <c r="S146" i="1"/>
  <c r="T146" i="1"/>
  <c r="U146" i="1"/>
  <c r="V146" i="1"/>
  <c r="S147" i="1"/>
  <c r="T147" i="1"/>
  <c r="U147" i="1"/>
  <c r="V147" i="1"/>
  <c r="R148" i="1"/>
  <c r="S148" i="1"/>
  <c r="T148" i="1"/>
  <c r="U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S158" i="1"/>
  <c r="T158" i="1"/>
  <c r="U158" i="1"/>
  <c r="V158" i="1"/>
  <c r="R160" i="1"/>
  <c r="S160" i="1"/>
  <c r="T160" i="1"/>
  <c r="U160" i="1"/>
  <c r="R161" i="1"/>
  <c r="S161" i="1"/>
  <c r="T161" i="1"/>
  <c r="U161" i="1"/>
  <c r="V161" i="1"/>
  <c r="R162" i="1"/>
  <c r="S162" i="1"/>
  <c r="T162" i="1"/>
  <c r="U162" i="1"/>
  <c r="V162" i="1"/>
  <c r="S163" i="1"/>
  <c r="T163" i="1"/>
  <c r="U163" i="1"/>
  <c r="V163" i="1"/>
  <c r="R164" i="1"/>
  <c r="U164" i="1"/>
  <c r="V164" i="1"/>
  <c r="R165" i="1"/>
  <c r="S165" i="1"/>
  <c r="T165" i="1"/>
  <c r="U165" i="1"/>
  <c r="V165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S172" i="1"/>
  <c r="U172" i="1"/>
  <c r="V172" i="1"/>
  <c r="V144" i="1"/>
  <c r="U144" i="1"/>
  <c r="T144" i="1"/>
  <c r="S144" i="1"/>
  <c r="R144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S141" i="1"/>
  <c r="U141" i="1"/>
  <c r="V141" i="1"/>
  <c r="V136" i="1"/>
  <c r="U136" i="1"/>
  <c r="T136" i="1"/>
  <c r="S136" i="1"/>
  <c r="R136" i="1"/>
  <c r="R121" i="1"/>
  <c r="S121" i="1"/>
  <c r="T121" i="1"/>
  <c r="U121" i="1"/>
  <c r="V121" i="1"/>
  <c r="S122" i="1"/>
  <c r="T122" i="1"/>
  <c r="U122" i="1"/>
  <c r="V122" i="1"/>
  <c r="R123" i="1"/>
  <c r="S123" i="1"/>
  <c r="T123" i="1"/>
  <c r="U123" i="1"/>
  <c r="V123" i="1"/>
  <c r="R127" i="1"/>
  <c r="S127" i="1"/>
  <c r="T127" i="1"/>
  <c r="U127" i="1"/>
  <c r="V127" i="1"/>
  <c r="R128" i="1"/>
  <c r="S128" i="1"/>
  <c r="T128" i="1"/>
  <c r="U128" i="1"/>
  <c r="V128" i="1"/>
  <c r="S129" i="1"/>
  <c r="T129" i="1"/>
  <c r="U129" i="1"/>
  <c r="V129" i="1"/>
  <c r="R130" i="1"/>
  <c r="S130" i="1"/>
  <c r="T130" i="1"/>
  <c r="U130" i="1"/>
  <c r="V130" i="1"/>
  <c r="R132" i="1"/>
  <c r="S132" i="1"/>
  <c r="T132" i="1"/>
  <c r="U132" i="1"/>
  <c r="V132" i="1"/>
  <c r="S133" i="1"/>
  <c r="U133" i="1"/>
  <c r="V133" i="1"/>
  <c r="V120" i="1"/>
  <c r="U120" i="1"/>
  <c r="T120" i="1"/>
  <c r="S120" i="1"/>
  <c r="R120" i="1"/>
  <c r="S105" i="1"/>
  <c r="T105" i="1"/>
  <c r="U105" i="1"/>
  <c r="V105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6" i="1"/>
  <c r="S116" i="1"/>
  <c r="T116" i="1"/>
  <c r="U116" i="1"/>
  <c r="V116" i="1"/>
  <c r="R117" i="1"/>
  <c r="S117" i="1"/>
  <c r="T117" i="1"/>
  <c r="U117" i="1"/>
  <c r="V117" i="1"/>
  <c r="V103" i="1"/>
  <c r="U103" i="1"/>
  <c r="T103" i="1"/>
  <c r="S103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R69" i="1"/>
  <c r="S69" i="1"/>
  <c r="T69" i="1"/>
  <c r="U69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S82" i="1"/>
  <c r="T82" i="1"/>
  <c r="U82" i="1"/>
  <c r="V82" i="1"/>
  <c r="R84" i="1"/>
  <c r="S84" i="1"/>
  <c r="T84" i="1"/>
  <c r="U84" i="1"/>
  <c r="V84" i="1"/>
  <c r="R85" i="1"/>
  <c r="T85" i="1"/>
  <c r="U85" i="1"/>
  <c r="V85" i="1"/>
  <c r="R87" i="1"/>
  <c r="S87" i="1"/>
  <c r="T87" i="1"/>
  <c r="U87" i="1"/>
  <c r="V87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5" i="1"/>
  <c r="S95" i="1"/>
  <c r="T95" i="1"/>
  <c r="U95" i="1"/>
  <c r="V95" i="1"/>
  <c r="R98" i="1"/>
  <c r="S98" i="1"/>
  <c r="T98" i="1"/>
  <c r="U98" i="1"/>
  <c r="V98" i="1"/>
  <c r="S99" i="1"/>
  <c r="U99" i="1"/>
  <c r="V99" i="1"/>
  <c r="V64" i="1"/>
  <c r="U64" i="1"/>
  <c r="T64" i="1"/>
  <c r="S64" i="1"/>
  <c r="R64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3" i="1"/>
  <c r="S53" i="1"/>
  <c r="T53" i="1"/>
  <c r="U53" i="1"/>
  <c r="V53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60" i="1"/>
  <c r="S60" i="1"/>
  <c r="T60" i="1"/>
  <c r="U60" i="1"/>
  <c r="V60" i="1"/>
  <c r="S61" i="1"/>
  <c r="U61" i="1"/>
  <c r="V61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9" i="1" l="1"/>
  <c r="V148" i="1"/>
  <c r="O197" i="1" l="1"/>
  <c r="O218" i="1"/>
  <c r="K218" i="1"/>
  <c r="L210" i="1" s="1"/>
  <c r="H218" i="1"/>
  <c r="K203" i="1"/>
  <c r="H203" i="1"/>
  <c r="D203" i="1"/>
  <c r="H197" i="1"/>
  <c r="K197" i="1"/>
  <c r="H178" i="1"/>
  <c r="O178" i="1"/>
  <c r="K178" i="1"/>
  <c r="O172" i="1"/>
  <c r="K172" i="1"/>
  <c r="L161" i="1" s="1"/>
  <c r="H172" i="1"/>
  <c r="D172" i="1"/>
  <c r="E159" i="1" s="1"/>
  <c r="O141" i="1"/>
  <c r="K141" i="1"/>
  <c r="H141" i="1"/>
  <c r="T141" i="1" s="1"/>
  <c r="H133" i="1"/>
  <c r="K133" i="1"/>
  <c r="L124" i="1" s="1"/>
  <c r="O99" i="1"/>
  <c r="K99" i="1"/>
  <c r="L78" i="1" s="1"/>
  <c r="H99" i="1"/>
  <c r="D99" i="1"/>
  <c r="O61" i="1"/>
  <c r="H61" i="1"/>
  <c r="O23" i="1"/>
  <c r="H23" i="1"/>
  <c r="B5" i="3" l="1"/>
  <c r="L189" i="1"/>
  <c r="L81" i="1"/>
  <c r="L95" i="1"/>
  <c r="L115" i="1"/>
  <c r="L131" i="1"/>
  <c r="B4" i="3"/>
  <c r="L154" i="1"/>
  <c r="L159" i="1"/>
  <c r="L160" i="1"/>
  <c r="L166" i="1"/>
  <c r="L145" i="1"/>
  <c r="L193" i="1"/>
  <c r="L192" i="1"/>
  <c r="E70" i="1"/>
  <c r="B15" i="2"/>
  <c r="B5" i="2" s="1"/>
  <c r="L70" i="1"/>
  <c r="C15" i="2"/>
  <c r="C5" i="2" s="1"/>
  <c r="B18" i="2"/>
  <c r="B8" i="2" s="1"/>
  <c r="E166" i="1"/>
  <c r="E54" i="1"/>
  <c r="L54" i="1"/>
  <c r="L104" i="1"/>
  <c r="L107" i="1"/>
  <c r="E32" i="1"/>
  <c r="L32" i="1"/>
  <c r="L164" i="1"/>
  <c r="L165" i="1"/>
  <c r="L167" i="1"/>
  <c r="E60" i="1"/>
  <c r="E59" i="1"/>
  <c r="C18" i="2"/>
  <c r="C8" i="2" s="1"/>
  <c r="C16" i="2"/>
  <c r="C6" i="2" s="1"/>
  <c r="L106" i="1"/>
  <c r="L137" i="1"/>
  <c r="C17" i="2"/>
  <c r="C7" i="2" s="1"/>
  <c r="B6" i="3"/>
  <c r="C19" i="2"/>
  <c r="C9" i="2" s="1"/>
  <c r="B2" i="3"/>
  <c r="C20" i="2"/>
  <c r="C10" i="2" s="1"/>
  <c r="B7" i="3"/>
  <c r="B8" i="3"/>
  <c r="C4" i="2"/>
  <c r="E97" i="1"/>
  <c r="L83" i="1"/>
  <c r="L97" i="1"/>
  <c r="L59" i="1"/>
  <c r="L187" i="1"/>
  <c r="L188" i="1"/>
  <c r="L190" i="1"/>
  <c r="L191" i="1"/>
  <c r="L194" i="1"/>
  <c r="L195" i="1"/>
  <c r="L196" i="1"/>
  <c r="L125" i="1"/>
  <c r="L126" i="1"/>
  <c r="E80" i="1"/>
  <c r="E83" i="1"/>
  <c r="E165" i="1"/>
  <c r="E167" i="1"/>
  <c r="L90" i="1"/>
  <c r="L98" i="1"/>
  <c r="L80" i="1"/>
  <c r="E145" i="1"/>
  <c r="L109" i="1"/>
  <c r="L122" i="1"/>
  <c r="L186" i="1"/>
  <c r="E86" i="1"/>
  <c r="L86" i="1"/>
  <c r="L57" i="1"/>
  <c r="L37" i="1"/>
  <c r="L216" i="1"/>
  <c r="L217" i="1"/>
  <c r="E50" i="1"/>
  <c r="L49" i="1"/>
  <c r="L53" i="1"/>
  <c r="L50" i="1"/>
  <c r="L55" i="1"/>
  <c r="L103" i="1"/>
  <c r="L120" i="1"/>
  <c r="L168" i="1"/>
  <c r="L91" i="1"/>
  <c r="L67" i="1"/>
  <c r="L108" i="1"/>
  <c r="L26" i="1"/>
  <c r="T197" i="1"/>
  <c r="L96" i="1"/>
  <c r="E88" i="1"/>
  <c r="E96" i="1"/>
  <c r="T218" i="1"/>
  <c r="L88" i="1"/>
  <c r="T61" i="1"/>
  <c r="T178" i="1"/>
  <c r="R178" i="1"/>
  <c r="T99" i="1"/>
  <c r="T172" i="1"/>
  <c r="T23" i="1"/>
  <c r="R141" i="1"/>
  <c r="R218" i="1"/>
  <c r="T133" i="1"/>
  <c r="O198" i="1"/>
  <c r="O219" i="1" s="1"/>
  <c r="R172" i="1"/>
  <c r="R133" i="1"/>
  <c r="R99" i="1"/>
  <c r="L66" i="1"/>
  <c r="L68" i="1"/>
  <c r="L71" i="1"/>
  <c r="L73" i="1"/>
  <c r="L75" i="1"/>
  <c r="L77" i="1"/>
  <c r="L79" i="1"/>
  <c r="L82" i="1"/>
  <c r="L85" i="1"/>
  <c r="L89" i="1"/>
  <c r="L93" i="1"/>
  <c r="L65" i="1"/>
  <c r="L69" i="1"/>
  <c r="L72" i="1"/>
  <c r="L74" i="1"/>
  <c r="L76" i="1"/>
  <c r="L84" i="1"/>
  <c r="L87" i="1"/>
  <c r="L92" i="1"/>
  <c r="L94" i="1"/>
  <c r="E28" i="1"/>
  <c r="E30" i="1"/>
  <c r="E33" i="1"/>
  <c r="E35" i="1"/>
  <c r="E37" i="1"/>
  <c r="E39" i="1"/>
  <c r="E41" i="1"/>
  <c r="E43" i="1"/>
  <c r="E45" i="1"/>
  <c r="E49" i="1"/>
  <c r="E55" i="1"/>
  <c r="E57" i="1"/>
  <c r="E27" i="1"/>
  <c r="E29" i="1"/>
  <c r="E31" i="1"/>
  <c r="E34" i="1"/>
  <c r="E36" i="1"/>
  <c r="E38" i="1"/>
  <c r="E40" i="1"/>
  <c r="E42" i="1"/>
  <c r="E44" i="1"/>
  <c r="E46" i="1"/>
  <c r="E53" i="1"/>
  <c r="E56" i="1"/>
  <c r="E58" i="1"/>
  <c r="E26" i="1"/>
  <c r="R197" i="1"/>
  <c r="H198" i="1"/>
  <c r="H219" i="1" s="1"/>
  <c r="J10" i="4"/>
  <c r="I12" i="4"/>
  <c r="H12" i="4"/>
  <c r="G12" i="4"/>
  <c r="F12" i="4"/>
  <c r="E12" i="4"/>
  <c r="C12" i="4"/>
  <c r="E214" i="1"/>
  <c r="L215" i="1"/>
  <c r="L214" i="1"/>
  <c r="L212" i="1"/>
  <c r="L211" i="1"/>
  <c r="L208" i="1"/>
  <c r="L207" i="1"/>
  <c r="L206" i="1"/>
  <c r="L201" i="1"/>
  <c r="E201" i="1"/>
  <c r="L183" i="1"/>
  <c r="L175" i="1"/>
  <c r="E177" i="1"/>
  <c r="E171" i="1"/>
  <c r="E168" i="1"/>
  <c r="L158" i="1"/>
  <c r="L156" i="1"/>
  <c r="L153" i="1"/>
  <c r="L150" i="1"/>
  <c r="L148" i="1"/>
  <c r="L144" i="1"/>
  <c r="L139" i="1"/>
  <c r="E140" i="1"/>
  <c r="L140" i="1"/>
  <c r="E95" i="1"/>
  <c r="E94" i="1"/>
  <c r="E92" i="1"/>
  <c r="E90" i="1"/>
  <c r="E87" i="1"/>
  <c r="E84" i="1"/>
  <c r="E81" i="1"/>
  <c r="E78" i="1"/>
  <c r="E76" i="1"/>
  <c r="E74" i="1"/>
  <c r="E72" i="1"/>
  <c r="E69" i="1"/>
  <c r="E67" i="1"/>
  <c r="E65" i="1"/>
  <c r="L56" i="1"/>
  <c r="R61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6" i="1"/>
  <c r="L146" i="1"/>
  <c r="L149" i="1"/>
  <c r="L152" i="1"/>
  <c r="L157" i="1"/>
  <c r="L162" i="1"/>
  <c r="E19" i="1"/>
  <c r="L64" i="1"/>
  <c r="E68" i="1"/>
  <c r="E136" i="1"/>
  <c r="E144" i="1"/>
  <c r="E146" i="1"/>
  <c r="E147" i="1"/>
  <c r="E152" i="1"/>
  <c r="E153" i="1"/>
  <c r="E154" i="1"/>
  <c r="E155" i="1"/>
  <c r="E161" i="1"/>
  <c r="E164" i="1"/>
  <c r="E170" i="1"/>
  <c r="E12" i="1"/>
  <c r="E14" i="1"/>
  <c r="E17" i="1"/>
  <c r="E21" i="1"/>
  <c r="L30" i="1"/>
  <c r="L39" i="1"/>
  <c r="L45" i="1"/>
  <c r="K198" i="1"/>
  <c r="L138" i="1"/>
  <c r="E148" i="1"/>
  <c r="E149" i="1"/>
  <c r="E150" i="1"/>
  <c r="E151" i="1"/>
  <c r="E156" i="1"/>
  <c r="E157" i="1"/>
  <c r="E158" i="1"/>
  <c r="E160" i="1"/>
  <c r="E162" i="1"/>
  <c r="E163" i="1"/>
  <c r="E169" i="1"/>
  <c r="L182" i="1"/>
  <c r="L113" i="1"/>
  <c r="L112" i="1"/>
  <c r="L35" i="1"/>
  <c r="L46" i="1"/>
  <c r="E139" i="1"/>
  <c r="L170" i="1"/>
  <c r="L177" i="1"/>
  <c r="E209" i="1"/>
  <c r="E213" i="1"/>
  <c r="E217" i="1"/>
  <c r="D12" i="4"/>
  <c r="E105" i="1"/>
  <c r="L41" i="1"/>
  <c r="L31" i="1"/>
  <c r="L43" i="1"/>
  <c r="L147" i="1"/>
  <c r="L151" i="1"/>
  <c r="L155" i="1"/>
  <c r="E176" i="1"/>
  <c r="E186" i="1"/>
  <c r="E202" i="1"/>
  <c r="L209" i="1"/>
  <c r="L213" i="1"/>
  <c r="L29" i="1"/>
  <c r="E7" i="1"/>
  <c r="E18" i="1"/>
  <c r="E22" i="1"/>
  <c r="L28" i="1"/>
  <c r="L48" i="1"/>
  <c r="E64" i="1"/>
  <c r="E73" i="1"/>
  <c r="E77" i="1"/>
  <c r="E82" i="1"/>
  <c r="E89" i="1"/>
  <c r="E93" i="1"/>
  <c r="E98" i="1"/>
  <c r="E138" i="1"/>
  <c r="L163" i="1"/>
  <c r="L169" i="1"/>
  <c r="L176" i="1"/>
  <c r="L202" i="1"/>
  <c r="R203" i="1"/>
  <c r="E208" i="1"/>
  <c r="E212" i="1"/>
  <c r="E216" i="1"/>
  <c r="E175" i="1"/>
  <c r="E183" i="1"/>
  <c r="E207" i="1"/>
  <c r="E211" i="1"/>
  <c r="E215" i="1"/>
  <c r="L47" i="1"/>
  <c r="L60" i="1"/>
  <c r="L27" i="1"/>
  <c r="L36" i="1"/>
  <c r="E182" i="1"/>
  <c r="E13" i="1"/>
  <c r="E16" i="1"/>
  <c r="L33" i="1"/>
  <c r="L44" i="1"/>
  <c r="E66" i="1"/>
  <c r="E71" i="1"/>
  <c r="E75" i="1"/>
  <c r="E79" i="1"/>
  <c r="E85" i="1"/>
  <c r="E91" i="1"/>
  <c r="L171" i="1"/>
  <c r="E206" i="1"/>
  <c r="E210" i="1"/>
  <c r="L123" i="1" l="1"/>
  <c r="L105" i="1"/>
  <c r="L110" i="1"/>
  <c r="L117" i="1"/>
  <c r="L128" i="1"/>
  <c r="L111" i="1"/>
  <c r="K219" i="1"/>
  <c r="L23" i="1"/>
  <c r="L172" i="1"/>
  <c r="L61" i="1"/>
  <c r="L141" i="1"/>
  <c r="L99" i="1"/>
  <c r="L133" i="1"/>
  <c r="L197" i="1"/>
  <c r="L178" i="1"/>
  <c r="L116" i="1"/>
  <c r="L114" i="1"/>
  <c r="L132" i="1"/>
  <c r="L127" i="1"/>
  <c r="L129" i="1"/>
  <c r="L130" i="1"/>
  <c r="L121" i="1"/>
  <c r="E130" i="1"/>
  <c r="E127" i="1"/>
  <c r="E114" i="1"/>
  <c r="E111" i="1"/>
  <c r="E117" i="1"/>
  <c r="E112" i="1"/>
  <c r="E122" i="1"/>
  <c r="E113" i="1"/>
  <c r="D198" i="1"/>
  <c r="E132" i="1"/>
  <c r="E103" i="1"/>
  <c r="E116" i="1"/>
  <c r="E110" i="1"/>
  <c r="E129" i="1"/>
  <c r="E128" i="1"/>
  <c r="E123" i="1"/>
  <c r="E120" i="1"/>
  <c r="E133" i="1" l="1"/>
  <c r="R198" i="1"/>
  <c r="E61" i="1"/>
  <c r="E172" i="1"/>
  <c r="D219" i="1"/>
  <c r="E99" i="1"/>
  <c r="E23" i="1"/>
  <c r="E197" i="1"/>
  <c r="E141" i="1"/>
  <c r="E178" i="1"/>
</calcChain>
</file>

<file path=xl/sharedStrings.xml><?xml version="1.0" encoding="utf-8"?>
<sst xmlns="http://schemas.openxmlformats.org/spreadsheetml/2006/main" count="457" uniqueCount="288">
  <si>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</si>
  <si>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</si>
  <si>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</si>
  <si>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</si>
  <si>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</si>
  <si>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</si>
  <si>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</si>
  <si>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</si>
  <si>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</si>
  <si>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</si>
  <si>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</si>
  <si>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</si>
  <si>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</si>
  <si>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</si>
  <si>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</si>
  <si>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</si>
  <si>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</si>
  <si>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</si>
  <si>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</si>
  <si>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</si>
  <si>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</si>
  <si>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</si>
  <si>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</si>
  <si>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</si>
  <si>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</si>
  <si>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</si>
  <si>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</si>
  <si>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</si>
  <si>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</si>
  <si>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</si>
  <si>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</si>
  <si>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</si>
  <si>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</si>
  <si>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</si>
  <si>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</si>
  <si>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</si>
  <si>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</si>
  <si>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</si>
  <si>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</si>
  <si>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</si>
  <si>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</si>
  <si>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</si>
  <si>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</si>
  <si>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</si>
  <si>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</si>
  <si>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</si>
  <si>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</si>
  <si>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</si>
  <si>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</si>
  <si>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</si>
  <si>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</si>
  <si>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</si>
  <si>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</si>
  <si>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</si>
  <si>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</si>
  <si>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</si>
  <si>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</si>
  <si>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</si>
  <si>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</si>
  <si>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</si>
  <si>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</si>
  <si>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</si>
  <si>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</si>
  <si>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</si>
  <si>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</si>
  <si>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</si>
  <si>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</si>
  <si>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</si>
  <si>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</si>
  <si>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</si>
  <si>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</si>
  <si>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</si>
  <si>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</si>
  <si>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</si>
  <si>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</si>
  <si>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</si>
  <si>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</si>
  <si>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</si>
  <si>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</si>
  <si>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</si>
  <si>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</si>
  <si>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</si>
  <si>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</si>
  <si>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</si>
  <si>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</si>
  <si>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</si>
  <si>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</si>
  <si>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</si>
  <si>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</si>
  <si>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</si>
  <si>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</si>
  <si>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</si>
  <si>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</si>
  <si>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</si>
  <si>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</si>
  <si>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</si>
  <si>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</si>
  <si>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</si>
  <si>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</si>
  <si>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</si>
  <si>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</si>
  <si>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</si>
  <si>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</si>
  <si>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</si>
  <si>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</si>
  <si>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</si>
  <si>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</si>
  <si>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</si>
  <si>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</si>
  <si>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</si>
  <si>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</si>
  <si>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</si>
  <si>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</si>
  <si>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</si>
  <si>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</si>
  <si>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</si>
  <si>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</si>
  <si>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</si>
  <si>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</si>
  <si>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</si>
  <si>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</si>
  <si>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</si>
  <si>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</si>
  <si>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</si>
  <si>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</si>
  <si>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</si>
  <si>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</si>
  <si>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</si>
  <si>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</si>
  <si>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</si>
  <si>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</si>
  <si>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</si>
  <si>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</si>
  <si>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</si>
  <si>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</si>
  <si>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</si>
  <si>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</si>
  <si>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</si>
  <si>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</si>
  <si>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</si>
  <si>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</si>
  <si>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</si>
  <si>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</si>
  <si>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</si>
  <si>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</si>
  <si>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</si>
  <si>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</si>
  <si>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</si>
  <si>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</si>
  <si>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</si>
  <si>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</si>
  <si>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</si>
  <si>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</si>
  <si>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</si>
  <si>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</si>
  <si>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</si>
  <si>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</si>
  <si>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</si>
  <si>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</si>
  <si>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</si>
  <si>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</si>
  <si>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</si>
  <si>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</si>
  <si>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</si>
  <si>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</si>
  <si>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</si>
  <si>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</si>
  <si>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</si>
  <si>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</si>
  <si>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</si>
  <si>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</si>
  <si>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</si>
  <si>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</si>
  <si>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</si>
  <si>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</si>
  <si>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</si>
  <si>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</si>
  <si>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</si>
  <si>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</si>
  <si>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</si>
  <si>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</si>
  <si>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</si>
  <si>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</si>
  <si>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</si>
  <si>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</si>
  <si>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</si>
  <si>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</si>
  <si>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</si>
  <si>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</si>
  <si>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</si>
  <si>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</si>
  <si>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</si>
  <si>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</si>
  <si>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</si>
  <si>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</si>
  <si>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</si>
  <si>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</si>
  <si>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</si>
  <si>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</si>
  <si>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</si>
  <si>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</si>
  <si>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</si>
  <si>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</si>
  <si>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</si>
  <si>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</si>
  <si>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</si>
  <si>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</si>
  <si>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</si>
  <si>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</si>
  <si>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</si>
  <si>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</si>
  <si>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</si>
  <si>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</si>
  <si>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</si>
  <si>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</si>
  <si>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</si>
  <si>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</si>
  <si>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</si>
  <si>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</si>
  <si>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</si>
  <si>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</si>
  <si>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</si>
  <si>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</si>
  <si>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</si>
  <si>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</si>
  <si>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</si>
  <si>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</si>
  <si>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</si>
  <si>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</si>
  <si>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</si>
  <si>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</si>
  <si>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</si>
  <si>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</si>
  <si>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</si>
  <si>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</si>
  <si>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</si>
  <si>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</si>
  <si>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</si>
  <si>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</si>
  <si>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</si>
  <si>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</si>
  <si>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</si>
  <si>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</si>
  <si>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</si>
  <si>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</si>
  <si>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</si>
  <si>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</si>
  <si>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</si>
  <si>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</si>
  <si>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</si>
  <si>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</si>
  <si>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</si>
  <si>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</si>
  <si>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</si>
  <si>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</si>
  <si>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</si>
  <si>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</si>
  <si>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</si>
  <si>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</si>
  <si>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</si>
  <si>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</si>
  <si>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</si>
  <si>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</si>
  <si>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</si>
  <si>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</si>
  <si>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</si>
  <si>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</si>
  <si>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</si>
  <si>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</si>
  <si>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</si>
  <si>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</si>
  <si>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</si>
  <si>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</si>
  <si>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</si>
  <si>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</si>
  <si>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</si>
  <si>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</si>
  <si>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Nigerian Eurobond Fund</t>
  </si>
  <si>
    <t>RMB Nigeria Asset Management Ltd.</t>
  </si>
  <si>
    <t>RMBN Money Market Fund</t>
  </si>
  <si>
    <t>RMBN Dollar Fixed Income Fund</t>
  </si>
  <si>
    <t>NAV, Unit Price and Yield as at Week Ended July 26, 2024</t>
  </si>
  <si>
    <t>Week Ended July 26, 2024</t>
  </si>
  <si>
    <t>WEEKLY VALUATION REPORT OF COLLECTIVE INVESTMENT SCHEMES AS AT WEEK ENDED FRIDAY, AUGUST 2, 2024</t>
  </si>
  <si>
    <t>NAV, Unit Price and Yield as at Week Ended August 2,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</si>
  <si>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2nd August, 2024 = N1619.232</t>
    </r>
  </si>
  <si>
    <t>Week Ended August 2, 2024</t>
  </si>
  <si>
    <t>The chart above shows that the Dollar Fund category (Eurobonds and Fixed Income) has the highest share of the Aggregate Net Asset Value (NAV) at 49.28%, followed by Money Market Fund with 36.83%, Bond/Fixed Income Fund at 6.84%, Real Estate Investment Trust at 3.02%.  Next is Balanced Fund at 1.50%, Shari'ah Compliant Fund at 1.54%, Equity Fund at 0.83%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</si>
</sst>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9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0" fillId="0" borderId="0" xfId="0" applyFont="1"/>
    <xf numFmtId="4" fontId="11" fillId="3" borderId="0" xfId="0" applyNumberFormat="1" applyFont="1" applyFill="1"/>
    <xf numFmtId="164" fontId="11" fillId="3" borderId="0" xfId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49" fillId="0" borderId="5" xfId="0" applyFont="1" applyBorder="1" applyAlignment="1">
      <alignment horizontal="right"/>
    </xf>
    <xf numFmtId="16" fontId="50" fillId="3" borderId="5" xfId="0" applyNumberFormat="1" applyFont="1" applyFill="1" applyBorder="1" applyAlignment="1">
      <alignment horizontal="center" wrapText="1"/>
    </xf>
    <xf numFmtId="0" fontId="50" fillId="0" borderId="5" xfId="0" applyFont="1" applyBorder="1" applyAlignment="1">
      <alignment horizontal="right" wrapText="1"/>
    </xf>
    <xf numFmtId="4" fontId="51" fillId="3" borderId="5" xfId="0" applyNumberFormat="1" applyFont="1" applyFill="1" applyBorder="1"/>
    <xf numFmtId="0" fontId="50" fillId="0" borderId="5" xfId="0" applyFont="1" applyBorder="1" applyAlignment="1">
      <alignment horizontal="right"/>
    </xf>
    <xf numFmtId="4" fontId="51" fillId="3" borderId="5" xfId="0" applyNumberFormat="1" applyFont="1" applyFill="1" applyBorder="1" applyAlignment="1">
      <alignment horizontal="right"/>
    </xf>
    <xf numFmtId="164" fontId="51" fillId="3" borderId="5" xfId="1" applyFont="1" applyFill="1" applyBorder="1" applyAlignment="1">
      <alignment horizontal="right" vertical="top" wrapText="1"/>
    </xf>
    <xf numFmtId="0" fontId="50" fillId="0" borderId="0" xfId="0" applyFont="1" applyAlignment="1">
      <alignment horizontal="right"/>
    </xf>
    <xf numFmtId="4" fontId="51" fillId="3" borderId="0" xfId="0" applyNumberFormat="1" applyFont="1" applyFill="1"/>
    <xf numFmtId="0" fontId="52" fillId="0" borderId="5" xfId="0" applyFont="1" applyBorder="1" applyAlignment="1">
      <alignment horizontal="right" wrapText="1"/>
    </xf>
    <xf numFmtId="164" fontId="53" fillId="0" borderId="5" xfId="1" applyFont="1" applyBorder="1"/>
    <xf numFmtId="4" fontId="53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53" fillId="3" borderId="5" xfId="0" applyNumberFormat="1" applyFont="1" applyFill="1" applyBorder="1" applyAlignment="1">
      <alignment horizontal="right"/>
    </xf>
    <xf numFmtId="164" fontId="53" fillId="3" borderId="5" xfId="1" applyFont="1" applyFill="1" applyBorder="1" applyAlignment="1">
      <alignment horizontal="right" vertical="top" wrapText="1"/>
    </xf>
    <xf numFmtId="16" fontId="50" fillId="3" borderId="5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39" fillId="0" borderId="0" xfId="0" applyFont="1"/>
    <xf numFmtId="16" fontId="54" fillId="3" borderId="0" xfId="0" applyNumberFormat="1" applyFont="1" applyFill="1"/>
    <xf numFmtId="164" fontId="55" fillId="0" borderId="0" xfId="1" applyFont="1"/>
    <xf numFmtId="43" fontId="55" fillId="0" borderId="0" xfId="0" applyNumberFormat="1" applyFont="1"/>
    <xf numFmtId="4" fontId="55" fillId="0" borderId="0" xfId="0" applyNumberFormat="1" applyFont="1"/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July 26,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26.986311220071197</c:v>
                </c:pt>
                <c:pt idx="1">
                  <c:v>1182.8264042973062</c:v>
                </c:pt>
                <c:pt idx="2">
                  <c:v>227.27414253834459</c:v>
                </c:pt>
                <c:pt idx="3">
                  <c:v>1572.5488894558512</c:v>
                </c:pt>
                <c:pt idx="4">
                  <c:v>98.354700217780959</c:v>
                </c:pt>
                <c:pt idx="5" formatCode="_-* #,##0.00_-;\-* #,##0.00_-;_-* &quot;-&quot;??_-;_-@_-">
                  <c:v>48.792555116379305</c:v>
                </c:pt>
                <c:pt idx="6">
                  <c:v>5.2116183729899994</c:v>
                </c:pt>
                <c:pt idx="7">
                  <c:v>50.39169931471109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August 2,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27.041982230700103</c:v>
                </c:pt>
                <c:pt idx="1">
                  <c:v>1197.5843570663212</c:v>
                </c:pt>
                <c:pt idx="2">
                  <c:v>222.26541361099601</c:v>
                </c:pt>
                <c:pt idx="3">
                  <c:v>1602.2679201256169</c:v>
                </c:pt>
                <c:pt idx="4">
                  <c:v>98.122255921538311</c:v>
                </c:pt>
                <c:pt idx="5" formatCode="_-* #,##0.00_-;\-* #,##0.00_-;_-* &quot;-&quot;??_-;_-@_-">
                  <c:v>48.930496510281785</c:v>
                </c:pt>
                <c:pt idx="6">
                  <c:v>5.2307290869300003</c:v>
                </c:pt>
                <c:pt idx="7">
                  <c:v>49.967671576897985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2ND AUGUST,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2-Aug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5230729086.9300003</c:v>
                </c:pt>
                <c:pt idx="1">
                  <c:v>27041982230.700104</c:v>
                </c:pt>
                <c:pt idx="2" formatCode="_-* #,##0.00_-;\-* #,##0.00_-;_-* &quot;-&quot;??_-;_-@_-">
                  <c:v>48930496510.281784</c:v>
                </c:pt>
                <c:pt idx="3">
                  <c:v>49967671576.897987</c:v>
                </c:pt>
                <c:pt idx="4">
                  <c:v>98122255921.538315</c:v>
                </c:pt>
                <c:pt idx="5">
                  <c:v>222265413610.996</c:v>
                </c:pt>
                <c:pt idx="6">
                  <c:v>1197584357066.3213</c:v>
                </c:pt>
                <c:pt idx="7">
                  <c:v>1602267920125.6169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45457</c:v>
                </c:pt>
                <c:pt idx="1">
                  <c:v>45464</c:v>
                </c:pt>
                <c:pt idx="2">
                  <c:v>45471</c:v>
                </c:pt>
                <c:pt idx="3">
                  <c:v>45478</c:v>
                </c:pt>
                <c:pt idx="4">
                  <c:v>45485</c:v>
                </c:pt>
                <c:pt idx="5">
                  <c:v>45492</c:v>
                </c:pt>
                <c:pt idx="6">
                  <c:v>45499</c:v>
                </c:pt>
                <c:pt idx="7">
                  <c:v>45506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2928.2097391078973</c:v>
                </c:pt>
                <c:pt idx="1">
                  <c:v>2935.8430719008147</c:v>
                </c:pt>
                <c:pt idx="2">
                  <c:v>2970.9827489413674</c:v>
                </c:pt>
                <c:pt idx="3">
                  <c:v>3047.0187418823903</c:v>
                </c:pt>
                <c:pt idx="4">
                  <c:v>3097.1617711497356</c:v>
                </c:pt>
                <c:pt idx="5">
                  <c:v>3161.8406486109188</c:v>
                </c:pt>
                <c:pt idx="6">
                  <c:v>3212.3863205334346</c:v>
                </c:pt>
                <c:pt idx="7">
                  <c:v>3251.4108261292827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45457</c:v>
                </c:pt>
                <c:pt idx="1">
                  <c:v>45464</c:v>
                </c:pt>
                <c:pt idx="2">
                  <c:v>45471</c:v>
                </c:pt>
                <c:pt idx="3">
                  <c:v>45478</c:v>
                </c:pt>
                <c:pt idx="4">
                  <c:v>45485</c:v>
                </c:pt>
                <c:pt idx="5">
                  <c:v>45492</c:v>
                </c:pt>
                <c:pt idx="6">
                  <c:v>45499</c:v>
                </c:pt>
                <c:pt idx="7">
                  <c:v>45506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13.263470098545037</c:v>
                </c:pt>
                <c:pt idx="1">
                  <c:v>13.253375082678389</c:v>
                </c:pt>
                <c:pt idx="2">
                  <c:v>12.263967010065977</c:v>
                </c:pt>
                <c:pt idx="3">
                  <c:v>12.187736015745237</c:v>
                </c:pt>
                <c:pt idx="4">
                  <c:v>12.34693280092509</c:v>
                </c:pt>
                <c:pt idx="5">
                  <c:v>12.398936333326033</c:v>
                </c:pt>
                <c:pt idx="6">
                  <c:v>12.157713481032657</c:v>
                </c:pt>
                <c:pt idx="7">
                  <c:v>12.159294190102655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26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77" t="s">
        <v>283</v>
      </c>
      <c r="B1" s="178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80"/>
    </row>
    <row r="2" spans="1:25" ht="15" customHeight="1">
      <c r="A2" s="1"/>
      <c r="B2" s="1"/>
      <c r="C2" s="1"/>
      <c r="D2" s="183" t="s">
        <v>281</v>
      </c>
      <c r="E2" s="184"/>
      <c r="F2" s="184"/>
      <c r="G2" s="184"/>
      <c r="H2" s="184"/>
      <c r="I2" s="184"/>
      <c r="J2" s="185"/>
      <c r="K2" s="183" t="s">
        <v>284</v>
      </c>
      <c r="L2" s="184"/>
      <c r="M2" s="184"/>
      <c r="N2" s="184"/>
      <c r="O2" s="184"/>
      <c r="P2" s="184"/>
      <c r="Q2" s="185"/>
      <c r="R2" s="183" t="s">
        <v>0</v>
      </c>
      <c r="S2" s="184"/>
      <c r="T2" s="185"/>
      <c r="U2" s="181" t="s">
        <v>1</v>
      </c>
      <c r="V2" s="181"/>
    </row>
    <row r="3" spans="1:25" ht="25.5">
      <c r="A3" s="79" t="s">
        <v>2</v>
      </c>
      <c r="B3" s="79" t="s">
        <v>3</v>
      </c>
      <c r="C3" s="73" t="s">
        <v>4</v>
      </c>
      <c r="D3" s="74" t="s">
        <v>5</v>
      </c>
      <c r="E3" s="75" t="s">
        <v>6</v>
      </c>
      <c r="F3" s="75" t="s">
        <v>7</v>
      </c>
      <c r="G3" s="75" t="s">
        <v>8</v>
      </c>
      <c r="H3" s="75" t="s">
        <v>227</v>
      </c>
      <c r="I3" s="75" t="s">
        <v>9</v>
      </c>
      <c r="J3" s="75" t="s">
        <v>10</v>
      </c>
      <c r="K3" s="76" t="s">
        <v>5</v>
      </c>
      <c r="L3" s="75" t="s">
        <v>6</v>
      </c>
      <c r="M3" s="75" t="s">
        <v>7</v>
      </c>
      <c r="N3" s="75" t="s">
        <v>8</v>
      </c>
      <c r="O3" s="75" t="s">
        <v>227</v>
      </c>
      <c r="P3" s="75" t="s">
        <v>9</v>
      </c>
      <c r="Q3" s="75" t="s">
        <v>10</v>
      </c>
      <c r="R3" s="74" t="s">
        <v>11</v>
      </c>
      <c r="S3" s="75" t="s">
        <v>12</v>
      </c>
      <c r="T3" s="75" t="s">
        <v>233</v>
      </c>
      <c r="U3" s="75" t="s">
        <v>13</v>
      </c>
      <c r="V3" s="75" t="s">
        <v>14</v>
      </c>
    </row>
    <row r="4" spans="1:25" ht="7.5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5" spans="1:25" ht="15" customHeight="1">
      <c r="A5" s="174" t="s">
        <v>15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</row>
    <row r="6" spans="1:25">
      <c r="A6" s="146">
        <v>1</v>
      </c>
      <c r="B6" s="133" t="s">
        <v>16</v>
      </c>
      <c r="C6" s="134" t="s">
        <v>17</v>
      </c>
      <c r="D6" s="2">
        <v>1089696197.78</v>
      </c>
      <c r="E6" s="3">
        <f t="shared" ref="E6:E22" si="0">(D6/$D$23)</f>
        <v>4.0379590559584642E-2</v>
      </c>
      <c r="F6" s="8">
        <v>332.22370000000001</v>
      </c>
      <c r="G6" s="8">
        <v>332.22370000000001</v>
      </c>
      <c r="H6" s="58">
        <v>1741</v>
      </c>
      <c r="I6" s="5">
        <v>-2.6800000000000001E-2</v>
      </c>
      <c r="J6" s="5">
        <v>0.108</v>
      </c>
      <c r="K6" s="2">
        <v>1104912572.8199999</v>
      </c>
      <c r="L6" s="3">
        <f>(K6/$K$23)</f>
        <v>4.0859156085296867E-2</v>
      </c>
      <c r="M6" s="8">
        <v>342.41860000000003</v>
      </c>
      <c r="N6" s="8">
        <v>342.41860000000003</v>
      </c>
      <c r="O6" s="58">
        <v>1741</v>
      </c>
      <c r="P6" s="5">
        <v>3.0700000000000002E-2</v>
      </c>
      <c r="Q6" s="5">
        <v>0.1409</v>
      </c>
      <c r="R6" s="77">
        <f>((K6-D6)/D6)</f>
        <v>1.3963869077454571E-2</v>
      </c>
      <c r="S6" s="77">
        <f>((N6-G6)/G6)</f>
        <v>3.0686853466504703E-2</v>
      </c>
      <c r="T6" s="77">
        <f>((O6-H6)/H6)</f>
        <v>0</v>
      </c>
      <c r="U6" s="78">
        <f>P6-I6</f>
        <v>5.7500000000000002E-2</v>
      </c>
      <c r="V6" s="80">
        <f>Q6-J6</f>
        <v>3.2899999999999999E-2</v>
      </c>
    </row>
    <row r="7" spans="1:25">
      <c r="A7" s="150">
        <v>2</v>
      </c>
      <c r="B7" s="133" t="s">
        <v>18</v>
      </c>
      <c r="C7" s="134" t="s">
        <v>19</v>
      </c>
      <c r="D7" s="4">
        <v>594656227.38</v>
      </c>
      <c r="E7" s="3">
        <f t="shared" si="0"/>
        <v>2.2035476524769403E-2</v>
      </c>
      <c r="F7" s="4">
        <v>219.78659999999999</v>
      </c>
      <c r="G7" s="4">
        <v>222.18430000000001</v>
      </c>
      <c r="H7" s="58">
        <v>431</v>
      </c>
      <c r="I7" s="5">
        <v>-2.0872000000000002E-2</v>
      </c>
      <c r="J7" s="5">
        <v>0.1361</v>
      </c>
      <c r="K7" s="4">
        <v>591838484.94000006</v>
      </c>
      <c r="L7" s="3">
        <f t="shared" ref="L7:L22" si="1">(K7/$K$23)</f>
        <v>2.1885913535883483E-2</v>
      </c>
      <c r="M7" s="4">
        <v>218.71279999999999</v>
      </c>
      <c r="N7" s="4">
        <v>221.0248</v>
      </c>
      <c r="O7" s="58">
        <v>438</v>
      </c>
      <c r="P7" s="5">
        <v>4.5040000000000002E-3</v>
      </c>
      <c r="Q7" s="5">
        <v>0.13059999999999999</v>
      </c>
      <c r="R7" s="77">
        <f t="shared" ref="R7:R23" si="2">((K7-D7)/D7)</f>
        <v>-4.7384393036875253E-3</v>
      </c>
      <c r="S7" s="77">
        <f t="shared" ref="S7:S23" si="3">((N7-G7)/G7)</f>
        <v>-5.2186405610117744E-3</v>
      </c>
      <c r="T7" s="77">
        <f t="shared" ref="T7:T23" si="4">((O7-H7)/H7)</f>
        <v>1.6241299303944315E-2</v>
      </c>
      <c r="U7" s="78">
        <f t="shared" ref="U7:U23" si="5">P7-I7</f>
        <v>2.5376000000000003E-2</v>
      </c>
      <c r="V7" s="80">
        <f t="shared" ref="V7:V23" si="6">Q7-J7</f>
        <v>-5.5000000000000049E-3</v>
      </c>
    </row>
    <row r="8" spans="1:25">
      <c r="A8" s="150">
        <v>3</v>
      </c>
      <c r="B8" s="133" t="s">
        <v>20</v>
      </c>
      <c r="C8" s="134" t="s">
        <v>21</v>
      </c>
      <c r="D8" s="4">
        <v>3803898477.8899999</v>
      </c>
      <c r="E8" s="3">
        <f t="shared" si="0"/>
        <v>0.14095659265430957</v>
      </c>
      <c r="F8" s="4">
        <v>35.131300000000003</v>
      </c>
      <c r="G8" s="4">
        <v>36.1905</v>
      </c>
      <c r="H8" s="60">
        <v>6562</v>
      </c>
      <c r="I8" s="6">
        <v>-1.7081</v>
      </c>
      <c r="J8" s="6">
        <v>0.26390000000000002</v>
      </c>
      <c r="K8" s="4">
        <v>3787178080.21</v>
      </c>
      <c r="L8" s="3">
        <f t="shared" si="1"/>
        <v>0.14004809440006616</v>
      </c>
      <c r="M8" s="4">
        <v>34.953499999999998</v>
      </c>
      <c r="N8" s="4">
        <v>36.007300000000001</v>
      </c>
      <c r="O8" s="60">
        <v>6572</v>
      </c>
      <c r="P8" s="6">
        <v>-0.26469999999999999</v>
      </c>
      <c r="Q8" s="6">
        <v>0.24540000000000001</v>
      </c>
      <c r="R8" s="77">
        <f t="shared" si="2"/>
        <v>-4.3955951446092573E-3</v>
      </c>
      <c r="S8" s="77">
        <f t="shared" si="3"/>
        <v>-5.0621019328276583E-3</v>
      </c>
      <c r="T8" s="77">
        <f t="shared" si="4"/>
        <v>1.5239256324291375E-3</v>
      </c>
      <c r="U8" s="78">
        <f t="shared" si="5"/>
        <v>1.4434</v>
      </c>
      <c r="V8" s="80">
        <f t="shared" si="6"/>
        <v>-1.8500000000000016E-2</v>
      </c>
      <c r="X8" s="99"/>
      <c r="Y8" s="99"/>
    </row>
    <row r="9" spans="1:25">
      <c r="A9" s="144">
        <v>4</v>
      </c>
      <c r="B9" s="133" t="s">
        <v>22</v>
      </c>
      <c r="C9" s="134" t="s">
        <v>23</v>
      </c>
      <c r="D9" s="4">
        <v>597246143.16999996</v>
      </c>
      <c r="E9" s="3">
        <f t="shared" si="0"/>
        <v>2.2131447988556336E-2</v>
      </c>
      <c r="F9" s="4">
        <v>204.44880000000001</v>
      </c>
      <c r="G9" s="4">
        <v>204.44880000000001</v>
      </c>
      <c r="H9" s="58">
        <v>1808</v>
      </c>
      <c r="I9" s="5">
        <v>-2.1700000000000001E-2</v>
      </c>
      <c r="J9" s="5">
        <v>0.18190000000000001</v>
      </c>
      <c r="K9" s="4">
        <v>570267340.80999994</v>
      </c>
      <c r="L9" s="3">
        <f t="shared" si="1"/>
        <v>2.1088222599399142E-2</v>
      </c>
      <c r="M9" s="4">
        <v>198.59139999999999</v>
      </c>
      <c r="N9" s="4">
        <v>198.59139999999999</v>
      </c>
      <c r="O9" s="58">
        <v>1810</v>
      </c>
      <c r="P9" s="5">
        <v>-2.86E-2</v>
      </c>
      <c r="Q9" s="5">
        <v>0.1532</v>
      </c>
      <c r="R9" s="77">
        <f t="shared" si="2"/>
        <v>-4.5171999297985883E-2</v>
      </c>
      <c r="S9" s="77">
        <f t="shared" si="3"/>
        <v>-2.8649715723447693E-2</v>
      </c>
      <c r="T9" s="77">
        <f t="shared" si="4"/>
        <v>1.1061946902654867E-3</v>
      </c>
      <c r="U9" s="78">
        <f t="shared" si="5"/>
        <v>-6.8999999999999999E-3</v>
      </c>
      <c r="V9" s="80">
        <f t="shared" si="6"/>
        <v>-2.8700000000000003E-2</v>
      </c>
    </row>
    <row r="10" spans="1:25">
      <c r="A10" s="150">
        <v>5</v>
      </c>
      <c r="B10" s="133" t="s">
        <v>264</v>
      </c>
      <c r="C10" s="134" t="s">
        <v>99</v>
      </c>
      <c r="D10" s="4">
        <v>606138157.35000002</v>
      </c>
      <c r="E10" s="3">
        <f t="shared" si="0"/>
        <v>2.2460948901351953E-2</v>
      </c>
      <c r="F10" s="4">
        <v>0.90510000000000002</v>
      </c>
      <c r="G10" s="4">
        <v>0.91339999999999999</v>
      </c>
      <c r="H10" s="58">
        <v>524</v>
      </c>
      <c r="I10" s="5">
        <v>-5.04E-2</v>
      </c>
      <c r="J10" s="5">
        <v>-6.9599999999999995E-2</v>
      </c>
      <c r="K10" s="4">
        <v>599741931.11000001</v>
      </c>
      <c r="L10" s="3">
        <f t="shared" si="1"/>
        <v>2.2178179321082743E-2</v>
      </c>
      <c r="M10" s="4">
        <v>0.89770000000000005</v>
      </c>
      <c r="N10" s="4">
        <v>0.90590000000000004</v>
      </c>
      <c r="O10" s="58">
        <v>521</v>
      </c>
      <c r="P10" s="5">
        <v>-1.0500000000000001E-2</v>
      </c>
      <c r="Q10" s="5">
        <v>-7.7799999999999994E-2</v>
      </c>
      <c r="R10" s="77">
        <f>((K10-D10)/D10)</f>
        <v>-1.0552423011882193E-2</v>
      </c>
      <c r="S10" s="77">
        <f>((N10-G10)/G10)</f>
        <v>-8.2110794832493447E-3</v>
      </c>
      <c r="T10" s="77">
        <f>((O10-H10)/H10)</f>
        <v>-5.7251908396946565E-3</v>
      </c>
      <c r="U10" s="78">
        <f>P10-I10</f>
        <v>3.9899999999999998E-2</v>
      </c>
      <c r="V10" s="80">
        <f>Q10-J10</f>
        <v>-8.199999999999999E-3</v>
      </c>
    </row>
    <row r="11" spans="1:25">
      <c r="A11" s="139">
        <v>6</v>
      </c>
      <c r="B11" s="133" t="s">
        <v>24</v>
      </c>
      <c r="C11" s="134" t="s">
        <v>25</v>
      </c>
      <c r="D11" s="7">
        <v>86358418.299999997</v>
      </c>
      <c r="E11" s="3">
        <f t="shared" si="0"/>
        <v>3.2000823527066759E-3</v>
      </c>
      <c r="F11" s="4">
        <v>155.0566</v>
      </c>
      <c r="G11" s="4">
        <v>155.63290000000001</v>
      </c>
      <c r="H11" s="60">
        <v>95</v>
      </c>
      <c r="I11" s="6">
        <v>-1.2893999999999999E-2</v>
      </c>
      <c r="J11" s="6">
        <v>0.31559999999999999</v>
      </c>
      <c r="K11" s="7">
        <v>86701555.209999993</v>
      </c>
      <c r="L11" s="3">
        <f t="shared" si="1"/>
        <v>3.2061834251029806E-3</v>
      </c>
      <c r="M11" s="4">
        <v>155.4941</v>
      </c>
      <c r="N11" s="4">
        <v>156.071</v>
      </c>
      <c r="O11" s="60">
        <v>95</v>
      </c>
      <c r="P11" s="6">
        <v>4.6099999999999998E-4</v>
      </c>
      <c r="Q11" s="6">
        <v>0.31869999999999998</v>
      </c>
      <c r="R11" s="77">
        <f t="shared" si="2"/>
        <v>3.9734042928852072E-3</v>
      </c>
      <c r="S11" s="77">
        <f t="shared" si="3"/>
        <v>2.81495750577154E-3</v>
      </c>
      <c r="T11" s="77">
        <f t="shared" si="4"/>
        <v>0</v>
      </c>
      <c r="U11" s="78">
        <f t="shared" si="5"/>
        <v>1.3354999999999999E-2</v>
      </c>
      <c r="V11" s="80">
        <f t="shared" si="6"/>
        <v>3.0999999999999917E-3</v>
      </c>
    </row>
    <row r="12" spans="1:25">
      <c r="A12" s="146">
        <v>7</v>
      </c>
      <c r="B12" s="133" t="s">
        <v>26</v>
      </c>
      <c r="C12" s="134" t="s">
        <v>27</v>
      </c>
      <c r="D12" s="4">
        <v>1101617852.1199999</v>
      </c>
      <c r="E12" s="3">
        <f t="shared" si="0"/>
        <v>4.0821357285047037E-2</v>
      </c>
      <c r="F12" s="4">
        <v>296.62</v>
      </c>
      <c r="G12" s="4">
        <v>300.52999999999997</v>
      </c>
      <c r="H12" s="60">
        <v>1618</v>
      </c>
      <c r="I12" s="6">
        <v>-2.1999999999999999E-2</v>
      </c>
      <c r="J12" s="6">
        <v>0.1928</v>
      </c>
      <c r="K12" s="4">
        <v>1042522528.29</v>
      </c>
      <c r="L12" s="3">
        <f t="shared" si="1"/>
        <v>3.8552001084685629E-2</v>
      </c>
      <c r="M12" s="4">
        <v>290.94</v>
      </c>
      <c r="N12" s="4">
        <v>294.88</v>
      </c>
      <c r="O12" s="60">
        <v>1617</v>
      </c>
      <c r="P12" s="6">
        <v>-1.9E-2</v>
      </c>
      <c r="Q12" s="6">
        <v>0.1699</v>
      </c>
      <c r="R12" s="77">
        <f t="shared" si="2"/>
        <v>-5.3644123246799597E-2</v>
      </c>
      <c r="S12" s="77">
        <f t="shared" si="3"/>
        <v>-1.8800119788373797E-2</v>
      </c>
      <c r="T12" s="77">
        <f t="shared" si="4"/>
        <v>-6.1804697156983925E-4</v>
      </c>
      <c r="U12" s="78">
        <f t="shared" si="5"/>
        <v>2.9999999999999992E-3</v>
      </c>
      <c r="V12" s="80">
        <f t="shared" si="6"/>
        <v>-2.2900000000000004E-2</v>
      </c>
    </row>
    <row r="13" spans="1:25">
      <c r="A13" s="150">
        <v>8</v>
      </c>
      <c r="B13" s="133" t="s">
        <v>28</v>
      </c>
      <c r="C13" s="134" t="s">
        <v>29</v>
      </c>
      <c r="D13" s="2">
        <v>356881500.07999998</v>
      </c>
      <c r="E13" s="3">
        <f t="shared" si="0"/>
        <v>1.3224538069307066E-2</v>
      </c>
      <c r="F13" s="4">
        <v>179.27</v>
      </c>
      <c r="G13" s="4">
        <v>184.57</v>
      </c>
      <c r="H13" s="58">
        <v>2466</v>
      </c>
      <c r="I13" s="5">
        <v>-1.0710000000000001E-2</v>
      </c>
      <c r="J13" s="5">
        <v>6.8419999999999995E-2</v>
      </c>
      <c r="K13" s="2">
        <v>356030366.35000002</v>
      </c>
      <c r="L13" s="3">
        <f t="shared" si="1"/>
        <v>1.3165838336577539E-2</v>
      </c>
      <c r="M13" s="4">
        <v>178.85</v>
      </c>
      <c r="N13" s="4">
        <v>184.08</v>
      </c>
      <c r="O13" s="58">
        <v>2466</v>
      </c>
      <c r="P13" s="5">
        <v>-2.2899999999999999E-3</v>
      </c>
      <c r="Q13" s="5">
        <v>6.5912999999999999E-2</v>
      </c>
      <c r="R13" s="77">
        <f t="shared" si="2"/>
        <v>-2.3849197277224119E-3</v>
      </c>
      <c r="S13" s="77">
        <f t="shared" si="3"/>
        <v>-2.654819309746875E-3</v>
      </c>
      <c r="T13" s="77">
        <f t="shared" si="4"/>
        <v>0</v>
      </c>
      <c r="U13" s="78">
        <f t="shared" si="5"/>
        <v>8.4200000000000004E-3</v>
      </c>
      <c r="V13" s="80">
        <f t="shared" si="6"/>
        <v>-2.5069999999999953E-3</v>
      </c>
    </row>
    <row r="14" spans="1:25">
      <c r="A14" s="155">
        <v>9</v>
      </c>
      <c r="B14" s="133" t="s">
        <v>30</v>
      </c>
      <c r="C14" s="134" t="s">
        <v>31</v>
      </c>
      <c r="D14" s="7">
        <v>52884147.611199997</v>
      </c>
      <c r="E14" s="3">
        <f t="shared" si="0"/>
        <v>1.9596656682691468E-3</v>
      </c>
      <c r="F14" s="4">
        <v>188.8013</v>
      </c>
      <c r="G14" s="4">
        <v>193.94880000000001</v>
      </c>
      <c r="H14" s="58">
        <v>13</v>
      </c>
      <c r="I14" s="5">
        <v>-6.7999999999999996E-3</v>
      </c>
      <c r="J14" s="5">
        <v>4.5699999999999998E-2</v>
      </c>
      <c r="K14" s="7">
        <v>53624316.930100001</v>
      </c>
      <c r="L14" s="3">
        <f t="shared" si="1"/>
        <v>1.9830024468110779E-3</v>
      </c>
      <c r="M14" s="4">
        <v>190.18520000000001</v>
      </c>
      <c r="N14" s="4">
        <v>195.34909999999999</v>
      </c>
      <c r="O14" s="58">
        <v>13</v>
      </c>
      <c r="P14" s="5">
        <v>7.3000000000000001E-3</v>
      </c>
      <c r="Q14" s="5">
        <v>5.33E-2</v>
      </c>
      <c r="R14" s="77">
        <f t="shared" si="2"/>
        <v>1.399605273666637E-2</v>
      </c>
      <c r="S14" s="77">
        <f t="shared" si="3"/>
        <v>7.2199467075846164E-3</v>
      </c>
      <c r="T14" s="77">
        <f t="shared" si="4"/>
        <v>0</v>
      </c>
      <c r="U14" s="78">
        <f t="shared" si="5"/>
        <v>1.41E-2</v>
      </c>
      <c r="V14" s="80">
        <f t="shared" si="6"/>
        <v>7.6000000000000026E-3</v>
      </c>
    </row>
    <row r="15" spans="1:25" ht="14.25" customHeight="1">
      <c r="A15" s="145">
        <v>10</v>
      </c>
      <c r="B15" s="133" t="s">
        <v>236</v>
      </c>
      <c r="C15" s="134" t="s">
        <v>32</v>
      </c>
      <c r="D15" s="2">
        <v>533728720.23000002</v>
      </c>
      <c r="E15" s="3">
        <f t="shared" si="0"/>
        <v>1.9777757540757803E-2</v>
      </c>
      <c r="F15" s="4">
        <v>1.7942530000000001</v>
      </c>
      <c r="G15" s="4">
        <v>1.8159050000000001</v>
      </c>
      <c r="H15" s="58">
        <v>452</v>
      </c>
      <c r="I15" s="5">
        <v>-2.7944495606855302E-3</v>
      </c>
      <c r="J15" s="5">
        <v>5.8743730453767684E-2</v>
      </c>
      <c r="K15" s="2">
        <v>540087024.77999997</v>
      </c>
      <c r="L15" s="3">
        <f t="shared" si="1"/>
        <v>1.997216846651324E-2</v>
      </c>
      <c r="M15" s="4">
        <v>1.822095</v>
      </c>
      <c r="N15" s="4">
        <v>1.844716</v>
      </c>
      <c r="O15" s="58">
        <v>453</v>
      </c>
      <c r="P15" s="5">
        <v>1.5517321135871009E-2</v>
      </c>
      <c r="Q15" s="5">
        <v>7.517259691980871E-2</v>
      </c>
      <c r="R15" s="77">
        <f t="shared" si="2"/>
        <v>1.1912989331471547E-2</v>
      </c>
      <c r="S15" s="77">
        <f t="shared" si="3"/>
        <v>1.5865918095935589E-2</v>
      </c>
      <c r="T15" s="77">
        <f t="shared" si="4"/>
        <v>2.2123893805309734E-3</v>
      </c>
      <c r="U15" s="78">
        <f t="shared" si="5"/>
        <v>1.831177069655654E-2</v>
      </c>
      <c r="V15" s="80">
        <f t="shared" si="6"/>
        <v>1.6428866466041026E-2</v>
      </c>
    </row>
    <row r="16" spans="1:25">
      <c r="A16" s="145">
        <v>11</v>
      </c>
      <c r="B16" s="133" t="s">
        <v>33</v>
      </c>
      <c r="C16" s="134" t="s">
        <v>34</v>
      </c>
      <c r="D16" s="2">
        <v>1613633725.1600001</v>
      </c>
      <c r="E16" s="3">
        <f t="shared" si="0"/>
        <v>5.9794527380972774E-2</v>
      </c>
      <c r="F16" s="4">
        <v>3.27</v>
      </c>
      <c r="G16" s="4">
        <v>3.33</v>
      </c>
      <c r="H16" s="58">
        <v>3668</v>
      </c>
      <c r="I16" s="5">
        <v>-3.1E-2</v>
      </c>
      <c r="J16" s="5">
        <v>0.17799999999999999</v>
      </c>
      <c r="K16" s="2">
        <v>1612611794.8</v>
      </c>
      <c r="L16" s="3">
        <f t="shared" si="1"/>
        <v>5.9633638578803633E-2</v>
      </c>
      <c r="M16" s="4">
        <v>3.27</v>
      </c>
      <c r="N16" s="4">
        <v>3.33</v>
      </c>
      <c r="O16" s="58">
        <v>3667</v>
      </c>
      <c r="P16" s="5">
        <v>-9.4999999999999998E-3</v>
      </c>
      <c r="Q16" s="5">
        <v>0.17730000000000001</v>
      </c>
      <c r="R16" s="77">
        <f t="shared" si="2"/>
        <v>-6.3330999102587787E-4</v>
      </c>
      <c r="S16" s="77">
        <f t="shared" si="3"/>
        <v>0</v>
      </c>
      <c r="T16" s="77">
        <f t="shared" si="4"/>
        <v>-2.7262813522355508E-4</v>
      </c>
      <c r="U16" s="78">
        <f t="shared" si="5"/>
        <v>2.1499999999999998E-2</v>
      </c>
      <c r="V16" s="80">
        <f t="shared" si="6"/>
        <v>-6.9999999999997842E-4</v>
      </c>
    </row>
    <row r="17" spans="1:22">
      <c r="A17" s="142">
        <v>12</v>
      </c>
      <c r="B17" s="133" t="s">
        <v>35</v>
      </c>
      <c r="C17" s="134" t="s">
        <v>36</v>
      </c>
      <c r="D17" s="4">
        <v>609283309.52999997</v>
      </c>
      <c r="E17" s="3">
        <f t="shared" si="0"/>
        <v>2.2577495107106101E-2</v>
      </c>
      <c r="F17" s="4">
        <v>19.91</v>
      </c>
      <c r="G17" s="4">
        <v>20.11</v>
      </c>
      <c r="H17" s="58">
        <v>341</v>
      </c>
      <c r="I17" s="5">
        <v>5.7579970039338679E-3</v>
      </c>
      <c r="J17" s="5">
        <v>0.1391</v>
      </c>
      <c r="K17" s="4">
        <v>589024190.59000003</v>
      </c>
      <c r="L17" s="3">
        <f t="shared" si="1"/>
        <v>2.1781842232012683E-2</v>
      </c>
      <c r="M17" s="4">
        <v>19.55</v>
      </c>
      <c r="N17" s="4">
        <v>19.739999999999998</v>
      </c>
      <c r="O17" s="58">
        <v>343</v>
      </c>
      <c r="P17" s="5">
        <v>5.7579970039338679E-3</v>
      </c>
      <c r="Q17" s="5">
        <v>0.11940000000000001</v>
      </c>
      <c r="R17" s="77">
        <f t="shared" si="2"/>
        <v>-3.3250736764195599E-2</v>
      </c>
      <c r="S17" s="77">
        <f t="shared" si="3"/>
        <v>-1.8398806563898609E-2</v>
      </c>
      <c r="T17" s="77">
        <f t="shared" si="4"/>
        <v>5.8651026392961877E-3</v>
      </c>
      <c r="U17" s="78">
        <f t="shared" si="5"/>
        <v>0</v>
      </c>
      <c r="V17" s="80">
        <f t="shared" si="6"/>
        <v>-1.9699999999999995E-2</v>
      </c>
    </row>
    <row r="18" spans="1:22">
      <c r="A18" s="152">
        <v>13</v>
      </c>
      <c r="B18" s="133" t="s">
        <v>37</v>
      </c>
      <c r="C18" s="134" t="s">
        <v>38</v>
      </c>
      <c r="D18" s="4">
        <v>348291223.31999999</v>
      </c>
      <c r="E18" s="3">
        <f t="shared" si="0"/>
        <v>1.2906218285252589E-2</v>
      </c>
      <c r="F18" s="4">
        <v>3.8148119999999999</v>
      </c>
      <c r="G18" s="4">
        <v>3.8711679999999999</v>
      </c>
      <c r="H18" s="58">
        <v>21</v>
      </c>
      <c r="I18" s="5">
        <v>0.14580000000000001</v>
      </c>
      <c r="J18" s="5">
        <v>0.77039999999999997</v>
      </c>
      <c r="K18" s="4">
        <v>305048192.32999998</v>
      </c>
      <c r="L18" s="3">
        <f t="shared" si="1"/>
        <v>1.1280541112984174E-2</v>
      </c>
      <c r="M18" s="4">
        <v>3.3411740000000001</v>
      </c>
      <c r="N18" s="4">
        <v>3.3968660000000002</v>
      </c>
      <c r="O18" s="58">
        <v>21</v>
      </c>
      <c r="P18" s="5">
        <v>1.0699999999999999E-2</v>
      </c>
      <c r="Q18" s="5">
        <v>0.55200000000000005</v>
      </c>
      <c r="R18" s="77">
        <f t="shared" si="2"/>
        <v>-0.12415768211956794</v>
      </c>
      <c r="S18" s="77">
        <f t="shared" si="3"/>
        <v>-0.12252167821184712</v>
      </c>
      <c r="T18" s="77">
        <f t="shared" si="4"/>
        <v>0</v>
      </c>
      <c r="U18" s="78">
        <f t="shared" si="5"/>
        <v>-0.13510000000000003</v>
      </c>
      <c r="V18" s="80">
        <f t="shared" si="6"/>
        <v>-0.21839999999999993</v>
      </c>
    </row>
    <row r="19" spans="1:22">
      <c r="A19" s="152">
        <v>14</v>
      </c>
      <c r="B19" s="133" t="s">
        <v>39</v>
      </c>
      <c r="C19" s="134" t="s">
        <v>40</v>
      </c>
      <c r="D19" s="2">
        <v>1476497825.23</v>
      </c>
      <c r="E19" s="3">
        <f t="shared" si="0"/>
        <v>5.4712843603902696E-2</v>
      </c>
      <c r="F19" s="4">
        <v>26.16</v>
      </c>
      <c r="G19" s="4">
        <v>26.64</v>
      </c>
      <c r="H19" s="58">
        <v>8834</v>
      </c>
      <c r="I19" s="5">
        <v>5.4000000000000003E-3</v>
      </c>
      <c r="J19" s="5">
        <v>3.8300000000000001E-2</v>
      </c>
      <c r="K19" s="2">
        <v>1433981242.26</v>
      </c>
      <c r="L19" s="3">
        <f t="shared" si="1"/>
        <v>5.3027963335913891E-2</v>
      </c>
      <c r="M19" s="4">
        <v>25.4</v>
      </c>
      <c r="N19" s="4">
        <v>25.88</v>
      </c>
      <c r="O19" s="58">
        <v>8834</v>
      </c>
      <c r="P19" s="5">
        <v>-2.8799999999999999E-2</v>
      </c>
      <c r="Q19" s="5">
        <v>8.3999999999999995E-3</v>
      </c>
      <c r="R19" s="77">
        <f t="shared" si="2"/>
        <v>-2.8795560849117437E-2</v>
      </c>
      <c r="S19" s="77">
        <f t="shared" si="3"/>
        <v>-2.8528528528528586E-2</v>
      </c>
      <c r="T19" s="77">
        <f t="shared" si="4"/>
        <v>0</v>
      </c>
      <c r="U19" s="78">
        <f t="shared" si="5"/>
        <v>-3.4200000000000001E-2</v>
      </c>
      <c r="V19" s="80">
        <f t="shared" si="6"/>
        <v>-2.9900000000000003E-2</v>
      </c>
    </row>
    <row r="20" spans="1:22" ht="12.75" customHeight="1">
      <c r="A20" s="143">
        <v>15</v>
      </c>
      <c r="B20" s="133" t="s">
        <v>41</v>
      </c>
      <c r="C20" s="134" t="s">
        <v>42</v>
      </c>
      <c r="D20" s="4">
        <v>640708423.69000006</v>
      </c>
      <c r="E20" s="3">
        <f t="shared" si="0"/>
        <v>2.3741978607786533E-2</v>
      </c>
      <c r="F20" s="4">
        <v>6302.96</v>
      </c>
      <c r="G20" s="4">
        <v>6384.31</v>
      </c>
      <c r="H20" s="58">
        <v>20</v>
      </c>
      <c r="I20" s="5">
        <v>-6.4999999999999997E-3</v>
      </c>
      <c r="J20" s="5">
        <v>0.1719</v>
      </c>
      <c r="K20" s="4">
        <v>639679811.19000006</v>
      </c>
      <c r="L20" s="3">
        <f t="shared" si="1"/>
        <v>2.3655063661116794E-2</v>
      </c>
      <c r="M20" s="4">
        <v>6292.69</v>
      </c>
      <c r="N20" s="4">
        <v>6374.16</v>
      </c>
      <c r="O20" s="58">
        <v>20</v>
      </c>
      <c r="P20" s="5">
        <v>-1.6000000000000001E-3</v>
      </c>
      <c r="Q20" s="5">
        <v>0.1701</v>
      </c>
      <c r="R20" s="77">
        <f t="shared" si="2"/>
        <v>-1.6054299615353321E-3</v>
      </c>
      <c r="S20" s="77">
        <f t="shared" si="3"/>
        <v>-1.5898350800635534E-3</v>
      </c>
      <c r="T20" s="77">
        <f t="shared" si="4"/>
        <v>0</v>
      </c>
      <c r="U20" s="78">
        <f t="shared" si="5"/>
        <v>4.8999999999999998E-3</v>
      </c>
      <c r="V20" s="80">
        <f t="shared" si="6"/>
        <v>-1.799999999999996E-3</v>
      </c>
    </row>
    <row r="21" spans="1:22">
      <c r="A21" s="143">
        <v>16</v>
      </c>
      <c r="B21" s="133" t="s">
        <v>43</v>
      </c>
      <c r="C21" s="134" t="s">
        <v>42</v>
      </c>
      <c r="D21" s="4">
        <v>10309906531.469999</v>
      </c>
      <c r="E21" s="3">
        <f t="shared" si="0"/>
        <v>0.38204208227621556</v>
      </c>
      <c r="F21" s="4">
        <v>20138.71</v>
      </c>
      <c r="G21" s="4">
        <v>20434.98</v>
      </c>
      <c r="H21" s="58">
        <v>17383</v>
      </c>
      <c r="I21" s="5">
        <v>-6.7000000000000002E-3</v>
      </c>
      <c r="J21" s="5">
        <v>0.1128</v>
      </c>
      <c r="K21" s="4">
        <v>10531547494.66</v>
      </c>
      <c r="L21" s="3">
        <f t="shared" si="1"/>
        <v>0.38945175707954538</v>
      </c>
      <c r="M21" s="4">
        <v>20593.8</v>
      </c>
      <c r="N21" s="4">
        <v>20893.439999999999</v>
      </c>
      <c r="O21" s="58">
        <v>17387</v>
      </c>
      <c r="P21" s="5">
        <v>2.24E-2</v>
      </c>
      <c r="Q21" s="5">
        <v>0.13780000000000001</v>
      </c>
      <c r="R21" s="77">
        <f t="shared" si="2"/>
        <v>2.1497863488234622E-2</v>
      </c>
      <c r="S21" s="77">
        <f t="shared" si="3"/>
        <v>2.2435059882613007E-2</v>
      </c>
      <c r="T21" s="77">
        <f t="shared" si="4"/>
        <v>2.3010987746649024E-4</v>
      </c>
      <c r="U21" s="78">
        <f t="shared" si="5"/>
        <v>2.9100000000000001E-2</v>
      </c>
      <c r="V21" s="80">
        <f t="shared" si="6"/>
        <v>2.5000000000000008E-2</v>
      </c>
    </row>
    <row r="22" spans="1:22">
      <c r="A22" s="142">
        <v>17</v>
      </c>
      <c r="B22" s="134" t="s">
        <v>44</v>
      </c>
      <c r="C22" s="134" t="s">
        <v>45</v>
      </c>
      <c r="D22" s="4">
        <v>3164884339.7600002</v>
      </c>
      <c r="E22" s="3">
        <f t="shared" si="0"/>
        <v>0.11727739719410418</v>
      </c>
      <c r="F22" s="4">
        <v>1.2839</v>
      </c>
      <c r="G22" s="8">
        <v>1.2964</v>
      </c>
      <c r="H22" s="58">
        <v>3900</v>
      </c>
      <c r="I22" s="5">
        <v>-1.3899999999999999E-2</v>
      </c>
      <c r="J22" s="5">
        <v>0.16489999999999999</v>
      </c>
      <c r="K22" s="4">
        <v>3197185303.4200001</v>
      </c>
      <c r="L22" s="3">
        <f t="shared" si="1"/>
        <v>0.11823043429820443</v>
      </c>
      <c r="M22" s="4">
        <v>1.2981</v>
      </c>
      <c r="N22" s="8">
        <v>1.3107</v>
      </c>
      <c r="O22" s="58">
        <v>3833</v>
      </c>
      <c r="P22" s="5">
        <v>1.11E-2</v>
      </c>
      <c r="Q22" s="5">
        <v>0.17530000000000001</v>
      </c>
      <c r="R22" s="77">
        <f t="shared" si="2"/>
        <v>1.0206048686900608E-2</v>
      </c>
      <c r="S22" s="77">
        <f t="shared" si="3"/>
        <v>1.1030546127738336E-2</v>
      </c>
      <c r="T22" s="77">
        <f t="shared" si="4"/>
        <v>-1.7179487179487179E-2</v>
      </c>
      <c r="U22" s="78">
        <f t="shared" si="5"/>
        <v>2.5000000000000001E-2</v>
      </c>
      <c r="V22" s="80">
        <f t="shared" si="6"/>
        <v>1.040000000000002E-2</v>
      </c>
    </row>
    <row r="23" spans="1:22">
      <c r="A23" s="72"/>
      <c r="B23" s="131"/>
      <c r="C23" s="69" t="s">
        <v>46</v>
      </c>
      <c r="D23" s="56">
        <f>SUM(D6:D22)</f>
        <v>26986311220.071198</v>
      </c>
      <c r="E23" s="97">
        <f>(D23/$D$198)</f>
        <v>8.4007054343295702E-3</v>
      </c>
      <c r="F23" s="30"/>
      <c r="G23" s="31"/>
      <c r="H23" s="63">
        <f>SUM(H6:H22)</f>
        <v>49877</v>
      </c>
      <c r="I23" s="28"/>
      <c r="J23" s="58">
        <v>0</v>
      </c>
      <c r="K23" s="56">
        <f>SUM(K6:K22)</f>
        <v>27041982230.700104</v>
      </c>
      <c r="L23" s="97">
        <f>(K23/$K$198)</f>
        <v>8.3169995047635541E-3</v>
      </c>
      <c r="M23" s="30"/>
      <c r="N23" s="31"/>
      <c r="O23" s="63">
        <f>SUM(O6:O22)</f>
        <v>49831</v>
      </c>
      <c r="P23" s="28"/>
      <c r="Q23" s="63"/>
      <c r="R23" s="77">
        <f t="shared" si="2"/>
        <v>2.0629351738706944E-3</v>
      </c>
      <c r="S23" s="77" t="e">
        <f t="shared" si="3"/>
        <v>#DIV/0!</v>
      </c>
      <c r="T23" s="77">
        <f t="shared" si="4"/>
        <v>-9.2226878120175635E-4</v>
      </c>
      <c r="U23" s="78">
        <f t="shared" si="5"/>
        <v>0</v>
      </c>
      <c r="V23" s="80">
        <f t="shared" si="6"/>
        <v>0</v>
      </c>
    </row>
    <row r="24" spans="1:22" ht="9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</row>
    <row r="25" spans="1:22" ht="15" customHeight="1">
      <c r="A25" s="174" t="s">
        <v>47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</row>
    <row r="26" spans="1:22">
      <c r="A26" s="146">
        <v>18</v>
      </c>
      <c r="B26" s="133" t="s">
        <v>48</v>
      </c>
      <c r="C26" s="134" t="s">
        <v>17</v>
      </c>
      <c r="D26" s="9">
        <v>1010127727.2</v>
      </c>
      <c r="E26" s="3">
        <f>(D26/$K$61)</f>
        <v>8.4347104338810262E-4</v>
      </c>
      <c r="F26" s="8">
        <v>100</v>
      </c>
      <c r="G26" s="8">
        <v>100</v>
      </c>
      <c r="H26" s="58">
        <v>801</v>
      </c>
      <c r="I26" s="5">
        <v>0.18379999999999999</v>
      </c>
      <c r="J26" s="5">
        <v>0.18379999999999999</v>
      </c>
      <c r="K26" s="9">
        <v>1022255155.8200001</v>
      </c>
      <c r="L26" s="3">
        <f t="shared" ref="L26:L60" si="7">(K26/$K$61)</f>
        <v>8.5359761906391395E-4</v>
      </c>
      <c r="M26" s="8">
        <v>100</v>
      </c>
      <c r="N26" s="8">
        <v>100</v>
      </c>
      <c r="O26" s="58">
        <v>801</v>
      </c>
      <c r="P26" s="5">
        <v>0.1812</v>
      </c>
      <c r="Q26" s="5">
        <v>0.1812</v>
      </c>
      <c r="R26" s="77">
        <f>((K26-D26)/D26)</f>
        <v>1.2005836780281587E-2</v>
      </c>
      <c r="S26" s="77">
        <f>((N26-G26)/G26)</f>
        <v>0</v>
      </c>
      <c r="T26" s="77">
        <f>((O26-H26)/H26)</f>
        <v>0</v>
      </c>
      <c r="U26" s="78">
        <f>P26-I26</f>
        <v>-2.5999999999999912E-3</v>
      </c>
      <c r="V26" s="80">
        <f>Q26-J26</f>
        <v>-2.5999999999999912E-3</v>
      </c>
    </row>
    <row r="27" spans="1:22">
      <c r="A27" s="146">
        <v>19</v>
      </c>
      <c r="B27" s="133" t="s">
        <v>49</v>
      </c>
      <c r="C27" s="134" t="s">
        <v>50</v>
      </c>
      <c r="D27" s="9">
        <v>6859764361</v>
      </c>
      <c r="E27" s="3">
        <f t="shared" ref="E27:E60" si="8">(D27/$K$61)</f>
        <v>5.728000971726213E-3</v>
      </c>
      <c r="F27" s="8">
        <v>100</v>
      </c>
      <c r="G27" s="8">
        <v>100</v>
      </c>
      <c r="H27" s="58">
        <v>1546</v>
      </c>
      <c r="I27" s="5">
        <v>3.274E-3</v>
      </c>
      <c r="J27" s="5">
        <v>7.6671000000000003E-2</v>
      </c>
      <c r="K27" s="9">
        <v>6850602849.3699999</v>
      </c>
      <c r="L27" s="3">
        <f t="shared" si="7"/>
        <v>5.7203509789921373E-3</v>
      </c>
      <c r="M27" s="8">
        <v>100</v>
      </c>
      <c r="N27" s="8">
        <v>100</v>
      </c>
      <c r="O27" s="58">
        <v>1563</v>
      </c>
      <c r="P27" s="5">
        <v>0.204237</v>
      </c>
      <c r="Q27" s="5">
        <v>0.204237</v>
      </c>
      <c r="R27" s="77">
        <f t="shared" ref="R27:R61" si="9">((K27-D27)/D27)</f>
        <v>-1.33554319767692E-3</v>
      </c>
      <c r="S27" s="77">
        <f t="shared" ref="S27:S61" si="10">((N27-G27)/G27)</f>
        <v>0</v>
      </c>
      <c r="T27" s="77">
        <f t="shared" ref="T27:T61" si="11">((O27-H27)/H27)</f>
        <v>1.0996119016817595E-2</v>
      </c>
      <c r="U27" s="78">
        <f t="shared" ref="U27:U61" si="12">P27-I27</f>
        <v>0.200963</v>
      </c>
      <c r="V27" s="80">
        <f t="shared" ref="V27:V61" si="13">Q27-J27</f>
        <v>0.12756600000000001</v>
      </c>
    </row>
    <row r="28" spans="1:22">
      <c r="A28" s="150">
        <v>20</v>
      </c>
      <c r="B28" s="133" t="s">
        <v>51</v>
      </c>
      <c r="C28" s="134" t="s">
        <v>19</v>
      </c>
      <c r="D28" s="9">
        <v>468068993.18000001</v>
      </c>
      <c r="E28" s="3">
        <f t="shared" si="8"/>
        <v>3.9084427783159389E-4</v>
      </c>
      <c r="F28" s="8">
        <v>100</v>
      </c>
      <c r="G28" s="8">
        <v>100</v>
      </c>
      <c r="H28" s="58">
        <v>1658</v>
      </c>
      <c r="I28" s="5">
        <v>0.20430000000000001</v>
      </c>
      <c r="J28" s="5">
        <v>0.20430000000000001</v>
      </c>
      <c r="K28" s="9">
        <v>512585281.79000002</v>
      </c>
      <c r="L28" s="3">
        <f t="shared" si="7"/>
        <v>4.2801601303950017E-4</v>
      </c>
      <c r="M28" s="8">
        <v>100</v>
      </c>
      <c r="N28" s="8">
        <v>100</v>
      </c>
      <c r="O28" s="58">
        <v>1665</v>
      </c>
      <c r="P28" s="5">
        <v>0.20399999999999999</v>
      </c>
      <c r="Q28" s="5">
        <v>0.20399999999999999</v>
      </c>
      <c r="R28" s="77">
        <f t="shared" si="9"/>
        <v>9.5106254117714839E-2</v>
      </c>
      <c r="S28" s="77">
        <f t="shared" si="10"/>
        <v>0</v>
      </c>
      <c r="T28" s="77">
        <f t="shared" si="11"/>
        <v>4.2219541616405308E-3</v>
      </c>
      <c r="U28" s="78">
        <f t="shared" si="12"/>
        <v>-3.0000000000002247E-4</v>
      </c>
      <c r="V28" s="80">
        <f t="shared" si="13"/>
        <v>-3.0000000000002247E-4</v>
      </c>
    </row>
    <row r="29" spans="1:22">
      <c r="A29" s="150">
        <v>21</v>
      </c>
      <c r="B29" s="133" t="s">
        <v>52</v>
      </c>
      <c r="C29" s="134" t="s">
        <v>21</v>
      </c>
      <c r="D29" s="9">
        <v>98033249375.729996</v>
      </c>
      <c r="E29" s="3">
        <f t="shared" si="8"/>
        <v>8.1859159897410883E-2</v>
      </c>
      <c r="F29" s="8">
        <v>1</v>
      </c>
      <c r="G29" s="8">
        <v>1</v>
      </c>
      <c r="H29" s="58">
        <v>59605</v>
      </c>
      <c r="I29" s="5">
        <v>0.1986</v>
      </c>
      <c r="J29" s="5">
        <v>0.1986</v>
      </c>
      <c r="K29" s="9">
        <v>98915959756.619995</v>
      </c>
      <c r="L29" s="3">
        <f t="shared" si="7"/>
        <v>8.2596235641329535E-2</v>
      </c>
      <c r="M29" s="8">
        <v>1</v>
      </c>
      <c r="N29" s="8">
        <v>1</v>
      </c>
      <c r="O29" s="58">
        <v>59835</v>
      </c>
      <c r="P29" s="5">
        <v>0.19639999999999999</v>
      </c>
      <c r="Q29" s="5">
        <v>0.19639999999999999</v>
      </c>
      <c r="R29" s="77">
        <f t="shared" si="9"/>
        <v>9.0041938476083123E-3</v>
      </c>
      <c r="S29" s="77">
        <f t="shared" si="10"/>
        <v>0</v>
      </c>
      <c r="T29" s="77">
        <f t="shared" si="11"/>
        <v>3.8587366831641639E-3</v>
      </c>
      <c r="U29" s="78">
        <f t="shared" si="12"/>
        <v>-2.2000000000000075E-3</v>
      </c>
      <c r="V29" s="80">
        <f t="shared" si="13"/>
        <v>-2.2000000000000075E-3</v>
      </c>
    </row>
    <row r="30" spans="1:22">
      <c r="A30" s="144">
        <v>22</v>
      </c>
      <c r="B30" s="133" t="s">
        <v>53</v>
      </c>
      <c r="C30" s="134" t="s">
        <v>23</v>
      </c>
      <c r="D30" s="9">
        <v>62172187394.040001</v>
      </c>
      <c r="E30" s="3">
        <f t="shared" si="8"/>
        <v>5.1914662234183603E-2</v>
      </c>
      <c r="F30" s="8">
        <v>1</v>
      </c>
      <c r="G30" s="8">
        <v>1</v>
      </c>
      <c r="H30" s="58">
        <v>28513</v>
      </c>
      <c r="I30" s="5">
        <v>0.2026</v>
      </c>
      <c r="J30" s="5">
        <v>0.2026</v>
      </c>
      <c r="K30" s="9">
        <v>62492479475.769997</v>
      </c>
      <c r="L30" s="3">
        <f t="shared" si="7"/>
        <v>5.2182110685593412E-2</v>
      </c>
      <c r="M30" s="8">
        <v>1</v>
      </c>
      <c r="N30" s="8">
        <v>1</v>
      </c>
      <c r="O30" s="58">
        <v>28594</v>
      </c>
      <c r="P30" s="5">
        <v>0.20369999999999999</v>
      </c>
      <c r="Q30" s="5">
        <v>0.20369999999999999</v>
      </c>
      <c r="R30" s="77">
        <f t="shared" si="9"/>
        <v>5.1516939511878877E-3</v>
      </c>
      <c r="S30" s="77">
        <f t="shared" si="10"/>
        <v>0</v>
      </c>
      <c r="T30" s="77">
        <f t="shared" si="11"/>
        <v>2.8408094553361626E-3</v>
      </c>
      <c r="U30" s="78">
        <f t="shared" si="12"/>
        <v>1.0999999999999899E-3</v>
      </c>
      <c r="V30" s="80">
        <f t="shared" si="13"/>
        <v>1.0999999999999899E-3</v>
      </c>
    </row>
    <row r="31" spans="1:22" ht="15" customHeight="1">
      <c r="A31" s="152">
        <v>23</v>
      </c>
      <c r="B31" s="133" t="s">
        <v>54</v>
      </c>
      <c r="C31" s="134" t="s">
        <v>40</v>
      </c>
      <c r="D31" s="9">
        <v>8466010286</v>
      </c>
      <c r="E31" s="3">
        <f t="shared" si="8"/>
        <v>7.0692392031062234E-3</v>
      </c>
      <c r="F31" s="8">
        <v>100</v>
      </c>
      <c r="G31" s="8">
        <v>100</v>
      </c>
      <c r="H31" s="58">
        <v>2891</v>
      </c>
      <c r="I31" s="5">
        <v>0.20100000000000001</v>
      </c>
      <c r="J31" s="5">
        <v>0.20100000000000001</v>
      </c>
      <c r="K31" s="9">
        <v>8623349605</v>
      </c>
      <c r="L31" s="3">
        <f t="shared" si="7"/>
        <v>7.2006197760668021E-3</v>
      </c>
      <c r="M31" s="8">
        <v>100</v>
      </c>
      <c r="N31" s="8">
        <v>100</v>
      </c>
      <c r="O31" s="58">
        <v>2891</v>
      </c>
      <c r="P31" s="5">
        <v>0.20499999999999999</v>
      </c>
      <c r="Q31" s="5">
        <v>0.20499999999999999</v>
      </c>
      <c r="R31" s="77">
        <f t="shared" si="9"/>
        <v>1.8584824927532578E-2</v>
      </c>
      <c r="S31" s="77">
        <f t="shared" si="10"/>
        <v>0</v>
      </c>
      <c r="T31" s="77">
        <f t="shared" si="11"/>
        <v>0</v>
      </c>
      <c r="U31" s="78">
        <f t="shared" si="12"/>
        <v>3.9999999999999758E-3</v>
      </c>
      <c r="V31" s="80">
        <f t="shared" si="13"/>
        <v>3.9999999999999758E-3</v>
      </c>
    </row>
    <row r="32" spans="1:22" ht="15" customHeight="1">
      <c r="A32" s="153">
        <v>24</v>
      </c>
      <c r="B32" s="133" t="s">
        <v>268</v>
      </c>
      <c r="C32" s="134" t="s">
        <v>267</v>
      </c>
      <c r="D32" s="9">
        <v>335470155.88</v>
      </c>
      <c r="E32" s="3">
        <f t="shared" si="8"/>
        <v>2.801223595653746E-4</v>
      </c>
      <c r="F32" s="8">
        <v>1</v>
      </c>
      <c r="G32" s="8">
        <v>1</v>
      </c>
      <c r="H32" s="58">
        <v>155</v>
      </c>
      <c r="I32" s="5">
        <v>0.2051</v>
      </c>
      <c r="J32" s="5">
        <v>0.2051</v>
      </c>
      <c r="K32" s="9">
        <v>349818122.18000001</v>
      </c>
      <c r="L32" s="3">
        <f t="shared" si="7"/>
        <v>2.921031158397365E-4</v>
      </c>
      <c r="M32" s="8">
        <v>1</v>
      </c>
      <c r="N32" s="8">
        <v>1</v>
      </c>
      <c r="O32" s="58">
        <v>168</v>
      </c>
      <c r="P32" s="5">
        <v>0.20680000000000001</v>
      </c>
      <c r="Q32" s="5">
        <v>0.20680000000000001</v>
      </c>
      <c r="R32" s="77">
        <f t="shared" si="9"/>
        <v>4.2769724962158417E-2</v>
      </c>
      <c r="S32" s="77">
        <f t="shared" si="10"/>
        <v>0</v>
      </c>
      <c r="T32" s="77">
        <f t="shared" si="11"/>
        <v>8.387096774193549E-2</v>
      </c>
      <c r="U32" s="78">
        <f t="shared" si="12"/>
        <v>1.7000000000000071E-3</v>
      </c>
      <c r="V32" s="80">
        <f t="shared" si="13"/>
        <v>1.7000000000000071E-3</v>
      </c>
    </row>
    <row r="33" spans="1:22">
      <c r="A33" s="143">
        <v>25</v>
      </c>
      <c r="B33" s="133" t="s">
        <v>55</v>
      </c>
      <c r="C33" s="134" t="s">
        <v>56</v>
      </c>
      <c r="D33" s="9">
        <v>25801859035.470001</v>
      </c>
      <c r="E33" s="3">
        <f t="shared" si="8"/>
        <v>2.1544919890800741E-2</v>
      </c>
      <c r="F33" s="8">
        <v>100</v>
      </c>
      <c r="G33" s="8">
        <v>100</v>
      </c>
      <c r="H33" s="58">
        <v>2702</v>
      </c>
      <c r="I33" s="5">
        <v>0.216181362865879</v>
      </c>
      <c r="J33" s="5">
        <v>0.216181362865879</v>
      </c>
      <c r="K33" s="9">
        <v>25844739667.265701</v>
      </c>
      <c r="L33" s="3">
        <f t="shared" si="7"/>
        <v>2.1580725829265686E-2</v>
      </c>
      <c r="M33" s="8">
        <v>100</v>
      </c>
      <c r="N33" s="8">
        <v>100</v>
      </c>
      <c r="O33" s="58">
        <v>2742</v>
      </c>
      <c r="P33" s="5">
        <v>0.220325061658939</v>
      </c>
      <c r="Q33" s="5">
        <v>0.220325061658939</v>
      </c>
      <c r="R33" s="77">
        <f t="shared" si="9"/>
        <v>1.6619202413574836E-3</v>
      </c>
      <c r="S33" s="77">
        <f t="shared" si="10"/>
        <v>0</v>
      </c>
      <c r="T33" s="77">
        <f t="shared" si="11"/>
        <v>1.4803849000740192E-2</v>
      </c>
      <c r="U33" s="78">
        <f t="shared" si="12"/>
        <v>4.1436987930600078E-3</v>
      </c>
      <c r="V33" s="80">
        <f t="shared" si="13"/>
        <v>4.1436987930600078E-3</v>
      </c>
    </row>
    <row r="34" spans="1:22">
      <c r="A34" s="149">
        <v>26</v>
      </c>
      <c r="B34" s="133" t="s">
        <v>57</v>
      </c>
      <c r="C34" s="134" t="s">
        <v>58</v>
      </c>
      <c r="D34" s="9">
        <v>9246446937.3799992</v>
      </c>
      <c r="E34" s="3">
        <f t="shared" si="8"/>
        <v>7.7209149258017059E-3</v>
      </c>
      <c r="F34" s="8">
        <v>100</v>
      </c>
      <c r="G34" s="8">
        <v>100</v>
      </c>
      <c r="H34" s="58">
        <v>6118</v>
      </c>
      <c r="I34" s="5">
        <v>0.1981</v>
      </c>
      <c r="J34" s="5">
        <v>0.1981</v>
      </c>
      <c r="K34" s="9">
        <v>9228196690.5</v>
      </c>
      <c r="L34" s="3">
        <f t="shared" si="7"/>
        <v>7.7056757096476917E-3</v>
      </c>
      <c r="M34" s="8">
        <v>100</v>
      </c>
      <c r="N34" s="8">
        <v>100</v>
      </c>
      <c r="O34" s="58">
        <v>6126</v>
      </c>
      <c r="P34" s="5">
        <v>0.20019999999999999</v>
      </c>
      <c r="Q34" s="5">
        <v>0.20019999999999999</v>
      </c>
      <c r="R34" s="77">
        <f t="shared" si="9"/>
        <v>-1.9737578124436202E-3</v>
      </c>
      <c r="S34" s="77">
        <f t="shared" si="10"/>
        <v>0</v>
      </c>
      <c r="T34" s="77">
        <f t="shared" si="11"/>
        <v>1.3076168682576005E-3</v>
      </c>
      <c r="U34" s="78">
        <f t="shared" si="12"/>
        <v>2.0999999999999908E-3</v>
      </c>
      <c r="V34" s="80">
        <f t="shared" si="13"/>
        <v>2.0999999999999908E-3</v>
      </c>
    </row>
    <row r="35" spans="1:22">
      <c r="A35" s="152">
        <v>27</v>
      </c>
      <c r="B35" s="133" t="s">
        <v>59</v>
      </c>
      <c r="C35" s="134" t="s">
        <v>60</v>
      </c>
      <c r="D35" s="9">
        <v>44514190.369999997</v>
      </c>
      <c r="E35" s="3">
        <f t="shared" si="8"/>
        <v>3.7169983147612904E-5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3.7169983147612904E-5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7">
        <f t="shared" si="9"/>
        <v>0</v>
      </c>
      <c r="S35" s="77">
        <f t="shared" si="10"/>
        <v>0</v>
      </c>
      <c r="T35" s="77" t="e">
        <f t="shared" si="11"/>
        <v>#DIV/0!</v>
      </c>
      <c r="U35" s="78">
        <f t="shared" si="12"/>
        <v>0</v>
      </c>
      <c r="V35" s="80">
        <f t="shared" si="13"/>
        <v>0</v>
      </c>
    </row>
    <row r="36" spans="1:22">
      <c r="A36" s="149">
        <v>28</v>
      </c>
      <c r="B36" s="133" t="s">
        <v>61</v>
      </c>
      <c r="C36" s="134" t="s">
        <v>62</v>
      </c>
      <c r="D36" s="9">
        <v>6247128184.6099997</v>
      </c>
      <c r="E36" s="3">
        <f t="shared" si="8"/>
        <v>5.2164410362818712E-3</v>
      </c>
      <c r="F36" s="8">
        <v>1</v>
      </c>
      <c r="G36" s="8">
        <v>1</v>
      </c>
      <c r="H36" s="58">
        <v>2445</v>
      </c>
      <c r="I36" s="5">
        <v>0.17169999999999999</v>
      </c>
      <c r="J36" s="5">
        <v>0.17169999999999999</v>
      </c>
      <c r="K36" s="9">
        <v>6497985702.6099997</v>
      </c>
      <c r="L36" s="3">
        <f t="shared" si="7"/>
        <v>5.4259106377507116E-3</v>
      </c>
      <c r="M36" s="8">
        <v>1</v>
      </c>
      <c r="N36" s="8">
        <v>1</v>
      </c>
      <c r="O36" s="58">
        <v>2463</v>
      </c>
      <c r="P36" s="5">
        <v>0.1895</v>
      </c>
      <c r="Q36" s="5">
        <v>0.1895</v>
      </c>
      <c r="R36" s="77">
        <f t="shared" si="9"/>
        <v>4.015565402003364E-2</v>
      </c>
      <c r="S36" s="77">
        <f t="shared" si="10"/>
        <v>0</v>
      </c>
      <c r="T36" s="77">
        <f t="shared" si="11"/>
        <v>7.3619631901840491E-3</v>
      </c>
      <c r="U36" s="78">
        <f t="shared" si="12"/>
        <v>1.780000000000001E-2</v>
      </c>
      <c r="V36" s="80">
        <f t="shared" si="13"/>
        <v>1.780000000000001E-2</v>
      </c>
    </row>
    <row r="37" spans="1:22">
      <c r="A37" s="139">
        <v>29</v>
      </c>
      <c r="B37" s="133" t="s">
        <v>63</v>
      </c>
      <c r="C37" s="134" t="s">
        <v>64</v>
      </c>
      <c r="D37" s="9">
        <v>15355206353.35</v>
      </c>
      <c r="E37" s="3">
        <f t="shared" si="8"/>
        <v>1.2821816068944896E-2</v>
      </c>
      <c r="F37" s="11">
        <v>100</v>
      </c>
      <c r="G37" s="11">
        <v>100</v>
      </c>
      <c r="H37" s="58">
        <v>2825</v>
      </c>
      <c r="I37" s="5">
        <v>0.1787</v>
      </c>
      <c r="J37" s="5">
        <v>0.1787</v>
      </c>
      <c r="K37" s="9">
        <v>14981799996.99</v>
      </c>
      <c r="L37" s="3">
        <f t="shared" si="7"/>
        <v>1.251001644150594E-2</v>
      </c>
      <c r="M37" s="11">
        <v>100</v>
      </c>
      <c r="N37" s="11">
        <v>100</v>
      </c>
      <c r="O37" s="58">
        <v>2825</v>
      </c>
      <c r="P37" s="5">
        <v>0.17929999999999999</v>
      </c>
      <c r="Q37" s="5">
        <v>0.17929999999999999</v>
      </c>
      <c r="R37" s="77">
        <f t="shared" si="9"/>
        <v>-2.4317898943672329E-2</v>
      </c>
      <c r="S37" s="77">
        <f t="shared" si="10"/>
        <v>0</v>
      </c>
      <c r="T37" s="77">
        <f t="shared" si="11"/>
        <v>0</v>
      </c>
      <c r="U37" s="78">
        <f t="shared" si="12"/>
        <v>5.9999999999998943E-4</v>
      </c>
      <c r="V37" s="80">
        <f t="shared" si="13"/>
        <v>5.9999999999998943E-4</v>
      </c>
    </row>
    <row r="38" spans="1:22">
      <c r="A38" s="139">
        <v>30</v>
      </c>
      <c r="B38" s="133" t="s">
        <v>65</v>
      </c>
      <c r="C38" s="134" t="s">
        <v>64</v>
      </c>
      <c r="D38" s="9">
        <v>430968063.72000003</v>
      </c>
      <c r="E38" s="3">
        <f t="shared" si="8"/>
        <v>3.5986447315972526E-4</v>
      </c>
      <c r="F38" s="11">
        <v>1000000</v>
      </c>
      <c r="G38" s="11">
        <v>1000000</v>
      </c>
      <c r="H38" s="58">
        <v>3</v>
      </c>
      <c r="I38" s="5">
        <v>0.17169999999999999</v>
      </c>
      <c r="J38" s="5">
        <v>0.17169999999999999</v>
      </c>
      <c r="K38" s="9">
        <v>432271370</v>
      </c>
      <c r="L38" s="3">
        <f t="shared" si="7"/>
        <v>3.6095275247158319E-4</v>
      </c>
      <c r="M38" s="11">
        <v>1000000</v>
      </c>
      <c r="N38" s="11">
        <v>1000000</v>
      </c>
      <c r="O38" s="58">
        <v>3</v>
      </c>
      <c r="P38" s="5">
        <v>0.16980000000000001</v>
      </c>
      <c r="Q38" s="5">
        <v>0.16980000000000001</v>
      </c>
      <c r="R38" s="77">
        <f t="shared" si="9"/>
        <v>3.0241365653644573E-3</v>
      </c>
      <c r="S38" s="77">
        <f t="shared" si="10"/>
        <v>0</v>
      </c>
      <c r="T38" s="77">
        <f t="shared" si="11"/>
        <v>0</v>
      </c>
      <c r="U38" s="78">
        <f t="shared" si="12"/>
        <v>-1.899999999999985E-3</v>
      </c>
      <c r="V38" s="80">
        <f t="shared" si="13"/>
        <v>-1.899999999999985E-3</v>
      </c>
    </row>
    <row r="39" spans="1:22">
      <c r="A39" s="151">
        <v>31</v>
      </c>
      <c r="B39" s="133" t="s">
        <v>66</v>
      </c>
      <c r="C39" s="134" t="s">
        <v>67</v>
      </c>
      <c r="D39" s="9">
        <v>3558508513.3699999</v>
      </c>
      <c r="E39" s="3">
        <f t="shared" si="8"/>
        <v>2.9714053063344516E-3</v>
      </c>
      <c r="F39" s="8">
        <v>1</v>
      </c>
      <c r="G39" s="8">
        <v>1</v>
      </c>
      <c r="H39" s="58">
        <v>574</v>
      </c>
      <c r="I39" s="5">
        <v>0.2001</v>
      </c>
      <c r="J39" s="5">
        <v>0.2001</v>
      </c>
      <c r="K39" s="9">
        <v>3549122851.6999998</v>
      </c>
      <c r="L39" s="3">
        <f t="shared" si="7"/>
        <v>2.9635681451235358E-3</v>
      </c>
      <c r="M39" s="8">
        <v>1</v>
      </c>
      <c r="N39" s="8">
        <v>1</v>
      </c>
      <c r="O39" s="58">
        <v>582</v>
      </c>
      <c r="P39" s="5">
        <v>0.20050000000000001</v>
      </c>
      <c r="Q39" s="5">
        <v>0.20050000000000001</v>
      </c>
      <c r="R39" s="77">
        <f t="shared" si="9"/>
        <v>-2.6375268275279778E-3</v>
      </c>
      <c r="S39" s="77">
        <f t="shared" si="10"/>
        <v>0</v>
      </c>
      <c r="T39" s="77">
        <f t="shared" si="11"/>
        <v>1.3937282229965157E-2</v>
      </c>
      <c r="U39" s="78">
        <f t="shared" si="12"/>
        <v>4.0000000000001146E-4</v>
      </c>
      <c r="V39" s="80">
        <f t="shared" si="13"/>
        <v>4.0000000000001146E-4</v>
      </c>
    </row>
    <row r="40" spans="1:22">
      <c r="A40" s="146">
        <v>32</v>
      </c>
      <c r="B40" s="133" t="s">
        <v>68</v>
      </c>
      <c r="C40" s="134" t="s">
        <v>27</v>
      </c>
      <c r="D40" s="9">
        <v>271289387104.62</v>
      </c>
      <c r="E40" s="3">
        <f t="shared" si="8"/>
        <v>0.22653050326173907</v>
      </c>
      <c r="F40" s="8">
        <v>100</v>
      </c>
      <c r="G40" s="8">
        <v>100</v>
      </c>
      <c r="H40" s="58">
        <v>15094</v>
      </c>
      <c r="I40" s="5">
        <v>0.21759999999999999</v>
      </c>
      <c r="J40" s="5">
        <v>0.21759999999999999</v>
      </c>
      <c r="K40" s="9">
        <v>274410450357.31</v>
      </c>
      <c r="L40" s="3">
        <f t="shared" si="7"/>
        <v>0.22913663554317232</v>
      </c>
      <c r="M40" s="8">
        <v>100</v>
      </c>
      <c r="N40" s="8">
        <v>100</v>
      </c>
      <c r="O40" s="58">
        <v>15193</v>
      </c>
      <c r="P40" s="5">
        <v>0.22109999999999999</v>
      </c>
      <c r="Q40" s="5">
        <v>0.22109999999999999</v>
      </c>
      <c r="R40" s="77">
        <f t="shared" si="9"/>
        <v>1.1504553443833746E-2</v>
      </c>
      <c r="S40" s="77">
        <f t="shared" si="10"/>
        <v>0</v>
      </c>
      <c r="T40" s="77">
        <f t="shared" si="11"/>
        <v>6.5588975751954418E-3</v>
      </c>
      <c r="U40" s="78">
        <f t="shared" si="12"/>
        <v>3.5000000000000031E-3</v>
      </c>
      <c r="V40" s="80">
        <f t="shared" si="13"/>
        <v>3.5000000000000031E-3</v>
      </c>
    </row>
    <row r="41" spans="1:22">
      <c r="A41" s="150">
        <v>33</v>
      </c>
      <c r="B41" s="133" t="s">
        <v>69</v>
      </c>
      <c r="C41" s="134" t="s">
        <v>70</v>
      </c>
      <c r="D41" s="9">
        <v>575955207.53999996</v>
      </c>
      <c r="E41" s="3">
        <f t="shared" si="8"/>
        <v>4.8093080386495395E-4</v>
      </c>
      <c r="F41" s="8">
        <v>1</v>
      </c>
      <c r="G41" s="8">
        <v>1</v>
      </c>
      <c r="H41" s="59">
        <v>607</v>
      </c>
      <c r="I41" s="12">
        <v>0.1777</v>
      </c>
      <c r="J41" s="12">
        <v>0.1777</v>
      </c>
      <c r="K41" s="9">
        <v>584152576.36000001</v>
      </c>
      <c r="L41" s="3">
        <f t="shared" si="7"/>
        <v>4.8777572361664547E-4</v>
      </c>
      <c r="M41" s="8">
        <v>1</v>
      </c>
      <c r="N41" s="8">
        <v>1</v>
      </c>
      <c r="O41" s="59">
        <v>618</v>
      </c>
      <c r="P41" s="12">
        <v>0.17949999999999999</v>
      </c>
      <c r="Q41" s="12">
        <v>0.17949999999999999</v>
      </c>
      <c r="R41" s="77">
        <f t="shared" si="9"/>
        <v>1.4232649887848696E-2</v>
      </c>
      <c r="S41" s="77">
        <f t="shared" si="10"/>
        <v>0</v>
      </c>
      <c r="T41" s="77">
        <f t="shared" si="11"/>
        <v>1.8121911037891267E-2</v>
      </c>
      <c r="U41" s="78">
        <f t="shared" si="12"/>
        <v>1.799999999999996E-3</v>
      </c>
      <c r="V41" s="80">
        <f t="shared" si="13"/>
        <v>1.799999999999996E-3</v>
      </c>
    </row>
    <row r="42" spans="1:22">
      <c r="A42" s="143">
        <v>34</v>
      </c>
      <c r="B42" s="133" t="s">
        <v>71</v>
      </c>
      <c r="C42" s="134" t="s">
        <v>72</v>
      </c>
      <c r="D42" s="9">
        <v>758829622.14999998</v>
      </c>
      <c r="E42" s="3">
        <f t="shared" si="8"/>
        <v>6.3363354545551787E-4</v>
      </c>
      <c r="F42" s="8">
        <v>10</v>
      </c>
      <c r="G42" s="8">
        <v>10</v>
      </c>
      <c r="H42" s="58">
        <v>364</v>
      </c>
      <c r="I42" s="5">
        <v>0.14399999999999999</v>
      </c>
      <c r="J42" s="5">
        <v>0.14399999999999999</v>
      </c>
      <c r="K42" s="9">
        <v>780596620.00999999</v>
      </c>
      <c r="L42" s="3">
        <f t="shared" si="7"/>
        <v>6.5180929878058777E-4</v>
      </c>
      <c r="M42" s="8">
        <v>10</v>
      </c>
      <c r="N42" s="8">
        <v>10</v>
      </c>
      <c r="O42" s="58">
        <v>363</v>
      </c>
      <c r="P42" s="5">
        <v>0.14990000000000001</v>
      </c>
      <c r="Q42" s="5">
        <v>0.14990000000000001</v>
      </c>
      <c r="R42" s="77">
        <f t="shared" si="9"/>
        <v>2.8684960661297526E-2</v>
      </c>
      <c r="S42" s="77">
        <f t="shared" si="10"/>
        <v>0</v>
      </c>
      <c r="T42" s="77">
        <f t="shared" si="11"/>
        <v>-2.7472527472527475E-3</v>
      </c>
      <c r="U42" s="78">
        <f t="shared" si="12"/>
        <v>5.9000000000000163E-3</v>
      </c>
      <c r="V42" s="80">
        <f t="shared" si="13"/>
        <v>5.9000000000000163E-3</v>
      </c>
    </row>
    <row r="43" spans="1:22">
      <c r="A43" s="149">
        <v>35</v>
      </c>
      <c r="B43" s="133" t="s">
        <v>73</v>
      </c>
      <c r="C43" s="134" t="s">
        <v>74</v>
      </c>
      <c r="D43" s="9">
        <v>3563579993.6066666</v>
      </c>
      <c r="E43" s="3">
        <f t="shared" si="8"/>
        <v>2.9756400645848768E-3</v>
      </c>
      <c r="F43" s="8">
        <v>100</v>
      </c>
      <c r="G43" s="8">
        <v>100</v>
      </c>
      <c r="H43" s="58">
        <v>682</v>
      </c>
      <c r="I43" s="5">
        <v>0.18709999999999999</v>
      </c>
      <c r="J43" s="5">
        <v>0.18709999999999999</v>
      </c>
      <c r="K43" s="9">
        <v>3563579993.6066666</v>
      </c>
      <c r="L43" s="3">
        <f t="shared" si="7"/>
        <v>2.9756400645848768E-3</v>
      </c>
      <c r="M43" s="8">
        <v>100</v>
      </c>
      <c r="N43" s="8">
        <v>100</v>
      </c>
      <c r="O43" s="58">
        <v>682</v>
      </c>
      <c r="P43" s="5">
        <v>0.18890000000000001</v>
      </c>
      <c r="Q43" s="5">
        <v>0.18890000000000001</v>
      </c>
      <c r="R43" s="77">
        <f t="shared" si="9"/>
        <v>0</v>
      </c>
      <c r="S43" s="77">
        <f t="shared" si="10"/>
        <v>0</v>
      </c>
      <c r="T43" s="77">
        <f t="shared" si="11"/>
        <v>0</v>
      </c>
      <c r="U43" s="78">
        <f t="shared" si="12"/>
        <v>1.8000000000000238E-3</v>
      </c>
      <c r="V43" s="80">
        <f t="shared" si="13"/>
        <v>1.8000000000000238E-3</v>
      </c>
    </row>
    <row r="44" spans="1:22" ht="15.75" customHeight="1">
      <c r="A44" s="145">
        <v>36</v>
      </c>
      <c r="B44" s="133" t="s">
        <v>237</v>
      </c>
      <c r="C44" s="134" t="s">
        <v>32</v>
      </c>
      <c r="D44" s="9">
        <v>29295267195.060001</v>
      </c>
      <c r="E44" s="3">
        <f t="shared" si="8"/>
        <v>2.4461965474251474E-2</v>
      </c>
      <c r="F44" s="8">
        <v>100</v>
      </c>
      <c r="G44" s="8">
        <v>100</v>
      </c>
      <c r="H44" s="58">
        <v>11808</v>
      </c>
      <c r="I44" s="5">
        <v>0.2014</v>
      </c>
      <c r="J44" s="5">
        <v>0.2014</v>
      </c>
      <c r="K44" s="9">
        <v>29897727604.560001</v>
      </c>
      <c r="L44" s="3">
        <f t="shared" si="7"/>
        <v>2.496502849936966E-2</v>
      </c>
      <c r="M44" s="8">
        <v>100</v>
      </c>
      <c r="N44" s="8">
        <v>100</v>
      </c>
      <c r="O44" s="58">
        <v>11872</v>
      </c>
      <c r="P44" s="5">
        <v>0.20050000000000001</v>
      </c>
      <c r="Q44" s="5">
        <v>0.20050000000000001</v>
      </c>
      <c r="R44" s="77">
        <f t="shared" si="9"/>
        <v>2.0565110585562148E-2</v>
      </c>
      <c r="S44" s="77">
        <f t="shared" si="10"/>
        <v>0</v>
      </c>
      <c r="T44" s="77">
        <f t="shared" si="11"/>
        <v>5.4200542005420054E-3</v>
      </c>
      <c r="U44" s="78">
        <f t="shared" si="12"/>
        <v>-8.9999999999998415E-4</v>
      </c>
      <c r="V44" s="80">
        <f t="shared" si="13"/>
        <v>-8.9999999999998415E-4</v>
      </c>
    </row>
    <row r="45" spans="1:22">
      <c r="A45" s="145">
        <v>37</v>
      </c>
      <c r="B45" s="133" t="s">
        <v>75</v>
      </c>
      <c r="C45" s="134" t="s">
        <v>34</v>
      </c>
      <c r="D45" s="9">
        <v>4134218392.1900001</v>
      </c>
      <c r="E45" s="3">
        <f t="shared" si="8"/>
        <v>3.4521312572230352E-3</v>
      </c>
      <c r="F45" s="8">
        <v>1</v>
      </c>
      <c r="G45" s="8">
        <v>1</v>
      </c>
      <c r="H45" s="58">
        <v>960</v>
      </c>
      <c r="I45" s="5">
        <v>0.17530000000000001</v>
      </c>
      <c r="J45" s="5">
        <v>0.17530000000000001</v>
      </c>
      <c r="K45" s="9">
        <v>4173897270.52</v>
      </c>
      <c r="L45" s="3">
        <f t="shared" si="7"/>
        <v>3.4852636859291014E-3</v>
      </c>
      <c r="M45" s="8">
        <v>1</v>
      </c>
      <c r="N45" s="8">
        <v>1</v>
      </c>
      <c r="O45" s="58">
        <v>969</v>
      </c>
      <c r="P45" s="5">
        <v>0.17749999999999999</v>
      </c>
      <c r="Q45" s="5">
        <v>0.17749999999999999</v>
      </c>
      <c r="R45" s="77">
        <f t="shared" si="9"/>
        <v>9.5976735058210163E-3</v>
      </c>
      <c r="S45" s="77">
        <f t="shared" si="10"/>
        <v>0</v>
      </c>
      <c r="T45" s="77">
        <f t="shared" si="11"/>
        <v>9.3749999999999997E-3</v>
      </c>
      <c r="U45" s="78">
        <f t="shared" si="12"/>
        <v>2.1999999999999797E-3</v>
      </c>
      <c r="V45" s="80">
        <f t="shared" si="13"/>
        <v>2.1999999999999797E-3</v>
      </c>
    </row>
    <row r="46" spans="1:22">
      <c r="A46" s="142">
        <v>38</v>
      </c>
      <c r="B46" s="133" t="s">
        <v>76</v>
      </c>
      <c r="C46" s="134" t="s">
        <v>36</v>
      </c>
      <c r="D46" s="13">
        <v>7060115029.8500004</v>
      </c>
      <c r="E46" s="3">
        <f t="shared" si="8"/>
        <v>5.8952966345894049E-3</v>
      </c>
      <c r="F46" s="8">
        <v>10</v>
      </c>
      <c r="G46" s="8">
        <v>10</v>
      </c>
      <c r="H46" s="58">
        <v>2333</v>
      </c>
      <c r="I46" s="5">
        <v>0.224</v>
      </c>
      <c r="J46" s="5">
        <v>0.224</v>
      </c>
      <c r="K46" s="13">
        <v>7161930464.8000002</v>
      </c>
      <c r="L46" s="3">
        <f t="shared" si="7"/>
        <v>5.980313973325704E-3</v>
      </c>
      <c r="M46" s="8">
        <v>10</v>
      </c>
      <c r="N46" s="8">
        <v>10</v>
      </c>
      <c r="O46" s="58">
        <v>2370</v>
      </c>
      <c r="P46" s="5">
        <v>0.22459999999999999</v>
      </c>
      <c r="Q46" s="5">
        <v>0.22459999999999999</v>
      </c>
      <c r="R46" s="77">
        <f t="shared" si="9"/>
        <v>1.4421214742185721E-2</v>
      </c>
      <c r="S46" s="77">
        <f t="shared" si="10"/>
        <v>0</v>
      </c>
      <c r="T46" s="77">
        <f t="shared" si="11"/>
        <v>1.5859408486926702E-2</v>
      </c>
      <c r="U46" s="78">
        <f t="shared" si="12"/>
        <v>5.9999999999998943E-4</v>
      </c>
      <c r="V46" s="80">
        <f t="shared" si="13"/>
        <v>5.9999999999998943E-4</v>
      </c>
    </row>
    <row r="47" spans="1:22">
      <c r="A47" s="149">
        <v>39</v>
      </c>
      <c r="B47" s="133" t="s">
        <v>77</v>
      </c>
      <c r="C47" s="134" t="s">
        <v>78</v>
      </c>
      <c r="D47" s="9">
        <v>6236593947.5900002</v>
      </c>
      <c r="E47" s="3">
        <f t="shared" si="8"/>
        <v>5.2076447982900816E-3</v>
      </c>
      <c r="F47" s="8">
        <v>100</v>
      </c>
      <c r="G47" s="8">
        <v>100</v>
      </c>
      <c r="H47" s="58">
        <v>2517</v>
      </c>
      <c r="I47" s="5">
        <v>0.21149999999999999</v>
      </c>
      <c r="J47" s="5">
        <v>0.21149999999999999</v>
      </c>
      <c r="K47" s="9">
        <v>6357721002.8299999</v>
      </c>
      <c r="L47" s="3">
        <f t="shared" si="7"/>
        <v>5.3087876150990122E-3</v>
      </c>
      <c r="M47" s="8">
        <v>100</v>
      </c>
      <c r="N47" s="8">
        <v>100</v>
      </c>
      <c r="O47" s="58">
        <v>2549</v>
      </c>
      <c r="P47" s="5">
        <v>0.21560000000000001</v>
      </c>
      <c r="Q47" s="5">
        <v>0.21560000000000001</v>
      </c>
      <c r="R47" s="77">
        <f t="shared" si="9"/>
        <v>1.942198838948089E-2</v>
      </c>
      <c r="S47" s="77">
        <f t="shared" si="10"/>
        <v>0</v>
      </c>
      <c r="T47" s="77">
        <f t="shared" si="11"/>
        <v>1.2713547874453715E-2</v>
      </c>
      <c r="U47" s="78">
        <f t="shared" si="12"/>
        <v>4.1000000000000203E-3</v>
      </c>
      <c r="V47" s="80">
        <f t="shared" si="13"/>
        <v>4.1000000000000203E-3</v>
      </c>
    </row>
    <row r="48" spans="1:22">
      <c r="A48" s="150">
        <v>40</v>
      </c>
      <c r="B48" s="133" t="s">
        <v>79</v>
      </c>
      <c r="C48" s="134" t="s">
        <v>80</v>
      </c>
      <c r="D48" s="9">
        <v>171410660.59</v>
      </c>
      <c r="E48" s="3">
        <f t="shared" si="8"/>
        <v>1.4313034366104986E-4</v>
      </c>
      <c r="F48" s="8">
        <v>1</v>
      </c>
      <c r="G48" s="8">
        <v>1</v>
      </c>
      <c r="H48" s="58">
        <v>78</v>
      </c>
      <c r="I48" s="5">
        <v>0.17199999999999999</v>
      </c>
      <c r="J48" s="5">
        <v>0.17199999999999999</v>
      </c>
      <c r="K48" s="9">
        <v>174313960.63999999</v>
      </c>
      <c r="L48" s="3">
        <f t="shared" si="7"/>
        <v>1.4555464056578907E-4</v>
      </c>
      <c r="M48" s="8">
        <v>1</v>
      </c>
      <c r="N48" s="8">
        <v>1</v>
      </c>
      <c r="O48" s="58">
        <v>80</v>
      </c>
      <c r="P48" s="5">
        <v>0.1691</v>
      </c>
      <c r="Q48" s="5">
        <v>0.1691</v>
      </c>
      <c r="R48" s="77">
        <f t="shared" si="9"/>
        <v>1.6937686605994907E-2</v>
      </c>
      <c r="S48" s="77">
        <f t="shared" si="10"/>
        <v>0</v>
      </c>
      <c r="T48" s="77">
        <f t="shared" si="11"/>
        <v>2.564102564102564E-2</v>
      </c>
      <c r="U48" s="78">
        <f t="shared" si="12"/>
        <v>-2.8999999999999859E-3</v>
      </c>
      <c r="V48" s="80">
        <f t="shared" si="13"/>
        <v>-2.8999999999999859E-3</v>
      </c>
    </row>
    <row r="49" spans="1:22">
      <c r="A49" s="147">
        <v>41</v>
      </c>
      <c r="B49" s="133" t="s">
        <v>81</v>
      </c>
      <c r="C49" s="134" t="s">
        <v>38</v>
      </c>
      <c r="D49" s="13">
        <v>774625696.30999994</v>
      </c>
      <c r="E49" s="3">
        <f t="shared" si="8"/>
        <v>6.4682349242400948E-4</v>
      </c>
      <c r="F49" s="8">
        <v>10</v>
      </c>
      <c r="G49" s="8">
        <v>10</v>
      </c>
      <c r="H49" s="58">
        <v>724</v>
      </c>
      <c r="I49" s="5">
        <v>0.15770000000000001</v>
      </c>
      <c r="J49" s="5">
        <v>0.15770000000000001</v>
      </c>
      <c r="K49" s="13">
        <v>711341838.88999999</v>
      </c>
      <c r="L49" s="3">
        <f t="shared" si="7"/>
        <v>5.9398056988031148E-4</v>
      </c>
      <c r="M49" s="8">
        <v>10</v>
      </c>
      <c r="N49" s="8">
        <v>10</v>
      </c>
      <c r="O49" s="58">
        <v>721</v>
      </c>
      <c r="P49" s="5">
        <v>0.15770000000000001</v>
      </c>
      <c r="Q49" s="5">
        <v>0.15770000000000001</v>
      </c>
      <c r="R49" s="77">
        <f t="shared" si="9"/>
        <v>-8.1696047163757127E-2</v>
      </c>
      <c r="S49" s="77">
        <f t="shared" si="10"/>
        <v>0</v>
      </c>
      <c r="T49" s="77">
        <f t="shared" si="11"/>
        <v>-4.1436464088397788E-3</v>
      </c>
      <c r="U49" s="78">
        <f t="shared" si="12"/>
        <v>0</v>
      </c>
      <c r="V49" s="80">
        <f t="shared" si="13"/>
        <v>0</v>
      </c>
    </row>
    <row r="50" spans="1:22">
      <c r="A50" s="149">
        <v>42</v>
      </c>
      <c r="B50" s="133" t="s">
        <v>245</v>
      </c>
      <c r="C50" s="134" t="s">
        <v>246</v>
      </c>
      <c r="D50" s="13">
        <v>645078001.48000002</v>
      </c>
      <c r="E50" s="3">
        <f t="shared" si="8"/>
        <v>5.3864932158952377E-4</v>
      </c>
      <c r="F50" s="8">
        <v>1</v>
      </c>
      <c r="G50" s="8">
        <v>1</v>
      </c>
      <c r="H50" s="58">
        <v>46</v>
      </c>
      <c r="I50" s="5">
        <v>0.20369999999999999</v>
      </c>
      <c r="J50" s="5">
        <v>0.20369999999999999</v>
      </c>
      <c r="K50" s="13">
        <v>653078001.25999999</v>
      </c>
      <c r="L50" s="3">
        <f t="shared" si="7"/>
        <v>5.4532943538092076E-4</v>
      </c>
      <c r="M50" s="8">
        <v>1</v>
      </c>
      <c r="N50" s="8">
        <v>1</v>
      </c>
      <c r="O50" s="58">
        <v>46</v>
      </c>
      <c r="P50" s="5">
        <v>0.2084</v>
      </c>
      <c r="Q50" s="5">
        <v>0.2084</v>
      </c>
      <c r="R50" s="77">
        <f t="shared" si="9"/>
        <v>1.2401600677198109E-2</v>
      </c>
      <c r="S50" s="77">
        <f t="shared" si="10"/>
        <v>0</v>
      </c>
      <c r="T50" s="77">
        <f t="shared" si="11"/>
        <v>0</v>
      </c>
      <c r="U50" s="78">
        <f t="shared" si="12"/>
        <v>4.7000000000000097E-3</v>
      </c>
      <c r="V50" s="80">
        <f t="shared" si="13"/>
        <v>4.7000000000000097E-3</v>
      </c>
    </row>
    <row r="51" spans="1:22">
      <c r="A51" s="153">
        <v>43</v>
      </c>
      <c r="B51" s="133" t="s">
        <v>279</v>
      </c>
      <c r="C51" s="134" t="s">
        <v>278</v>
      </c>
      <c r="D51" s="13">
        <v>5675732872.2299995</v>
      </c>
      <c r="E51" s="3">
        <f t="shared" si="8"/>
        <v>4.7393178098398304E-3</v>
      </c>
      <c r="F51" s="8">
        <v>100</v>
      </c>
      <c r="G51" s="8">
        <v>100</v>
      </c>
      <c r="H51" s="58">
        <v>44</v>
      </c>
      <c r="I51" s="5">
        <v>0.22900000000000001</v>
      </c>
      <c r="J51" s="5">
        <v>0.22900000000000001</v>
      </c>
      <c r="K51" s="13">
        <v>6068959965.0794001</v>
      </c>
      <c r="L51" s="3">
        <f t="shared" si="7"/>
        <v>5.0676680346312388E-3</v>
      </c>
      <c r="M51" s="8">
        <v>100</v>
      </c>
      <c r="N51" s="8">
        <v>100</v>
      </c>
      <c r="O51" s="58">
        <v>43</v>
      </c>
      <c r="P51" s="5">
        <v>0.23830000000000001</v>
      </c>
      <c r="Q51" s="5">
        <v>0.23830000000000001</v>
      </c>
      <c r="R51" s="77">
        <f t="shared" si="9"/>
        <v>6.9282170549880256E-2</v>
      </c>
      <c r="S51" s="77">
        <f t="shared" si="10"/>
        <v>0</v>
      </c>
      <c r="T51" s="77">
        <f t="shared" si="11"/>
        <v>-2.2727272727272728E-2</v>
      </c>
      <c r="U51" s="78">
        <f t="shared" si="12"/>
        <v>9.3000000000000027E-3</v>
      </c>
      <c r="V51" s="80">
        <f t="shared" si="13"/>
        <v>9.3000000000000027E-3</v>
      </c>
    </row>
    <row r="52" spans="1:22">
      <c r="A52" s="144">
        <v>44</v>
      </c>
      <c r="B52" s="133" t="s">
        <v>274</v>
      </c>
      <c r="C52" s="134" t="s">
        <v>108</v>
      </c>
      <c r="D52" s="13">
        <v>50175970.780000001</v>
      </c>
      <c r="E52" s="3">
        <f t="shared" si="8"/>
        <v>4.1897650452711531E-5</v>
      </c>
      <c r="F52" s="8">
        <v>1000</v>
      </c>
      <c r="G52" s="8">
        <v>1000</v>
      </c>
      <c r="H52" s="58">
        <v>5</v>
      </c>
      <c r="I52" s="5">
        <v>0</v>
      </c>
      <c r="J52" s="5">
        <v>2.0299999999999999E-2</v>
      </c>
      <c r="K52" s="13">
        <v>50175970.780000001</v>
      </c>
      <c r="L52" s="3">
        <f t="shared" si="7"/>
        <v>4.1897650452711531E-5</v>
      </c>
      <c r="M52" s="8">
        <v>1000</v>
      </c>
      <c r="N52" s="8">
        <v>1000</v>
      </c>
      <c r="O52" s="58">
        <v>5</v>
      </c>
      <c r="P52" s="5">
        <v>2.0199999999999999E-2</v>
      </c>
      <c r="Q52" s="5">
        <v>2.0199999999999999E-2</v>
      </c>
      <c r="R52" s="77">
        <f t="shared" si="9"/>
        <v>0</v>
      </c>
      <c r="S52" s="77">
        <f t="shared" si="10"/>
        <v>0</v>
      </c>
      <c r="T52" s="77">
        <f t="shared" si="11"/>
        <v>0</v>
      </c>
      <c r="U52" s="78">
        <f t="shared" si="12"/>
        <v>2.0199999999999999E-2</v>
      </c>
      <c r="V52" s="80">
        <f t="shared" si="13"/>
        <v>-9.9999999999999395E-5</v>
      </c>
    </row>
    <row r="53" spans="1:22">
      <c r="A53" s="143">
        <v>45</v>
      </c>
      <c r="B53" s="133" t="s">
        <v>82</v>
      </c>
      <c r="C53" s="134" t="s">
        <v>42</v>
      </c>
      <c r="D53" s="9">
        <v>527606282772.52002</v>
      </c>
      <c r="E53" s="3">
        <f t="shared" si="8"/>
        <v>0.44055876286241569</v>
      </c>
      <c r="F53" s="8">
        <v>100</v>
      </c>
      <c r="G53" s="8">
        <v>100</v>
      </c>
      <c r="H53" s="58">
        <v>128267</v>
      </c>
      <c r="I53" s="5">
        <v>0.20230000000000001</v>
      </c>
      <c r="J53" s="5">
        <v>0.20230000000000001</v>
      </c>
      <c r="K53" s="9">
        <v>535453684521.76001</v>
      </c>
      <c r="L53" s="3">
        <f t="shared" si="7"/>
        <v>0.44711145512408107</v>
      </c>
      <c r="M53" s="8">
        <v>100</v>
      </c>
      <c r="N53" s="8">
        <v>100</v>
      </c>
      <c r="O53" s="58">
        <v>129067</v>
      </c>
      <c r="P53" s="5">
        <v>0.20080000000000001</v>
      </c>
      <c r="Q53" s="5">
        <v>0.20080000000000001</v>
      </c>
      <c r="R53" s="77">
        <f t="shared" si="9"/>
        <v>1.4873594203622165E-2</v>
      </c>
      <c r="S53" s="77">
        <f t="shared" si="10"/>
        <v>0</v>
      </c>
      <c r="T53" s="77">
        <f t="shared" si="11"/>
        <v>6.236990028612192E-3</v>
      </c>
      <c r="U53" s="78">
        <f t="shared" si="12"/>
        <v>-1.5000000000000013E-3</v>
      </c>
      <c r="V53" s="80">
        <f t="shared" si="13"/>
        <v>-1.5000000000000013E-3</v>
      </c>
    </row>
    <row r="54" spans="1:22">
      <c r="A54" s="146">
        <v>46</v>
      </c>
      <c r="B54" s="133" t="s">
        <v>272</v>
      </c>
      <c r="C54" s="133" t="s">
        <v>271</v>
      </c>
      <c r="D54" s="9">
        <v>560589357.51999998</v>
      </c>
      <c r="E54" s="3">
        <f t="shared" si="8"/>
        <v>4.681001001827172E-4</v>
      </c>
      <c r="F54" s="8">
        <v>100</v>
      </c>
      <c r="G54" s="8">
        <v>100</v>
      </c>
      <c r="H54" s="58">
        <v>121</v>
      </c>
      <c r="I54" s="5">
        <v>0.20219999999999999</v>
      </c>
      <c r="J54" s="5">
        <v>0.20219999999999999</v>
      </c>
      <c r="K54" s="9">
        <v>622869558.21000004</v>
      </c>
      <c r="L54" s="3">
        <f t="shared" si="7"/>
        <v>5.2010495505788073E-4</v>
      </c>
      <c r="M54" s="8">
        <v>100</v>
      </c>
      <c r="N54" s="8">
        <v>100</v>
      </c>
      <c r="O54" s="58">
        <v>137</v>
      </c>
      <c r="P54" s="5">
        <v>0.20599999999999999</v>
      </c>
      <c r="Q54" s="5">
        <v>0.20599999999999999</v>
      </c>
      <c r="R54" s="77">
        <f t="shared" si="9"/>
        <v>0.11109772216426371</v>
      </c>
      <c r="S54" s="77">
        <f t="shared" si="10"/>
        <v>0</v>
      </c>
      <c r="T54" s="77">
        <f t="shared" si="11"/>
        <v>0.13223140495867769</v>
      </c>
      <c r="U54" s="78">
        <f t="shared" si="12"/>
        <v>3.7999999999999978E-3</v>
      </c>
      <c r="V54" s="80">
        <f t="shared" si="13"/>
        <v>3.7999999999999978E-3</v>
      </c>
    </row>
    <row r="55" spans="1:22">
      <c r="A55" s="149">
        <v>47</v>
      </c>
      <c r="B55" s="133" t="s">
        <v>83</v>
      </c>
      <c r="C55" s="134" t="s">
        <v>84</v>
      </c>
      <c r="D55" s="9">
        <v>3640681724.6300001</v>
      </c>
      <c r="E55" s="3">
        <f t="shared" si="8"/>
        <v>3.0400211084490492E-3</v>
      </c>
      <c r="F55" s="8">
        <v>1</v>
      </c>
      <c r="G55" s="8">
        <v>1</v>
      </c>
      <c r="H55" s="58">
        <v>374</v>
      </c>
      <c r="I55" s="5">
        <v>0.18711234059999998</v>
      </c>
      <c r="J55" s="5">
        <v>0.18711234059999998</v>
      </c>
      <c r="K55" s="9">
        <v>3672251086.4200001</v>
      </c>
      <c r="L55" s="3">
        <f t="shared" si="7"/>
        <v>3.0663819753088454E-3</v>
      </c>
      <c r="M55" s="8">
        <v>1</v>
      </c>
      <c r="N55" s="8">
        <v>1</v>
      </c>
      <c r="O55" s="58">
        <v>379</v>
      </c>
      <c r="P55" s="5">
        <v>0.1907636815</v>
      </c>
      <c r="Q55" s="5">
        <v>0.1907636815</v>
      </c>
      <c r="R55" s="77">
        <f t="shared" si="9"/>
        <v>8.6712775732155859E-3</v>
      </c>
      <c r="S55" s="77">
        <f t="shared" si="10"/>
        <v>0</v>
      </c>
      <c r="T55" s="77">
        <f t="shared" si="11"/>
        <v>1.3368983957219251E-2</v>
      </c>
      <c r="U55" s="78">
        <f t="shared" si="12"/>
        <v>3.6513409000000219E-3</v>
      </c>
      <c r="V55" s="80">
        <f t="shared" si="13"/>
        <v>3.6513409000000219E-3</v>
      </c>
    </row>
    <row r="56" spans="1:22">
      <c r="A56" s="142">
        <v>48</v>
      </c>
      <c r="B56" s="133" t="s">
        <v>85</v>
      </c>
      <c r="C56" s="134" t="s">
        <v>45</v>
      </c>
      <c r="D56" s="9">
        <v>43318040658.940002</v>
      </c>
      <c r="E56" s="3">
        <f t="shared" si="8"/>
        <v>3.6171181097467427E-2</v>
      </c>
      <c r="F56" s="8">
        <v>1</v>
      </c>
      <c r="G56" s="8">
        <v>1</v>
      </c>
      <c r="H56" s="58">
        <v>27097</v>
      </c>
      <c r="I56" s="5">
        <v>0.18709999999999999</v>
      </c>
      <c r="J56" s="5">
        <v>0.18709999999999999</v>
      </c>
      <c r="K56" s="9">
        <v>43921298427.940002</v>
      </c>
      <c r="L56" s="3">
        <f t="shared" si="7"/>
        <v>3.6674909929128002E-2</v>
      </c>
      <c r="M56" s="8">
        <v>1</v>
      </c>
      <c r="N56" s="8">
        <v>1</v>
      </c>
      <c r="O56" s="58">
        <v>24161</v>
      </c>
      <c r="P56" s="5">
        <v>0.1958</v>
      </c>
      <c r="Q56" s="5">
        <v>0.1958</v>
      </c>
      <c r="R56" s="77">
        <f t="shared" si="9"/>
        <v>1.3926247813230659E-2</v>
      </c>
      <c r="S56" s="77">
        <f t="shared" si="10"/>
        <v>0</v>
      </c>
      <c r="T56" s="77">
        <f t="shared" si="11"/>
        <v>-0.10835147802339742</v>
      </c>
      <c r="U56" s="78">
        <f t="shared" si="12"/>
        <v>8.7000000000000133E-3</v>
      </c>
      <c r="V56" s="80">
        <f t="shared" si="13"/>
        <v>8.7000000000000133E-3</v>
      </c>
    </row>
    <row r="57" spans="1:22">
      <c r="A57" s="149">
        <v>49</v>
      </c>
      <c r="B57" s="133" t="s">
        <v>86</v>
      </c>
      <c r="C57" s="134" t="s">
        <v>87</v>
      </c>
      <c r="D57" s="9">
        <v>1243154705.96</v>
      </c>
      <c r="E57" s="3">
        <f t="shared" si="8"/>
        <v>1.0380518905618564E-3</v>
      </c>
      <c r="F57" s="8">
        <v>1</v>
      </c>
      <c r="G57" s="8">
        <v>1</v>
      </c>
      <c r="H57" s="58">
        <v>97</v>
      </c>
      <c r="I57" s="5">
        <v>0.185</v>
      </c>
      <c r="J57" s="5">
        <v>0.185</v>
      </c>
      <c r="K57" s="9">
        <v>1249076566.3399999</v>
      </c>
      <c r="L57" s="3">
        <f t="shared" si="7"/>
        <v>1.042996728347235E-3</v>
      </c>
      <c r="M57" s="8">
        <v>1</v>
      </c>
      <c r="N57" s="8">
        <v>1</v>
      </c>
      <c r="O57" s="58">
        <v>99</v>
      </c>
      <c r="P57" s="5">
        <v>0.184</v>
      </c>
      <c r="Q57" s="5">
        <v>0.184</v>
      </c>
      <c r="R57" s="77">
        <f t="shared" si="9"/>
        <v>4.7635747599304983E-3</v>
      </c>
      <c r="S57" s="77">
        <f t="shared" si="10"/>
        <v>0</v>
      </c>
      <c r="T57" s="77">
        <f t="shared" si="11"/>
        <v>2.0618556701030927E-2</v>
      </c>
      <c r="U57" s="78">
        <f t="shared" si="12"/>
        <v>-1.0000000000000009E-3</v>
      </c>
      <c r="V57" s="80">
        <f t="shared" si="13"/>
        <v>-1.0000000000000009E-3</v>
      </c>
    </row>
    <row r="58" spans="1:22">
      <c r="A58" s="146">
        <v>50</v>
      </c>
      <c r="B58" s="133" t="s">
        <v>88</v>
      </c>
      <c r="C58" s="134" t="s">
        <v>89</v>
      </c>
      <c r="D58" s="9">
        <v>1821258180.1700001</v>
      </c>
      <c r="E58" s="3">
        <f t="shared" si="8"/>
        <v>1.5207765277023739E-3</v>
      </c>
      <c r="F58" s="8">
        <v>1</v>
      </c>
      <c r="G58" s="8">
        <v>1</v>
      </c>
      <c r="H58" s="58">
        <v>281</v>
      </c>
      <c r="I58" s="5">
        <v>0.14460000000000001</v>
      </c>
      <c r="J58" s="5">
        <v>0.14460000000000001</v>
      </c>
      <c r="K58" s="9">
        <v>1819139429.6500001</v>
      </c>
      <c r="L58" s="3">
        <f t="shared" si="7"/>
        <v>1.5190073408325737E-3</v>
      </c>
      <c r="M58" s="8">
        <v>1</v>
      </c>
      <c r="N58" s="8">
        <v>1</v>
      </c>
      <c r="O58" s="58">
        <v>281</v>
      </c>
      <c r="P58" s="5">
        <v>0.20899999999999999</v>
      </c>
      <c r="Q58" s="5">
        <v>0.20899999999999999</v>
      </c>
      <c r="R58" s="77">
        <f t="shared" si="9"/>
        <v>-1.1633444083156911E-3</v>
      </c>
      <c r="S58" s="77">
        <f t="shared" si="10"/>
        <v>0</v>
      </c>
      <c r="T58" s="77">
        <f t="shared" si="11"/>
        <v>0</v>
      </c>
      <c r="U58" s="78">
        <f t="shared" si="12"/>
        <v>6.4399999999999985E-2</v>
      </c>
      <c r="V58" s="80">
        <f t="shared" si="13"/>
        <v>6.4399999999999985E-2</v>
      </c>
    </row>
    <row r="59" spans="1:22">
      <c r="A59" s="151">
        <v>51</v>
      </c>
      <c r="B59" s="133" t="s">
        <v>258</v>
      </c>
      <c r="C59" s="134" t="s">
        <v>259</v>
      </c>
      <c r="D59" s="9">
        <v>1015433238.13</v>
      </c>
      <c r="E59" s="3">
        <f t="shared" si="8"/>
        <v>8.4790122060166993E-4</v>
      </c>
      <c r="F59" s="8">
        <v>1</v>
      </c>
      <c r="G59" s="8">
        <v>1</v>
      </c>
      <c r="H59" s="58">
        <v>1025</v>
      </c>
      <c r="I59" s="5">
        <v>0.1835</v>
      </c>
      <c r="J59" s="5">
        <v>0.1835</v>
      </c>
      <c r="K59" s="9">
        <v>1052867688.46</v>
      </c>
      <c r="L59" s="3">
        <f t="shared" si="7"/>
        <v>8.7915951995162301E-4</v>
      </c>
      <c r="M59" s="8">
        <v>1</v>
      </c>
      <c r="N59" s="8">
        <v>1</v>
      </c>
      <c r="O59" s="58">
        <v>1048</v>
      </c>
      <c r="P59" s="5">
        <v>0.20380000000000001</v>
      </c>
      <c r="Q59" s="5">
        <v>0.20380000000000001</v>
      </c>
      <c r="R59" s="77">
        <f t="shared" si="9"/>
        <v>3.6865496346109881E-2</v>
      </c>
      <c r="S59" s="77">
        <f t="shared" si="10"/>
        <v>0</v>
      </c>
      <c r="T59" s="77">
        <f t="shared" si="11"/>
        <v>2.2439024390243902E-2</v>
      </c>
      <c r="U59" s="78">
        <f t="shared" si="12"/>
        <v>2.0300000000000012E-2</v>
      </c>
      <c r="V59" s="80">
        <f t="shared" si="13"/>
        <v>2.0300000000000012E-2</v>
      </c>
    </row>
    <row r="60" spans="1:22">
      <c r="A60" s="142">
        <v>52</v>
      </c>
      <c r="B60" s="133" t="s">
        <v>90</v>
      </c>
      <c r="C60" s="134" t="s">
        <v>91</v>
      </c>
      <c r="D60" s="9">
        <v>35360484394.139999</v>
      </c>
      <c r="E60" s="3">
        <f t="shared" si="8"/>
        <v>2.9526508245950447E-2</v>
      </c>
      <c r="F60" s="8">
        <v>1</v>
      </c>
      <c r="G60" s="8">
        <v>1</v>
      </c>
      <c r="H60" s="58">
        <v>3742</v>
      </c>
      <c r="I60" s="5">
        <v>0.2056</v>
      </c>
      <c r="J60" s="5">
        <v>0.2056</v>
      </c>
      <c r="K60" s="9">
        <v>35859563444.910004</v>
      </c>
      <c r="L60" s="3">
        <f t="shared" si="7"/>
        <v>2.9943246363666496E-2</v>
      </c>
      <c r="M60" s="8">
        <v>1</v>
      </c>
      <c r="N60" s="8">
        <v>1</v>
      </c>
      <c r="O60" s="58">
        <v>3767</v>
      </c>
      <c r="P60" s="5">
        <v>0.2039</v>
      </c>
      <c r="Q60" s="5">
        <v>0.2039</v>
      </c>
      <c r="R60" s="77">
        <f t="shared" si="9"/>
        <v>1.4114033201782511E-2</v>
      </c>
      <c r="S60" s="77">
        <f t="shared" si="10"/>
        <v>0</v>
      </c>
      <c r="T60" s="77">
        <f t="shared" si="11"/>
        <v>6.6809192944949228E-3</v>
      </c>
      <c r="U60" s="78">
        <f t="shared" si="12"/>
        <v>-1.7000000000000071E-3</v>
      </c>
      <c r="V60" s="80">
        <f t="shared" si="13"/>
        <v>-1.7000000000000071E-3</v>
      </c>
    </row>
    <row r="61" spans="1:22">
      <c r="A61" s="72"/>
      <c r="B61" s="131"/>
      <c r="C61" s="69" t="s">
        <v>46</v>
      </c>
      <c r="D61" s="57">
        <f>SUM(D26:D60)</f>
        <v>1182826404297.3062</v>
      </c>
      <c r="E61" s="97">
        <f>(D61/$D$198)</f>
        <v>0.36820801929603886</v>
      </c>
      <c r="F61" s="30"/>
      <c r="G61" s="11"/>
      <c r="H61" s="63">
        <f>SUM(H26:H60)</f>
        <v>306102</v>
      </c>
      <c r="I61" s="32"/>
      <c r="J61" s="32"/>
      <c r="K61" s="57">
        <f>SUM(K26:K60)</f>
        <v>1197584357066.3213</v>
      </c>
      <c r="L61" s="97">
        <f>(K61/$K$198)</f>
        <v>0.36832760334135117</v>
      </c>
      <c r="M61" s="30"/>
      <c r="N61" s="11"/>
      <c r="O61" s="63">
        <f>SUM(O26:O60)</f>
        <v>304708</v>
      </c>
      <c r="P61" s="32"/>
      <c r="Q61" s="32"/>
      <c r="R61" s="77">
        <f t="shared" si="9"/>
        <v>1.2476854351068148E-2</v>
      </c>
      <c r="S61" s="77" t="e">
        <f t="shared" si="10"/>
        <v>#DIV/0!</v>
      </c>
      <c r="T61" s="77">
        <f t="shared" si="11"/>
        <v>-4.5540375430412087E-3</v>
      </c>
      <c r="U61" s="78">
        <f t="shared" si="12"/>
        <v>0</v>
      </c>
      <c r="V61" s="80">
        <f t="shared" si="13"/>
        <v>0</v>
      </c>
    </row>
    <row r="62" spans="1:22" ht="9" customHeight="1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</row>
    <row r="63" spans="1:22" ht="15" customHeight="1">
      <c r="A63" s="174" t="s">
        <v>92</v>
      </c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</row>
    <row r="64" spans="1:22">
      <c r="A64" s="150">
        <v>53</v>
      </c>
      <c r="B64" s="133" t="s">
        <v>93</v>
      </c>
      <c r="C64" s="134" t="s">
        <v>19</v>
      </c>
      <c r="D64" s="2">
        <v>461182410.75</v>
      </c>
      <c r="E64" s="3">
        <f>(D64/$D$99)</f>
        <v>2.029189971191692E-3</v>
      </c>
      <c r="F64" s="14">
        <v>1.2399</v>
      </c>
      <c r="G64" s="14">
        <v>1.2399</v>
      </c>
      <c r="H64" s="58">
        <v>452</v>
      </c>
      <c r="I64" s="5">
        <v>4.0299999999999998E-4</v>
      </c>
      <c r="J64" s="5">
        <v>-3.1399999999999997E-2</v>
      </c>
      <c r="K64" s="2">
        <v>457555368.52999997</v>
      </c>
      <c r="L64" s="3">
        <f t="shared" ref="L64:L85" si="14">(K64/$K$99)</f>
        <v>2.0585990465021393E-3</v>
      </c>
      <c r="M64" s="14">
        <v>1.2274</v>
      </c>
      <c r="N64" s="14">
        <v>1.2274</v>
      </c>
      <c r="O64" s="58">
        <v>454</v>
      </c>
      <c r="P64" s="5">
        <v>4.8899999999999996E-4</v>
      </c>
      <c r="Q64" s="5">
        <v>-4.1200000000000001E-2</v>
      </c>
      <c r="R64" s="77">
        <f>((K64-D64)/D64)</f>
        <v>-7.8646586154522552E-3</v>
      </c>
      <c r="S64" s="77">
        <f>((N64-G64)/G64)</f>
        <v>-1.0081458182111425E-2</v>
      </c>
      <c r="T64" s="77">
        <f>((O64-H64)/H64)</f>
        <v>4.4247787610619468E-3</v>
      </c>
      <c r="U64" s="78">
        <f>P64-I64</f>
        <v>8.5999999999999976E-5</v>
      </c>
      <c r="V64" s="80">
        <f>Q64-J64</f>
        <v>-9.8000000000000032E-3</v>
      </c>
    </row>
    <row r="65" spans="1:22">
      <c r="A65" s="150">
        <v>54</v>
      </c>
      <c r="B65" s="133" t="s">
        <v>94</v>
      </c>
      <c r="C65" s="134" t="s">
        <v>21</v>
      </c>
      <c r="D65" s="2">
        <v>1417873524.04</v>
      </c>
      <c r="E65" s="3">
        <f>(D65/$D$99)</f>
        <v>6.2386046569322473E-3</v>
      </c>
      <c r="F65" s="14">
        <v>1.1693</v>
      </c>
      <c r="G65" s="14">
        <v>1.1693</v>
      </c>
      <c r="H65" s="58">
        <v>703</v>
      </c>
      <c r="I65" s="5">
        <v>0.13450000000000001</v>
      </c>
      <c r="J65" s="5">
        <v>1.38E-2</v>
      </c>
      <c r="K65" s="2">
        <v>1404011565.1900001</v>
      </c>
      <c r="L65" s="3">
        <f t="shared" si="14"/>
        <v>6.3168242974917816E-3</v>
      </c>
      <c r="M65" s="14">
        <v>1.1673</v>
      </c>
      <c r="N65" s="14">
        <v>1.1673</v>
      </c>
      <c r="O65" s="58">
        <v>705</v>
      </c>
      <c r="P65" s="5">
        <v>-8.9399999999999993E-2</v>
      </c>
      <c r="Q65" s="5">
        <v>1.04E-2</v>
      </c>
      <c r="R65" s="77">
        <f t="shared" ref="R65:R99" si="15">((K65-D65)/D65)</f>
        <v>-9.7765834645832921E-3</v>
      </c>
      <c r="S65" s="77">
        <f t="shared" ref="S65:S99" si="16">((N65-G65)/G65)</f>
        <v>-1.7104250406225962E-3</v>
      </c>
      <c r="T65" s="77">
        <f t="shared" ref="T65:T99" si="17">((O65-H65)/H65)</f>
        <v>2.8449502133712661E-3</v>
      </c>
      <c r="U65" s="78">
        <f t="shared" ref="U65:U99" si="18">P65-I65</f>
        <v>-0.22389999999999999</v>
      </c>
      <c r="V65" s="80">
        <f t="shared" ref="V65:V99" si="19">Q65-J65</f>
        <v>-3.4000000000000002E-3</v>
      </c>
    </row>
    <row r="66" spans="1:22">
      <c r="A66" s="150">
        <v>55</v>
      </c>
      <c r="B66" s="133" t="s">
        <v>95</v>
      </c>
      <c r="C66" s="134" t="s">
        <v>21</v>
      </c>
      <c r="D66" s="2">
        <v>868937733.77999997</v>
      </c>
      <c r="E66" s="3">
        <f>(D66/$D$99)</f>
        <v>3.8233022202840208E-3</v>
      </c>
      <c r="F66" s="14">
        <v>1.0643</v>
      </c>
      <c r="G66" s="14">
        <v>1.0643</v>
      </c>
      <c r="H66" s="58">
        <v>174</v>
      </c>
      <c r="I66" s="5">
        <v>0.1132</v>
      </c>
      <c r="J66" s="5">
        <v>-9.7000000000000003E-3</v>
      </c>
      <c r="K66" s="2">
        <v>871564959.85000002</v>
      </c>
      <c r="L66" s="3">
        <f t="shared" si="14"/>
        <v>3.9212801744107325E-3</v>
      </c>
      <c r="M66" s="14">
        <v>1.0668</v>
      </c>
      <c r="N66" s="14">
        <v>1.0668</v>
      </c>
      <c r="O66" s="58">
        <v>175</v>
      </c>
      <c r="P66" s="5">
        <v>0.12280000000000001</v>
      </c>
      <c r="Q66" s="5">
        <v>-5.4000000000000003E-3</v>
      </c>
      <c r="R66" s="77">
        <f t="shared" si="15"/>
        <v>3.0234917507509472E-3</v>
      </c>
      <c r="S66" s="77">
        <f t="shared" si="16"/>
        <v>2.3489617589025152E-3</v>
      </c>
      <c r="T66" s="77">
        <f t="shared" si="17"/>
        <v>5.7471264367816091E-3</v>
      </c>
      <c r="U66" s="78">
        <f t="shared" si="18"/>
        <v>9.6000000000000113E-3</v>
      </c>
      <c r="V66" s="80">
        <f t="shared" si="19"/>
        <v>4.3E-3</v>
      </c>
    </row>
    <row r="67" spans="1:22">
      <c r="A67" s="151">
        <v>56</v>
      </c>
      <c r="B67" s="133" t="s">
        <v>96</v>
      </c>
      <c r="C67" s="134" t="s">
        <v>97</v>
      </c>
      <c r="D67" s="2">
        <v>264907411.34999999</v>
      </c>
      <c r="E67" s="3">
        <f>(D67/$D$99)</f>
        <v>1.165585351643362E-3</v>
      </c>
      <c r="F67" s="7">
        <v>1062.99</v>
      </c>
      <c r="G67" s="7">
        <v>1062.99</v>
      </c>
      <c r="H67" s="58">
        <v>112</v>
      </c>
      <c r="I67" s="5">
        <v>3.2850000000000002E-3</v>
      </c>
      <c r="J67" s="5">
        <v>3.0147E-2</v>
      </c>
      <c r="K67" s="2">
        <v>265615717.56</v>
      </c>
      <c r="L67" s="3">
        <f t="shared" si="14"/>
        <v>1.1950384598517641E-3</v>
      </c>
      <c r="M67" s="7">
        <v>1065.92</v>
      </c>
      <c r="N67" s="7">
        <v>1065.92</v>
      </c>
      <c r="O67" s="58">
        <v>112</v>
      </c>
      <c r="P67" s="5">
        <v>2.7469999999999999E-3</v>
      </c>
      <c r="Q67" s="5">
        <v>3.2759999999999997E-2</v>
      </c>
      <c r="R67" s="77">
        <f t="shared" si="15"/>
        <v>2.6737878203950383E-3</v>
      </c>
      <c r="S67" s="77">
        <f t="shared" si="16"/>
        <v>2.7563758831221966E-3</v>
      </c>
      <c r="T67" s="77">
        <f t="shared" si="17"/>
        <v>0</v>
      </c>
      <c r="U67" s="78">
        <f t="shared" si="18"/>
        <v>-5.3800000000000028E-4</v>
      </c>
      <c r="V67" s="80">
        <f t="shared" si="19"/>
        <v>2.6129999999999973E-3</v>
      </c>
    </row>
    <row r="68" spans="1:22" ht="15" customHeight="1">
      <c r="A68" s="150">
        <v>57</v>
      </c>
      <c r="B68" s="133" t="s">
        <v>98</v>
      </c>
      <c r="C68" s="134" t="s">
        <v>99</v>
      </c>
      <c r="D68" s="2">
        <v>1638390924.3800001</v>
      </c>
      <c r="E68" s="3">
        <f>(D68/$K$99)</f>
        <v>7.3713264594889947E-3</v>
      </c>
      <c r="F68" s="7">
        <v>1.0364</v>
      </c>
      <c r="G68" s="7">
        <v>1.0364</v>
      </c>
      <c r="H68" s="58">
        <v>869</v>
      </c>
      <c r="I68" s="5">
        <v>4.4000000000000003E-3</v>
      </c>
      <c r="J68" s="5">
        <v>2.6700000000000002E-2</v>
      </c>
      <c r="K68" s="2">
        <v>1654652865.3199999</v>
      </c>
      <c r="L68" s="3">
        <f t="shared" si="14"/>
        <v>7.4444909733726574E-3</v>
      </c>
      <c r="M68" s="7">
        <v>1.0384</v>
      </c>
      <c r="N68" s="7">
        <v>1.0384</v>
      </c>
      <c r="O68" s="58">
        <v>872</v>
      </c>
      <c r="P68" s="5">
        <v>1.9E-3</v>
      </c>
      <c r="Q68" s="5">
        <v>6.2799999999999995E-2</v>
      </c>
      <c r="R68" s="77">
        <f t="shared" si="15"/>
        <v>9.9255560428312684E-3</v>
      </c>
      <c r="S68" s="77">
        <f t="shared" si="16"/>
        <v>1.9297568506368215E-3</v>
      </c>
      <c r="T68" s="77">
        <f t="shared" si="17"/>
        <v>3.4522439585730723E-3</v>
      </c>
      <c r="U68" s="78">
        <f t="shared" si="18"/>
        <v>-2.5000000000000005E-3</v>
      </c>
      <c r="V68" s="80">
        <v>7.87</v>
      </c>
    </row>
    <row r="69" spans="1:22">
      <c r="A69" s="156">
        <v>58</v>
      </c>
      <c r="B69" s="133" t="s">
        <v>100</v>
      </c>
      <c r="C69" s="134" t="s">
        <v>101</v>
      </c>
      <c r="D69" s="2">
        <v>419403269.36440104</v>
      </c>
      <c r="E69" s="3">
        <f t="shared" ref="E69:E85" si="20">(D69/$D$99)</f>
        <v>1.845362893817282E-3</v>
      </c>
      <c r="F69" s="7">
        <v>2.3896000000000002</v>
      </c>
      <c r="G69" s="7">
        <v>2.3896000000000002</v>
      </c>
      <c r="H69" s="58">
        <v>1392</v>
      </c>
      <c r="I69" s="5">
        <v>0.19769999999999999</v>
      </c>
      <c r="J69" s="5">
        <v>0.12</v>
      </c>
      <c r="K69" s="2">
        <v>419676696.5803588</v>
      </c>
      <c r="L69" s="3">
        <f t="shared" si="14"/>
        <v>1.8881781459479236E-3</v>
      </c>
      <c r="M69" s="7">
        <v>2.3934000000000002</v>
      </c>
      <c r="N69" s="7">
        <v>2.3934000000000002</v>
      </c>
      <c r="O69" s="58">
        <v>1392</v>
      </c>
      <c r="P69" s="5">
        <v>8.3099999999999993E-2</v>
      </c>
      <c r="Q69" s="5">
        <v>0.11890000000000001</v>
      </c>
      <c r="R69" s="77">
        <f t="shared" si="15"/>
        <v>6.5194345378407606E-4</v>
      </c>
      <c r="S69" s="77">
        <f t="shared" si="16"/>
        <v>1.5902243053230773E-3</v>
      </c>
      <c r="T69" s="77">
        <f t="shared" si="17"/>
        <v>0</v>
      </c>
      <c r="U69" s="78">
        <f t="shared" si="18"/>
        <v>-0.11459999999999999</v>
      </c>
      <c r="V69" s="80">
        <f t="shared" si="19"/>
        <v>-1.0999999999999899E-3</v>
      </c>
    </row>
    <row r="70" spans="1:22">
      <c r="A70" s="153">
        <v>59</v>
      </c>
      <c r="B70" s="133" t="s">
        <v>269</v>
      </c>
      <c r="C70" s="134" t="s">
        <v>267</v>
      </c>
      <c r="D70" s="2">
        <v>133622228.94</v>
      </c>
      <c r="E70" s="3">
        <f t="shared" si="20"/>
        <v>5.8793414617087773E-4</v>
      </c>
      <c r="F70" s="7">
        <v>10.72</v>
      </c>
      <c r="G70" s="7">
        <v>10.75</v>
      </c>
      <c r="H70" s="58">
        <v>29</v>
      </c>
      <c r="I70" s="5">
        <v>0.14449999999999999</v>
      </c>
      <c r="J70" s="5">
        <v>4.2299999999999997E-2</v>
      </c>
      <c r="K70" s="2">
        <v>132124877.70999999</v>
      </c>
      <c r="L70" s="3">
        <f t="shared" si="14"/>
        <v>5.9444641234754597E-4</v>
      </c>
      <c r="M70" s="7">
        <v>10.6</v>
      </c>
      <c r="N70" s="7">
        <v>10.64</v>
      </c>
      <c r="O70" s="58">
        <v>29</v>
      </c>
      <c r="P70" s="5">
        <v>0.61229999999999996</v>
      </c>
      <c r="Q70" s="5">
        <v>2.0299999999999999E-2</v>
      </c>
      <c r="R70" s="77">
        <f>((K70-D70)/D70)</f>
        <v>-1.1205854309408021E-2</v>
      </c>
      <c r="S70" s="77">
        <f>((N70-G70)/G70)</f>
        <v>-1.0232558139534831E-2</v>
      </c>
      <c r="T70" s="77">
        <f>((O70-H70)/H70)</f>
        <v>0</v>
      </c>
      <c r="U70" s="78">
        <f>P70-I70</f>
        <v>0.46779999999999999</v>
      </c>
      <c r="V70" s="80">
        <f>Q70-J70</f>
        <v>-2.1999999999999999E-2</v>
      </c>
    </row>
    <row r="71" spans="1:22">
      <c r="A71" s="143">
        <v>60</v>
      </c>
      <c r="B71" s="133" t="s">
        <v>102</v>
      </c>
      <c r="C71" s="134" t="s">
        <v>56</v>
      </c>
      <c r="D71" s="2">
        <v>2394147438.1617899</v>
      </c>
      <c r="E71" s="3">
        <f t="shared" si="20"/>
        <v>1.0534183129776239E-2</v>
      </c>
      <c r="F71" s="2">
        <v>4215.7829929063601</v>
      </c>
      <c r="G71" s="2">
        <v>4215.7829929063601</v>
      </c>
      <c r="H71" s="58">
        <v>1048</v>
      </c>
      <c r="I71" s="5">
        <v>0.10082557691277187</v>
      </c>
      <c r="J71" s="5">
        <v>9.5534160379410357E-2</v>
      </c>
      <c r="K71" s="2">
        <v>2400931539.1992998</v>
      </c>
      <c r="L71" s="3">
        <f t="shared" si="14"/>
        <v>1.0802092418217423E-2</v>
      </c>
      <c r="M71" s="2">
        <v>4224.0448035988002</v>
      </c>
      <c r="N71" s="2">
        <v>4224.0448035988002</v>
      </c>
      <c r="O71" s="58">
        <v>1047</v>
      </c>
      <c r="P71" s="5">
        <v>0.10246606005917307</v>
      </c>
      <c r="Q71" s="5">
        <v>9.5940976037125397E-2</v>
      </c>
      <c r="R71" s="77">
        <f t="shared" si="15"/>
        <v>2.8336187359950999E-3</v>
      </c>
      <c r="S71" s="77">
        <f t="shared" si="16"/>
        <v>1.9597333891098676E-3</v>
      </c>
      <c r="T71" s="77">
        <f t="shared" si="17"/>
        <v>-9.5419847328244271E-4</v>
      </c>
      <c r="U71" s="78">
        <f t="shared" si="18"/>
        <v>1.6404831464011949E-3</v>
      </c>
      <c r="V71" s="80">
        <f t="shared" si="19"/>
        <v>4.0681565771504002E-4</v>
      </c>
    </row>
    <row r="72" spans="1:22">
      <c r="A72" s="149">
        <v>61</v>
      </c>
      <c r="B72" s="133" t="s">
        <v>103</v>
      </c>
      <c r="C72" s="134" t="s">
        <v>58</v>
      </c>
      <c r="D72" s="2">
        <v>347416374.54000002</v>
      </c>
      <c r="E72" s="3">
        <f t="shared" si="20"/>
        <v>1.5286225289856087E-3</v>
      </c>
      <c r="F72" s="14">
        <v>109.26</v>
      </c>
      <c r="G72" s="14">
        <v>109.26</v>
      </c>
      <c r="H72" s="58">
        <v>128</v>
      </c>
      <c r="I72" s="5">
        <v>2E-3</v>
      </c>
      <c r="J72" s="5">
        <v>0.1132</v>
      </c>
      <c r="K72" s="2">
        <v>348382636.62</v>
      </c>
      <c r="L72" s="3">
        <f t="shared" si="14"/>
        <v>1.567417219620735E-3</v>
      </c>
      <c r="M72" s="14">
        <v>109.55</v>
      </c>
      <c r="N72" s="14">
        <v>109.55</v>
      </c>
      <c r="O72" s="58">
        <v>128</v>
      </c>
      <c r="P72" s="5">
        <v>4.7000000000000002E-3</v>
      </c>
      <c r="Q72" s="5">
        <v>0.11360000000000001</v>
      </c>
      <c r="R72" s="77">
        <f t="shared" si="15"/>
        <v>2.7812796137757522E-3</v>
      </c>
      <c r="S72" s="77">
        <f t="shared" si="16"/>
        <v>2.6542192934284462E-3</v>
      </c>
      <c r="T72" s="77">
        <f t="shared" si="17"/>
        <v>0</v>
      </c>
      <c r="U72" s="78">
        <f t="shared" si="18"/>
        <v>2.7000000000000001E-3</v>
      </c>
      <c r="V72" s="80">
        <f t="shared" si="19"/>
        <v>4.0000000000001146E-4</v>
      </c>
    </row>
    <row r="73" spans="1:22" ht="13.5" customHeight="1">
      <c r="A73" s="149">
        <v>62</v>
      </c>
      <c r="B73" s="133" t="s">
        <v>104</v>
      </c>
      <c r="C73" s="134" t="s">
        <v>105</v>
      </c>
      <c r="D73" s="2">
        <v>336764324.63999999</v>
      </c>
      <c r="E73" s="3">
        <f t="shared" si="20"/>
        <v>1.4817538012850834E-3</v>
      </c>
      <c r="F73" s="14">
        <v>1.3514999999999999</v>
      </c>
      <c r="G73" s="14">
        <v>1.3514999999999999</v>
      </c>
      <c r="H73" s="58">
        <v>342</v>
      </c>
      <c r="I73" s="5">
        <v>2.5999999999999999E-3</v>
      </c>
      <c r="J73" s="5">
        <v>3.3700000000000001E-2</v>
      </c>
      <c r="K73" s="2">
        <v>335611312.94999999</v>
      </c>
      <c r="L73" s="3">
        <f t="shared" si="14"/>
        <v>1.5099574310620341E-3</v>
      </c>
      <c r="M73" s="14">
        <v>1.3502000000000001</v>
      </c>
      <c r="N73" s="14">
        <v>1.3502000000000001</v>
      </c>
      <c r="O73" s="58">
        <v>343</v>
      </c>
      <c r="P73" s="5">
        <v>-3.5424354243541734E-3</v>
      </c>
      <c r="Q73" s="5">
        <v>3.0163528174521281E-2</v>
      </c>
      <c r="R73" s="77">
        <f t="shared" si="15"/>
        <v>-3.4237940471650717E-3</v>
      </c>
      <c r="S73" s="77">
        <f t="shared" si="16"/>
        <v>-9.6189419163881379E-4</v>
      </c>
      <c r="T73" s="77">
        <f t="shared" si="17"/>
        <v>2.9239766081871343E-3</v>
      </c>
      <c r="U73" s="78">
        <f t="shared" si="18"/>
        <v>-6.1424354243541732E-3</v>
      </c>
      <c r="V73" s="80">
        <f t="shared" si="19"/>
        <v>-3.5364718254787195E-3</v>
      </c>
    </row>
    <row r="74" spans="1:22">
      <c r="A74" s="139">
        <v>63</v>
      </c>
      <c r="B74" s="133" t="s">
        <v>106</v>
      </c>
      <c r="C74" s="134" t="s">
        <v>25</v>
      </c>
      <c r="D74" s="2">
        <v>115243309.15000001</v>
      </c>
      <c r="E74" s="3">
        <f t="shared" si="20"/>
        <v>5.0706740266573316E-4</v>
      </c>
      <c r="F74" s="14">
        <v>120.8537</v>
      </c>
      <c r="G74" s="14">
        <v>120.8537</v>
      </c>
      <c r="H74" s="58">
        <v>138</v>
      </c>
      <c r="I74" s="5">
        <v>2.63E-4</v>
      </c>
      <c r="J74" s="5">
        <v>0.1656</v>
      </c>
      <c r="K74" s="2">
        <v>115813175.45</v>
      </c>
      <c r="L74" s="3">
        <f t="shared" si="14"/>
        <v>5.2105801603795029E-4</v>
      </c>
      <c r="M74" s="14">
        <v>121.1593</v>
      </c>
      <c r="N74" s="14">
        <v>121.1593</v>
      </c>
      <c r="O74" s="58">
        <v>140</v>
      </c>
      <c r="P74" s="5">
        <v>3.6099999999999999E-4</v>
      </c>
      <c r="Q74" s="5">
        <v>0.16839999999999999</v>
      </c>
      <c r="R74" s="77">
        <f t="shared" si="15"/>
        <v>4.9448970547892063E-3</v>
      </c>
      <c r="S74" s="77">
        <f t="shared" si="16"/>
        <v>2.5286772353680384E-3</v>
      </c>
      <c r="T74" s="77">
        <f t="shared" si="17"/>
        <v>1.4492753623188406E-2</v>
      </c>
      <c r="U74" s="78">
        <f t="shared" si="18"/>
        <v>9.7999999999999997E-5</v>
      </c>
      <c r="V74" s="80">
        <f t="shared" si="19"/>
        <v>2.7999999999999969E-3</v>
      </c>
    </row>
    <row r="75" spans="1:22">
      <c r="A75" s="144">
        <v>64</v>
      </c>
      <c r="B75" s="133" t="s">
        <v>107</v>
      </c>
      <c r="C75" s="134" t="s">
        <v>108</v>
      </c>
      <c r="D75" s="2">
        <v>1577979552.0500002</v>
      </c>
      <c r="E75" s="3">
        <f t="shared" si="20"/>
        <v>6.9430667933716699E-3</v>
      </c>
      <c r="F75" s="7">
        <v>1000</v>
      </c>
      <c r="G75" s="7">
        <v>1000</v>
      </c>
      <c r="H75" s="58">
        <v>332</v>
      </c>
      <c r="I75" s="5">
        <v>3.6999999999999999E-4</v>
      </c>
      <c r="J75" s="5">
        <v>0.15690000000000001</v>
      </c>
      <c r="K75" s="2">
        <v>1564073109.2400002</v>
      </c>
      <c r="L75" s="3">
        <f t="shared" si="14"/>
        <v>7.0369612789932595E-3</v>
      </c>
      <c r="M75" s="7">
        <v>1000</v>
      </c>
      <c r="N75" s="7">
        <v>1000</v>
      </c>
      <c r="O75" s="58">
        <v>333</v>
      </c>
      <c r="P75" s="5">
        <v>8.8999999999999999E-3</v>
      </c>
      <c r="Q75" s="5">
        <v>0.16120000000000001</v>
      </c>
      <c r="R75" s="77">
        <f t="shared" si="15"/>
        <v>-8.8128155982336205E-3</v>
      </c>
      <c r="S75" s="77">
        <f t="shared" si="16"/>
        <v>0</v>
      </c>
      <c r="T75" s="77">
        <f t="shared" si="17"/>
        <v>3.0120481927710845E-3</v>
      </c>
      <c r="U75" s="78">
        <f t="shared" si="18"/>
        <v>8.5299999999999994E-3</v>
      </c>
      <c r="V75" s="80">
        <f t="shared" si="19"/>
        <v>4.2999999999999983E-3</v>
      </c>
    </row>
    <row r="76" spans="1:22">
      <c r="A76" s="140">
        <v>65</v>
      </c>
      <c r="B76" s="133" t="s">
        <v>109</v>
      </c>
      <c r="C76" s="134" t="s">
        <v>64</v>
      </c>
      <c r="D76" s="2">
        <v>218218178.68000001</v>
      </c>
      <c r="E76" s="3">
        <f t="shared" si="20"/>
        <v>9.6015400715100392E-4</v>
      </c>
      <c r="F76" s="7">
        <v>1029.49</v>
      </c>
      <c r="G76" s="7">
        <v>1031.53</v>
      </c>
      <c r="H76" s="58">
        <v>76</v>
      </c>
      <c r="I76" s="5">
        <v>4.1999999999999997E-3</v>
      </c>
      <c r="J76" s="5">
        <v>3.56E-2</v>
      </c>
      <c r="K76" s="2">
        <v>221988322.25</v>
      </c>
      <c r="L76" s="3">
        <f t="shared" si="14"/>
        <v>9.9875333117962757E-4</v>
      </c>
      <c r="M76" s="7">
        <v>1046.8599999999999</v>
      </c>
      <c r="N76" s="7">
        <v>1049.68</v>
      </c>
      <c r="O76" s="58">
        <v>76</v>
      </c>
      <c r="P76" s="5">
        <v>1.7000000000000001E-2</v>
      </c>
      <c r="Q76" s="5">
        <v>5.2699999999999997E-2</v>
      </c>
      <c r="R76" s="77">
        <f t="shared" si="15"/>
        <v>1.7276945453424463E-2</v>
      </c>
      <c r="S76" s="77">
        <f t="shared" si="16"/>
        <v>1.7595222630461635E-2</v>
      </c>
      <c r="T76" s="77">
        <f t="shared" si="17"/>
        <v>0</v>
      </c>
      <c r="U76" s="78">
        <f t="shared" si="18"/>
        <v>1.2800000000000002E-2</v>
      </c>
      <c r="V76" s="80">
        <f t="shared" si="19"/>
        <v>1.7099999999999997E-2</v>
      </c>
    </row>
    <row r="77" spans="1:22">
      <c r="A77" s="151">
        <v>66</v>
      </c>
      <c r="B77" s="133" t="s">
        <v>110</v>
      </c>
      <c r="C77" s="134" t="s">
        <v>67</v>
      </c>
      <c r="D77" s="2">
        <v>1100426852.74</v>
      </c>
      <c r="E77" s="3">
        <f t="shared" si="20"/>
        <v>4.8418480010515991E-3</v>
      </c>
      <c r="F77" s="15">
        <v>1.1819999999999999</v>
      </c>
      <c r="G77" s="15">
        <v>1.1819999999999999</v>
      </c>
      <c r="H77" s="58">
        <v>44</v>
      </c>
      <c r="I77" s="5">
        <v>2.4595030107708443E-3</v>
      </c>
      <c r="J77" s="5">
        <v>0.28857401495991986</v>
      </c>
      <c r="K77" s="2">
        <v>1088768654.3099999</v>
      </c>
      <c r="L77" s="3">
        <f t="shared" si="14"/>
        <v>4.898506864480223E-3</v>
      </c>
      <c r="M77" s="15">
        <v>1.1849000000000001</v>
      </c>
      <c r="N77" s="15">
        <v>1.1849000000000001</v>
      </c>
      <c r="O77" s="58">
        <v>45</v>
      </c>
      <c r="P77" s="5">
        <v>2.4534686971236252E-3</v>
      </c>
      <c r="Q77" s="5">
        <v>0.30099762144831077</v>
      </c>
      <c r="R77" s="77">
        <f t="shared" si="15"/>
        <v>-1.0594251131705682E-2</v>
      </c>
      <c r="S77" s="77">
        <f t="shared" si="16"/>
        <v>2.4534686971236252E-3</v>
      </c>
      <c r="T77" s="77">
        <f t="shared" si="17"/>
        <v>2.2727272727272728E-2</v>
      </c>
      <c r="U77" s="78">
        <f t="shared" si="18"/>
        <v>-6.0343136472191215E-6</v>
      </c>
      <c r="V77" s="80">
        <f t="shared" si="19"/>
        <v>1.2423606488390915E-2</v>
      </c>
    </row>
    <row r="78" spans="1:22">
      <c r="A78" s="146">
        <v>67</v>
      </c>
      <c r="B78" s="133" t="s">
        <v>111</v>
      </c>
      <c r="C78" s="134" t="s">
        <v>27</v>
      </c>
      <c r="D78" s="2">
        <v>39372200303.449997</v>
      </c>
      <c r="E78" s="3">
        <f t="shared" si="20"/>
        <v>0.17323660256162801</v>
      </c>
      <c r="F78" s="15">
        <v>1651.1</v>
      </c>
      <c r="G78" s="15">
        <v>1651.1</v>
      </c>
      <c r="H78" s="58">
        <v>2331</v>
      </c>
      <c r="I78" s="5">
        <v>1.5E-3</v>
      </c>
      <c r="J78" s="5">
        <v>6.7000000000000004E-2</v>
      </c>
      <c r="K78" s="2">
        <v>34648493697.279999</v>
      </c>
      <c r="L78" s="3">
        <f t="shared" si="14"/>
        <v>0.15588792306625368</v>
      </c>
      <c r="M78" s="15">
        <v>1654.22</v>
      </c>
      <c r="N78" s="15">
        <v>1654.22</v>
      </c>
      <c r="O78" s="58">
        <v>2329</v>
      </c>
      <c r="P78" s="5">
        <v>1.9E-3</v>
      </c>
      <c r="Q78" s="5">
        <v>6.9000000000000006E-2</v>
      </c>
      <c r="R78" s="77">
        <f t="shared" si="15"/>
        <v>-0.11997568258221226</v>
      </c>
      <c r="S78" s="77">
        <f t="shared" si="16"/>
        <v>1.8896493246927009E-3</v>
      </c>
      <c r="T78" s="77">
        <f t="shared" si="17"/>
        <v>-8.5800085800085801E-4</v>
      </c>
      <c r="U78" s="78">
        <f t="shared" si="18"/>
        <v>3.9999999999999996E-4</v>
      </c>
      <c r="V78" s="80">
        <f t="shared" si="19"/>
        <v>2.0000000000000018E-3</v>
      </c>
    </row>
    <row r="79" spans="1:22">
      <c r="A79" s="143">
        <v>68</v>
      </c>
      <c r="B79" s="133" t="s">
        <v>112</v>
      </c>
      <c r="C79" s="134" t="s">
        <v>72</v>
      </c>
      <c r="D79" s="2">
        <v>22666111.539999999</v>
      </c>
      <c r="E79" s="3">
        <f t="shared" si="20"/>
        <v>9.9730269738784215E-5</v>
      </c>
      <c r="F79" s="14">
        <v>0.69130000000000003</v>
      </c>
      <c r="G79" s="14">
        <v>0.69130000000000003</v>
      </c>
      <c r="H79" s="58">
        <v>746</v>
      </c>
      <c r="I79" s="5">
        <v>4.1000000000000003E-3</v>
      </c>
      <c r="J79" s="5">
        <v>-9.5600000000000004E-2</v>
      </c>
      <c r="K79" s="2">
        <v>22928215.82</v>
      </c>
      <c r="L79" s="3">
        <f t="shared" si="14"/>
        <v>1.0315692148184807E-4</v>
      </c>
      <c r="M79" s="14">
        <v>0.69930000000000003</v>
      </c>
      <c r="N79" s="14">
        <v>0.69930000000000003</v>
      </c>
      <c r="O79" s="58">
        <v>746</v>
      </c>
      <c r="P79" s="5">
        <v>1.6999999999999999E-3</v>
      </c>
      <c r="Q79" s="5">
        <v>-8.5199999999999998E-2</v>
      </c>
      <c r="R79" s="77">
        <f t="shared" si="15"/>
        <v>1.1563707323042724E-2</v>
      </c>
      <c r="S79" s="77">
        <f t="shared" si="16"/>
        <v>1.1572399826414012E-2</v>
      </c>
      <c r="T79" s="77">
        <f t="shared" si="17"/>
        <v>0</v>
      </c>
      <c r="U79" s="78">
        <f t="shared" si="18"/>
        <v>-2.4000000000000002E-3</v>
      </c>
      <c r="V79" s="80">
        <f t="shared" si="19"/>
        <v>1.0400000000000006E-2</v>
      </c>
    </row>
    <row r="80" spans="1:22">
      <c r="A80" s="145">
        <v>69</v>
      </c>
      <c r="B80" s="133" t="s">
        <v>249</v>
      </c>
      <c r="C80" s="134" t="s">
        <v>32</v>
      </c>
      <c r="D80" s="2">
        <v>10233528285.299999</v>
      </c>
      <c r="E80" s="3">
        <f t="shared" si="20"/>
        <v>4.5027244063074387E-2</v>
      </c>
      <c r="F80" s="14">
        <v>1</v>
      </c>
      <c r="G80" s="14">
        <v>1</v>
      </c>
      <c r="H80" s="58">
        <v>5238</v>
      </c>
      <c r="I80" s="5">
        <v>0.06</v>
      </c>
      <c r="J80" s="5">
        <v>0.06</v>
      </c>
      <c r="K80" s="2">
        <v>10250802897.610001</v>
      </c>
      <c r="L80" s="3">
        <f t="shared" si="14"/>
        <v>4.611964916660731E-2</v>
      </c>
      <c r="M80" s="14">
        <v>1</v>
      </c>
      <c r="N80" s="14">
        <v>1</v>
      </c>
      <c r="O80" s="58">
        <v>5238</v>
      </c>
      <c r="P80" s="5">
        <v>0.06</v>
      </c>
      <c r="Q80" s="5">
        <v>0.06</v>
      </c>
      <c r="R80" s="77">
        <f>((K80-D80)/D80)</f>
        <v>1.6880407058448817E-3</v>
      </c>
      <c r="S80" s="77">
        <f>((N80-G80)/G80)</f>
        <v>0</v>
      </c>
      <c r="T80" s="77">
        <f>((O80-H80)/H80)</f>
        <v>0</v>
      </c>
      <c r="U80" s="78">
        <f>P80-I80</f>
        <v>0</v>
      </c>
      <c r="V80" s="80">
        <f>Q80-J80</f>
        <v>0</v>
      </c>
    </row>
    <row r="81" spans="1:22">
      <c r="A81" s="143">
        <v>70</v>
      </c>
      <c r="B81" s="133" t="s">
        <v>113</v>
      </c>
      <c r="C81" s="134" t="s">
        <v>114</v>
      </c>
      <c r="D81" s="2">
        <v>1195077540.8800001</v>
      </c>
      <c r="E81" s="3">
        <f t="shared" si="20"/>
        <v>5.2583084354982101E-3</v>
      </c>
      <c r="F81" s="2">
        <v>226.529584</v>
      </c>
      <c r="G81" s="2">
        <v>228.35799900000001</v>
      </c>
      <c r="H81" s="58">
        <v>488</v>
      </c>
      <c r="I81" s="5">
        <v>5.0000000000000001E-4</v>
      </c>
      <c r="J81" s="5">
        <v>8.6499999999999994E-2</v>
      </c>
      <c r="K81" s="2">
        <v>1183798781.4300001</v>
      </c>
      <c r="L81" s="3">
        <f t="shared" si="14"/>
        <v>5.3260593368874678E-3</v>
      </c>
      <c r="M81" s="2">
        <v>224.84</v>
      </c>
      <c r="N81" s="2">
        <v>226.79</v>
      </c>
      <c r="O81" s="58">
        <v>488</v>
      </c>
      <c r="P81" s="5">
        <v>1E-3</v>
      </c>
      <c r="Q81" s="5">
        <v>9.1999999999999998E-2</v>
      </c>
      <c r="R81" s="77">
        <f t="shared" si="15"/>
        <v>-9.4376800368073926E-3</v>
      </c>
      <c r="S81" s="77">
        <f t="shared" si="16"/>
        <v>-6.8664071627287928E-3</v>
      </c>
      <c r="T81" s="77">
        <f t="shared" si="17"/>
        <v>0</v>
      </c>
      <c r="U81" s="78">
        <f t="shared" si="18"/>
        <v>5.0000000000000001E-4</v>
      </c>
      <c r="V81" s="80">
        <f t="shared" si="19"/>
        <v>5.5000000000000049E-3</v>
      </c>
    </row>
    <row r="82" spans="1:22">
      <c r="A82" s="145">
        <v>71</v>
      </c>
      <c r="B82" s="133" t="s">
        <v>115</v>
      </c>
      <c r="C82" s="134" t="s">
        <v>34</v>
      </c>
      <c r="D82" s="2">
        <v>1052835255.22</v>
      </c>
      <c r="E82" s="3">
        <f t="shared" si="20"/>
        <v>4.6324462759434705E-3</v>
      </c>
      <c r="F82" s="14">
        <v>3.48</v>
      </c>
      <c r="G82" s="14">
        <v>3.48</v>
      </c>
      <c r="H82" s="59">
        <v>771</v>
      </c>
      <c r="I82" s="12">
        <v>1.5E-3</v>
      </c>
      <c r="J82" s="12">
        <v>-5.04E-2</v>
      </c>
      <c r="K82" s="2">
        <v>1054063675.36</v>
      </c>
      <c r="L82" s="3">
        <f t="shared" si="14"/>
        <v>4.7423648071705793E-3</v>
      </c>
      <c r="M82" s="14">
        <v>3.48</v>
      </c>
      <c r="N82" s="14">
        <v>3.48</v>
      </c>
      <c r="O82" s="59">
        <v>771</v>
      </c>
      <c r="P82" s="12">
        <v>1.1999999999999999E-3</v>
      </c>
      <c r="Q82" s="12">
        <v>-4.6800000000000001E-2</v>
      </c>
      <c r="R82" s="77">
        <f t="shared" si="15"/>
        <v>1.1667733711513066E-3</v>
      </c>
      <c r="S82" s="77">
        <f t="shared" si="16"/>
        <v>0</v>
      </c>
      <c r="T82" s="77">
        <f t="shared" si="17"/>
        <v>0</v>
      </c>
      <c r="U82" s="78">
        <f t="shared" si="18"/>
        <v>-3.0000000000000014E-4</v>
      </c>
      <c r="V82" s="80">
        <f t="shared" si="19"/>
        <v>3.599999999999999E-3</v>
      </c>
    </row>
    <row r="83" spans="1:22">
      <c r="A83" s="142">
        <v>72</v>
      </c>
      <c r="B83" s="133" t="s">
        <v>256</v>
      </c>
      <c r="C83" s="134" t="s">
        <v>36</v>
      </c>
      <c r="D83" s="2">
        <v>528370549.39999998</v>
      </c>
      <c r="E83" s="3">
        <f t="shared" si="20"/>
        <v>2.3248159403389053E-3</v>
      </c>
      <c r="F83" s="14">
        <v>105.13</v>
      </c>
      <c r="G83" s="14">
        <v>105.13</v>
      </c>
      <c r="H83" s="59">
        <v>62</v>
      </c>
      <c r="I83" s="12">
        <v>0.14019999999999999</v>
      </c>
      <c r="J83" s="12">
        <v>0.16120000000000001</v>
      </c>
      <c r="K83" s="2">
        <v>529748729.54000002</v>
      </c>
      <c r="L83" s="3">
        <f t="shared" si="14"/>
        <v>2.3834060411538184E-3</v>
      </c>
      <c r="M83" s="14">
        <v>105.4</v>
      </c>
      <c r="N83" s="14">
        <v>105.4</v>
      </c>
      <c r="O83" s="59">
        <v>62</v>
      </c>
      <c r="P83" s="12">
        <v>0.14019999999999999</v>
      </c>
      <c r="Q83" s="12">
        <v>0.16139999999999999</v>
      </c>
      <c r="R83" s="77">
        <f>((K83-D83)/D83)</f>
        <v>2.6083591176023356E-3</v>
      </c>
      <c r="S83" s="77">
        <f>((N83-G83)/G83)</f>
        <v>2.5682488347760889E-3</v>
      </c>
      <c r="T83" s="77">
        <f>((O83-H83)/H83)</f>
        <v>0</v>
      </c>
      <c r="U83" s="78">
        <f>P83-I83</f>
        <v>0</v>
      </c>
      <c r="V83" s="80">
        <f>Q83-J83</f>
        <v>1.9999999999997797E-4</v>
      </c>
    </row>
    <row r="84" spans="1:22">
      <c r="A84" s="152">
        <v>73</v>
      </c>
      <c r="B84" s="134" t="s">
        <v>116</v>
      </c>
      <c r="C84" s="154" t="s">
        <v>40</v>
      </c>
      <c r="D84" s="2">
        <v>1747814215.7</v>
      </c>
      <c r="E84" s="3">
        <f t="shared" si="20"/>
        <v>7.6903346600685875E-3</v>
      </c>
      <c r="F84" s="14">
        <v>97.99</v>
      </c>
      <c r="G84" s="14">
        <v>97.99</v>
      </c>
      <c r="H84" s="58">
        <v>139</v>
      </c>
      <c r="I84" s="5">
        <v>3.0999999999999999E-3</v>
      </c>
      <c r="J84" s="5">
        <v>6.2899999999999998E-2</v>
      </c>
      <c r="K84" s="2">
        <v>1758222291.1500001</v>
      </c>
      <c r="L84" s="3">
        <f t="shared" si="14"/>
        <v>7.9104628227367919E-3</v>
      </c>
      <c r="M84" s="14">
        <v>98.11</v>
      </c>
      <c r="N84" s="14">
        <v>98.11</v>
      </c>
      <c r="O84" s="58">
        <v>139</v>
      </c>
      <c r="P84" s="5">
        <v>1.1999999999999999E-3</v>
      </c>
      <c r="Q84" s="5">
        <v>6.4000000000000001E-2</v>
      </c>
      <c r="R84" s="77">
        <f t="shared" si="15"/>
        <v>5.9549094843765246E-3</v>
      </c>
      <c r="S84" s="77">
        <f t="shared" si="16"/>
        <v>1.2246147566078636E-3</v>
      </c>
      <c r="T84" s="77">
        <f t="shared" si="17"/>
        <v>0</v>
      </c>
      <c r="U84" s="78">
        <f t="shared" si="18"/>
        <v>-1.9E-3</v>
      </c>
      <c r="V84" s="80">
        <f t="shared" si="19"/>
        <v>1.1000000000000038E-3</v>
      </c>
    </row>
    <row r="85" spans="1:22">
      <c r="A85" s="146">
        <v>74</v>
      </c>
      <c r="B85" s="133" t="s">
        <v>117</v>
      </c>
      <c r="C85" s="134" t="s">
        <v>17</v>
      </c>
      <c r="D85" s="2">
        <v>1274707196.0599999</v>
      </c>
      <c r="E85" s="3">
        <f t="shared" si="20"/>
        <v>5.6086767364876867E-3</v>
      </c>
      <c r="F85" s="14">
        <v>335.08170000000001</v>
      </c>
      <c r="G85" s="14">
        <v>335.08170000000001</v>
      </c>
      <c r="H85" s="58">
        <v>105</v>
      </c>
      <c r="I85" s="5">
        <v>2.3E-3</v>
      </c>
      <c r="J85" s="5">
        <v>6.0199999999999997E-2</v>
      </c>
      <c r="K85" s="2">
        <v>1278772436.3299999</v>
      </c>
      <c r="L85" s="3">
        <f t="shared" si="14"/>
        <v>5.7533577336871628E-3</v>
      </c>
      <c r="M85" s="14">
        <v>336.09160000000003</v>
      </c>
      <c r="N85" s="14">
        <v>336.09160000000003</v>
      </c>
      <c r="O85" s="58">
        <v>105</v>
      </c>
      <c r="P85" s="5">
        <v>2.3E-3</v>
      </c>
      <c r="Q85" s="5">
        <v>6.3100000000000003E-2</v>
      </c>
      <c r="R85" s="77">
        <f t="shared" si="15"/>
        <v>3.1891561313572687E-3</v>
      </c>
      <c r="S85" s="77">
        <f t="shared" si="16"/>
        <v>3.0138918359314043E-3</v>
      </c>
      <c r="T85" s="77">
        <f t="shared" si="17"/>
        <v>0</v>
      </c>
      <c r="U85" s="78">
        <f t="shared" si="18"/>
        <v>0</v>
      </c>
      <c r="V85" s="80">
        <f t="shared" si="19"/>
        <v>2.9000000000000067E-3</v>
      </c>
    </row>
    <row r="86" spans="1:22">
      <c r="A86" s="149">
        <v>75</v>
      </c>
      <c r="B86" s="133" t="s">
        <v>250</v>
      </c>
      <c r="C86" s="134" t="s">
        <v>78</v>
      </c>
      <c r="D86" s="9">
        <v>1610976417.1400001</v>
      </c>
      <c r="E86" s="3">
        <f>(D86/$K$61)</f>
        <v>1.3451882597117003E-3</v>
      </c>
      <c r="F86" s="14">
        <v>102.16</v>
      </c>
      <c r="G86" s="14">
        <v>102.16</v>
      </c>
      <c r="H86" s="58">
        <v>373</v>
      </c>
      <c r="I86" s="5">
        <v>2.7000000000000001E-3</v>
      </c>
      <c r="J86" s="5">
        <v>7.8E-2</v>
      </c>
      <c r="K86" s="9">
        <v>1563105132.26</v>
      </c>
      <c r="L86" s="3">
        <f>(K86/$K$61)</f>
        <v>1.3052150548200894E-3</v>
      </c>
      <c r="M86" s="14">
        <v>102.4</v>
      </c>
      <c r="N86" s="14">
        <v>102.4</v>
      </c>
      <c r="O86" s="58">
        <v>373</v>
      </c>
      <c r="P86" s="5">
        <v>2.3999999999999998E-3</v>
      </c>
      <c r="Q86" s="5">
        <v>8.0399999999999999E-2</v>
      </c>
      <c r="R86" s="77">
        <f t="shared" si="15"/>
        <v>-2.9715695630720032E-2</v>
      </c>
      <c r="S86" s="77">
        <f t="shared" si="16"/>
        <v>2.3492560689116005E-3</v>
      </c>
      <c r="T86" s="77">
        <f t="shared" si="17"/>
        <v>0</v>
      </c>
      <c r="U86" s="78">
        <f t="shared" si="18"/>
        <v>-3.0000000000000035E-4</v>
      </c>
      <c r="V86" s="80">
        <f t="shared" si="19"/>
        <v>2.3999999999999994E-3</v>
      </c>
    </row>
    <row r="87" spans="1:22">
      <c r="A87" s="147">
        <v>76</v>
      </c>
      <c r="B87" s="133" t="s">
        <v>118</v>
      </c>
      <c r="C87" s="134" t="s">
        <v>38</v>
      </c>
      <c r="D87" s="2">
        <v>57217967.350000001</v>
      </c>
      <c r="E87" s="3">
        <f t="shared" ref="E87:E98" si="21">(D87/$D$99)</f>
        <v>2.5175748860364287E-4</v>
      </c>
      <c r="F87" s="2">
        <v>12.497472999999999</v>
      </c>
      <c r="G87" s="2">
        <v>12.686413999999999</v>
      </c>
      <c r="H87" s="58">
        <v>56</v>
      </c>
      <c r="I87" s="5">
        <v>-1.37E-2</v>
      </c>
      <c r="J87" s="5">
        <v>7.4499999999999997E-2</v>
      </c>
      <c r="K87" s="2">
        <v>57338962.280000001</v>
      </c>
      <c r="L87" s="3">
        <f t="shared" ref="L87:L98" si="22">(K87/$K$99)</f>
        <v>2.5797518987975962E-4</v>
      </c>
      <c r="M87" s="2">
        <v>12.523901</v>
      </c>
      <c r="N87" s="2">
        <v>12.714498000000001</v>
      </c>
      <c r="O87" s="58">
        <v>56</v>
      </c>
      <c r="P87" s="5">
        <v>6.9999999999999999E-4</v>
      </c>
      <c r="Q87" s="5">
        <v>7.5800000000000006E-2</v>
      </c>
      <c r="R87" s="77">
        <f t="shared" si="15"/>
        <v>2.1146317425063108E-3</v>
      </c>
      <c r="S87" s="77">
        <f t="shared" si="16"/>
        <v>2.2137067259512069E-3</v>
      </c>
      <c r="T87" s="77">
        <f t="shared" si="17"/>
        <v>0</v>
      </c>
      <c r="U87" s="78">
        <f t="shared" si="18"/>
        <v>1.44E-2</v>
      </c>
      <c r="V87" s="80">
        <f t="shared" si="19"/>
        <v>1.3000000000000095E-3</v>
      </c>
    </row>
    <row r="88" spans="1:22">
      <c r="A88" s="152">
        <v>77</v>
      </c>
      <c r="B88" s="133" t="s">
        <v>234</v>
      </c>
      <c r="C88" s="134" t="s">
        <v>235</v>
      </c>
      <c r="D88" s="2">
        <v>298575286.69999999</v>
      </c>
      <c r="E88" s="3">
        <f t="shared" si="21"/>
        <v>1.3137230807047299E-3</v>
      </c>
      <c r="F88" s="2">
        <v>122.44</v>
      </c>
      <c r="G88" s="2">
        <v>122.44</v>
      </c>
      <c r="H88" s="58">
        <v>86</v>
      </c>
      <c r="I88" s="5">
        <v>0.152</v>
      </c>
      <c r="J88" s="5">
        <v>0.1726</v>
      </c>
      <c r="K88" s="2">
        <v>300135922.25</v>
      </c>
      <c r="L88" s="3">
        <f t="shared" si="22"/>
        <v>1.3503491945683066E-3</v>
      </c>
      <c r="M88" s="2">
        <v>122.78</v>
      </c>
      <c r="N88" s="2">
        <v>122.78</v>
      </c>
      <c r="O88" s="58">
        <v>86</v>
      </c>
      <c r="P88" s="5">
        <v>0.15340000000000001</v>
      </c>
      <c r="Q88" s="5">
        <v>0.17199999999999999</v>
      </c>
      <c r="R88" s="77">
        <f>((K88-D88)/D88)</f>
        <v>5.226941476801107E-3</v>
      </c>
      <c r="S88" s="77">
        <f>((N88-G88)/G88)</f>
        <v>2.7768703038223083E-3</v>
      </c>
      <c r="T88" s="77">
        <f>((O88-H88)/H88)</f>
        <v>0</v>
      </c>
      <c r="U88" s="78">
        <f t="shared" si="18"/>
        <v>1.4000000000000123E-3</v>
      </c>
      <c r="V88" s="80">
        <f t="shared" si="19"/>
        <v>-6.0000000000001719E-4</v>
      </c>
    </row>
    <row r="89" spans="1:22">
      <c r="A89" s="149">
        <v>78</v>
      </c>
      <c r="B89" s="133" t="s">
        <v>119</v>
      </c>
      <c r="C89" s="134" t="s">
        <v>120</v>
      </c>
      <c r="D89" s="2">
        <v>6764581626.2084455</v>
      </c>
      <c r="E89" s="3">
        <f t="shared" si="21"/>
        <v>2.976397381003058E-2</v>
      </c>
      <c r="F89" s="2">
        <v>1.08</v>
      </c>
      <c r="G89" s="2">
        <v>1.08</v>
      </c>
      <c r="H89" s="58">
        <v>4485</v>
      </c>
      <c r="I89" s="5">
        <v>0.15029999999999999</v>
      </c>
      <c r="J89" s="5">
        <v>0.15029999999999999</v>
      </c>
      <c r="K89" s="2">
        <v>7341728457.4663572</v>
      </c>
      <c r="L89" s="3">
        <f t="shared" si="22"/>
        <v>3.3031358042577362E-2</v>
      </c>
      <c r="M89" s="2">
        <v>1.08</v>
      </c>
      <c r="N89" s="2">
        <v>1.08</v>
      </c>
      <c r="O89" s="58">
        <v>4497</v>
      </c>
      <c r="P89" s="5">
        <v>0.1502</v>
      </c>
      <c r="Q89" s="5">
        <v>0.1502</v>
      </c>
      <c r="R89" s="77">
        <f t="shared" si="15"/>
        <v>8.5318924827787621E-2</v>
      </c>
      <c r="S89" s="77">
        <f t="shared" si="16"/>
        <v>0</v>
      </c>
      <c r="T89" s="77">
        <f t="shared" si="17"/>
        <v>2.6755852842809363E-3</v>
      </c>
      <c r="U89" s="78">
        <f t="shared" si="18"/>
        <v>-9.9999999999988987E-5</v>
      </c>
      <c r="V89" s="80">
        <f t="shared" si="19"/>
        <v>-9.9999999999988987E-5</v>
      </c>
    </row>
    <row r="90" spans="1:22" ht="14.25" customHeight="1">
      <c r="A90" s="143">
        <v>79</v>
      </c>
      <c r="B90" s="133" t="s">
        <v>121</v>
      </c>
      <c r="C90" s="134" t="s">
        <v>42</v>
      </c>
      <c r="D90" s="2">
        <v>15858505667.889999</v>
      </c>
      <c r="E90" s="3">
        <f t="shared" si="21"/>
        <v>6.9776990425624102E-2</v>
      </c>
      <c r="F90" s="2">
        <v>5162.97</v>
      </c>
      <c r="G90" s="2">
        <v>5162.97</v>
      </c>
      <c r="H90" s="58">
        <v>357</v>
      </c>
      <c r="I90" s="5">
        <v>1E-4</v>
      </c>
      <c r="J90" s="5">
        <v>3.0200000000000001E-2</v>
      </c>
      <c r="K90" s="2">
        <v>15551398808.290001</v>
      </c>
      <c r="L90" s="3">
        <f t="shared" si="22"/>
        <v>6.9967695628559257E-2</v>
      </c>
      <c r="M90" s="2">
        <v>5163.34</v>
      </c>
      <c r="N90" s="2">
        <v>5163.34</v>
      </c>
      <c r="O90" s="58">
        <v>354</v>
      </c>
      <c r="P90" s="5">
        <v>1E-4</v>
      </c>
      <c r="Q90" s="5">
        <v>3.0300000000000001E-2</v>
      </c>
      <c r="R90" s="77">
        <f t="shared" si="15"/>
        <v>-1.936543493009071E-2</v>
      </c>
      <c r="S90" s="77">
        <f t="shared" si="16"/>
        <v>7.1664177789119605E-5</v>
      </c>
      <c r="T90" s="77">
        <f t="shared" si="17"/>
        <v>-8.4033613445378148E-3</v>
      </c>
      <c r="U90" s="78">
        <f t="shared" si="18"/>
        <v>0</v>
      </c>
      <c r="V90" s="80">
        <f t="shared" si="19"/>
        <v>9.9999999999999395E-5</v>
      </c>
    </row>
    <row r="91" spans="1:22">
      <c r="A91" s="143">
        <v>80</v>
      </c>
      <c r="B91" s="133" t="s">
        <v>122</v>
      </c>
      <c r="C91" s="134" t="s">
        <v>42</v>
      </c>
      <c r="D91" s="2">
        <v>25925831373.060001</v>
      </c>
      <c r="E91" s="3">
        <f t="shared" si="21"/>
        <v>0.11407294768997278</v>
      </c>
      <c r="F91" s="14">
        <v>258.39</v>
      </c>
      <c r="G91" s="14">
        <v>258.39</v>
      </c>
      <c r="H91" s="58">
        <v>6523</v>
      </c>
      <c r="I91" s="5">
        <v>0</v>
      </c>
      <c r="J91" s="5">
        <v>1.01E-2</v>
      </c>
      <c r="K91" s="2">
        <v>25470922476.990002</v>
      </c>
      <c r="L91" s="3">
        <f t="shared" si="22"/>
        <v>0.11459687795406912</v>
      </c>
      <c r="M91" s="14">
        <v>258.39</v>
      </c>
      <c r="N91" s="14">
        <v>258.36</v>
      </c>
      <c r="O91" s="58">
        <v>6512</v>
      </c>
      <c r="P91" s="5">
        <v>0</v>
      </c>
      <c r="Q91" s="5">
        <v>1.01E-2</v>
      </c>
      <c r="R91" s="77">
        <f t="shared" si="15"/>
        <v>-1.7546549984225529E-2</v>
      </c>
      <c r="S91" s="77">
        <f t="shared" si="16"/>
        <v>-1.1610356437932086E-4</v>
      </c>
      <c r="T91" s="77">
        <f t="shared" si="17"/>
        <v>-1.6863406408094434E-3</v>
      </c>
      <c r="U91" s="78">
        <f t="shared" si="18"/>
        <v>0</v>
      </c>
      <c r="V91" s="80">
        <f t="shared" si="19"/>
        <v>0</v>
      </c>
    </row>
    <row r="92" spans="1:22" ht="12.75" customHeight="1">
      <c r="A92" s="143">
        <v>81</v>
      </c>
      <c r="B92" s="133" t="s">
        <v>123</v>
      </c>
      <c r="C92" s="134" t="s">
        <v>42</v>
      </c>
      <c r="D92" s="2">
        <v>342435182.66000003</v>
      </c>
      <c r="E92" s="3">
        <f t="shared" si="21"/>
        <v>1.5067054211951366E-3</v>
      </c>
      <c r="F92" s="2">
        <v>5937.51</v>
      </c>
      <c r="G92" s="7">
        <v>5965.98</v>
      </c>
      <c r="H92" s="58">
        <v>15</v>
      </c>
      <c r="I92" s="5">
        <v>-1.6000000000000001E-3</v>
      </c>
      <c r="J92" s="5">
        <v>0.1237</v>
      </c>
      <c r="K92" s="2">
        <v>343114186.92000002</v>
      </c>
      <c r="L92" s="3">
        <f t="shared" si="22"/>
        <v>1.5437138029964072E-3</v>
      </c>
      <c r="M92" s="2">
        <v>5949.27</v>
      </c>
      <c r="N92" s="7">
        <v>5977.81</v>
      </c>
      <c r="O92" s="58">
        <v>15</v>
      </c>
      <c r="P92" s="5">
        <v>2E-3</v>
      </c>
      <c r="Q92" s="5">
        <v>0.126</v>
      </c>
      <c r="R92" s="77">
        <f t="shared" si="15"/>
        <v>1.9828694432784556E-3</v>
      </c>
      <c r="S92" s="77">
        <f t="shared" si="16"/>
        <v>1.9829097650345523E-3</v>
      </c>
      <c r="T92" s="77">
        <f t="shared" si="17"/>
        <v>0</v>
      </c>
      <c r="U92" s="78">
        <f t="shared" si="18"/>
        <v>3.5999999999999999E-3</v>
      </c>
      <c r="V92" s="80">
        <f t="shared" si="19"/>
        <v>2.2999999999999965E-3</v>
      </c>
    </row>
    <row r="93" spans="1:22" ht="12.75" customHeight="1">
      <c r="A93" s="143">
        <v>82</v>
      </c>
      <c r="B93" s="133" t="s">
        <v>124</v>
      </c>
      <c r="C93" s="134" t="s">
        <v>42</v>
      </c>
      <c r="D93" s="2">
        <v>11425151014.200001</v>
      </c>
      <c r="E93" s="3">
        <f t="shared" si="21"/>
        <v>5.0270351420520283E-2</v>
      </c>
      <c r="F93" s="14">
        <v>132.26</v>
      </c>
      <c r="G93" s="14">
        <v>132.26</v>
      </c>
      <c r="H93" s="58">
        <v>4440</v>
      </c>
      <c r="I93" s="5">
        <v>1.5E-3</v>
      </c>
      <c r="J93" s="5">
        <v>5.0299999999999997E-2</v>
      </c>
      <c r="K93" s="2">
        <v>11571613585.68</v>
      </c>
      <c r="L93" s="3">
        <f t="shared" si="22"/>
        <v>5.20621422725372E-2</v>
      </c>
      <c r="M93" s="14">
        <v>132.63</v>
      </c>
      <c r="N93" s="14">
        <v>132.63</v>
      </c>
      <c r="O93" s="58">
        <v>4448</v>
      </c>
      <c r="P93" s="5">
        <v>2.8E-3</v>
      </c>
      <c r="Q93" s="5">
        <v>5.33E-2</v>
      </c>
      <c r="R93" s="77">
        <f t="shared" si="15"/>
        <v>1.2819311648306906E-2</v>
      </c>
      <c r="S93" s="77">
        <f t="shared" si="16"/>
        <v>2.7975200362921862E-3</v>
      </c>
      <c r="T93" s="77">
        <f t="shared" si="17"/>
        <v>1.8018018018018018E-3</v>
      </c>
      <c r="U93" s="78">
        <f t="shared" si="18"/>
        <v>1.2999999999999999E-3</v>
      </c>
      <c r="V93" s="80">
        <f t="shared" si="19"/>
        <v>3.0000000000000027E-3</v>
      </c>
    </row>
    <row r="94" spans="1:22" ht="12.75" customHeight="1">
      <c r="A94" s="143">
        <v>83</v>
      </c>
      <c r="B94" s="133" t="s">
        <v>125</v>
      </c>
      <c r="C94" s="134" t="s">
        <v>42</v>
      </c>
      <c r="D94" s="2">
        <v>9781986970.2199993</v>
      </c>
      <c r="E94" s="3">
        <f t="shared" si="21"/>
        <v>4.304047464867073E-2</v>
      </c>
      <c r="F94" s="14">
        <v>358.66</v>
      </c>
      <c r="G94" s="14">
        <v>359.14</v>
      </c>
      <c r="H94" s="58">
        <v>10209</v>
      </c>
      <c r="I94" s="5">
        <v>-1.9E-3</v>
      </c>
      <c r="J94" s="5">
        <v>1.6400000000000001E-2</v>
      </c>
      <c r="K94" s="2">
        <v>9491310370.1499996</v>
      </c>
      <c r="L94" s="3">
        <f t="shared" si="22"/>
        <v>4.2702596935578471E-2</v>
      </c>
      <c r="M94" s="14">
        <v>358.18</v>
      </c>
      <c r="N94" s="14">
        <v>358.69</v>
      </c>
      <c r="O94" s="58">
        <v>10204</v>
      </c>
      <c r="P94" s="5">
        <v>-1.2999999999999999E-3</v>
      </c>
      <c r="Q94" s="5">
        <v>1.5100000000000001E-2</v>
      </c>
      <c r="R94" s="77">
        <f t="shared" si="15"/>
        <v>-2.971549655043778E-2</v>
      </c>
      <c r="S94" s="77">
        <f t="shared" si="16"/>
        <v>-1.25299326168065E-3</v>
      </c>
      <c r="T94" s="77">
        <f t="shared" si="17"/>
        <v>-4.8976393378391612E-4</v>
      </c>
      <c r="U94" s="78">
        <f t="shared" si="18"/>
        <v>6.0000000000000006E-4</v>
      </c>
      <c r="V94" s="80">
        <f t="shared" si="19"/>
        <v>-1.3000000000000008E-3</v>
      </c>
    </row>
    <row r="95" spans="1:22">
      <c r="A95" s="142">
        <v>84</v>
      </c>
      <c r="B95" s="133" t="s">
        <v>126</v>
      </c>
      <c r="C95" s="134" t="s">
        <v>45</v>
      </c>
      <c r="D95" s="2">
        <v>85570722324.809998</v>
      </c>
      <c r="E95" s="3">
        <f t="shared" si="21"/>
        <v>0.37650883364513371</v>
      </c>
      <c r="F95" s="2">
        <v>1.8998999999999999</v>
      </c>
      <c r="G95" s="2">
        <v>1.8998999999999999</v>
      </c>
      <c r="H95" s="58">
        <v>6258</v>
      </c>
      <c r="I95" s="5">
        <v>7.9899999999999999E-2</v>
      </c>
      <c r="J95" s="5">
        <v>5.3600000000000002E-2</v>
      </c>
      <c r="K95" s="2">
        <v>85695156009.229996</v>
      </c>
      <c r="L95" s="3">
        <f t="shared" si="22"/>
        <v>0.3855532654271247</v>
      </c>
      <c r="M95" s="2">
        <v>1.9027000000000001</v>
      </c>
      <c r="N95" s="2">
        <v>1.9027000000000001</v>
      </c>
      <c r="O95" s="58">
        <v>6222</v>
      </c>
      <c r="P95" s="5">
        <v>7.9799999999999996E-2</v>
      </c>
      <c r="Q95" s="5">
        <v>5.4300000000000001E-2</v>
      </c>
      <c r="R95" s="77">
        <f t="shared" si="15"/>
        <v>1.4541619030358519E-3</v>
      </c>
      <c r="S95" s="77">
        <f t="shared" si="16"/>
        <v>1.4737617769356997E-3</v>
      </c>
      <c r="T95" s="77">
        <f t="shared" si="17"/>
        <v>-5.7526366251198467E-3</v>
      </c>
      <c r="U95" s="78">
        <f t="shared" si="18"/>
        <v>-1.0000000000000286E-4</v>
      </c>
      <c r="V95" s="80">
        <f t="shared" si="19"/>
        <v>6.9999999999999923E-4</v>
      </c>
    </row>
    <row r="96" spans="1:22">
      <c r="A96" s="151">
        <v>85</v>
      </c>
      <c r="B96" s="133" t="s">
        <v>239</v>
      </c>
      <c r="C96" s="133" t="s">
        <v>240</v>
      </c>
      <c r="D96" s="2">
        <v>86892482.219999999</v>
      </c>
      <c r="E96" s="3">
        <f t="shared" si="21"/>
        <v>3.8232454096857904E-4</v>
      </c>
      <c r="F96" s="2">
        <v>107.0222343456156</v>
      </c>
      <c r="G96" s="2">
        <v>107.0222343456156</v>
      </c>
      <c r="H96" s="58">
        <v>56</v>
      </c>
      <c r="I96" s="5">
        <v>1.5115401616651615E-3</v>
      </c>
      <c r="J96" s="5">
        <v>5.3400000000000003E-2</v>
      </c>
      <c r="K96" s="2">
        <v>87188574.5</v>
      </c>
      <c r="L96" s="3">
        <f t="shared" si="22"/>
        <v>3.9227234270733418E-4</v>
      </c>
      <c r="M96" s="2">
        <v>107.23293283840817</v>
      </c>
      <c r="N96" s="2">
        <v>107.23293283840817</v>
      </c>
      <c r="O96" s="58">
        <v>56</v>
      </c>
      <c r="P96" s="5">
        <v>1.9687356938572964E-3</v>
      </c>
      <c r="Q96" s="5">
        <v>5.5452640659929386E-2</v>
      </c>
      <c r="R96" s="77">
        <f>((K96-D96)/D96)</f>
        <v>3.4075707407038463E-3</v>
      </c>
      <c r="S96" s="77">
        <f>((N96-G96)/G96)</f>
        <v>1.9687356938572964E-3</v>
      </c>
      <c r="T96" s="77">
        <f>((O96-H96)/H96)</f>
        <v>0</v>
      </c>
      <c r="U96" s="78">
        <f>P96-I96</f>
        <v>4.5719553219213485E-4</v>
      </c>
      <c r="V96" s="80">
        <f>Q96-J96</f>
        <v>2.0526406599293834E-3</v>
      </c>
    </row>
    <row r="97" spans="1:28">
      <c r="A97" s="151">
        <v>86</v>
      </c>
      <c r="B97" s="133" t="s">
        <v>260</v>
      </c>
      <c r="C97" s="134" t="s">
        <v>259</v>
      </c>
      <c r="D97" s="2">
        <v>231774334.27000001</v>
      </c>
      <c r="E97" s="3">
        <f t="shared" si="21"/>
        <v>1.0198007203168578E-3</v>
      </c>
      <c r="F97" s="2">
        <v>0.97840000000000005</v>
      </c>
      <c r="G97" s="2">
        <v>0.97840000000000005</v>
      </c>
      <c r="H97" s="58">
        <v>296</v>
      </c>
      <c r="I97" s="5">
        <v>4.8099999999999998E-4</v>
      </c>
      <c r="J97" s="5">
        <v>-6.0021999999999999E-2</v>
      </c>
      <c r="K97" s="2">
        <v>230622780.49000001</v>
      </c>
      <c r="L97" s="3">
        <f t="shared" si="22"/>
        <v>1.0376008428087283E-3</v>
      </c>
      <c r="M97" s="2">
        <v>0.97330000000000005</v>
      </c>
      <c r="N97" s="2">
        <v>0.97330000000000005</v>
      </c>
      <c r="O97" s="58">
        <v>298</v>
      </c>
      <c r="P97" s="5">
        <v>4.705E-3</v>
      </c>
      <c r="Q97" s="5">
        <v>-6.4893999999999993E-2</v>
      </c>
      <c r="R97" s="77">
        <f>((K97-D97)/D97)</f>
        <v>-4.9684266535678012E-3</v>
      </c>
      <c r="S97" s="77">
        <f>((N97-G97)/G97)</f>
        <v>-5.2125919869174088E-3</v>
      </c>
      <c r="T97" s="77">
        <f>((O97-H97)/H97)</f>
        <v>6.7567567567567571E-3</v>
      </c>
      <c r="U97" s="78">
        <f>P97-I97</f>
        <v>4.2240000000000003E-3</v>
      </c>
      <c r="V97" s="80">
        <f>Q97-J97</f>
        <v>-4.8719999999999944E-3</v>
      </c>
    </row>
    <row r="98" spans="1:28">
      <c r="A98" s="142">
        <v>87</v>
      </c>
      <c r="B98" s="133" t="s">
        <v>127</v>
      </c>
      <c r="C98" s="134" t="s">
        <v>91</v>
      </c>
      <c r="D98" s="2">
        <v>2597778901.5</v>
      </c>
      <c r="E98" s="3">
        <f t="shared" si="21"/>
        <v>1.1430155989090203E-2</v>
      </c>
      <c r="F98" s="14">
        <v>26.875900000000001</v>
      </c>
      <c r="G98" s="14">
        <v>26.875900000000001</v>
      </c>
      <c r="H98" s="58">
        <v>1313</v>
      </c>
      <c r="I98" s="5">
        <v>0</v>
      </c>
      <c r="J98" s="5">
        <v>0.1221</v>
      </c>
      <c r="K98" s="2">
        <v>2554176819.21</v>
      </c>
      <c r="L98" s="3">
        <f t="shared" si="22"/>
        <v>1.1491562172062738E-2</v>
      </c>
      <c r="M98" s="14">
        <v>26.971</v>
      </c>
      <c r="N98" s="14">
        <v>26.971</v>
      </c>
      <c r="O98" s="58">
        <v>1312</v>
      </c>
      <c r="P98" s="5">
        <v>0.13150000000000001</v>
      </c>
      <c r="Q98" s="5">
        <v>0.13150000000000001</v>
      </c>
      <c r="R98" s="77">
        <f t="shared" si="15"/>
        <v>-1.6784370011175088E-2</v>
      </c>
      <c r="S98" s="77">
        <f t="shared" si="16"/>
        <v>3.5384861530218009E-3</v>
      </c>
      <c r="T98" s="77">
        <f t="shared" si="17"/>
        <v>-7.6161462300076163E-4</v>
      </c>
      <c r="U98" s="78">
        <f t="shared" si="18"/>
        <v>0.13150000000000001</v>
      </c>
      <c r="V98" s="80">
        <f t="shared" si="19"/>
        <v>9.4000000000000056E-3</v>
      </c>
    </row>
    <row r="99" spans="1:28">
      <c r="A99" s="72"/>
      <c r="B99" s="131"/>
      <c r="C99" s="69" t="s">
        <v>46</v>
      </c>
      <c r="D99" s="57">
        <f>SUM(D64:D98)</f>
        <v>227274142538.3446</v>
      </c>
      <c r="E99" s="97">
        <f>(D99/$D$198)</f>
        <v>7.0749318376067696E-2</v>
      </c>
      <c r="F99" s="30"/>
      <c r="G99" s="11"/>
      <c r="H99" s="63">
        <f>SUM(H64:H98)</f>
        <v>50186</v>
      </c>
      <c r="I99" s="12"/>
      <c r="J99" s="12"/>
      <c r="K99" s="57">
        <f>SUM(K64:K98)</f>
        <v>222265413610.996</v>
      </c>
      <c r="L99" s="97">
        <f>(K99/$K$198)</f>
        <v>6.8359683071978025E-2</v>
      </c>
      <c r="M99" s="30"/>
      <c r="N99" s="11"/>
      <c r="O99" s="63">
        <f>SUM(O64:O98)</f>
        <v>50162</v>
      </c>
      <c r="P99" s="12"/>
      <c r="Q99" s="12"/>
      <c r="R99" s="77">
        <f t="shared" si="15"/>
        <v>-2.203827004430807E-2</v>
      </c>
      <c r="S99" s="77" t="e">
        <f t="shared" si="16"/>
        <v>#DIV/0!</v>
      </c>
      <c r="T99" s="77">
        <f t="shared" si="17"/>
        <v>-4.7822101781373294E-4</v>
      </c>
      <c r="U99" s="78">
        <f t="shared" si="18"/>
        <v>0</v>
      </c>
      <c r="V99" s="80">
        <f t="shared" si="19"/>
        <v>0</v>
      </c>
    </row>
    <row r="100" spans="1:28" ht="8.25" customHeight="1">
      <c r="A100" s="176"/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</row>
    <row r="101" spans="1:28" ht="15" customHeight="1">
      <c r="A101" s="174" t="s">
        <v>128</v>
      </c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</row>
    <row r="102" spans="1:28">
      <c r="A102" s="175" t="s">
        <v>228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Z102" s="111"/>
      <c r="AB102" s="100"/>
    </row>
    <row r="103" spans="1:28" ht="16.5" customHeight="1">
      <c r="A103" s="146">
        <v>88</v>
      </c>
      <c r="B103" s="133" t="s">
        <v>129</v>
      </c>
      <c r="C103" s="134" t="s">
        <v>17</v>
      </c>
      <c r="D103" s="2">
        <v>2889026743.6599998</v>
      </c>
      <c r="E103" s="3">
        <f>(D103/$D$133)</f>
        <v>1.8371617970234868E-3</v>
      </c>
      <c r="F103" s="2">
        <f>109.4884*1602.364</f>
        <v>175440.27057759999</v>
      </c>
      <c r="G103" s="2">
        <f>109.4884*1602.364</f>
        <v>175440.27057759999</v>
      </c>
      <c r="H103" s="58">
        <v>241</v>
      </c>
      <c r="I103" s="5">
        <v>2.3999999999999998E-3</v>
      </c>
      <c r="J103" s="5">
        <v>3.4099999999999998E-2</v>
      </c>
      <c r="K103" s="2">
        <f>1823973.61*1619.232</f>
        <v>2953436436.4675202</v>
      </c>
      <c r="L103" s="3">
        <f t="shared" ref="L103:L117" si="23">(K103/$K$133)</f>
        <v>1.8432850083124502E-3</v>
      </c>
      <c r="M103" s="2">
        <f>109.4275*1619.232</f>
        <v>177188.50967999999</v>
      </c>
      <c r="N103" s="2">
        <f>109.4275*1619.232</f>
        <v>177188.50967999999</v>
      </c>
      <c r="O103" s="58">
        <v>241</v>
      </c>
      <c r="P103" s="5">
        <v>-5.9999999999999995E-4</v>
      </c>
      <c r="Q103" s="5">
        <v>3.3599999999999998E-2</v>
      </c>
      <c r="R103" s="78">
        <f>((K103-D103)/D103)</f>
        <v>2.2294599019849211E-2</v>
      </c>
      <c r="S103" s="78">
        <f>((N103-G103)/G103)</f>
        <v>9.964867795998535E-3</v>
      </c>
      <c r="T103" s="78">
        <f>((O103-H103)/H103)</f>
        <v>0</v>
      </c>
      <c r="U103" s="78">
        <f>P103-I103</f>
        <v>-2.9999999999999996E-3</v>
      </c>
      <c r="V103" s="80">
        <f>Q103-J103</f>
        <v>-5.0000000000000044E-4</v>
      </c>
      <c r="X103" s="111"/>
      <c r="Y103" s="113"/>
      <c r="Z103" s="111"/>
      <c r="AA103" s="101"/>
    </row>
    <row r="104" spans="1:28" ht="16.5" customHeight="1">
      <c r="A104" s="146">
        <v>89</v>
      </c>
      <c r="B104" s="133" t="s">
        <v>266</v>
      </c>
      <c r="C104" s="134" t="s">
        <v>50</v>
      </c>
      <c r="D104" s="2">
        <f>940451.43*1602.364</f>
        <v>1506945515.1805201</v>
      </c>
      <c r="E104" s="3">
        <f>(D104/$D$133)</f>
        <v>9.58282140087847E-4</v>
      </c>
      <c r="F104" s="2">
        <f>100*1602.364</f>
        <v>160236.4</v>
      </c>
      <c r="G104" s="2">
        <f>100*1602.364</f>
        <v>160236.4</v>
      </c>
      <c r="H104" s="58">
        <v>15</v>
      </c>
      <c r="I104" s="5">
        <v>3.104E-3</v>
      </c>
      <c r="J104" s="5">
        <v>6.9586999999999996E-2</v>
      </c>
      <c r="K104" s="2">
        <f>941646.21*1619.232</f>
        <v>1524743675.9107199</v>
      </c>
      <c r="L104" s="3">
        <f t="shared" si="23"/>
        <v>9.5161592937040187E-4</v>
      </c>
      <c r="M104" s="2">
        <f>100*1619.232</f>
        <v>161923.20000000001</v>
      </c>
      <c r="N104" s="2">
        <f>100*1619.232</f>
        <v>161923.20000000001</v>
      </c>
      <c r="O104" s="58">
        <v>15</v>
      </c>
      <c r="P104" s="5">
        <v>-1.9400000000000001E-3</v>
      </c>
      <c r="Q104" s="5">
        <v>6.7646999999999999E-2</v>
      </c>
      <c r="R104" s="78">
        <f>((K104-D104)/D104)</f>
        <v>1.1810752645604269E-2</v>
      </c>
      <c r="S104" s="78">
        <f>((N104-G104)/G104)</f>
        <v>1.0526946436639975E-2</v>
      </c>
      <c r="T104" s="78">
        <f>((O104-H104)/H104)</f>
        <v>0</v>
      </c>
      <c r="U104" s="78">
        <f>P104-I104</f>
        <v>-5.0439999999999999E-3</v>
      </c>
      <c r="V104" s="80">
        <f>Q104-J104</f>
        <v>-1.9399999999999973E-3</v>
      </c>
      <c r="X104" s="111"/>
      <c r="Y104" s="113"/>
      <c r="Z104" s="111"/>
      <c r="AA104" s="101"/>
    </row>
    <row r="105" spans="1:28">
      <c r="A105" s="150">
        <v>90</v>
      </c>
      <c r="B105" s="133" t="s">
        <v>130</v>
      </c>
      <c r="C105" s="134" t="s">
        <v>21</v>
      </c>
      <c r="D105" s="2">
        <f>10859744.35*1601.864</f>
        <v>17395833523.468399</v>
      </c>
      <c r="E105" s="3">
        <f>(D105/$D$133)</f>
        <v>1.1062189315772483E-2</v>
      </c>
      <c r="F105" s="2">
        <f>1.1349*1601.864</f>
        <v>1817.9554536000001</v>
      </c>
      <c r="G105" s="2">
        <f>1.1349*1601.864</f>
        <v>1817.9554536000001</v>
      </c>
      <c r="H105" s="58">
        <v>310</v>
      </c>
      <c r="I105" s="5">
        <v>5.5300000000000002E-2</v>
      </c>
      <c r="J105" s="5">
        <v>-6.1400000000000003E-2</v>
      </c>
      <c r="K105" s="2">
        <f>10953536.81*1600.36</f>
        <v>17529602169.251598</v>
      </c>
      <c r="L105" s="3">
        <f t="shared" si="23"/>
        <v>1.0940493752054454E-2</v>
      </c>
      <c r="M105" s="2">
        <f>1.1359*1600.36</f>
        <v>1817.8489239999997</v>
      </c>
      <c r="N105" s="2">
        <f>1.1359*1600.36</f>
        <v>1817.8489239999997</v>
      </c>
      <c r="O105" s="58">
        <v>310</v>
      </c>
      <c r="P105" s="5">
        <v>4.6100000000000002E-2</v>
      </c>
      <c r="Q105" s="5">
        <v>-5.79E-2</v>
      </c>
      <c r="R105" s="78">
        <f t="shared" ref="R105:R117" si="24">((K105-D105)/D105)</f>
        <v>7.6896945238487417E-3</v>
      </c>
      <c r="S105" s="78">
        <f t="shared" ref="S105:S117" si="25">((N105-G105)/G105)</f>
        <v>-5.8598575553339658E-5</v>
      </c>
      <c r="T105" s="78">
        <f t="shared" ref="T105:T117" si="26">((O105-H105)/H105)</f>
        <v>0</v>
      </c>
      <c r="U105" s="78">
        <f t="shared" ref="U105:U117" si="27">P105-I105</f>
        <v>-9.1999999999999998E-3</v>
      </c>
      <c r="V105" s="80">
        <f t="shared" ref="V105:V117" si="28">Q105-J105</f>
        <v>3.5000000000000031E-3</v>
      </c>
    </row>
    <row r="106" spans="1:28">
      <c r="A106" s="150">
        <v>91</v>
      </c>
      <c r="B106" s="133" t="s">
        <v>265</v>
      </c>
      <c r="C106" s="134" t="s">
        <v>99</v>
      </c>
      <c r="D106" s="2">
        <f>1780471.75*1602.364</f>
        <v>2852963835.217</v>
      </c>
      <c r="E106" s="3">
        <f>(D106/$D$133)</f>
        <v>1.8142290229235486E-3</v>
      </c>
      <c r="F106" s="2">
        <f>1.032*1602.364</f>
        <v>1653.6396480000001</v>
      </c>
      <c r="G106" s="2">
        <f>1.032*1602.364</f>
        <v>1653.6396480000001</v>
      </c>
      <c r="H106" s="58">
        <v>221</v>
      </c>
      <c r="I106" s="5">
        <v>2.8999999999999998E-3</v>
      </c>
      <c r="J106" s="5">
        <v>3.2000000000000001E-2</v>
      </c>
      <c r="K106" s="2">
        <f>1796092.96*1619.232</f>
        <v>2908291195.8067198</v>
      </c>
      <c r="L106" s="3">
        <f t="shared" si="23"/>
        <v>1.8151091707426254E-3</v>
      </c>
      <c r="M106" s="2">
        <f>1.0334*1619.232</f>
        <v>1673.3143488000001</v>
      </c>
      <c r="N106" s="2">
        <f>1.0334*1619.232</f>
        <v>1673.3143488000001</v>
      </c>
      <c r="O106" s="58">
        <v>222</v>
      </c>
      <c r="P106" s="5">
        <v>1.4E-3</v>
      </c>
      <c r="Q106" s="5">
        <v>3.3399999999999999E-2</v>
      </c>
      <c r="R106" s="78">
        <f>((K106-D106)/D106)</f>
        <v>1.9392941441023034E-2</v>
      </c>
      <c r="S106" s="78">
        <f t="shared" ref="S106:T109" si="29">((N106-G106)/G106)</f>
        <v>1.1897816325216691E-2</v>
      </c>
      <c r="T106" s="78">
        <f t="shared" si="29"/>
        <v>4.5248868778280547E-3</v>
      </c>
      <c r="U106" s="78">
        <f>P106-I106</f>
        <v>-1.4999999999999998E-3</v>
      </c>
      <c r="V106" s="80">
        <f>Q106-J106</f>
        <v>1.3999999999999985E-3</v>
      </c>
    </row>
    <row r="107" spans="1:28">
      <c r="A107" s="153">
        <v>92</v>
      </c>
      <c r="B107" s="133" t="s">
        <v>270</v>
      </c>
      <c r="C107" s="134" t="s">
        <v>267</v>
      </c>
      <c r="D107" s="2">
        <f>383967.01*1602.364</f>
        <v>615254914.01164007</v>
      </c>
      <c r="E107" s="3">
        <f>(D107/$D$133)</f>
        <v>3.9124692283782454E-4</v>
      </c>
      <c r="F107" s="2">
        <f>1.05*1602.364</f>
        <v>1682.4822000000001</v>
      </c>
      <c r="G107" s="2">
        <f>1.05*1602.364</f>
        <v>1682.4822000000001</v>
      </c>
      <c r="H107" s="58">
        <v>15</v>
      </c>
      <c r="I107" s="5">
        <v>4.5999999999999999E-3</v>
      </c>
      <c r="J107" s="5">
        <v>6.6400000000000001E-2</v>
      </c>
      <c r="K107" s="2">
        <f>379581.09*1619.232</f>
        <v>614629847.52288008</v>
      </c>
      <c r="L107" s="3">
        <f t="shared" si="23"/>
        <v>3.8359992096371337E-4</v>
      </c>
      <c r="M107" s="2">
        <f>1.04*1619.232</f>
        <v>1684.00128</v>
      </c>
      <c r="N107" s="2">
        <f>1.04*1619.232</f>
        <v>1684.00128</v>
      </c>
      <c r="O107" s="58">
        <v>15</v>
      </c>
      <c r="P107" s="5">
        <v>-0.57569999999999999</v>
      </c>
      <c r="Q107" s="5">
        <v>4.4600000000000001E-2</v>
      </c>
      <c r="R107" s="78">
        <f>((K107-D107)/D107)</f>
        <v>-1.0159471700670866E-3</v>
      </c>
      <c r="S107" s="78">
        <f t="shared" si="29"/>
        <v>9.0288028010032044E-4</v>
      </c>
      <c r="T107" s="78">
        <f t="shared" si="29"/>
        <v>0</v>
      </c>
      <c r="U107" s="78">
        <f>P107-I107</f>
        <v>-0.58030000000000004</v>
      </c>
      <c r="V107" s="80">
        <f>Q107-J107</f>
        <v>-2.18E-2</v>
      </c>
    </row>
    <row r="108" spans="1:28">
      <c r="A108" s="139">
        <v>93</v>
      </c>
      <c r="B108" s="133" t="s">
        <v>241</v>
      </c>
      <c r="C108" s="134" t="s">
        <v>25</v>
      </c>
      <c r="D108" s="2">
        <f>486615.38*1602.364</f>
        <v>779734966.75831997</v>
      </c>
      <c r="E108" s="3">
        <v>0</v>
      </c>
      <c r="F108" s="2">
        <f>1.1551*1602.364</f>
        <v>1850.8906564000001</v>
      </c>
      <c r="G108" s="2">
        <f>1.1551*1602.364</f>
        <v>1850.8906564000001</v>
      </c>
      <c r="H108" s="58">
        <v>33</v>
      </c>
      <c r="I108" s="5">
        <v>1.73E-4</v>
      </c>
      <c r="J108" s="5">
        <v>0.1191</v>
      </c>
      <c r="K108" s="2">
        <f>507441.89*1602.364</f>
        <v>813106616.62796009</v>
      </c>
      <c r="L108" s="3">
        <f t="shared" si="23"/>
        <v>5.0747231871447129E-4</v>
      </c>
      <c r="M108" s="2">
        <f>1.2019*1602.364</f>
        <v>1925.8812915999999</v>
      </c>
      <c r="N108" s="2">
        <f>1.2019*1602.364</f>
        <v>1925.8812915999999</v>
      </c>
      <c r="O108" s="58">
        <v>35</v>
      </c>
      <c r="P108" s="5">
        <v>2.5000000000000001E-4</v>
      </c>
      <c r="Q108" s="5">
        <v>0.1197</v>
      </c>
      <c r="R108" s="78">
        <f>((K108-D108)/D108)</f>
        <v>4.2798708910515876E-2</v>
      </c>
      <c r="S108" s="78">
        <f t="shared" si="29"/>
        <v>4.0515972643061102E-2</v>
      </c>
      <c r="T108" s="78">
        <f t="shared" si="29"/>
        <v>6.0606060606060608E-2</v>
      </c>
      <c r="U108" s="78">
        <f>P108-I108</f>
        <v>7.7000000000000001E-5</v>
      </c>
      <c r="V108" s="80">
        <f t="shared" si="28"/>
        <v>6.0000000000000331E-4</v>
      </c>
    </row>
    <row r="109" spans="1:28">
      <c r="A109" s="140">
        <v>94</v>
      </c>
      <c r="B109" s="133" t="s">
        <v>138</v>
      </c>
      <c r="C109" s="134" t="s">
        <v>64</v>
      </c>
      <c r="D109" s="2">
        <f>423917.54*1602.364</f>
        <v>679270205.06455994</v>
      </c>
      <c r="E109" s="3">
        <f t="shared" ref="E109:E117" si="30">(D109/$D$133)</f>
        <v>4.3195490430800388E-4</v>
      </c>
      <c r="F109" s="2">
        <f>103.05*1602.364</f>
        <v>165123.6102</v>
      </c>
      <c r="G109" s="2">
        <f>103.31*1602.364</f>
        <v>165540.22484000001</v>
      </c>
      <c r="H109" s="58">
        <v>43</v>
      </c>
      <c r="I109" s="5">
        <v>1.4E-3</v>
      </c>
      <c r="J109" s="5">
        <v>4.2099999999999999E-2</v>
      </c>
      <c r="K109" s="2">
        <f>433380.12*1619.232</f>
        <v>701742958.46783996</v>
      </c>
      <c r="L109" s="3">
        <f t="shared" si="23"/>
        <v>4.3796855048612826E-4</v>
      </c>
      <c r="M109" s="2">
        <f>105.35*1619.232</f>
        <v>170586.0912</v>
      </c>
      <c r="N109" s="2">
        <f>105.68*1619.232</f>
        <v>171120.43776</v>
      </c>
      <c r="O109" s="58">
        <v>43</v>
      </c>
      <c r="P109" s="5">
        <v>2.2700000000000001E-2</v>
      </c>
      <c r="Q109" s="5">
        <v>6.4799999999999996E-2</v>
      </c>
      <c r="R109" s="78">
        <f>((K109-D109)/D109)</f>
        <v>3.3083673088744027E-2</v>
      </c>
      <c r="S109" s="78">
        <f t="shared" si="29"/>
        <v>3.3709105598916801E-2</v>
      </c>
      <c r="T109" s="78">
        <f t="shared" si="29"/>
        <v>0</v>
      </c>
      <c r="U109" s="78">
        <f>P109-I109</f>
        <v>2.1300000000000003E-2</v>
      </c>
      <c r="V109" s="80">
        <f>Q109-J109</f>
        <v>2.2699999999999998E-2</v>
      </c>
    </row>
    <row r="110" spans="1:28">
      <c r="A110" s="151">
        <v>95</v>
      </c>
      <c r="B110" s="133" t="s">
        <v>131</v>
      </c>
      <c r="C110" s="134" t="s">
        <v>67</v>
      </c>
      <c r="D110" s="2">
        <v>4839954242.3304005</v>
      </c>
      <c r="E110" s="3">
        <f t="shared" si="30"/>
        <v>3.0777766432464743E-3</v>
      </c>
      <c r="F110" s="2">
        <v>172735.48014559998</v>
      </c>
      <c r="G110" s="2">
        <v>172735.48014559998</v>
      </c>
      <c r="H110" s="58">
        <v>57</v>
      </c>
      <c r="I110" s="5">
        <v>1.1401131460903398E-3</v>
      </c>
      <c r="J110" s="5">
        <v>0.13226493839480202</v>
      </c>
      <c r="K110" s="2">
        <v>4840298598.8555994</v>
      </c>
      <c r="L110" s="3">
        <f t="shared" si="23"/>
        <v>3.0209046427616942E-3</v>
      </c>
      <c r="M110" s="2">
        <v>172748.00216999999</v>
      </c>
      <c r="N110" s="2">
        <v>172748.00216999999</v>
      </c>
      <c r="O110" s="58">
        <v>51</v>
      </c>
      <c r="P110" s="5">
        <v>9.8217147219489646E-4</v>
      </c>
      <c r="Q110" s="5">
        <v>0.13647968652010123</v>
      </c>
      <c r="R110" s="78">
        <f t="shared" si="24"/>
        <v>7.1148715040977631E-5</v>
      </c>
      <c r="S110" s="78">
        <f t="shared" si="25"/>
        <v>7.2492486138073492E-5</v>
      </c>
      <c r="T110" s="78">
        <f t="shared" si="26"/>
        <v>-0.10526315789473684</v>
      </c>
      <c r="U110" s="78">
        <f t="shared" si="27"/>
        <v>-1.5794167389544334E-4</v>
      </c>
      <c r="V110" s="80">
        <f t="shared" si="28"/>
        <v>4.2147481252992058E-3</v>
      </c>
      <c r="X110" s="105"/>
    </row>
    <row r="111" spans="1:28">
      <c r="A111" s="146">
        <v>96</v>
      </c>
      <c r="B111" s="133" t="s">
        <v>132</v>
      </c>
      <c r="C111" s="134" t="s">
        <v>27</v>
      </c>
      <c r="D111" s="2">
        <v>56439921265.040001</v>
      </c>
      <c r="E111" s="3">
        <f t="shared" si="30"/>
        <v>3.5890725969460892E-2</v>
      </c>
      <c r="F111" s="2">
        <v>208177.75</v>
      </c>
      <c r="G111" s="2">
        <v>208177.75</v>
      </c>
      <c r="H111" s="58">
        <v>2148</v>
      </c>
      <c r="I111" s="5">
        <v>1.4E-3</v>
      </c>
      <c r="J111" s="5">
        <v>4.3900000000000002E-2</v>
      </c>
      <c r="K111" s="2">
        <v>56874720935.339996</v>
      </c>
      <c r="L111" s="3">
        <f t="shared" si="23"/>
        <v>3.5496386229140163E-2</v>
      </c>
      <c r="M111" s="2">
        <v>209460.37</v>
      </c>
      <c r="N111" s="2">
        <v>209460.37</v>
      </c>
      <c r="O111" s="58">
        <v>2152</v>
      </c>
      <c r="P111" s="5">
        <v>1.2999999999999999E-3</v>
      </c>
      <c r="Q111" s="5">
        <v>4.53E-2</v>
      </c>
      <c r="R111" s="78">
        <f t="shared" si="24"/>
        <v>7.703761106578986E-3</v>
      </c>
      <c r="S111" s="78">
        <f t="shared" si="25"/>
        <v>6.1611771671083743E-3</v>
      </c>
      <c r="T111" s="78">
        <f t="shared" si="26"/>
        <v>1.8621973929236499E-3</v>
      </c>
      <c r="U111" s="78">
        <f t="shared" si="27"/>
        <v>-1.0000000000000005E-4</v>
      </c>
      <c r="V111" s="80">
        <f t="shared" si="28"/>
        <v>1.3999999999999985E-3</v>
      </c>
    </row>
    <row r="112" spans="1:28">
      <c r="A112" s="146">
        <v>97</v>
      </c>
      <c r="B112" s="148" t="s">
        <v>133</v>
      </c>
      <c r="C112" s="148" t="s">
        <v>27</v>
      </c>
      <c r="D112" s="2">
        <v>85815359508.369995</v>
      </c>
      <c r="E112" s="3">
        <f t="shared" si="30"/>
        <v>5.4570869041829707E-2</v>
      </c>
      <c r="F112" s="2">
        <v>189783.57</v>
      </c>
      <c r="G112" s="2">
        <v>189783.57</v>
      </c>
      <c r="H112" s="58">
        <v>446</v>
      </c>
      <c r="I112" s="5">
        <v>1.8E-3</v>
      </c>
      <c r="J112" s="5">
        <v>5.4100000000000002E-2</v>
      </c>
      <c r="K112" s="2">
        <v>87355987634.199997</v>
      </c>
      <c r="L112" s="3">
        <f t="shared" si="23"/>
        <v>5.4520212591756399E-2</v>
      </c>
      <c r="M112" s="2">
        <v>190977.15</v>
      </c>
      <c r="N112" s="2">
        <v>190977.15</v>
      </c>
      <c r="O112" s="58">
        <v>459</v>
      </c>
      <c r="P112" s="5">
        <v>1.4E-3</v>
      </c>
      <c r="Q112" s="5">
        <v>5.5599999999999997E-2</v>
      </c>
      <c r="R112" s="78">
        <f t="shared" si="24"/>
        <v>1.7952824933160558E-2</v>
      </c>
      <c r="S112" s="78">
        <f t="shared" si="25"/>
        <v>6.2891640198357909E-3</v>
      </c>
      <c r="T112" s="78">
        <f t="shared" si="26"/>
        <v>2.914798206278027E-2</v>
      </c>
      <c r="U112" s="78">
        <f t="shared" si="27"/>
        <v>-3.9999999999999996E-4</v>
      </c>
      <c r="V112" s="80">
        <f t="shared" si="28"/>
        <v>1.4999999999999944E-3</v>
      </c>
    </row>
    <row r="113" spans="1:24">
      <c r="A113" s="155">
        <v>98</v>
      </c>
      <c r="B113" s="133" t="s">
        <v>134</v>
      </c>
      <c r="C113" s="134" t="s">
        <v>31</v>
      </c>
      <c r="D113" s="2">
        <f>97844.0202*1602.364</f>
        <v>156781735.58375281</v>
      </c>
      <c r="E113" s="3">
        <f t="shared" si="30"/>
        <v>9.9699116914580619E-5</v>
      </c>
      <c r="F113" s="2">
        <f>113.194*1602.364</f>
        <v>181377.990616</v>
      </c>
      <c r="G113" s="2">
        <f>113.194*1602.364</f>
        <v>181377.990616</v>
      </c>
      <c r="H113" s="58">
        <v>4</v>
      </c>
      <c r="I113" s="5">
        <v>2.2000000000000001E-3</v>
      </c>
      <c r="J113" s="5">
        <v>-1.2200000000000001E-2</v>
      </c>
      <c r="K113" s="2">
        <f>98035.2993*1619.232</f>
        <v>158741893.75613761</v>
      </c>
      <c r="L113" s="3">
        <f t="shared" si="23"/>
        <v>9.9073252208464825E-5</v>
      </c>
      <c r="M113" s="2">
        <f>113.4143*1619.232</f>
        <v>183644.06381759999</v>
      </c>
      <c r="N113" s="2">
        <f>113.4143*1619.232</f>
        <v>183644.06381759999</v>
      </c>
      <c r="O113" s="58">
        <v>4</v>
      </c>
      <c r="P113" s="5">
        <v>2E-3</v>
      </c>
      <c r="Q113" s="5">
        <v>-1.03E-2</v>
      </c>
      <c r="R113" s="78">
        <f t="shared" si="24"/>
        <v>1.2502465067671623E-2</v>
      </c>
      <c r="S113" s="78">
        <f t="shared" si="25"/>
        <v>1.2493650381195138E-2</v>
      </c>
      <c r="T113" s="78">
        <f t="shared" si="26"/>
        <v>0</v>
      </c>
      <c r="U113" s="78">
        <f t="shared" si="27"/>
        <v>-2.0000000000000009E-4</v>
      </c>
      <c r="V113" s="80">
        <f t="shared" si="28"/>
        <v>1.9000000000000006E-3</v>
      </c>
    </row>
    <row r="114" spans="1:24">
      <c r="A114" s="145">
        <v>99</v>
      </c>
      <c r="B114" s="133" t="s">
        <v>135</v>
      </c>
      <c r="C114" s="134" t="s">
        <v>34</v>
      </c>
      <c r="D114" s="2">
        <f>10291439.82*1602.364</f>
        <v>16490632675.73448</v>
      </c>
      <c r="E114" s="3">
        <f t="shared" si="30"/>
        <v>1.0486562793886002E-2</v>
      </c>
      <c r="F114" s="2">
        <f>1.36*1602.364</f>
        <v>2179.21504</v>
      </c>
      <c r="G114" s="2">
        <f>1.36*1602.364</f>
        <v>2179.21504</v>
      </c>
      <c r="H114" s="59">
        <v>112</v>
      </c>
      <c r="I114" s="12">
        <v>8.9999999999999998E-4</v>
      </c>
      <c r="J114" s="12">
        <v>4.7100000000000003E-2</v>
      </c>
      <c r="K114" s="2">
        <f>10350274.32*1619.232</f>
        <v>16759495387.72224</v>
      </c>
      <c r="L114" s="3">
        <f t="shared" si="23"/>
        <v>1.0459858290371504E-2</v>
      </c>
      <c r="M114" s="2">
        <f>1.36*1619.232</f>
        <v>2202.1555200000003</v>
      </c>
      <c r="N114" s="2">
        <f>1.36*1619.232</f>
        <v>2202.1555200000003</v>
      </c>
      <c r="O114" s="59">
        <v>112</v>
      </c>
      <c r="P114" s="12">
        <v>6.9999999999999999E-4</v>
      </c>
      <c r="Q114" s="12">
        <v>4.6899999999999997E-2</v>
      </c>
      <c r="R114" s="78">
        <f t="shared" si="24"/>
        <v>1.6303965849860009E-2</v>
      </c>
      <c r="S114" s="78">
        <f t="shared" si="25"/>
        <v>1.0526946436639959E-2</v>
      </c>
      <c r="T114" s="78">
        <f t="shared" si="26"/>
        <v>0</v>
      </c>
      <c r="U114" s="78">
        <f t="shared" si="27"/>
        <v>-1.9999999999999998E-4</v>
      </c>
      <c r="V114" s="80">
        <f t="shared" si="28"/>
        <v>-2.0000000000000573E-4</v>
      </c>
    </row>
    <row r="115" spans="1:24">
      <c r="A115" s="142">
        <v>100</v>
      </c>
      <c r="B115" s="133" t="s">
        <v>277</v>
      </c>
      <c r="C115" s="134" t="s">
        <v>45</v>
      </c>
      <c r="D115" s="4">
        <v>240023959047.01001</v>
      </c>
      <c r="E115" s="3">
        <f t="shared" si="30"/>
        <v>0.15263370230102383</v>
      </c>
      <c r="F115" s="2">
        <v>195352.52</v>
      </c>
      <c r="G115" s="2">
        <v>195352.52</v>
      </c>
      <c r="H115" s="58">
        <v>3227</v>
      </c>
      <c r="I115" s="5">
        <v>5.5599999999999997E-2</v>
      </c>
      <c r="J115" s="5">
        <v>5.3400000000000003E-2</v>
      </c>
      <c r="K115" s="4">
        <f>148805817.92*1617.08</f>
        <v>240630912042.07358</v>
      </c>
      <c r="L115" s="3">
        <f t="shared" si="23"/>
        <v>0.15018144532482947</v>
      </c>
      <c r="M115" s="2">
        <f>121.5165*1617.08</f>
        <v>196501.90181999997</v>
      </c>
      <c r="N115" s="2">
        <f>121.5165*1617.08</f>
        <v>196501.90181999997</v>
      </c>
      <c r="O115" s="58">
        <v>3196</v>
      </c>
      <c r="P115" s="5">
        <v>5.5599999999999997E-2</v>
      </c>
      <c r="Q115" s="5">
        <v>5.3400000000000003E-2</v>
      </c>
      <c r="R115" s="78">
        <f t="shared" ref="R115" si="31">((K115-D115)/D115)</f>
        <v>2.5287183724217008E-3</v>
      </c>
      <c r="S115" s="78">
        <f t="shared" ref="S115" si="32">((N115-G115)/G115)</f>
        <v>5.8836293486256566E-3</v>
      </c>
      <c r="T115" s="78">
        <f t="shared" ref="T115" si="33">((O115-H115)/H115)</f>
        <v>-9.6064456151224043E-3</v>
      </c>
      <c r="U115" s="78">
        <f t="shared" ref="U115" si="34">P115-I115</f>
        <v>0</v>
      </c>
      <c r="V115" s="80">
        <f t="shared" ref="V115" si="35">Q115-J115</f>
        <v>0</v>
      </c>
    </row>
    <row r="116" spans="1:24">
      <c r="A116" s="149">
        <v>101</v>
      </c>
      <c r="B116" s="133" t="s">
        <v>136</v>
      </c>
      <c r="C116" s="134" t="s">
        <v>78</v>
      </c>
      <c r="D116" s="2">
        <f>12059946.94*1602.364</f>
        <v>19324424818.566158</v>
      </c>
      <c r="E116" s="3">
        <f t="shared" si="30"/>
        <v>1.22886003405929E-2</v>
      </c>
      <c r="F116" s="2">
        <f>103.54*1602.364</f>
        <v>165908.76856000003</v>
      </c>
      <c r="G116" s="2">
        <f>103.54*1602.364</f>
        <v>165908.76856000003</v>
      </c>
      <c r="H116" s="58">
        <v>363</v>
      </c>
      <c r="I116" s="5">
        <v>1.8E-3</v>
      </c>
      <c r="J116" s="5">
        <v>5.8299999999999998E-2</v>
      </c>
      <c r="K116" s="2">
        <f>14113036.08*1619.232</f>
        <v>22852279637.89056</v>
      </c>
      <c r="L116" s="3">
        <f t="shared" si="23"/>
        <v>1.4262458450830717E-2</v>
      </c>
      <c r="M116" s="2">
        <f>103.68*1619.232</f>
        <v>167881.97375999999</v>
      </c>
      <c r="N116" s="2">
        <f>103.68*1619.232</f>
        <v>167881.97375999999</v>
      </c>
      <c r="O116" s="58">
        <v>368</v>
      </c>
      <c r="P116" s="5">
        <v>1.2999999999999999E-3</v>
      </c>
      <c r="Q116" s="5">
        <v>5.9700000000000003E-2</v>
      </c>
      <c r="R116" s="78">
        <f t="shared" si="24"/>
        <v>0.18255936993969288</v>
      </c>
      <c r="S116" s="78">
        <f t="shared" si="25"/>
        <v>1.1893314724268888E-2</v>
      </c>
      <c r="T116" s="78">
        <f t="shared" si="26"/>
        <v>1.3774104683195593E-2</v>
      </c>
      <c r="U116" s="78">
        <f t="shared" si="27"/>
        <v>-5.0000000000000001E-4</v>
      </c>
      <c r="V116" s="80">
        <f t="shared" si="28"/>
        <v>1.4000000000000054E-3</v>
      </c>
    </row>
    <row r="117" spans="1:24">
      <c r="A117" s="146">
        <v>102</v>
      </c>
      <c r="B117" s="133" t="s">
        <v>137</v>
      </c>
      <c r="C117" s="134" t="s">
        <v>38</v>
      </c>
      <c r="D117" s="2">
        <f>1921986.13*1602.364</f>
        <v>3079721383.2113199</v>
      </c>
      <c r="E117" s="3">
        <f t="shared" si="30"/>
        <v>1.9584264780963317E-3</v>
      </c>
      <c r="F117" s="2">
        <f>134.94*1602.364</f>
        <v>216222.99815999999</v>
      </c>
      <c r="G117" s="2">
        <f>138.66*1602.364</f>
        <v>222183.79224000001</v>
      </c>
      <c r="H117" s="58">
        <v>48</v>
      </c>
      <c r="I117" s="5">
        <v>6.9999999999999999E-4</v>
      </c>
      <c r="J117" s="5">
        <v>2.4500000000000001E-2</v>
      </c>
      <c r="K117" s="2">
        <f>1923918.67*1619.232</f>
        <v>3115270675.8614397</v>
      </c>
      <c r="L117" s="3">
        <f t="shared" si="23"/>
        <v>1.9442882408936977E-3</v>
      </c>
      <c r="M117" s="2">
        <f>135.07*1619.232</f>
        <v>218709.66623999999</v>
      </c>
      <c r="N117" s="2">
        <f>138.82*1619.232</f>
        <v>224781.78623999999</v>
      </c>
      <c r="O117" s="58">
        <v>48</v>
      </c>
      <c r="P117" s="5">
        <v>5.9999999999999995E-4</v>
      </c>
      <c r="Q117" s="5">
        <v>2.5600000000000001E-2</v>
      </c>
      <c r="R117" s="78">
        <f t="shared" si="24"/>
        <v>1.1543022314911956E-2</v>
      </c>
      <c r="S117" s="78">
        <f t="shared" si="25"/>
        <v>1.1692995127176774E-2</v>
      </c>
      <c r="T117" s="78">
        <f t="shared" si="26"/>
        <v>0</v>
      </c>
      <c r="U117" s="78">
        <f t="shared" si="27"/>
        <v>-1.0000000000000005E-4</v>
      </c>
      <c r="V117" s="80">
        <f t="shared" si="28"/>
        <v>1.1000000000000003E-3</v>
      </c>
    </row>
    <row r="118" spans="1:24" ht="6" customHeight="1">
      <c r="A118" s="176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</row>
    <row r="119" spans="1:24">
      <c r="A119" s="175" t="s">
        <v>229</v>
      </c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</row>
    <row r="120" spans="1:24">
      <c r="A120" s="151">
        <v>103</v>
      </c>
      <c r="B120" s="133" t="s">
        <v>139</v>
      </c>
      <c r="C120" s="134" t="s">
        <v>97</v>
      </c>
      <c r="D120" s="4">
        <v>1630670080.8499999</v>
      </c>
      <c r="E120" s="3">
        <f t="shared" ref="E120:E130" si="36">(D120/$D$133)</f>
        <v>1.036959862923092E-3</v>
      </c>
      <c r="F120" s="2">
        <f>105.01*1470.19099999579</f>
        <v>154384.75690955791</v>
      </c>
      <c r="G120" s="2">
        <f>105.01*1470.19099999579</f>
        <v>154384.75690955791</v>
      </c>
      <c r="H120" s="58">
        <v>21</v>
      </c>
      <c r="I120" s="5">
        <v>-5.0220000000000004E-3</v>
      </c>
      <c r="J120" s="5">
        <v>5.4399999999999997E-2</v>
      </c>
      <c r="K120" s="4">
        <f>1113089.67*1619.232</f>
        <v>1802350412.5334399</v>
      </c>
      <c r="L120" s="3">
        <f t="shared" ref="L120:L132" si="37">(K120/$K$133)</f>
        <v>1.1248745543080813E-3</v>
      </c>
      <c r="M120" s="2">
        <f>103.96*1619.232</f>
        <v>168335.35871999999</v>
      </c>
      <c r="N120" s="2">
        <f>103.96*1619.232</f>
        <v>168335.35871999999</v>
      </c>
      <c r="O120" s="58">
        <v>21</v>
      </c>
      <c r="P120" s="5">
        <v>-9.9989999999999992E-3</v>
      </c>
      <c r="Q120" s="5">
        <v>4.4400000000000002E-2</v>
      </c>
      <c r="R120" s="78">
        <f>((K120-D120)/D120)</f>
        <v>0.10528207618425808</v>
      </c>
      <c r="S120" s="78">
        <f>((N120-G120)/G120)</f>
        <v>9.0362559683367302E-2</v>
      </c>
      <c r="T120" s="78">
        <f>((O120-H120)/H120)</f>
        <v>0</v>
      </c>
      <c r="U120" s="78">
        <f>P120-I120</f>
        <v>-4.9769999999999988E-3</v>
      </c>
      <c r="V120" s="80">
        <f>Q120-J120</f>
        <v>-9.999999999999995E-3</v>
      </c>
    </row>
    <row r="121" spans="1:24">
      <c r="A121" s="144">
        <v>104</v>
      </c>
      <c r="B121" s="134" t="s">
        <v>140</v>
      </c>
      <c r="C121" s="134" t="s">
        <v>23</v>
      </c>
      <c r="D121" s="2">
        <f>8718757.78*1602.364</f>
        <v>13970623591.39192</v>
      </c>
      <c r="E121" s="3">
        <f t="shared" si="36"/>
        <v>8.8840631188427943E-3</v>
      </c>
      <c r="F121" s="4">
        <f>130.52*1602.364</f>
        <v>209140.54928000001</v>
      </c>
      <c r="G121" s="4">
        <f>130.52*1602.364</f>
        <v>209140.54928000001</v>
      </c>
      <c r="H121" s="58">
        <v>447</v>
      </c>
      <c r="I121" s="5">
        <v>5.0000000000000001E-4</v>
      </c>
      <c r="J121" s="5">
        <v>3.3500000000000002E-2</v>
      </c>
      <c r="K121" s="2">
        <f xml:space="preserve"> 9073833.19*1619.232</f>
        <v>14692641063.910078</v>
      </c>
      <c r="L121" s="3">
        <f t="shared" si="37"/>
        <v>9.1699027855205277E-3</v>
      </c>
      <c r="M121" s="4">
        <f>130.52*1619.232</f>
        <v>211342.16064000002</v>
      </c>
      <c r="N121" s="4">
        <f>130.52*1619.232</f>
        <v>211342.16064000002</v>
      </c>
      <c r="O121" s="58">
        <v>451</v>
      </c>
      <c r="P121" s="5">
        <v>5.0000000000000001E-4</v>
      </c>
      <c r="Q121" s="5">
        <v>3.3500000000000002E-2</v>
      </c>
      <c r="R121" s="78">
        <f t="shared" ref="R121:R133" si="38">((K121-D121)/D121)</f>
        <v>5.1681119872346512E-2</v>
      </c>
      <c r="S121" s="78">
        <f t="shared" ref="S121:S133" si="39">((N121-G121)/G121)</f>
        <v>1.0526946436639912E-2</v>
      </c>
      <c r="T121" s="78">
        <f t="shared" ref="T121:T133" si="40">((O121-H121)/H121)</f>
        <v>8.948545861297539E-3</v>
      </c>
      <c r="U121" s="78">
        <f t="shared" ref="U121:U133" si="41">P121-I121</f>
        <v>0</v>
      </c>
      <c r="V121" s="80">
        <f t="shared" ref="V121:V133" si="42">Q121-J121</f>
        <v>0</v>
      </c>
    </row>
    <row r="122" spans="1:24">
      <c r="A122" s="149">
        <v>105</v>
      </c>
      <c r="B122" s="133" t="s">
        <v>141</v>
      </c>
      <c r="C122" s="134" t="s">
        <v>58</v>
      </c>
      <c r="D122" s="4">
        <v>16303567050.98</v>
      </c>
      <c r="E122" s="3">
        <f t="shared" si="36"/>
        <v>1.0367605840618107E-2</v>
      </c>
      <c r="F122" s="4">
        <v>179947.3</v>
      </c>
      <c r="G122" s="4">
        <v>179947.3</v>
      </c>
      <c r="H122" s="58">
        <v>616</v>
      </c>
      <c r="I122" s="5">
        <v>1.1999999999999999E-3</v>
      </c>
      <c r="J122" s="5">
        <v>6.4000000000000001E-2</v>
      </c>
      <c r="K122" s="4">
        <v>16717990888.66</v>
      </c>
      <c r="L122" s="3">
        <f t="shared" si="37"/>
        <v>1.0433954695510173E-2</v>
      </c>
      <c r="M122" s="4">
        <v>184652.21</v>
      </c>
      <c r="N122" s="4">
        <v>184652.21</v>
      </c>
      <c r="O122" s="58">
        <v>616</v>
      </c>
      <c r="P122" s="5">
        <v>2.8E-3</v>
      </c>
      <c r="Q122" s="5">
        <v>6.4299999999999996E-2</v>
      </c>
      <c r="R122" s="78">
        <f t="shared" si="38"/>
        <v>2.5419212641266103E-2</v>
      </c>
      <c r="S122" s="78">
        <f t="shared" si="39"/>
        <v>2.6146043869510707E-2</v>
      </c>
      <c r="T122" s="78">
        <f t="shared" si="40"/>
        <v>0</v>
      </c>
      <c r="U122" s="78">
        <f t="shared" si="41"/>
        <v>1.6000000000000001E-3</v>
      </c>
      <c r="V122" s="80">
        <f t="shared" si="42"/>
        <v>2.9999999999999472E-4</v>
      </c>
    </row>
    <row r="123" spans="1:24">
      <c r="A123" s="143">
        <v>106</v>
      </c>
      <c r="B123" s="133" t="s">
        <v>142</v>
      </c>
      <c r="C123" s="134" t="s">
        <v>56</v>
      </c>
      <c r="D123" s="4">
        <v>7351964808.778657</v>
      </c>
      <c r="E123" s="3">
        <f t="shared" si="36"/>
        <v>4.675189978559367E-3</v>
      </c>
      <c r="F123" s="4">
        <v>1979.4672034769142</v>
      </c>
      <c r="G123" s="4">
        <v>1979.4672034769142</v>
      </c>
      <c r="H123" s="58">
        <v>202</v>
      </c>
      <c r="I123" s="5">
        <v>5.5715051471300604E-2</v>
      </c>
      <c r="J123" s="5">
        <v>5.2708443181168504E-2</v>
      </c>
      <c r="K123" s="4">
        <v>7255178964.0387936</v>
      </c>
      <c r="L123" s="3">
        <f t="shared" si="37"/>
        <v>4.5280685414147166E-3</v>
      </c>
      <c r="M123" s="4">
        <v>1973.8242245776182</v>
      </c>
      <c r="N123" s="4">
        <v>1973.8242245776182</v>
      </c>
      <c r="O123" s="58">
        <v>202</v>
      </c>
      <c r="P123" s="5">
        <v>4.838168089635448E-2</v>
      </c>
      <c r="Q123" s="5">
        <v>5.2614756743611726E-2</v>
      </c>
      <c r="R123" s="78">
        <f t="shared" si="38"/>
        <v>-1.3164622962326436E-2</v>
      </c>
      <c r="S123" s="78">
        <f t="shared" si="39"/>
        <v>-2.8507564507177004E-3</v>
      </c>
      <c r="T123" s="78">
        <f t="shared" si="40"/>
        <v>0</v>
      </c>
      <c r="U123" s="78">
        <f t="shared" si="41"/>
        <v>-7.3333705749461242E-3</v>
      </c>
      <c r="V123" s="80">
        <f t="shared" si="42"/>
        <v>-9.3686437556778079E-5</v>
      </c>
    </row>
    <row r="124" spans="1:24">
      <c r="A124" s="145">
        <v>107</v>
      </c>
      <c r="B124" s="133" t="s">
        <v>276</v>
      </c>
      <c r="C124" s="134" t="s">
        <v>32</v>
      </c>
      <c r="D124" s="4">
        <v>62276165264.711998</v>
      </c>
      <c r="E124" s="3">
        <f t="shared" si="36"/>
        <v>3.9602053508340472E-2</v>
      </c>
      <c r="F124" s="4">
        <f>100*1602.364</f>
        <v>160236.4</v>
      </c>
      <c r="G124" s="4">
        <f>100*1602.364</f>
        <v>160236.4</v>
      </c>
      <c r="H124" s="58">
        <v>1545</v>
      </c>
      <c r="I124" s="5">
        <v>5.7599999999999998E-2</v>
      </c>
      <c r="J124" s="5">
        <v>6.0400000000000002E-2</v>
      </c>
      <c r="K124" s="4">
        <v>66728748684.190895</v>
      </c>
      <c r="L124" s="3">
        <f t="shared" si="37"/>
        <v>4.1646436183381493E-2</v>
      </c>
      <c r="M124" s="4">
        <f>100*1619.232</f>
        <v>161923.20000000001</v>
      </c>
      <c r="N124" s="4">
        <f>100*1619.232</f>
        <v>161923.20000000001</v>
      </c>
      <c r="O124" s="58">
        <v>1557</v>
      </c>
      <c r="P124" s="5">
        <v>5.2699999999999997E-2</v>
      </c>
      <c r="Q124" s="5">
        <v>5.9528200000000003E-2</v>
      </c>
      <c r="R124" s="78">
        <f>((K124-D124)/D124)</f>
        <v>7.1497392309765373E-2</v>
      </c>
      <c r="S124" s="78">
        <f>((N124-G124)/G124)</f>
        <v>1.0526946436639975E-2</v>
      </c>
      <c r="T124" s="78">
        <f>((O124-H124)/H124)</f>
        <v>7.7669902912621356E-3</v>
      </c>
      <c r="U124" s="78">
        <f>P124-I124</f>
        <v>-4.9000000000000016E-3</v>
      </c>
      <c r="V124" s="80">
        <f>Q124-J124</f>
        <v>-8.7179999999999896E-4</v>
      </c>
    </row>
    <row r="125" spans="1:24" ht="15.75">
      <c r="A125" s="143">
        <v>108</v>
      </c>
      <c r="B125" s="133" t="s">
        <v>251</v>
      </c>
      <c r="C125" s="134" t="s">
        <v>114</v>
      </c>
      <c r="D125" s="4">
        <v>1414451797.1099999</v>
      </c>
      <c r="E125" s="3">
        <f t="shared" si="36"/>
        <v>8.9946443420238747E-4</v>
      </c>
      <c r="F125" s="4">
        <f>1.057607*1602.364</f>
        <v>1694.671382948</v>
      </c>
      <c r="G125" s="4">
        <f>1.076923*1602.364</f>
        <v>1725.6226459720001</v>
      </c>
      <c r="H125" s="58">
        <v>36</v>
      </c>
      <c r="I125" s="5">
        <v>4.8999999999999998E-3</v>
      </c>
      <c r="J125" s="5">
        <v>0.08</v>
      </c>
      <c r="K125" s="4">
        <f>926826.97*1619.232</f>
        <v>1500747888.28704</v>
      </c>
      <c r="L125" s="3">
        <f t="shared" si="37"/>
        <v>9.3663979003547808E-4</v>
      </c>
      <c r="M125" s="4">
        <f>1.05*1619.232</f>
        <v>1700.1936000000001</v>
      </c>
      <c r="N125" s="4">
        <f>1.07*1619.232</f>
        <v>1732.5782400000001</v>
      </c>
      <c r="O125" s="58">
        <v>36</v>
      </c>
      <c r="P125" s="5">
        <v>5.1000000000000004E-3</v>
      </c>
      <c r="Q125" s="5">
        <v>8.1699999999999995E-2</v>
      </c>
      <c r="R125" s="78">
        <f t="shared" si="38"/>
        <v>6.1010273629232045E-2</v>
      </c>
      <c r="S125" s="78">
        <f t="shared" si="39"/>
        <v>4.0307734974595437E-3</v>
      </c>
      <c r="T125" s="78">
        <f t="shared" si="40"/>
        <v>0</v>
      </c>
      <c r="U125" s="78">
        <f t="shared" si="41"/>
        <v>2.0000000000000052E-4</v>
      </c>
      <c r="V125" s="80">
        <f t="shared" si="42"/>
        <v>1.6999999999999932E-3</v>
      </c>
      <c r="X125" s="114"/>
    </row>
    <row r="126" spans="1:24" ht="15.75">
      <c r="A126" s="142">
        <v>109</v>
      </c>
      <c r="B126" s="133" t="s">
        <v>257</v>
      </c>
      <c r="C126" s="134" t="s">
        <v>36</v>
      </c>
      <c r="D126" s="2">
        <f>1760745.75*1602.364</f>
        <v>2821355602.9530001</v>
      </c>
      <c r="E126" s="3">
        <f t="shared" si="36"/>
        <v>1.7941290231868552E-3</v>
      </c>
      <c r="F126" s="4">
        <f>10.26*1602.364</f>
        <v>16440.254639999999</v>
      </c>
      <c r="G126" s="4">
        <f>10.26*1602.364</f>
        <v>16440.254639999999</v>
      </c>
      <c r="H126" s="58">
        <v>61</v>
      </c>
      <c r="I126" s="5">
        <v>7.6399999999999996E-2</v>
      </c>
      <c r="J126" s="5">
        <v>9.7500000000000003E-2</v>
      </c>
      <c r="K126" s="2">
        <f>1801322.48*1619.232</f>
        <v>2916759001.93536</v>
      </c>
      <c r="L126" s="3">
        <f t="shared" si="37"/>
        <v>1.8203940585084469E-3</v>
      </c>
      <c r="M126" s="4">
        <f>10.26*1619.232</f>
        <v>16613.320319999999</v>
      </c>
      <c r="N126" s="4">
        <f>10.26*1619.232</f>
        <v>16613.320319999999</v>
      </c>
      <c r="O126" s="58">
        <v>61</v>
      </c>
      <c r="P126" s="5">
        <v>7.6399999999999996E-2</v>
      </c>
      <c r="Q126" s="5">
        <v>9.7299999999999998E-2</v>
      </c>
      <c r="R126" s="78">
        <f>((K126-D126)/D126)</f>
        <v>3.3814737455464657E-2</v>
      </c>
      <c r="S126" s="78">
        <f>((N126-G126)/G126)</f>
        <v>1.0526946436639846E-2</v>
      </c>
      <c r="T126" s="78">
        <f>((O126-H126)/H126)</f>
        <v>0</v>
      </c>
      <c r="U126" s="78">
        <f>P126-I126</f>
        <v>0</v>
      </c>
      <c r="V126" s="80">
        <f>Q126-J126</f>
        <v>-2.0000000000000573E-4</v>
      </c>
      <c r="X126" s="114"/>
    </row>
    <row r="127" spans="1:24" ht="15.75">
      <c r="A127" s="152">
        <v>110</v>
      </c>
      <c r="B127" s="134" t="s">
        <v>143</v>
      </c>
      <c r="C127" s="154" t="s">
        <v>40</v>
      </c>
      <c r="D127" s="4">
        <v>18699379124</v>
      </c>
      <c r="E127" s="3">
        <f t="shared" si="36"/>
        <v>1.1891127359779921E-2</v>
      </c>
      <c r="F127" s="4">
        <f>1.0257*1602.364</f>
        <v>1643.5447548000002</v>
      </c>
      <c r="G127" s="4">
        <f>1.0257*1602.364</f>
        <v>1643.5447548000002</v>
      </c>
      <c r="H127" s="58">
        <v>371</v>
      </c>
      <c r="I127" s="5">
        <v>-4.0000000000000002E-4</v>
      </c>
      <c r="J127" s="5">
        <v>6.1699999999999998E-2</v>
      </c>
      <c r="K127" s="4">
        <v>18388814217</v>
      </c>
      <c r="L127" s="3">
        <f t="shared" si="37"/>
        <v>1.1476741177941282E-2</v>
      </c>
      <c r="M127" s="4">
        <f>1.0268*1619.232</f>
        <v>1662.6274175999999</v>
      </c>
      <c r="N127" s="4">
        <f>1.0268*1619.232</f>
        <v>1662.6274175999999</v>
      </c>
      <c r="O127" s="58">
        <v>371</v>
      </c>
      <c r="P127" s="5">
        <v>-5.9999999999999995E-4</v>
      </c>
      <c r="Q127" s="5">
        <v>6.2799999999999995E-2</v>
      </c>
      <c r="R127" s="78">
        <f t="shared" si="38"/>
        <v>-1.6608300464981792E-2</v>
      </c>
      <c r="S127" s="78">
        <f t="shared" si="39"/>
        <v>1.1610674272342456E-2</v>
      </c>
      <c r="T127" s="78">
        <f t="shared" si="40"/>
        <v>0</v>
      </c>
      <c r="U127" s="78">
        <f t="shared" si="41"/>
        <v>-1.9999999999999993E-4</v>
      </c>
      <c r="V127" s="80">
        <f t="shared" si="42"/>
        <v>1.0999999999999968E-3</v>
      </c>
      <c r="X127" s="114"/>
    </row>
    <row r="128" spans="1:24">
      <c r="A128" s="150">
        <v>111</v>
      </c>
      <c r="B128" s="133" t="s">
        <v>144</v>
      </c>
      <c r="C128" s="134" t="s">
        <v>80</v>
      </c>
      <c r="D128" s="2">
        <v>496547887.25</v>
      </c>
      <c r="E128" s="3">
        <f t="shared" si="36"/>
        <v>3.1575990455967346E-4</v>
      </c>
      <c r="F128" s="4">
        <f>1.05*1602.364</f>
        <v>1682.4822000000001</v>
      </c>
      <c r="G128" s="4">
        <f>1.05*1602.364</f>
        <v>1682.4822000000001</v>
      </c>
      <c r="H128" s="58">
        <v>3</v>
      </c>
      <c r="I128" s="5">
        <v>-1.95E-4</v>
      </c>
      <c r="J128" s="5">
        <v>1.5657999999999998E-2</v>
      </c>
      <c r="K128" s="2">
        <f>307667.89*1600.26</f>
        <v>492348617.65140003</v>
      </c>
      <c r="L128" s="3">
        <f t="shared" si="37"/>
        <v>3.0728232867122509E-4</v>
      </c>
      <c r="M128" s="4">
        <f>1.05*1600.26</f>
        <v>1680.2730000000001</v>
      </c>
      <c r="N128" s="4">
        <f>1.05*1600.26</f>
        <v>1680.2730000000001</v>
      </c>
      <c r="O128" s="58">
        <v>3</v>
      </c>
      <c r="P128" s="5">
        <v>-4.7019999999999996E-3</v>
      </c>
      <c r="Q128" s="5">
        <v>1.0883E-2</v>
      </c>
      <c r="R128" s="78">
        <f t="shared" si="38"/>
        <v>-8.4569277333079017E-3</v>
      </c>
      <c r="S128" s="78">
        <f t="shared" si="39"/>
        <v>-1.3130599539180918E-3</v>
      </c>
      <c r="T128" s="78">
        <f t="shared" si="40"/>
        <v>0</v>
      </c>
      <c r="U128" s="78">
        <f t="shared" si="41"/>
        <v>-4.5069999999999997E-3</v>
      </c>
      <c r="V128" s="80">
        <f t="shared" si="42"/>
        <v>-4.774999999999998E-3</v>
      </c>
    </row>
    <row r="129" spans="1:22">
      <c r="A129" s="143">
        <v>112</v>
      </c>
      <c r="B129" s="133" t="s">
        <v>145</v>
      </c>
      <c r="C129" s="134" t="s">
        <v>42</v>
      </c>
      <c r="D129" s="2">
        <v>916118115846.80005</v>
      </c>
      <c r="E129" s="3">
        <f t="shared" si="36"/>
        <v>0.58256892487699019</v>
      </c>
      <c r="F129" s="4">
        <v>2451.89</v>
      </c>
      <c r="G129" s="4">
        <v>2451.89</v>
      </c>
      <c r="H129" s="58">
        <v>7921</v>
      </c>
      <c r="I129" s="5">
        <v>1.4E-3</v>
      </c>
      <c r="J129" s="5">
        <v>4.2099999999999999E-2</v>
      </c>
      <c r="K129" s="2">
        <v>932236747645.75</v>
      </c>
      <c r="L129" s="3">
        <f t="shared" si="37"/>
        <v>0.58182326185040456</v>
      </c>
      <c r="M129" s="4">
        <v>2471.71</v>
      </c>
      <c r="N129" s="4">
        <v>2471.71</v>
      </c>
      <c r="O129" s="58">
        <v>7980</v>
      </c>
      <c r="P129" s="5">
        <v>1.4E-3</v>
      </c>
      <c r="Q129" s="5">
        <v>4.36E-2</v>
      </c>
      <c r="R129" s="78">
        <f t="shared" si="38"/>
        <v>1.7594490841446722E-2</v>
      </c>
      <c r="S129" s="78">
        <f t="shared" si="39"/>
        <v>8.0835600292020297E-3</v>
      </c>
      <c r="T129" s="78">
        <f t="shared" si="40"/>
        <v>7.4485544754450198E-3</v>
      </c>
      <c r="U129" s="78">
        <f t="shared" si="41"/>
        <v>0</v>
      </c>
      <c r="V129" s="80">
        <f t="shared" si="42"/>
        <v>1.5000000000000013E-3</v>
      </c>
    </row>
    <row r="130" spans="1:22" ht="16.5" customHeight="1">
      <c r="A130" s="142">
        <v>113</v>
      </c>
      <c r="B130" s="133" t="s">
        <v>146</v>
      </c>
      <c r="C130" s="134" t="s">
        <v>45</v>
      </c>
      <c r="D130" s="2">
        <v>77151439211.723099</v>
      </c>
      <c r="E130" s="3">
        <f t="shared" si="36"/>
        <v>4.9061393085476537E-2</v>
      </c>
      <c r="F130" s="4">
        <f>1.1213*1609.29</f>
        <v>1804.4968769999998</v>
      </c>
      <c r="G130" s="4">
        <f>1.1213*1609.29</f>
        <v>1804.4968769999998</v>
      </c>
      <c r="H130" s="58">
        <v>289</v>
      </c>
      <c r="I130" s="5">
        <v>0.1026</v>
      </c>
      <c r="J130" s="5">
        <v>8.5000000000000006E-2</v>
      </c>
      <c r="K130" s="2">
        <f>48488420.6*1617.08</f>
        <v>78409655183.847992</v>
      </c>
      <c r="L130" s="3">
        <f t="shared" si="37"/>
        <v>4.8936669204299316E-2</v>
      </c>
      <c r="M130" s="4">
        <f>1.1234*1617.08</f>
        <v>1816.6276719999998</v>
      </c>
      <c r="N130" s="4">
        <f>1.1234*1617.08</f>
        <v>1816.6276719999998</v>
      </c>
      <c r="O130" s="58">
        <v>289</v>
      </c>
      <c r="P130" s="5">
        <v>0.10249999999999999</v>
      </c>
      <c r="Q130" s="5">
        <v>8.5599999999999996E-2</v>
      </c>
      <c r="R130" s="78">
        <f t="shared" si="38"/>
        <v>1.6308392753011772E-2</v>
      </c>
      <c r="S130" s="78">
        <f t="shared" si="39"/>
        <v>6.7225358794566845E-3</v>
      </c>
      <c r="T130" s="78">
        <f t="shared" si="40"/>
        <v>0</v>
      </c>
      <c r="U130" s="78">
        <f t="shared" si="41"/>
        <v>-1.0000000000000286E-4</v>
      </c>
      <c r="V130" s="80">
        <f t="shared" si="42"/>
        <v>5.9999999999998943E-4</v>
      </c>
    </row>
    <row r="131" spans="1:22" ht="16.5" customHeight="1">
      <c r="A131" s="153">
        <v>114</v>
      </c>
      <c r="B131" s="133" t="s">
        <v>280</v>
      </c>
      <c r="C131" s="134" t="s">
        <v>278</v>
      </c>
      <c r="D131" s="4">
        <v>91251971.12879999</v>
      </c>
      <c r="E131" s="3">
        <v>0</v>
      </c>
      <c r="F131" s="4">
        <v>161676.10800000001</v>
      </c>
      <c r="G131" s="4">
        <v>161676.10800000001</v>
      </c>
      <c r="H131" s="58">
        <v>4</v>
      </c>
      <c r="I131" s="5">
        <v>3.8899999999999997E-2</v>
      </c>
      <c r="J131" s="5">
        <v>2.6100000000000002E-2</v>
      </c>
      <c r="K131" s="4">
        <v>90960379.350516513</v>
      </c>
      <c r="L131" s="3">
        <f t="shared" si="37"/>
        <v>5.6769768780857366E-5</v>
      </c>
      <c r="M131" s="4">
        <v>161162.18459999998</v>
      </c>
      <c r="N131" s="4">
        <v>161162.18459999998</v>
      </c>
      <c r="O131" s="58">
        <v>4</v>
      </c>
      <c r="P131" s="5">
        <v>3.0300000000000001E-2</v>
      </c>
      <c r="Q131" s="5">
        <v>2.8000000000000001E-2</v>
      </c>
      <c r="R131" s="78">
        <f>((K131-D131)/D131)</f>
        <v>-3.1954573109648442E-3</v>
      </c>
      <c r="S131" s="78">
        <f>((N131-G131)/G131)</f>
        <v>-3.1787219915018535E-3</v>
      </c>
      <c r="T131" s="78">
        <f>((O131-H131)/H131)</f>
        <v>0</v>
      </c>
      <c r="U131" s="78">
        <f>P131-I131</f>
        <v>-8.5999999999999965E-3</v>
      </c>
      <c r="V131" s="80">
        <f>Q131-J131</f>
        <v>1.8999999999999989E-3</v>
      </c>
    </row>
    <row r="132" spans="1:22">
      <c r="A132" s="151">
        <v>115</v>
      </c>
      <c r="B132" s="133" t="s">
        <v>261</v>
      </c>
      <c r="C132" s="134" t="s">
        <v>259</v>
      </c>
      <c r="D132" s="4">
        <f>832253.37*1602.364</f>
        <v>1333572838.96668</v>
      </c>
      <c r="E132" s="3">
        <f>(D132/$D$133)</f>
        <v>8.4803267352033561E-4</v>
      </c>
      <c r="F132" s="4">
        <f>1.18*1602.364</f>
        <v>1890.78952</v>
      </c>
      <c r="G132" s="4">
        <f>1.18*1602.364</f>
        <v>1890.78952</v>
      </c>
      <c r="H132" s="58">
        <v>44</v>
      </c>
      <c r="I132" s="5">
        <v>1.4999999999999999E-4</v>
      </c>
      <c r="J132" s="5">
        <v>7.2581999999999994E-2</v>
      </c>
      <c r="K132" s="4">
        <f>865668.09*1619.232</f>
        <v>1401717472.7068799</v>
      </c>
      <c r="L132" s="3">
        <f t="shared" si="37"/>
        <v>8.7483338778759673E-4</v>
      </c>
      <c r="M132" s="4">
        <f>1.18*1619.232</f>
        <v>1910.6937599999999</v>
      </c>
      <c r="N132" s="4">
        <f>1.18*1619.232</f>
        <v>1910.6937599999999</v>
      </c>
      <c r="O132" s="58">
        <v>44</v>
      </c>
      <c r="P132" s="5">
        <v>9.8200000000000002E-4</v>
      </c>
      <c r="Q132" s="5">
        <v>7.3473999999999998E-2</v>
      </c>
      <c r="R132" s="78">
        <f t="shared" si="38"/>
        <v>5.1099296378142887E-2</v>
      </c>
      <c r="S132" s="78">
        <f t="shared" si="39"/>
        <v>1.0526946436639782E-2</v>
      </c>
      <c r="T132" s="78">
        <f t="shared" si="40"/>
        <v>0</v>
      </c>
      <c r="U132" s="78">
        <f t="shared" si="41"/>
        <v>8.3200000000000006E-4</v>
      </c>
      <c r="V132" s="80">
        <f t="shared" si="42"/>
        <v>8.920000000000039E-4</v>
      </c>
    </row>
    <row r="133" spans="1:22">
      <c r="A133" s="72"/>
      <c r="B133" s="131"/>
      <c r="C133" s="64" t="s">
        <v>46</v>
      </c>
      <c r="D133" s="57">
        <f>SUM(D103:D132)</f>
        <v>1572548889455.8511</v>
      </c>
      <c r="E133" s="97">
        <f>(D133/$D$198)</f>
        <v>0.48952670461961145</v>
      </c>
      <c r="F133" s="30"/>
      <c r="G133" s="11"/>
      <c r="H133" s="63">
        <f>SUM(H103:H132)</f>
        <v>18843</v>
      </c>
      <c r="I133" s="33"/>
      <c r="J133" s="33"/>
      <c r="K133" s="57">
        <f>SUM(K103:K132)</f>
        <v>1602267920125.6169</v>
      </c>
      <c r="L133" s="97">
        <f>(K133/$K$198)</f>
        <v>0.49279159288310359</v>
      </c>
      <c r="M133" s="30"/>
      <c r="N133" s="11"/>
      <c r="O133" s="63">
        <f>SUM(O103:O132)</f>
        <v>18906</v>
      </c>
      <c r="P133" s="33"/>
      <c r="Q133" s="33"/>
      <c r="R133" s="78">
        <f t="shared" si="38"/>
        <v>1.8898637027462809E-2</v>
      </c>
      <c r="S133" s="78" t="e">
        <f t="shared" si="39"/>
        <v>#DIV/0!</v>
      </c>
      <c r="T133" s="78">
        <f t="shared" si="40"/>
        <v>3.3434166533991404E-3</v>
      </c>
      <c r="U133" s="78">
        <f t="shared" si="41"/>
        <v>0</v>
      </c>
      <c r="V133" s="80">
        <f t="shared" si="42"/>
        <v>0</v>
      </c>
    </row>
    <row r="134" spans="1:22" ht="8.25" customHeight="1">
      <c r="A134" s="176"/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</row>
    <row r="135" spans="1:22" ht="15.75">
      <c r="A135" s="174" t="s">
        <v>147</v>
      </c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</row>
    <row r="136" spans="1:22">
      <c r="A136" s="150">
        <v>116</v>
      </c>
      <c r="B136" s="133" t="s">
        <v>243</v>
      </c>
      <c r="C136" s="134" t="s">
        <v>244</v>
      </c>
      <c r="D136" s="2">
        <v>2359294970.6483803</v>
      </c>
      <c r="E136" s="3">
        <f>(D136/$D$141)</f>
        <v>2.3987617932079847E-2</v>
      </c>
      <c r="F136" s="14">
        <v>111.18</v>
      </c>
      <c r="G136" s="14">
        <v>111.18</v>
      </c>
      <c r="H136" s="58">
        <v>7</v>
      </c>
      <c r="I136" s="5">
        <v>2.7000000000000001E-3</v>
      </c>
      <c r="J136" s="5">
        <v>8.77E-2</v>
      </c>
      <c r="K136" s="2">
        <v>2365947150.7614784</v>
      </c>
      <c r="L136" s="3">
        <f>(K136/$K$141)</f>
        <v>2.4112237621741649E-2</v>
      </c>
      <c r="M136" s="14">
        <v>111.49609570035243</v>
      </c>
      <c r="N136" s="14">
        <v>111.49609570035243</v>
      </c>
      <c r="O136" s="58">
        <v>7</v>
      </c>
      <c r="P136" s="5">
        <v>2.8195627065954465E-3</v>
      </c>
      <c r="Q136" s="5">
        <v>9.0800000000000006E-2</v>
      </c>
      <c r="R136" s="78">
        <f t="shared" ref="R136:R141" si="43">((K136-D136)/D136)</f>
        <v>2.8195627065953502E-3</v>
      </c>
      <c r="S136" s="78">
        <f t="shared" ref="S136:T141" si="44">((N136-G136)/G136)</f>
        <v>2.843098582050911E-3</v>
      </c>
      <c r="T136" s="78">
        <f t="shared" si="44"/>
        <v>0</v>
      </c>
      <c r="U136" s="78">
        <f t="shared" ref="U136:V141" si="45">P136-I136</f>
        <v>1.1956270659544636E-4</v>
      </c>
      <c r="V136" s="80">
        <f t="shared" si="45"/>
        <v>3.1000000000000055E-3</v>
      </c>
    </row>
    <row r="137" spans="1:22">
      <c r="A137" s="152">
        <v>117</v>
      </c>
      <c r="B137" s="133" t="s">
        <v>148</v>
      </c>
      <c r="C137" s="134" t="s">
        <v>40</v>
      </c>
      <c r="D137" s="2">
        <v>53749983529</v>
      </c>
      <c r="E137" s="3">
        <f>(D137/$D$141)</f>
        <v>0.54649125471364979</v>
      </c>
      <c r="F137" s="14">
        <v>102.5</v>
      </c>
      <c r="G137" s="14">
        <v>102.5</v>
      </c>
      <c r="H137" s="58">
        <v>666</v>
      </c>
      <c r="I137" s="5">
        <v>0</v>
      </c>
      <c r="J137" s="5">
        <v>7.6999999999999999E-2</v>
      </c>
      <c r="K137" s="2">
        <v>53749983529</v>
      </c>
      <c r="L137" s="3">
        <f>(K137/$K$141)</f>
        <v>0.54778585168262128</v>
      </c>
      <c r="M137" s="14">
        <v>102.5</v>
      </c>
      <c r="N137" s="14">
        <v>102.5</v>
      </c>
      <c r="O137" s="58">
        <v>666</v>
      </c>
      <c r="P137" s="5">
        <v>0</v>
      </c>
      <c r="Q137" s="5">
        <v>7.6999999999999999E-2</v>
      </c>
      <c r="R137" s="78">
        <f t="shared" si="43"/>
        <v>0</v>
      </c>
      <c r="S137" s="78">
        <f t="shared" si="44"/>
        <v>0</v>
      </c>
      <c r="T137" s="78">
        <f t="shared" si="44"/>
        <v>0</v>
      </c>
      <c r="U137" s="78">
        <f t="shared" si="45"/>
        <v>0</v>
      </c>
      <c r="V137" s="80">
        <f t="shared" si="45"/>
        <v>0</v>
      </c>
    </row>
    <row r="138" spans="1:22" ht="15.75" customHeight="1">
      <c r="A138" s="139">
        <v>118</v>
      </c>
      <c r="B138" s="133" t="s">
        <v>149</v>
      </c>
      <c r="C138" s="134" t="s">
        <v>120</v>
      </c>
      <c r="D138" s="2">
        <v>2452746647.9425807</v>
      </c>
      <c r="E138" s="3">
        <f>(D138/$D$141)</f>
        <v>2.493776751402434E-2</v>
      </c>
      <c r="F138" s="14">
        <v>101.4</v>
      </c>
      <c r="G138" s="14">
        <v>101.4</v>
      </c>
      <c r="H138" s="58">
        <v>2835</v>
      </c>
      <c r="I138" s="5">
        <v>9.1848260525623684E-2</v>
      </c>
      <c r="J138" s="5">
        <v>9.7195470448882063E-2</v>
      </c>
      <c r="K138" s="2">
        <v>2463478362.5768404</v>
      </c>
      <c r="L138" s="3">
        <f>(K138/$K$141)</f>
        <v>2.5106214073866342E-2</v>
      </c>
      <c r="M138" s="14">
        <v>101.4</v>
      </c>
      <c r="N138" s="14">
        <v>101.4</v>
      </c>
      <c r="O138" s="58">
        <v>2835</v>
      </c>
      <c r="P138" s="5">
        <v>0.28641417238339917</v>
      </c>
      <c r="Q138" s="5">
        <v>0.10096771861726926</v>
      </c>
      <c r="R138" s="78">
        <f t="shared" si="43"/>
        <v>4.3753865256575541E-3</v>
      </c>
      <c r="S138" s="78">
        <f t="shared" si="44"/>
        <v>0</v>
      </c>
      <c r="T138" s="78">
        <f t="shared" si="44"/>
        <v>0</v>
      </c>
      <c r="U138" s="78">
        <f t="shared" si="45"/>
        <v>0.1945659118577755</v>
      </c>
      <c r="V138" s="80">
        <f t="shared" si="45"/>
        <v>3.7722481683871989E-3</v>
      </c>
    </row>
    <row r="139" spans="1:22">
      <c r="A139" s="146">
        <v>119</v>
      </c>
      <c r="B139" s="133" t="s">
        <v>150</v>
      </c>
      <c r="C139" s="134" t="s">
        <v>120</v>
      </c>
      <c r="D139" s="2">
        <v>10071327252.030001</v>
      </c>
      <c r="E139" s="3">
        <f>(D139/$D$141)</f>
        <v>0.10239802703612191</v>
      </c>
      <c r="F139" s="14">
        <v>36.6</v>
      </c>
      <c r="G139" s="14">
        <v>36.6</v>
      </c>
      <c r="H139" s="58">
        <v>5261</v>
      </c>
      <c r="I139" s="5">
        <v>5.5399999999999998E-2</v>
      </c>
      <c r="J139" s="5">
        <v>0.20150000000000001</v>
      </c>
      <c r="K139" s="2">
        <v>10071975267.73</v>
      </c>
      <c r="L139" s="3">
        <f>(K139/$K$141)</f>
        <v>0.10264720448115128</v>
      </c>
      <c r="M139" s="14">
        <v>36.6</v>
      </c>
      <c r="N139" s="14">
        <v>36.6</v>
      </c>
      <c r="O139" s="58">
        <v>5261</v>
      </c>
      <c r="P139" s="5">
        <v>9.2247202338927095E-3</v>
      </c>
      <c r="Q139" s="5">
        <v>0.19579343365253032</v>
      </c>
      <c r="R139" s="78">
        <f t="shared" si="43"/>
        <v>6.4342631689208592E-5</v>
      </c>
      <c r="S139" s="78">
        <f t="shared" si="44"/>
        <v>0</v>
      </c>
      <c r="T139" s="78">
        <f t="shared" si="44"/>
        <v>0</v>
      </c>
      <c r="U139" s="78">
        <f t="shared" si="45"/>
        <v>-4.6175279766107288E-2</v>
      </c>
      <c r="V139" s="80">
        <f t="shared" si="45"/>
        <v>-5.7065663474696882E-3</v>
      </c>
    </row>
    <row r="140" spans="1:22">
      <c r="A140" s="143">
        <v>120</v>
      </c>
      <c r="B140" s="133" t="s">
        <v>151</v>
      </c>
      <c r="C140" s="134" t="s">
        <v>42</v>
      </c>
      <c r="D140" s="2">
        <v>29721347818.16</v>
      </c>
      <c r="E140" s="3">
        <f>(D140/$D$141)</f>
        <v>0.30218533280412413</v>
      </c>
      <c r="F140" s="14">
        <v>4.5</v>
      </c>
      <c r="G140" s="14">
        <v>4.5</v>
      </c>
      <c r="H140" s="58">
        <v>208270</v>
      </c>
      <c r="I140" s="5">
        <v>-6.25E-2</v>
      </c>
      <c r="J140" s="5">
        <v>-0.2969</v>
      </c>
      <c r="K140" s="2">
        <v>29470871611.470001</v>
      </c>
      <c r="L140" s="3">
        <f>(K140/$K$141)</f>
        <v>0.30034849214061943</v>
      </c>
      <c r="M140" s="14">
        <v>4.5999999999999996</v>
      </c>
      <c r="N140" s="14">
        <v>4.5999999999999996</v>
      </c>
      <c r="O140" s="58">
        <v>208270</v>
      </c>
      <c r="P140" s="5">
        <v>2.2200000000000001E-2</v>
      </c>
      <c r="Q140" s="5">
        <v>-0.28129999999999999</v>
      </c>
      <c r="R140" s="78">
        <f t="shared" si="43"/>
        <v>-8.4274847904762754E-3</v>
      </c>
      <c r="S140" s="78">
        <f t="shared" si="44"/>
        <v>2.2222222222222143E-2</v>
      </c>
      <c r="T140" s="78">
        <f t="shared" si="44"/>
        <v>0</v>
      </c>
      <c r="U140" s="78">
        <f t="shared" si="45"/>
        <v>8.4699999999999998E-2</v>
      </c>
      <c r="V140" s="80">
        <f t="shared" si="45"/>
        <v>1.5600000000000003E-2</v>
      </c>
    </row>
    <row r="141" spans="1:22">
      <c r="A141" s="116"/>
      <c r="B141" s="132"/>
      <c r="C141" s="69" t="s">
        <v>46</v>
      </c>
      <c r="D141" s="56">
        <f>SUM(D136:D140)</f>
        <v>98354700217.78096</v>
      </c>
      <c r="E141" s="97">
        <f>(D141/$D$198)</f>
        <v>3.0617332538462751E-2</v>
      </c>
      <c r="F141" s="30"/>
      <c r="G141" s="34"/>
      <c r="H141" s="63">
        <f>SUM(H136:H140)</f>
        <v>217039</v>
      </c>
      <c r="I141" s="35"/>
      <c r="J141" s="35"/>
      <c r="K141" s="56">
        <f>SUM(K136:K140)</f>
        <v>98122255921.538315</v>
      </c>
      <c r="L141" s="97">
        <f>(K141/$K$198)</f>
        <v>3.0178362922642483E-2</v>
      </c>
      <c r="M141" s="30"/>
      <c r="N141" s="34"/>
      <c r="O141" s="63">
        <f>SUM(O136:O140)</f>
        <v>217039</v>
      </c>
      <c r="P141" s="35"/>
      <c r="Q141" s="35"/>
      <c r="R141" s="78">
        <f t="shared" si="43"/>
        <v>-2.3633267726703216E-3</v>
      </c>
      <c r="S141" s="78" t="e">
        <f t="shared" si="44"/>
        <v>#DIV/0!</v>
      </c>
      <c r="T141" s="78">
        <f t="shared" si="44"/>
        <v>0</v>
      </c>
      <c r="U141" s="78">
        <f t="shared" si="45"/>
        <v>0</v>
      </c>
      <c r="V141" s="80">
        <f t="shared" si="45"/>
        <v>0</v>
      </c>
    </row>
    <row r="142" spans="1:22" ht="7.5" customHeight="1">
      <c r="A142" s="176"/>
      <c r="B142" s="176"/>
      <c r="C142" s="176"/>
      <c r="D142" s="176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</row>
    <row r="143" spans="1:22" ht="15" customHeight="1">
      <c r="A143" s="174" t="s">
        <v>152</v>
      </c>
      <c r="B143" s="174"/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</row>
    <row r="144" spans="1:22">
      <c r="A144" s="146">
        <v>121</v>
      </c>
      <c r="B144" s="133" t="s">
        <v>153</v>
      </c>
      <c r="C144" s="134" t="s">
        <v>50</v>
      </c>
      <c r="D144" s="4">
        <v>239557350.15000001</v>
      </c>
      <c r="E144" s="3">
        <f t="shared" ref="E144:E171" si="46">(D144/$D$172)</f>
        <v>4.9097111143003528E-3</v>
      </c>
      <c r="F144" s="4">
        <v>5.36</v>
      </c>
      <c r="G144" s="4">
        <v>5.43</v>
      </c>
      <c r="H144" s="60">
        <v>11835</v>
      </c>
      <c r="I144" s="6">
        <v>-8.9870000000000002E-3</v>
      </c>
      <c r="J144" s="6">
        <v>6.5109E-2</v>
      </c>
      <c r="K144" s="4">
        <v>240440805.19999999</v>
      </c>
      <c r="L144" s="16">
        <f t="shared" ref="L144:L171" si="47">(K144/$K$172)</f>
        <v>4.9139253093308808E-3</v>
      </c>
      <c r="M144" s="4">
        <v>5.38</v>
      </c>
      <c r="N144" s="4">
        <v>5.45</v>
      </c>
      <c r="O144" s="60">
        <v>11835</v>
      </c>
      <c r="P144" s="6">
        <v>3.4789999999999999E-3</v>
      </c>
      <c r="Q144" s="6">
        <v>6.8587999999999996E-2</v>
      </c>
      <c r="R144" s="78">
        <f>((K144-D144)/D144)</f>
        <v>3.68786451113607E-3</v>
      </c>
      <c r="S144" s="78">
        <f>((N144-G144)/G144)</f>
        <v>3.6832412523021109E-3</v>
      </c>
      <c r="T144" s="78">
        <f>((O144-H144)/H144)</f>
        <v>0</v>
      </c>
      <c r="U144" s="78">
        <f>P144-I144</f>
        <v>1.2466E-2</v>
      </c>
      <c r="V144" s="80">
        <f>Q144-J144</f>
        <v>3.478999999999996E-3</v>
      </c>
    </row>
    <row r="145" spans="1:24">
      <c r="A145" s="149">
        <v>122</v>
      </c>
      <c r="B145" s="133" t="s">
        <v>253</v>
      </c>
      <c r="C145" s="133" t="s">
        <v>252</v>
      </c>
      <c r="D145" s="4">
        <v>607959509.19861257</v>
      </c>
      <c r="E145" s="3">
        <f t="shared" si="46"/>
        <v>1.2460087563533336E-2</v>
      </c>
      <c r="F145" s="4">
        <v>1161.2831783609208</v>
      </c>
      <c r="G145" s="4">
        <v>1172.0793065277562</v>
      </c>
      <c r="H145" s="60">
        <v>171</v>
      </c>
      <c r="I145" s="6">
        <v>-5.8883985276564823E-3</v>
      </c>
      <c r="J145" s="6">
        <v>3.6500676739311295E-2</v>
      </c>
      <c r="K145" s="4">
        <v>605212076.25965285</v>
      </c>
      <c r="L145" s="16">
        <f t="shared" si="47"/>
        <v>1.236881126134658E-2</v>
      </c>
      <c r="M145" s="4">
        <v>1155.2513690175449</v>
      </c>
      <c r="N145" s="4">
        <v>1165.8801658069008</v>
      </c>
      <c r="O145" s="60">
        <v>171</v>
      </c>
      <c r="P145" s="6">
        <v>-5.2517292674082033E-3</v>
      </c>
      <c r="Q145" s="6">
        <v>3.1057255799591049E-2</v>
      </c>
      <c r="R145" s="78">
        <f>((K145-D145)/D145)</f>
        <v>-4.5191051334673125E-3</v>
      </c>
      <c r="S145" s="78">
        <f>((N145-G145)/G145)</f>
        <v>-5.2890113205907334E-3</v>
      </c>
      <c r="T145" s="78">
        <f>((O145-H145)/H145)</f>
        <v>0</v>
      </c>
      <c r="U145" s="78">
        <f>P145-I145</f>
        <v>6.3666926024827895E-4</v>
      </c>
      <c r="V145" s="80">
        <f>Q145-J145</f>
        <v>-5.443420939720247E-3</v>
      </c>
    </row>
    <row r="146" spans="1:24">
      <c r="A146" s="150">
        <v>123</v>
      </c>
      <c r="B146" s="133" t="s">
        <v>154</v>
      </c>
      <c r="C146" s="134" t="s">
        <v>21</v>
      </c>
      <c r="D146" s="4">
        <v>6425127092.1099997</v>
      </c>
      <c r="E146" s="3">
        <f t="shared" si="46"/>
        <v>0.1316825297790796</v>
      </c>
      <c r="F146" s="4">
        <v>765.47170000000006</v>
      </c>
      <c r="G146" s="4">
        <v>788.55129999999997</v>
      </c>
      <c r="H146" s="60">
        <v>21293</v>
      </c>
      <c r="I146" s="6">
        <v>-1.0329999999999999</v>
      </c>
      <c r="J146" s="6">
        <v>0.27360000000000001</v>
      </c>
      <c r="K146" s="4">
        <v>6433566862.6300001</v>
      </c>
      <c r="L146" s="16">
        <f t="shared" si="47"/>
        <v>0.13148378458162818</v>
      </c>
      <c r="M146" s="4">
        <v>766.44219999999996</v>
      </c>
      <c r="N146" s="4">
        <v>789.55100000000004</v>
      </c>
      <c r="O146" s="60">
        <v>21301</v>
      </c>
      <c r="P146" s="6">
        <v>6.6299999999999998E-2</v>
      </c>
      <c r="Q146" s="6">
        <v>0.26719999999999999</v>
      </c>
      <c r="R146" s="78">
        <f t="shared" ref="R146:R172" si="48">((K146-D146)/D146)</f>
        <v>1.3135569770074155E-3</v>
      </c>
      <c r="S146" s="78">
        <f t="shared" ref="S146:S172" si="49">((N146-G146)/G146)</f>
        <v>1.2677678674806259E-3</v>
      </c>
      <c r="T146" s="78">
        <f t="shared" ref="T146:T172" si="50">((O146-H146)/H146)</f>
        <v>3.7571032733762268E-4</v>
      </c>
      <c r="U146" s="78">
        <f t="shared" ref="U146:U172" si="51">P146-I146</f>
        <v>1.0992999999999999</v>
      </c>
      <c r="V146" s="80">
        <f t="shared" ref="V146:V172" si="52">Q146-J146</f>
        <v>-6.4000000000000168E-3</v>
      </c>
    </row>
    <row r="147" spans="1:24">
      <c r="A147" s="142">
        <v>124</v>
      </c>
      <c r="B147" s="133" t="s">
        <v>155</v>
      </c>
      <c r="C147" s="134" t="s">
        <v>91</v>
      </c>
      <c r="D147" s="4">
        <v>3543737321.9899998</v>
      </c>
      <c r="E147" s="3">
        <f t="shared" si="46"/>
        <v>7.2628648234090806E-2</v>
      </c>
      <c r="F147" s="4">
        <v>20.313500000000001</v>
      </c>
      <c r="G147" s="4">
        <v>20.550699999999999</v>
      </c>
      <c r="H147" s="58">
        <v>6231</v>
      </c>
      <c r="I147" s="5">
        <v>-1.43E-2</v>
      </c>
      <c r="J147" s="5">
        <v>0.1013</v>
      </c>
      <c r="K147" s="4">
        <v>3566893315.8499999</v>
      </c>
      <c r="L147" s="16">
        <f t="shared" si="47"/>
        <v>7.2897141256281495E-2</v>
      </c>
      <c r="M147" s="4">
        <v>19.925699999999999</v>
      </c>
      <c r="N147" s="4">
        <v>20.154299999999999</v>
      </c>
      <c r="O147" s="58">
        <v>6227</v>
      </c>
      <c r="P147" s="5">
        <v>1.26E-2</v>
      </c>
      <c r="Q147" s="5">
        <v>8.0199999999999994E-2</v>
      </c>
      <c r="R147" s="78">
        <f t="shared" si="48"/>
        <v>6.5343426320878641E-3</v>
      </c>
      <c r="S147" s="78">
        <f t="shared" si="49"/>
        <v>-1.9288880670731406E-2</v>
      </c>
      <c r="T147" s="78">
        <f t="shared" si="50"/>
        <v>-6.4195153265928417E-4</v>
      </c>
      <c r="U147" s="78">
        <f t="shared" si="51"/>
        <v>2.69E-2</v>
      </c>
      <c r="V147" s="80">
        <f t="shared" si="52"/>
        <v>-2.1100000000000008E-2</v>
      </c>
    </row>
    <row r="148" spans="1:24">
      <c r="A148" s="156">
        <v>125</v>
      </c>
      <c r="B148" s="133" t="s">
        <v>156</v>
      </c>
      <c r="C148" s="134" t="s">
        <v>101</v>
      </c>
      <c r="D148" s="2">
        <v>1544428238.6214619</v>
      </c>
      <c r="E148" s="3">
        <f t="shared" si="46"/>
        <v>3.1652948588933576E-2</v>
      </c>
      <c r="F148" s="4">
        <v>3.6347999999999998</v>
      </c>
      <c r="G148" s="4">
        <v>3.7241</v>
      </c>
      <c r="H148" s="58">
        <v>2749</v>
      </c>
      <c r="I148" s="5">
        <v>-0.35449999999999998</v>
      </c>
      <c r="J148" s="5">
        <v>0.2999</v>
      </c>
      <c r="K148" s="2">
        <v>1544525552.9632206</v>
      </c>
      <c r="L148" s="16">
        <f t="shared" si="47"/>
        <v>3.1565703663740036E-2</v>
      </c>
      <c r="M148" s="4">
        <v>3.6355</v>
      </c>
      <c r="N148" s="4">
        <v>3.7246999999999999</v>
      </c>
      <c r="O148" s="58">
        <v>2748</v>
      </c>
      <c r="P148" s="5">
        <v>8.3999999999999995E-3</v>
      </c>
      <c r="Q148" s="5">
        <v>0.29049999999999998</v>
      </c>
      <c r="R148" s="78">
        <f t="shared" si="48"/>
        <v>6.3009947192878079E-5</v>
      </c>
      <c r="S148" s="78">
        <f t="shared" si="49"/>
        <v>1.6111275207430893E-4</v>
      </c>
      <c r="T148" s="78">
        <f t="shared" si="50"/>
        <v>-3.6376864314296108E-4</v>
      </c>
      <c r="U148" s="78">
        <f t="shared" si="51"/>
        <v>0.3629</v>
      </c>
      <c r="V148" s="80">
        <f t="shared" si="52"/>
        <v>-9.4000000000000195E-3</v>
      </c>
    </row>
    <row r="149" spans="1:24">
      <c r="A149" s="143">
        <v>126</v>
      </c>
      <c r="B149" s="133" t="s">
        <v>157</v>
      </c>
      <c r="C149" s="134" t="s">
        <v>56</v>
      </c>
      <c r="D149" s="4">
        <v>2758552343.4845099</v>
      </c>
      <c r="E149" s="3">
        <f t="shared" si="46"/>
        <v>5.6536337088821241E-2</v>
      </c>
      <c r="F149" s="4">
        <v>6446.8623940265297</v>
      </c>
      <c r="G149" s="4">
        <v>6490.9384548141297</v>
      </c>
      <c r="H149" s="58">
        <v>870</v>
      </c>
      <c r="I149" s="5">
        <v>-0.23522357524486837</v>
      </c>
      <c r="J149" s="5">
        <v>0.20047457031237539</v>
      </c>
      <c r="K149" s="4">
        <v>2772063005.4642</v>
      </c>
      <c r="L149" s="16">
        <f t="shared" si="47"/>
        <v>5.6653073301263263E-2</v>
      </c>
      <c r="M149" s="4">
        <v>6487.4623989657503</v>
      </c>
      <c r="N149" s="4">
        <v>6532.5067984554198</v>
      </c>
      <c r="O149" s="58">
        <v>868</v>
      </c>
      <c r="P149" s="5">
        <v>0.32927649583735441</v>
      </c>
      <c r="Q149" s="5">
        <v>0.20588953244738223</v>
      </c>
      <c r="R149" s="78">
        <f t="shared" si="48"/>
        <v>4.8977363114393055E-3</v>
      </c>
      <c r="S149" s="78">
        <f t="shared" si="49"/>
        <v>6.4040575843790542E-3</v>
      </c>
      <c r="T149" s="78">
        <f t="shared" si="50"/>
        <v>-2.2988505747126436E-3</v>
      </c>
      <c r="U149" s="78">
        <f t="shared" si="51"/>
        <v>0.56450007108222278</v>
      </c>
      <c r="V149" s="80">
        <f t="shared" si="52"/>
        <v>5.4149621350068344E-3</v>
      </c>
    </row>
    <row r="150" spans="1:24">
      <c r="A150" s="149">
        <v>127</v>
      </c>
      <c r="B150" s="133" t="s">
        <v>158</v>
      </c>
      <c r="C150" s="134" t="s">
        <v>58</v>
      </c>
      <c r="D150" s="4">
        <v>694121706.13</v>
      </c>
      <c r="E150" s="3">
        <f t="shared" si="46"/>
        <v>1.4225975755407579E-2</v>
      </c>
      <c r="F150" s="4">
        <v>172.31</v>
      </c>
      <c r="G150" s="4">
        <v>172.31</v>
      </c>
      <c r="H150" s="58">
        <v>672</v>
      </c>
      <c r="I150" s="5">
        <v>-1.21E-2</v>
      </c>
      <c r="J150" s="5">
        <v>0.11899999999999999</v>
      </c>
      <c r="K150" s="4">
        <v>696937721.37</v>
      </c>
      <c r="L150" s="16">
        <f t="shared" si="47"/>
        <v>1.4243422222857523E-2</v>
      </c>
      <c r="M150" s="4">
        <v>172.84</v>
      </c>
      <c r="N150" s="4">
        <v>173.97</v>
      </c>
      <c r="O150" s="58">
        <v>673</v>
      </c>
      <c r="P150" s="5">
        <v>-9.1000000000000004E-3</v>
      </c>
      <c r="Q150" s="5">
        <v>0.122</v>
      </c>
      <c r="R150" s="78">
        <f t="shared" si="48"/>
        <v>4.0569473841992288E-3</v>
      </c>
      <c r="S150" s="78">
        <f t="shared" si="49"/>
        <v>9.6337995473274717E-3</v>
      </c>
      <c r="T150" s="78">
        <f t="shared" si="50"/>
        <v>1.488095238095238E-3</v>
      </c>
      <c r="U150" s="78">
        <f t="shared" si="51"/>
        <v>2.9999999999999992E-3</v>
      </c>
      <c r="V150" s="80">
        <f t="shared" si="52"/>
        <v>3.0000000000000027E-3</v>
      </c>
    </row>
    <row r="151" spans="1:24">
      <c r="A151" s="149">
        <v>128</v>
      </c>
      <c r="B151" s="133" t="s">
        <v>159</v>
      </c>
      <c r="C151" s="134" t="s">
        <v>60</v>
      </c>
      <c r="D151" s="4">
        <v>3734808.11</v>
      </c>
      <c r="E151" s="3">
        <f t="shared" si="46"/>
        <v>7.6544630653012306E-5</v>
      </c>
      <c r="F151" s="4">
        <v>102.747</v>
      </c>
      <c r="G151" s="4">
        <v>102.99</v>
      </c>
      <c r="H151" s="58">
        <v>0</v>
      </c>
      <c r="I151" s="5">
        <v>0</v>
      </c>
      <c r="J151" s="5">
        <v>0</v>
      </c>
      <c r="K151" s="4">
        <v>3734808.11</v>
      </c>
      <c r="L151" s="16">
        <f t="shared" si="47"/>
        <v>7.6328841445849689E-5</v>
      </c>
      <c r="M151" s="4">
        <v>102.747</v>
      </c>
      <c r="N151" s="4">
        <v>102.99</v>
      </c>
      <c r="O151" s="58">
        <v>0</v>
      </c>
      <c r="P151" s="5">
        <v>0</v>
      </c>
      <c r="Q151" s="5">
        <v>0</v>
      </c>
      <c r="R151" s="78">
        <f t="shared" si="48"/>
        <v>0</v>
      </c>
      <c r="S151" s="78">
        <f t="shared" si="49"/>
        <v>0</v>
      </c>
      <c r="T151" s="78" t="e">
        <f t="shared" si="50"/>
        <v>#DIV/0!</v>
      </c>
      <c r="U151" s="78">
        <f t="shared" si="51"/>
        <v>0</v>
      </c>
      <c r="V151" s="80">
        <f t="shared" si="52"/>
        <v>0</v>
      </c>
    </row>
    <row r="152" spans="1:24">
      <c r="A152" s="149">
        <v>129</v>
      </c>
      <c r="B152" s="133" t="s">
        <v>160</v>
      </c>
      <c r="C152" s="134" t="s">
        <v>105</v>
      </c>
      <c r="D152" s="4">
        <v>191481273.59999999</v>
      </c>
      <c r="E152" s="3">
        <f t="shared" si="46"/>
        <v>3.9243952923408414E-3</v>
      </c>
      <c r="F152" s="4">
        <v>1.4470000000000001</v>
      </c>
      <c r="G152" s="4">
        <v>1.4588000000000001</v>
      </c>
      <c r="H152" s="58">
        <v>324</v>
      </c>
      <c r="I152" s="5">
        <v>-1.7117239505501924E-2</v>
      </c>
      <c r="J152" s="5">
        <v>-1.1544504406038603E-2</v>
      </c>
      <c r="K152" s="4">
        <v>191321753.18000001</v>
      </c>
      <c r="L152" s="16">
        <f t="shared" si="47"/>
        <v>3.9100717716975854E-3</v>
      </c>
      <c r="M152" s="4">
        <v>1.4459</v>
      </c>
      <c r="N152" s="4">
        <v>1.4577</v>
      </c>
      <c r="O152" s="58">
        <v>325</v>
      </c>
      <c r="P152" s="5">
        <v>-7.6019350380107653E-4</v>
      </c>
      <c r="Q152" s="5">
        <v>-1.2295921852585545E-2</v>
      </c>
      <c r="R152" s="78">
        <f t="shared" si="48"/>
        <v>-8.3308627000894828E-4</v>
      </c>
      <c r="S152" s="78">
        <f t="shared" si="49"/>
        <v>-7.5404442007136056E-4</v>
      </c>
      <c r="T152" s="78">
        <f t="shared" si="50"/>
        <v>3.0864197530864196E-3</v>
      </c>
      <c r="U152" s="78">
        <f t="shared" si="51"/>
        <v>1.6357046001700848E-2</v>
      </c>
      <c r="V152" s="80">
        <f t="shared" si="52"/>
        <v>-7.5141744654694254E-4</v>
      </c>
    </row>
    <row r="153" spans="1:24">
      <c r="A153" s="139">
        <v>130</v>
      </c>
      <c r="B153" s="133" t="s">
        <v>161</v>
      </c>
      <c r="C153" s="134" t="s">
        <v>25</v>
      </c>
      <c r="D153" s="9">
        <v>127988392.29000001</v>
      </c>
      <c r="E153" s="3">
        <f t="shared" si="46"/>
        <v>2.6231131365169118E-3</v>
      </c>
      <c r="F153" s="4">
        <v>145.46010000000001</v>
      </c>
      <c r="G153" s="4">
        <v>146.04409999999999</v>
      </c>
      <c r="H153" s="58">
        <v>112</v>
      </c>
      <c r="I153" s="5">
        <v>-1.2565E-2</v>
      </c>
      <c r="J153" s="5">
        <v>0.27839999999999998</v>
      </c>
      <c r="K153" s="9">
        <v>128044559.54000001</v>
      </c>
      <c r="L153" s="16">
        <f t="shared" si="47"/>
        <v>2.6168661401809799E-3</v>
      </c>
      <c r="M153" s="4">
        <v>145.8202</v>
      </c>
      <c r="N153" s="4">
        <v>146.4066</v>
      </c>
      <c r="O153" s="58">
        <v>112</v>
      </c>
      <c r="P153" s="5">
        <v>4.1399999999999998E-4</v>
      </c>
      <c r="Q153" s="5">
        <v>0.27839999999999998</v>
      </c>
      <c r="R153" s="78">
        <f t="shared" si="48"/>
        <v>4.3884643751704083E-4</v>
      </c>
      <c r="S153" s="78">
        <f t="shared" si="49"/>
        <v>2.4821269739757471E-3</v>
      </c>
      <c r="T153" s="78">
        <f t="shared" si="50"/>
        <v>0</v>
      </c>
      <c r="U153" s="78">
        <f t="shared" si="51"/>
        <v>1.2978999999999999E-2</v>
      </c>
      <c r="V153" s="80">
        <f t="shared" si="52"/>
        <v>0</v>
      </c>
    </row>
    <row r="154" spans="1:24">
      <c r="A154" s="140">
        <v>131</v>
      </c>
      <c r="B154" s="133" t="s">
        <v>162</v>
      </c>
      <c r="C154" s="134" t="s">
        <v>64</v>
      </c>
      <c r="D154" s="9">
        <v>211741482.91999999</v>
      </c>
      <c r="E154" s="3">
        <f t="shared" si="46"/>
        <v>4.3396268634622072E-3</v>
      </c>
      <c r="F154" s="4">
        <v>114.23</v>
      </c>
      <c r="G154" s="4">
        <v>114.51</v>
      </c>
      <c r="H154" s="58">
        <v>27</v>
      </c>
      <c r="I154" s="5">
        <v>-8.3999999999999995E-3</v>
      </c>
      <c r="J154" s="5">
        <v>0.15260000000000001</v>
      </c>
      <c r="K154" s="9">
        <v>211240992.50999999</v>
      </c>
      <c r="L154" s="16">
        <f t="shared" si="47"/>
        <v>4.3171642958009194E-3</v>
      </c>
      <c r="M154" s="4">
        <v>113.3</v>
      </c>
      <c r="N154" s="4">
        <v>113.65</v>
      </c>
      <c r="O154" s="58">
        <v>27</v>
      </c>
      <c r="P154" s="5">
        <v>-7.9000000000000008E-3</v>
      </c>
      <c r="Q154" s="5">
        <v>0.1447</v>
      </c>
      <c r="R154" s="78">
        <f t="shared" si="48"/>
        <v>-2.3636861473624957E-3</v>
      </c>
      <c r="S154" s="78">
        <f t="shared" si="49"/>
        <v>-7.5102611125665826E-3</v>
      </c>
      <c r="T154" s="78">
        <f t="shared" si="50"/>
        <v>0</v>
      </c>
      <c r="U154" s="78">
        <f t="shared" si="51"/>
        <v>4.9999999999999871E-4</v>
      </c>
      <c r="V154" s="80">
        <f t="shared" si="52"/>
        <v>-7.9000000000000181E-3</v>
      </c>
    </row>
    <row r="155" spans="1:24" ht="15.75" customHeight="1">
      <c r="A155" s="151">
        <v>132</v>
      </c>
      <c r="B155" s="133" t="s">
        <v>163</v>
      </c>
      <c r="C155" s="134" t="s">
        <v>67</v>
      </c>
      <c r="D155" s="2">
        <v>323392478.66000003</v>
      </c>
      <c r="E155" s="3">
        <f t="shared" si="46"/>
        <v>6.6279062018508549E-3</v>
      </c>
      <c r="F155" s="4">
        <v>1.2446999999999999</v>
      </c>
      <c r="G155" s="4">
        <v>1.2593000000000001</v>
      </c>
      <c r="H155" s="58">
        <v>107</v>
      </c>
      <c r="I155" s="5">
        <v>-2.2691582914572978E-2</v>
      </c>
      <c r="J155" s="5">
        <v>0.22087355506355588</v>
      </c>
      <c r="K155" s="2">
        <v>318152016.73000002</v>
      </c>
      <c r="L155" s="16">
        <f t="shared" si="47"/>
        <v>6.5021211600243337E-3</v>
      </c>
      <c r="M155" s="4">
        <v>1.2331000000000001</v>
      </c>
      <c r="N155" s="4">
        <v>1.2474000000000001</v>
      </c>
      <c r="O155" s="58">
        <v>110</v>
      </c>
      <c r="P155" s="5">
        <v>-9.3195147425081011E-3</v>
      </c>
      <c r="Q155" s="5">
        <v>0.18177159551914479</v>
      </c>
      <c r="R155" s="78">
        <f t="shared" si="48"/>
        <v>-1.6204650002109626E-2</v>
      </c>
      <c r="S155" s="78">
        <f t="shared" si="49"/>
        <v>-9.4496942745970151E-3</v>
      </c>
      <c r="T155" s="78">
        <f t="shared" si="50"/>
        <v>2.8037383177570093E-2</v>
      </c>
      <c r="U155" s="78">
        <f t="shared" si="51"/>
        <v>1.3372068172064877E-2</v>
      </c>
      <c r="V155" s="80">
        <f t="shared" si="52"/>
        <v>-3.9101959544411091E-2</v>
      </c>
      <c r="X155" s="102"/>
    </row>
    <row r="156" spans="1:24">
      <c r="A156" s="146">
        <v>133</v>
      </c>
      <c r="B156" s="133" t="s">
        <v>164</v>
      </c>
      <c r="C156" s="134" t="s">
        <v>27</v>
      </c>
      <c r="D156" s="4">
        <v>8555747669.9399996</v>
      </c>
      <c r="E156" s="3">
        <f t="shared" si="46"/>
        <v>0.17534944930702959</v>
      </c>
      <c r="F156" s="4">
        <v>313.95</v>
      </c>
      <c r="G156" s="4">
        <v>316.04000000000002</v>
      </c>
      <c r="H156" s="58">
        <v>6276</v>
      </c>
      <c r="I156" s="5">
        <v>-5.5999999999999999E-3</v>
      </c>
      <c r="J156" s="5">
        <v>0.161</v>
      </c>
      <c r="K156" s="4">
        <v>8594482462.0499992</v>
      </c>
      <c r="L156" s="16">
        <f t="shared" si="47"/>
        <v>0.17564674538391487</v>
      </c>
      <c r="M156" s="4">
        <v>315.77</v>
      </c>
      <c r="N156" s="4">
        <v>317.72000000000003</v>
      </c>
      <c r="O156" s="58">
        <v>5476</v>
      </c>
      <c r="P156" s="5">
        <v>5.5999999999999999E-3</v>
      </c>
      <c r="Q156" s="5">
        <v>0.16769999999999999</v>
      </c>
      <c r="R156" s="78">
        <f t="shared" si="48"/>
        <v>4.5273415725070468E-3</v>
      </c>
      <c r="S156" s="78">
        <f t="shared" si="49"/>
        <v>5.3157828123022617E-3</v>
      </c>
      <c r="T156" s="78">
        <f t="shared" si="50"/>
        <v>-0.12746972594008923</v>
      </c>
      <c r="U156" s="78">
        <f t="shared" si="51"/>
        <v>1.12E-2</v>
      </c>
      <c r="V156" s="80">
        <f t="shared" si="52"/>
        <v>6.6999999999999837E-3</v>
      </c>
    </row>
    <row r="157" spans="1:24">
      <c r="A157" s="143">
        <v>134</v>
      </c>
      <c r="B157" s="133" t="s">
        <v>165</v>
      </c>
      <c r="C157" s="134" t="s">
        <v>72</v>
      </c>
      <c r="D157" s="4">
        <v>2915639850.1900001</v>
      </c>
      <c r="E157" s="3">
        <f t="shared" si="46"/>
        <v>5.9755834537372716E-2</v>
      </c>
      <c r="F157" s="4">
        <v>2.0415999999999999</v>
      </c>
      <c r="G157" s="4">
        <v>2.0760999999999998</v>
      </c>
      <c r="H157" s="58">
        <v>10309</v>
      </c>
      <c r="I157" s="5">
        <v>5.7999999999999996E-3</v>
      </c>
      <c r="J157" s="5">
        <v>0.17030000000000001</v>
      </c>
      <c r="K157" s="4">
        <v>2877799280.1599998</v>
      </c>
      <c r="L157" s="16">
        <f t="shared" si="47"/>
        <v>5.881402163076941E-2</v>
      </c>
      <c r="M157" s="4">
        <v>2.0148000000000001</v>
      </c>
      <c r="N157" s="4">
        <v>2.0493000000000001</v>
      </c>
      <c r="O157" s="58">
        <v>10309</v>
      </c>
      <c r="P157" s="5">
        <v>-1.03E-2</v>
      </c>
      <c r="Q157" s="5">
        <v>0.15509999999999999</v>
      </c>
      <c r="R157" s="78">
        <f t="shared" si="48"/>
        <v>-1.2978478815733809E-2</v>
      </c>
      <c r="S157" s="78">
        <f t="shared" si="49"/>
        <v>-1.2908819421029678E-2</v>
      </c>
      <c r="T157" s="78">
        <f t="shared" si="50"/>
        <v>0</v>
      </c>
      <c r="U157" s="78">
        <f t="shared" si="51"/>
        <v>-1.61E-2</v>
      </c>
      <c r="V157" s="80">
        <f t="shared" si="52"/>
        <v>-1.5200000000000019E-2</v>
      </c>
    </row>
    <row r="158" spans="1:24">
      <c r="A158" s="149">
        <v>135</v>
      </c>
      <c r="B158" s="133" t="s">
        <v>166</v>
      </c>
      <c r="C158" s="134" t="s">
        <v>74</v>
      </c>
      <c r="D158" s="4">
        <v>187880704.99471542</v>
      </c>
      <c r="E158" s="3">
        <f t="shared" si="46"/>
        <v>3.8506018909357188E-3</v>
      </c>
      <c r="F158" s="4">
        <v>244.45964887085964</v>
      </c>
      <c r="G158" s="4">
        <v>252.38082075879919</v>
      </c>
      <c r="H158" s="58">
        <v>39</v>
      </c>
      <c r="I158" s="5">
        <v>-1.0288413221586801E-2</v>
      </c>
      <c r="J158" s="5">
        <v>1.72668020665927E-3</v>
      </c>
      <c r="K158" s="4">
        <v>187880704.99471542</v>
      </c>
      <c r="L158" s="16">
        <f t="shared" si="47"/>
        <v>3.839746546516976E-3</v>
      </c>
      <c r="M158" s="4">
        <v>242.35181366205737</v>
      </c>
      <c r="N158" s="4">
        <v>250.41353169905773</v>
      </c>
      <c r="O158" s="58">
        <v>39</v>
      </c>
      <c r="P158" s="5">
        <v>-8.6224259035722062E-3</v>
      </c>
      <c r="Q158" s="5">
        <v>-1.3022116918733265E-2</v>
      </c>
      <c r="R158" s="78">
        <f t="shared" si="48"/>
        <v>0</v>
      </c>
      <c r="S158" s="78">
        <f t="shared" si="49"/>
        <v>-7.7949229811785205E-3</v>
      </c>
      <c r="T158" s="78">
        <f t="shared" si="50"/>
        <v>0</v>
      </c>
      <c r="U158" s="78">
        <f t="shared" si="51"/>
        <v>1.6659873180145945E-3</v>
      </c>
      <c r="V158" s="80">
        <f t="shared" si="52"/>
        <v>-1.4748797125392534E-2</v>
      </c>
    </row>
    <row r="159" spans="1:24">
      <c r="A159" s="150">
        <v>136</v>
      </c>
      <c r="B159" s="133" t="s">
        <v>275</v>
      </c>
      <c r="C159" s="133" t="s">
        <v>255</v>
      </c>
      <c r="D159" s="4">
        <v>49995763.509999998</v>
      </c>
      <c r="E159" s="3">
        <f t="shared" si="46"/>
        <v>1.0246596717624404E-3</v>
      </c>
      <c r="F159" s="4">
        <v>0.97699999999999998</v>
      </c>
      <c r="G159" s="4">
        <v>0.99099999999999999</v>
      </c>
      <c r="H159" s="58">
        <v>15</v>
      </c>
      <c r="I159" s="5">
        <v>0</v>
      </c>
      <c r="J159" s="5">
        <v>0</v>
      </c>
      <c r="K159" s="4">
        <v>48918407.729999997</v>
      </c>
      <c r="L159" s="16">
        <f t="shared" si="47"/>
        <v>9.9975293975855637E-4</v>
      </c>
      <c r="M159" s="4">
        <v>0.95699999999999996</v>
      </c>
      <c r="N159" s="4">
        <v>0.96899999999999997</v>
      </c>
      <c r="O159" s="58">
        <v>15</v>
      </c>
      <c r="P159" s="5">
        <v>1.0800000000000001E-2</v>
      </c>
      <c r="Q159" s="5">
        <v>2.1600000000000001E-2</v>
      </c>
      <c r="R159" s="78">
        <f t="shared" ref="R159" si="53">((K159-D159)/D159)</f>
        <v>-2.1548941437498234E-2</v>
      </c>
      <c r="S159" s="78">
        <f t="shared" ref="S159" si="54">((N159-G159)/G159)</f>
        <v>-2.2199798183652895E-2</v>
      </c>
      <c r="T159" s="78">
        <f t="shared" ref="T159" si="55">((O159-H159)/H159)</f>
        <v>0</v>
      </c>
      <c r="U159" s="78">
        <f t="shared" ref="U159" si="56">P159-I159</f>
        <v>1.0800000000000001E-2</v>
      </c>
      <c r="V159" s="80">
        <f t="shared" ref="V159" si="57">Q159-J159</f>
        <v>2.1600000000000001E-2</v>
      </c>
    </row>
    <row r="160" spans="1:24" ht="13.5" customHeight="1">
      <c r="A160" s="149">
        <v>137</v>
      </c>
      <c r="B160" s="133" t="s">
        <v>238</v>
      </c>
      <c r="C160" s="134" t="s">
        <v>32</v>
      </c>
      <c r="D160" s="2">
        <v>2710224904.3499999</v>
      </c>
      <c r="E160" s="3">
        <f t="shared" si="46"/>
        <v>5.5545869608295988E-2</v>
      </c>
      <c r="F160" s="4">
        <v>3.823858</v>
      </c>
      <c r="G160" s="4">
        <v>3.9525969999999999</v>
      </c>
      <c r="H160" s="58">
        <v>2327</v>
      </c>
      <c r="I160" s="5">
        <v>-2.9326446081658908E-3</v>
      </c>
      <c r="J160" s="5">
        <v>5.1290242762488614E-2</v>
      </c>
      <c r="K160" s="2">
        <v>2705559211</v>
      </c>
      <c r="L160" s="16">
        <f t="shared" si="47"/>
        <v>5.5293925137904126E-2</v>
      </c>
      <c r="M160" s="4">
        <v>3.8158509999999999</v>
      </c>
      <c r="N160" s="4">
        <v>3.946415</v>
      </c>
      <c r="O160" s="58">
        <v>2328</v>
      </c>
      <c r="P160" s="5">
        <v>-2.0939585099656322E-3</v>
      </c>
      <c r="Q160" s="5">
        <v>4.9088884612212169E-2</v>
      </c>
      <c r="R160" s="78">
        <f t="shared" si="48"/>
        <v>-1.7215151932635973E-3</v>
      </c>
      <c r="S160" s="78">
        <f t="shared" si="49"/>
        <v>-1.5640349876296293E-3</v>
      </c>
      <c r="T160" s="78">
        <f t="shared" si="50"/>
        <v>4.2973785990545768E-4</v>
      </c>
      <c r="U160" s="78">
        <f t="shared" si="51"/>
        <v>8.3868609820025863E-4</v>
      </c>
      <c r="V160" s="80">
        <f>Q160-J160</f>
        <v>-2.2013581502764445E-3</v>
      </c>
    </row>
    <row r="161" spans="1:22">
      <c r="A161" s="143">
        <v>138</v>
      </c>
      <c r="B161" s="133" t="s">
        <v>167</v>
      </c>
      <c r="C161" s="134" t="s">
        <v>114</v>
      </c>
      <c r="D161" s="2">
        <v>214065146.84999999</v>
      </c>
      <c r="E161" s="3">
        <f t="shared" si="46"/>
        <v>4.387250192973393E-3</v>
      </c>
      <c r="F161" s="4">
        <v>183.37102999999999</v>
      </c>
      <c r="G161" s="4">
        <v>187.31957800000001</v>
      </c>
      <c r="H161" s="58">
        <v>139</v>
      </c>
      <c r="I161" s="5">
        <v>1.9699999999999999E-2</v>
      </c>
      <c r="J161" s="5">
        <v>4.65E-2</v>
      </c>
      <c r="K161" s="2">
        <v>213010575.33000001</v>
      </c>
      <c r="L161" s="16">
        <f t="shared" si="47"/>
        <v>4.3533295290645582E-3</v>
      </c>
      <c r="M161" s="4">
        <v>182.43</v>
      </c>
      <c r="N161" s="4">
        <v>186.49</v>
      </c>
      <c r="O161" s="58">
        <v>139</v>
      </c>
      <c r="P161" s="5">
        <v>2.8799999999999999E-2</v>
      </c>
      <c r="Q161" s="5">
        <v>1.89E-2</v>
      </c>
      <c r="R161" s="78">
        <f t="shared" si="48"/>
        <v>-4.9264045806529247E-3</v>
      </c>
      <c r="S161" s="78">
        <f t="shared" si="49"/>
        <v>-4.4286774978747707E-3</v>
      </c>
      <c r="T161" s="78">
        <f t="shared" si="50"/>
        <v>0</v>
      </c>
      <c r="U161" s="78">
        <f t="shared" si="51"/>
        <v>9.1000000000000004E-3</v>
      </c>
      <c r="V161" s="80">
        <f t="shared" si="52"/>
        <v>-2.76E-2</v>
      </c>
    </row>
    <row r="162" spans="1:22">
      <c r="A162" s="150">
        <v>139</v>
      </c>
      <c r="B162" s="133" t="s">
        <v>168</v>
      </c>
      <c r="C162" s="134" t="s">
        <v>29</v>
      </c>
      <c r="D162" s="2">
        <v>1843763026.75</v>
      </c>
      <c r="E162" s="3">
        <f t="shared" si="46"/>
        <v>3.7787794108184801E-2</v>
      </c>
      <c r="F162" s="4">
        <v>552.22</v>
      </c>
      <c r="G162" s="4">
        <v>552.22</v>
      </c>
      <c r="H162" s="58">
        <v>823</v>
      </c>
      <c r="I162" s="5">
        <v>3.09E-2</v>
      </c>
      <c r="J162" s="5">
        <v>0.1794</v>
      </c>
      <c r="K162" s="2">
        <v>1798020710</v>
      </c>
      <c r="L162" s="16">
        <f t="shared" si="47"/>
        <v>3.6746422747257042E-2</v>
      </c>
      <c r="M162" s="4">
        <v>552.22</v>
      </c>
      <c r="N162" s="4">
        <v>552.22</v>
      </c>
      <c r="O162" s="58">
        <v>823</v>
      </c>
      <c r="P162" s="5">
        <v>-2.281E-2</v>
      </c>
      <c r="Q162" s="5">
        <v>0.15015000000000001</v>
      </c>
      <c r="R162" s="78">
        <f t="shared" si="48"/>
        <v>-2.4809216849645779E-2</v>
      </c>
      <c r="S162" s="78">
        <f t="shared" si="49"/>
        <v>0</v>
      </c>
      <c r="T162" s="78">
        <f t="shared" si="50"/>
        <v>0</v>
      </c>
      <c r="U162" s="78">
        <f t="shared" si="51"/>
        <v>-5.3710000000000001E-2</v>
      </c>
      <c r="V162" s="80">
        <f t="shared" si="52"/>
        <v>-2.9249999999999998E-2</v>
      </c>
    </row>
    <row r="163" spans="1:22">
      <c r="A163" s="150">
        <v>140</v>
      </c>
      <c r="B163" s="133" t="s">
        <v>169</v>
      </c>
      <c r="C163" s="134" t="s">
        <v>80</v>
      </c>
      <c r="D163" s="4">
        <v>26664040.050000001</v>
      </c>
      <c r="E163" s="3">
        <f t="shared" si="46"/>
        <v>5.4647763345045807E-4</v>
      </c>
      <c r="F163" s="4">
        <v>1.68</v>
      </c>
      <c r="G163" s="4">
        <v>1.68</v>
      </c>
      <c r="H163" s="58">
        <v>8</v>
      </c>
      <c r="I163" s="5">
        <v>-9.5000000000000005E-5</v>
      </c>
      <c r="J163" s="117">
        <v>2.8593E-2</v>
      </c>
      <c r="K163" s="4">
        <v>26117944.91</v>
      </c>
      <c r="L163" s="16">
        <f t="shared" si="47"/>
        <v>5.3377641292709597E-4</v>
      </c>
      <c r="M163" s="4">
        <v>1.64</v>
      </c>
      <c r="N163" s="4">
        <v>1.64</v>
      </c>
      <c r="O163" s="58">
        <v>8</v>
      </c>
      <c r="P163" s="5">
        <v>-2.0480999999999999E-2</v>
      </c>
      <c r="Q163" s="5">
        <v>7.5269999999999998E-3</v>
      </c>
      <c r="R163" s="78">
        <f t="shared" si="48"/>
        <v>-2.0480585049226275E-2</v>
      </c>
      <c r="S163" s="78">
        <f t="shared" si="49"/>
        <v>-2.3809523809523832E-2</v>
      </c>
      <c r="T163" s="78">
        <f t="shared" si="50"/>
        <v>0</v>
      </c>
      <c r="U163" s="78">
        <f t="shared" si="51"/>
        <v>-2.0385999999999998E-2</v>
      </c>
      <c r="V163" s="80">
        <f t="shared" si="52"/>
        <v>-2.1066000000000001E-2</v>
      </c>
    </row>
    <row r="164" spans="1:22">
      <c r="A164" s="146">
        <v>141</v>
      </c>
      <c r="B164" s="133" t="s">
        <v>170</v>
      </c>
      <c r="C164" s="134" t="s">
        <v>38</v>
      </c>
      <c r="D164" s="4">
        <v>269514683.13</v>
      </c>
      <c r="E164" s="3">
        <f t="shared" si="46"/>
        <v>5.5236845557105471E-3</v>
      </c>
      <c r="F164" s="4">
        <v>2.747055</v>
      </c>
      <c r="G164" s="4">
        <v>2.7942550000000002</v>
      </c>
      <c r="H164" s="58">
        <v>117</v>
      </c>
      <c r="I164" s="5">
        <v>-1.52E-2</v>
      </c>
      <c r="J164" s="5">
        <v>0.182</v>
      </c>
      <c r="K164" s="4">
        <v>267854198.52000001</v>
      </c>
      <c r="L164" s="16">
        <f t="shared" si="47"/>
        <v>5.4741769984638453E-3</v>
      </c>
      <c r="M164" s="4">
        <v>2.73</v>
      </c>
      <c r="N164" s="4">
        <v>2.78</v>
      </c>
      <c r="O164" s="58">
        <v>117</v>
      </c>
      <c r="P164" s="5">
        <v>-3.0999999999999999E-3</v>
      </c>
      <c r="Q164" s="5">
        <v>0.17510000000000001</v>
      </c>
      <c r="R164" s="78">
        <f t="shared" si="48"/>
        <v>-6.1610172429791233E-3</v>
      </c>
      <c r="S164" s="78">
        <f t="shared" si="49"/>
        <v>-5.1015386927822804E-3</v>
      </c>
      <c r="T164" s="78">
        <f t="shared" si="50"/>
        <v>0</v>
      </c>
      <c r="U164" s="78">
        <f t="shared" si="51"/>
        <v>1.21E-2</v>
      </c>
      <c r="V164" s="80">
        <f t="shared" si="52"/>
        <v>-6.8999999999999895E-3</v>
      </c>
    </row>
    <row r="165" spans="1:22">
      <c r="A165" s="143">
        <v>142</v>
      </c>
      <c r="B165" s="133" t="s">
        <v>171</v>
      </c>
      <c r="C165" s="134" t="s">
        <v>42</v>
      </c>
      <c r="D165" s="2">
        <v>2723480319.2399998</v>
      </c>
      <c r="E165" s="3">
        <f t="shared" si="46"/>
        <v>5.581753840814431E-2</v>
      </c>
      <c r="F165" s="4">
        <v>5618.26</v>
      </c>
      <c r="G165" s="4">
        <v>5676.64</v>
      </c>
      <c r="H165" s="58">
        <v>2251</v>
      </c>
      <c r="I165" s="5">
        <v>-7.0000000000000001E-3</v>
      </c>
      <c r="J165" s="5">
        <v>0.1305</v>
      </c>
      <c r="K165" s="2">
        <v>2654439449.9099998</v>
      </c>
      <c r="L165" s="3">
        <f t="shared" si="47"/>
        <v>5.4249182804679316E-2</v>
      </c>
      <c r="M165" s="4">
        <v>5510.53</v>
      </c>
      <c r="N165" s="4">
        <v>5567.15</v>
      </c>
      <c r="O165" s="58">
        <v>2251</v>
      </c>
      <c r="P165" s="5">
        <v>-1.9300000000000001E-2</v>
      </c>
      <c r="Q165" s="5">
        <v>0.1087</v>
      </c>
      <c r="R165" s="78">
        <f t="shared" si="48"/>
        <v>-2.5350236182087083E-2</v>
      </c>
      <c r="S165" s="78">
        <f t="shared" si="49"/>
        <v>-1.9287818145945608E-2</v>
      </c>
      <c r="T165" s="78">
        <f t="shared" si="50"/>
        <v>0</v>
      </c>
      <c r="U165" s="78">
        <f t="shared" si="51"/>
        <v>-1.2300000000000002E-2</v>
      </c>
      <c r="V165" s="80">
        <f t="shared" si="52"/>
        <v>-2.18E-2</v>
      </c>
    </row>
    <row r="166" spans="1:22">
      <c r="A166" s="146">
        <v>143</v>
      </c>
      <c r="B166" s="133" t="s">
        <v>273</v>
      </c>
      <c r="C166" s="133" t="s">
        <v>271</v>
      </c>
      <c r="D166" s="2">
        <v>78866428.739999995</v>
      </c>
      <c r="E166" s="3">
        <f t="shared" si="46"/>
        <v>1.6163619337394592E-3</v>
      </c>
      <c r="F166" s="4">
        <v>1041</v>
      </c>
      <c r="G166" s="4">
        <v>1054</v>
      </c>
      <c r="H166" s="58">
        <v>3</v>
      </c>
      <c r="I166" s="5">
        <v>-8.4705972078071845E-3</v>
      </c>
      <c r="J166" s="5">
        <v>5.4300000000000001E-2</v>
      </c>
      <c r="K166" s="2">
        <v>79032746.989999995</v>
      </c>
      <c r="L166" s="3">
        <f t="shared" si="47"/>
        <v>1.6152042719082733E-3</v>
      </c>
      <c r="M166" s="4">
        <v>1042.8399999999999</v>
      </c>
      <c r="N166" s="4">
        <v>1055.74</v>
      </c>
      <c r="O166" s="58">
        <v>4</v>
      </c>
      <c r="P166" s="5">
        <v>1.8203963760943243E-3</v>
      </c>
      <c r="Q166" s="5">
        <v>5.5199999999999999E-2</v>
      </c>
      <c r="R166" s="78">
        <f>((K166-D166)/D166)</f>
        <v>2.1088599123500773E-3</v>
      </c>
      <c r="S166" s="78">
        <f>((N166-G166)/G166)</f>
        <v>1.6508538899430826E-3</v>
      </c>
      <c r="T166" s="78">
        <f t="shared" si="50"/>
        <v>0.33333333333333331</v>
      </c>
      <c r="U166" s="78">
        <f>P166-I166</f>
        <v>1.0290993583901509E-2</v>
      </c>
      <c r="V166" s="80">
        <f>Q166-J166</f>
        <v>8.9999999999999802E-4</v>
      </c>
    </row>
    <row r="167" spans="1:22">
      <c r="A167" s="150">
        <v>144</v>
      </c>
      <c r="B167" s="133" t="s">
        <v>254</v>
      </c>
      <c r="C167" s="133" t="s">
        <v>255</v>
      </c>
      <c r="D167" s="2">
        <v>660859355.65999997</v>
      </c>
      <c r="E167" s="3">
        <f t="shared" si="46"/>
        <v>1.3544266212001558E-2</v>
      </c>
      <c r="F167" s="4">
        <v>1.266</v>
      </c>
      <c r="G167" s="4">
        <v>1.266</v>
      </c>
      <c r="H167" s="58">
        <v>39</v>
      </c>
      <c r="I167" s="5">
        <v>3.2000000000000002E-3</v>
      </c>
      <c r="J167" s="5">
        <v>0.19</v>
      </c>
      <c r="K167" s="2">
        <v>662715422.91999996</v>
      </c>
      <c r="L167" s="3">
        <f t="shared" si="47"/>
        <v>1.3544015903879972E-2</v>
      </c>
      <c r="M167" s="4">
        <v>1.27</v>
      </c>
      <c r="N167" s="4">
        <v>1.27</v>
      </c>
      <c r="O167" s="58">
        <v>39</v>
      </c>
      <c r="P167" s="5">
        <v>3.2000000000000002E-3</v>
      </c>
      <c r="Q167" s="5">
        <v>0.19</v>
      </c>
      <c r="R167" s="78">
        <f>((K167-D167)/D167)</f>
        <v>2.8085662162508646E-3</v>
      </c>
      <c r="S167" s="78">
        <f>((N167-G167)/G167)</f>
        <v>3.1595576619273327E-3</v>
      </c>
      <c r="T167" s="78">
        <f>((O167-H167)/H167)</f>
        <v>0</v>
      </c>
      <c r="U167" s="78">
        <f>P167-I167</f>
        <v>0</v>
      </c>
      <c r="V167" s="80">
        <f>Q167-J167</f>
        <v>0</v>
      </c>
    </row>
    <row r="168" spans="1:22">
      <c r="A168" s="142">
        <v>145</v>
      </c>
      <c r="B168" s="133" t="s">
        <v>172</v>
      </c>
      <c r="C168" s="134" t="s">
        <v>45</v>
      </c>
      <c r="D168" s="4">
        <v>1741261906.73</v>
      </c>
      <c r="E168" s="3">
        <f t="shared" si="46"/>
        <v>3.5687040831880339E-2</v>
      </c>
      <c r="F168" s="4">
        <v>1.6386000000000001</v>
      </c>
      <c r="G168" s="4">
        <v>1.6478999999999999</v>
      </c>
      <c r="H168" s="58">
        <v>2132</v>
      </c>
      <c r="I168" s="5">
        <v>-5.9999999999999995E-4</v>
      </c>
      <c r="J168" s="5">
        <v>7.8899999999999998E-2</v>
      </c>
      <c r="K168" s="4">
        <v>1754910899.0799999</v>
      </c>
      <c r="L168" s="16">
        <f t="shared" si="47"/>
        <v>3.5865380984050302E-2</v>
      </c>
      <c r="M168" s="4">
        <v>1.6521999999999999</v>
      </c>
      <c r="N168" s="4">
        <v>1.6617</v>
      </c>
      <c r="O168" s="58">
        <v>2105</v>
      </c>
      <c r="P168" s="5">
        <v>8.3000000000000001E-3</v>
      </c>
      <c r="Q168" s="5">
        <v>8.6199999999999999E-2</v>
      </c>
      <c r="R168" s="78">
        <f t="shared" si="48"/>
        <v>7.8385636860522651E-3</v>
      </c>
      <c r="S168" s="78">
        <f t="shared" si="49"/>
        <v>8.3742945567085586E-3</v>
      </c>
      <c r="T168" s="78">
        <f t="shared" si="50"/>
        <v>-1.2664165103189493E-2</v>
      </c>
      <c r="U168" s="78">
        <f t="shared" si="51"/>
        <v>8.8999999999999999E-3</v>
      </c>
      <c r="V168" s="80">
        <f t="shared" si="52"/>
        <v>7.3000000000000009E-3</v>
      </c>
    </row>
    <row r="169" spans="1:22">
      <c r="A169" s="142">
        <v>146</v>
      </c>
      <c r="B169" s="133" t="s">
        <v>173</v>
      </c>
      <c r="C169" s="134" t="s">
        <v>45</v>
      </c>
      <c r="D169" s="4">
        <v>1067710485.66</v>
      </c>
      <c r="E169" s="3">
        <f t="shared" si="46"/>
        <v>2.1882651628169752E-2</v>
      </c>
      <c r="F169" s="4">
        <v>1.3878999999999999</v>
      </c>
      <c r="G169" s="4">
        <v>1.3957999999999999</v>
      </c>
      <c r="H169" s="58">
        <v>716</v>
      </c>
      <c r="I169" s="5">
        <v>-5.1000000000000004E-3</v>
      </c>
      <c r="J169" s="5">
        <v>0.16769999999999999</v>
      </c>
      <c r="K169" s="4">
        <v>1079464485.46</v>
      </c>
      <c r="L169" s="16">
        <f t="shared" si="47"/>
        <v>2.2061179886723032E-2</v>
      </c>
      <c r="M169" s="4">
        <v>1.4006000000000001</v>
      </c>
      <c r="N169" s="4">
        <v>1.4086000000000001</v>
      </c>
      <c r="O169" s="58">
        <v>691</v>
      </c>
      <c r="P169" s="5">
        <v>9.1999999999999998E-3</v>
      </c>
      <c r="Q169" s="5">
        <v>0.1767</v>
      </c>
      <c r="R169" s="78">
        <f t="shared" si="48"/>
        <v>1.1008602011372394E-2</v>
      </c>
      <c r="S169" s="78">
        <f t="shared" si="49"/>
        <v>9.1703682476000463E-3</v>
      </c>
      <c r="T169" s="78">
        <f t="shared" si="50"/>
        <v>-3.4916201117318434E-2</v>
      </c>
      <c r="U169" s="78">
        <f t="shared" si="51"/>
        <v>1.43E-2</v>
      </c>
      <c r="V169" s="80">
        <f t="shared" si="52"/>
        <v>9.000000000000008E-3</v>
      </c>
    </row>
    <row r="170" spans="1:22">
      <c r="A170" s="149">
        <v>147</v>
      </c>
      <c r="B170" s="133" t="s">
        <v>174</v>
      </c>
      <c r="C170" s="134" t="s">
        <v>87</v>
      </c>
      <c r="D170" s="2">
        <v>8621200693.5200005</v>
      </c>
      <c r="E170" s="3">
        <f t="shared" si="46"/>
        <v>0.17669090444140167</v>
      </c>
      <c r="F170" s="4">
        <v>468.61</v>
      </c>
      <c r="G170" s="4">
        <v>473.34</v>
      </c>
      <c r="H170" s="58">
        <v>33</v>
      </c>
      <c r="I170" s="5">
        <v>-9.2999999999999992E-3</v>
      </c>
      <c r="J170" s="5">
        <v>0.34616999999999998</v>
      </c>
      <c r="K170" s="2">
        <v>8819095233.7399998</v>
      </c>
      <c r="L170" s="16">
        <f t="shared" si="47"/>
        <v>0.18023719076479922</v>
      </c>
      <c r="M170" s="4">
        <v>479.32</v>
      </c>
      <c r="N170" s="4">
        <v>484.23</v>
      </c>
      <c r="O170" s="58">
        <v>33</v>
      </c>
      <c r="P170" s="5">
        <v>2.2950000000000002E-2</v>
      </c>
      <c r="Q170" s="5">
        <v>0.37707000000000002</v>
      </c>
      <c r="R170" s="78">
        <f t="shared" si="48"/>
        <v>2.2954405918046178E-2</v>
      </c>
      <c r="S170" s="78">
        <f t="shared" si="49"/>
        <v>2.3006718215236498E-2</v>
      </c>
      <c r="T170" s="78">
        <f t="shared" si="50"/>
        <v>0</v>
      </c>
      <c r="U170" s="78">
        <f t="shared" si="51"/>
        <v>3.2250000000000001E-2</v>
      </c>
      <c r="V170" s="80">
        <f t="shared" si="52"/>
        <v>3.0900000000000039E-2</v>
      </c>
    </row>
    <row r="171" spans="1:22">
      <c r="A171" s="152">
        <v>148</v>
      </c>
      <c r="B171" s="133" t="s">
        <v>175</v>
      </c>
      <c r="C171" s="134" t="s">
        <v>40</v>
      </c>
      <c r="D171" s="2">
        <v>453858139.80000001</v>
      </c>
      <c r="E171" s="3">
        <f t="shared" si="46"/>
        <v>9.3017907899568715E-3</v>
      </c>
      <c r="F171" s="4">
        <v>232.96</v>
      </c>
      <c r="G171" s="4">
        <v>235.97</v>
      </c>
      <c r="H171" s="58">
        <v>690</v>
      </c>
      <c r="I171" s="5">
        <v>-4.5999999999999999E-3</v>
      </c>
      <c r="J171" s="5">
        <v>0.20760000000000001</v>
      </c>
      <c r="K171" s="2">
        <v>449061307.68000001</v>
      </c>
      <c r="L171" s="16">
        <f t="shared" si="47"/>
        <v>9.1775342517858693E-3</v>
      </c>
      <c r="M171" s="4">
        <v>230.38</v>
      </c>
      <c r="N171" s="4">
        <v>233.33</v>
      </c>
      <c r="O171" s="58">
        <v>690</v>
      </c>
      <c r="P171" s="5">
        <v>-1.12E-2</v>
      </c>
      <c r="Q171" s="5">
        <v>0.19409999999999999</v>
      </c>
      <c r="R171" s="78">
        <f t="shared" si="48"/>
        <v>-1.0569011987124009E-2</v>
      </c>
      <c r="S171" s="78">
        <f t="shared" si="49"/>
        <v>-1.1187862863923322E-2</v>
      </c>
      <c r="T171" s="78">
        <f t="shared" si="50"/>
        <v>0</v>
      </c>
      <c r="U171" s="78">
        <f t="shared" si="51"/>
        <v>-6.6E-3</v>
      </c>
      <c r="V171" s="80">
        <f t="shared" si="52"/>
        <v>-1.3500000000000012E-2</v>
      </c>
    </row>
    <row r="172" spans="1:22">
      <c r="A172" s="81"/>
      <c r="B172" s="131"/>
      <c r="C172" s="69" t="s">
        <v>46</v>
      </c>
      <c r="D172" s="70">
        <f>SUM(D144:D171)</f>
        <v>48792555116.379303</v>
      </c>
      <c r="E172" s="97">
        <f>(D172/$D$198)</f>
        <v>1.5188881488038783E-2</v>
      </c>
      <c r="F172" s="30"/>
      <c r="G172" s="36"/>
      <c r="H172" s="63">
        <f>SUM(H144:H171)</f>
        <v>70308</v>
      </c>
      <c r="I172" s="37"/>
      <c r="J172" s="37"/>
      <c r="K172" s="70">
        <f>SUM(K144:K171)</f>
        <v>48930496510.281784</v>
      </c>
      <c r="L172" s="97">
        <f>(K172/$K$198)</f>
        <v>1.504900460964886E-2</v>
      </c>
      <c r="M172" s="30"/>
      <c r="N172" s="36"/>
      <c r="O172" s="63">
        <f>SUM(O144:O171)</f>
        <v>69464</v>
      </c>
      <c r="P172" s="37"/>
      <c r="Q172" s="37"/>
      <c r="R172" s="78">
        <f t="shared" si="48"/>
        <v>2.8270992075218287E-3</v>
      </c>
      <c r="S172" s="78" t="e">
        <f t="shared" si="49"/>
        <v>#DIV/0!</v>
      </c>
      <c r="T172" s="78">
        <f t="shared" si="50"/>
        <v>-1.2004323832280821E-2</v>
      </c>
      <c r="U172" s="78">
        <f t="shared" si="51"/>
        <v>0</v>
      </c>
      <c r="V172" s="80">
        <f t="shared" si="52"/>
        <v>0</v>
      </c>
    </row>
    <row r="173" spans="1:22" ht="8.25" customHeight="1">
      <c r="A173" s="176"/>
      <c r="B173" s="176"/>
      <c r="C173" s="176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</row>
    <row r="174" spans="1:22" ht="15" customHeight="1">
      <c r="A174" s="174" t="s">
        <v>176</v>
      </c>
      <c r="B174" s="174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</row>
    <row r="175" spans="1:22">
      <c r="A175" s="150">
        <v>149</v>
      </c>
      <c r="B175" s="133" t="s">
        <v>177</v>
      </c>
      <c r="C175" s="134" t="s">
        <v>21</v>
      </c>
      <c r="D175" s="17">
        <v>945748207.92999995</v>
      </c>
      <c r="E175" s="3">
        <f>(D175/$D$178)</f>
        <v>0.18146919828809474</v>
      </c>
      <c r="F175" s="17">
        <v>65.216700000000003</v>
      </c>
      <c r="G175" s="17">
        <v>67.183000000000007</v>
      </c>
      <c r="H175" s="60">
        <v>1569</v>
      </c>
      <c r="I175" s="6">
        <v>-0.33329999999999999</v>
      </c>
      <c r="J175" s="6">
        <v>0.34489999999999998</v>
      </c>
      <c r="K175" s="17">
        <v>946303049.65999997</v>
      </c>
      <c r="L175" s="16">
        <f>(K175/$K$178)</f>
        <v>0.18091226556246684</v>
      </c>
      <c r="M175" s="17">
        <v>65.227199999999996</v>
      </c>
      <c r="N175" s="17">
        <v>67.193899999999999</v>
      </c>
      <c r="O175" s="60">
        <v>1574</v>
      </c>
      <c r="P175" s="6">
        <v>8.5000000000000006E-3</v>
      </c>
      <c r="Q175" s="6">
        <v>0.33400000000000002</v>
      </c>
      <c r="R175" s="78">
        <f>((K175-D175)/D175)</f>
        <v>5.8666960756333358E-4</v>
      </c>
      <c r="S175" s="78">
        <f t="shared" ref="S175:T178" si="58">((N175-G175)/G175)</f>
        <v>1.6224342467577153E-4</v>
      </c>
      <c r="T175" s="78">
        <f t="shared" si="58"/>
        <v>3.1867431485022306E-3</v>
      </c>
      <c r="U175" s="78">
        <f t="shared" ref="U175:V178" si="59">P175-I175</f>
        <v>0.34179999999999999</v>
      </c>
      <c r="V175" s="80">
        <f t="shared" si="59"/>
        <v>-1.0899999999999965E-2</v>
      </c>
    </row>
    <row r="176" spans="1:22">
      <c r="A176" s="142">
        <v>150</v>
      </c>
      <c r="B176" s="133" t="s">
        <v>178</v>
      </c>
      <c r="C176" s="134" t="s">
        <v>179</v>
      </c>
      <c r="D176" s="95">
        <v>860667065.16999996</v>
      </c>
      <c r="E176" s="3">
        <f>(D176/$D$178)</f>
        <v>0.16514391568472034</v>
      </c>
      <c r="F176" s="17">
        <v>24.505199999999999</v>
      </c>
      <c r="G176" s="17">
        <v>24.726900000000001</v>
      </c>
      <c r="H176" s="58">
        <v>1493</v>
      </c>
      <c r="I176" s="5">
        <v>-3.7000000000000002E-3</v>
      </c>
      <c r="J176" s="5">
        <v>0.1245</v>
      </c>
      <c r="K176" s="95">
        <v>883365457.41999996</v>
      </c>
      <c r="L176" s="16">
        <f>(K176/$K$178)</f>
        <v>0.16887998646828437</v>
      </c>
      <c r="M176" s="17">
        <v>24.5945</v>
      </c>
      <c r="N176" s="17">
        <v>24.817699999999999</v>
      </c>
      <c r="O176" s="58">
        <v>1493</v>
      </c>
      <c r="P176" s="5">
        <v>3.1E-2</v>
      </c>
      <c r="Q176" s="5">
        <v>0.12859999999999999</v>
      </c>
      <c r="R176" s="78">
        <f>((K176-D176)/D176)</f>
        <v>2.6373022936013693E-2</v>
      </c>
      <c r="S176" s="78">
        <f t="shared" si="58"/>
        <v>3.6721141752503544E-3</v>
      </c>
      <c r="T176" s="78">
        <f t="shared" si="58"/>
        <v>0</v>
      </c>
      <c r="U176" s="78">
        <f t="shared" si="59"/>
        <v>3.4700000000000002E-2</v>
      </c>
      <c r="V176" s="80">
        <f t="shared" si="59"/>
        <v>4.0999999999999925E-3</v>
      </c>
    </row>
    <row r="177" spans="1:24">
      <c r="A177" s="143">
        <v>151</v>
      </c>
      <c r="B177" s="133" t="s">
        <v>180</v>
      </c>
      <c r="C177" s="134" t="s">
        <v>42</v>
      </c>
      <c r="D177" s="9">
        <v>3405203099.8899999</v>
      </c>
      <c r="E177" s="3">
        <f>(D177/$D$178)</f>
        <v>0.65338688602718487</v>
      </c>
      <c r="F177" s="17">
        <v>2.4500000000000002</v>
      </c>
      <c r="G177" s="17">
        <v>2.4900000000000002</v>
      </c>
      <c r="H177" s="58">
        <v>10109</v>
      </c>
      <c r="I177" s="5">
        <v>-4.0000000000000001E-3</v>
      </c>
      <c r="J177" s="5">
        <v>0.1971</v>
      </c>
      <c r="K177" s="9">
        <v>3401060579.8499999</v>
      </c>
      <c r="L177" s="16">
        <f>(K177/$K$178)</f>
        <v>0.65020774796924863</v>
      </c>
      <c r="M177" s="17">
        <v>2.4500000000000002</v>
      </c>
      <c r="N177" s="17">
        <v>2.4900000000000002</v>
      </c>
      <c r="O177" s="58">
        <v>10115</v>
      </c>
      <c r="P177" s="5">
        <v>0</v>
      </c>
      <c r="Q177" s="5">
        <v>0.1971</v>
      </c>
      <c r="R177" s="78">
        <f>((K177-D177)/D177)</f>
        <v>-1.2165265678672089E-3</v>
      </c>
      <c r="S177" s="78">
        <f t="shared" si="58"/>
        <v>0</v>
      </c>
      <c r="T177" s="78">
        <f t="shared" si="58"/>
        <v>5.9353051736076761E-4</v>
      </c>
      <c r="U177" s="78">
        <f t="shared" si="59"/>
        <v>4.0000000000000001E-3</v>
      </c>
      <c r="V177" s="80">
        <f t="shared" si="59"/>
        <v>0</v>
      </c>
    </row>
    <row r="178" spans="1:24">
      <c r="A178" s="72"/>
      <c r="B178" s="131"/>
      <c r="C178" s="64" t="s">
        <v>46</v>
      </c>
      <c r="D178" s="70">
        <f>SUM(D175:D177)</f>
        <v>5211618372.9899998</v>
      </c>
      <c r="E178" s="97">
        <f>(D178/$D$198)</f>
        <v>1.6223510664572192E-3</v>
      </c>
      <c r="F178" s="30"/>
      <c r="G178" s="36"/>
      <c r="H178" s="63">
        <f>SUM(H175:H177)</f>
        <v>13171</v>
      </c>
      <c r="I178" s="37"/>
      <c r="J178" s="37"/>
      <c r="K178" s="70">
        <f>SUM(K175:K177)</f>
        <v>5230729086.9300003</v>
      </c>
      <c r="L178" s="97">
        <f>(K178/$K$198)</f>
        <v>1.6087567418101522E-3</v>
      </c>
      <c r="M178" s="30"/>
      <c r="N178" s="36"/>
      <c r="O178" s="63">
        <f>SUM(O175:O177)</f>
        <v>13182</v>
      </c>
      <c r="P178" s="37"/>
      <c r="Q178" s="37"/>
      <c r="R178" s="78">
        <f>((K178-D178)/D178)</f>
        <v>3.6669442334927474E-3</v>
      </c>
      <c r="S178" s="78" t="e">
        <f t="shared" si="58"/>
        <v>#DIV/0!</v>
      </c>
      <c r="T178" s="78">
        <f t="shared" si="58"/>
        <v>8.3516817250018976E-4</v>
      </c>
      <c r="U178" s="78">
        <f t="shared" si="59"/>
        <v>0</v>
      </c>
      <c r="V178" s="80">
        <f t="shared" si="59"/>
        <v>0</v>
      </c>
    </row>
    <row r="179" spans="1:24" ht="6" customHeight="1">
      <c r="A179" s="176"/>
      <c r="B179" s="176"/>
      <c r="C179" s="176"/>
      <c r="D179" s="176"/>
      <c r="E179" s="176"/>
      <c r="F179" s="176"/>
      <c r="G179" s="176"/>
      <c r="H179" s="176"/>
      <c r="I179" s="176"/>
      <c r="J179" s="176"/>
      <c r="K179" s="17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</row>
    <row r="180" spans="1:24" ht="15" customHeight="1">
      <c r="A180" s="174" t="s">
        <v>181</v>
      </c>
      <c r="B180" s="174"/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</row>
    <row r="181" spans="1:24">
      <c r="A181" s="175" t="s">
        <v>230</v>
      </c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</row>
    <row r="182" spans="1:24">
      <c r="A182" s="147">
        <v>152</v>
      </c>
      <c r="B182" s="133" t="s">
        <v>182</v>
      </c>
      <c r="C182" s="134" t="s">
        <v>183</v>
      </c>
      <c r="D182" s="13">
        <v>4237330452.1900001</v>
      </c>
      <c r="E182" s="3">
        <f>(D182/$D$197)</f>
        <v>8.4087865855180161E-2</v>
      </c>
      <c r="F182" s="18">
        <v>2</v>
      </c>
      <c r="G182" s="18">
        <v>2.0299999999999998</v>
      </c>
      <c r="H182" s="59">
        <v>14997</v>
      </c>
      <c r="I182" s="12">
        <v>-8.0000000000000004E-4</v>
      </c>
      <c r="J182" s="12">
        <v>0.105</v>
      </c>
      <c r="K182" s="13">
        <v>4277000863.5</v>
      </c>
      <c r="L182" s="3">
        <f>(K182/$K$197)</f>
        <v>8.559536053061606E-2</v>
      </c>
      <c r="M182" s="18">
        <v>2.0099999999999998</v>
      </c>
      <c r="N182" s="18">
        <v>2.0499999999999998</v>
      </c>
      <c r="O182" s="59">
        <v>14999</v>
      </c>
      <c r="P182" s="12">
        <v>7.9000000000000008E-3</v>
      </c>
      <c r="Q182" s="12">
        <v>0.1137</v>
      </c>
      <c r="R182" s="78">
        <f>((K182-D182)/D182)</f>
        <v>9.3621235722828496E-3</v>
      </c>
      <c r="S182" s="78">
        <f>((N182-G182)/G182)</f>
        <v>9.8522167487684834E-3</v>
      </c>
      <c r="T182" s="78">
        <f>((O182-H182)/H182)</f>
        <v>1.3336000533440022E-4</v>
      </c>
      <c r="U182" s="78">
        <f>P182-I182</f>
        <v>8.7000000000000011E-3</v>
      </c>
      <c r="V182" s="80">
        <f>Q182-J182</f>
        <v>8.6999999999999994E-3</v>
      </c>
    </row>
    <row r="183" spans="1:24">
      <c r="A183" s="143">
        <v>153</v>
      </c>
      <c r="B183" s="133" t="s">
        <v>184</v>
      </c>
      <c r="C183" s="134" t="s">
        <v>42</v>
      </c>
      <c r="D183" s="13">
        <v>673332062.15999997</v>
      </c>
      <c r="E183" s="3">
        <f>(D183/$D$197)</f>
        <v>1.3361963801911934E-2</v>
      </c>
      <c r="F183" s="18">
        <v>438.17</v>
      </c>
      <c r="G183" s="18">
        <v>443.83</v>
      </c>
      <c r="H183" s="59">
        <v>841</v>
      </c>
      <c r="I183" s="12">
        <v>-9.9000000000000008E-3</v>
      </c>
      <c r="J183" s="12">
        <v>0.1623</v>
      </c>
      <c r="K183" s="13">
        <v>664348653.85000002</v>
      </c>
      <c r="L183" s="3">
        <f>(K183/$K$197)</f>
        <v>1.3295569572970746E-2</v>
      </c>
      <c r="M183" s="18">
        <v>427.36</v>
      </c>
      <c r="N183" s="18">
        <v>432.62</v>
      </c>
      <c r="O183" s="59">
        <v>844</v>
      </c>
      <c r="P183" s="12">
        <v>-2.53E-2</v>
      </c>
      <c r="Q183" s="12">
        <v>0.13289999999999999</v>
      </c>
      <c r="R183" s="78">
        <f>((K183-D183)/D183)</f>
        <v>-1.3341720697484427E-2</v>
      </c>
      <c r="S183" s="78">
        <f>((N183-G183)/G183)</f>
        <v>-2.5257418380911566E-2</v>
      </c>
      <c r="T183" s="78">
        <f>((O183-H183)/H183)</f>
        <v>3.5671819262782403E-3</v>
      </c>
      <c r="U183" s="78">
        <f>P183-I183</f>
        <v>-1.5399999999999999E-2</v>
      </c>
      <c r="V183" s="80">
        <f>Q183-J183</f>
        <v>-2.9400000000000009E-2</v>
      </c>
    </row>
    <row r="184" spans="1:24" ht="6" customHeight="1">
      <c r="A184" s="176"/>
      <c r="B184" s="176"/>
      <c r="C184" s="176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</row>
    <row r="185" spans="1:24" ht="15" customHeight="1">
      <c r="A185" s="175" t="s">
        <v>229</v>
      </c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</row>
    <row r="186" spans="1:24">
      <c r="A186" s="151">
        <v>154</v>
      </c>
      <c r="B186" s="133" t="s">
        <v>185</v>
      </c>
      <c r="C186" s="134" t="s">
        <v>186</v>
      </c>
      <c r="D186" s="2">
        <v>408677900.04000002</v>
      </c>
      <c r="E186" s="3">
        <f t="shared" ref="E186:E196" si="60">(D186/$D$197)</f>
        <v>8.110024182508422E-3</v>
      </c>
      <c r="F186" s="2">
        <v>1053.4000000000001</v>
      </c>
      <c r="G186" s="2">
        <v>1053.4000000000001</v>
      </c>
      <c r="H186" s="58">
        <v>21</v>
      </c>
      <c r="I186" s="5">
        <v>5.5999999999999999E-3</v>
      </c>
      <c r="J186" s="5">
        <v>6.8699999999999997E-2</v>
      </c>
      <c r="K186" s="2">
        <v>405891791.72000003</v>
      </c>
      <c r="L186" s="3">
        <f t="shared" ref="L186:L196" si="61">(K186/$K$197)</f>
        <v>8.1230879668937727E-3</v>
      </c>
      <c r="M186" s="2">
        <v>1039.8800000000001</v>
      </c>
      <c r="N186" s="2">
        <v>1039.8800000000001</v>
      </c>
      <c r="O186" s="58">
        <v>21</v>
      </c>
      <c r="P186" s="5">
        <v>3.0000000000000001E-3</v>
      </c>
      <c r="Q186" s="5">
        <v>7.17E-2</v>
      </c>
      <c r="R186" s="78">
        <f>((K186-D186)/D186)</f>
        <v>-6.8173696686982532E-3</v>
      </c>
      <c r="S186" s="78">
        <f>((N186-G186)/G186)</f>
        <v>-1.2834630719574693E-2</v>
      </c>
      <c r="T186" s="78">
        <f>((O186-H186)/H186)</f>
        <v>0</v>
      </c>
      <c r="U186" s="78">
        <f>P186-I186</f>
        <v>-2.5999999999999999E-3</v>
      </c>
      <c r="V186" s="80">
        <f>Q186-J186</f>
        <v>3.0000000000000027E-3</v>
      </c>
      <c r="X186" s="68"/>
    </row>
    <row r="187" spans="1:24">
      <c r="A187" s="152">
        <v>155</v>
      </c>
      <c r="B187" s="133" t="s">
        <v>187</v>
      </c>
      <c r="C187" s="134" t="s">
        <v>58</v>
      </c>
      <c r="D187" s="2">
        <v>125930299.18000001</v>
      </c>
      <c r="E187" s="3">
        <f t="shared" si="60"/>
        <v>2.4990286275826498E-3</v>
      </c>
      <c r="F187" s="17">
        <v>113.46</v>
      </c>
      <c r="G187" s="17">
        <v>113.46</v>
      </c>
      <c r="H187" s="58">
        <v>73</v>
      </c>
      <c r="I187" s="5">
        <v>2.7000000000000001E-3</v>
      </c>
      <c r="J187" s="5">
        <v>0.14779999999999999</v>
      </c>
      <c r="K187" s="2">
        <v>126418921.41</v>
      </c>
      <c r="L187" s="3">
        <f t="shared" si="61"/>
        <v>2.5300142556262E-3</v>
      </c>
      <c r="M187" s="17">
        <v>113.86</v>
      </c>
      <c r="N187" s="17">
        <v>113.86</v>
      </c>
      <c r="O187" s="58">
        <v>74</v>
      </c>
      <c r="P187" s="5">
        <v>6.1999999999999998E-3</v>
      </c>
      <c r="Q187" s="5">
        <v>0.1477</v>
      </c>
      <c r="R187" s="78">
        <f t="shared" ref="R187:R198" si="62">((K187-D187)/D187)</f>
        <v>3.8801006047128588E-3</v>
      </c>
      <c r="S187" s="78">
        <f t="shared" ref="S187:S197" si="63">((N187-G187)/G187)</f>
        <v>3.5254715318174309E-3</v>
      </c>
      <c r="T187" s="78">
        <f t="shared" ref="T187:T197" si="64">((O187-H187)/H187)</f>
        <v>1.3698630136986301E-2</v>
      </c>
      <c r="U187" s="78">
        <f t="shared" ref="U187:U197" si="65">P187-I187</f>
        <v>3.4999999999999996E-3</v>
      </c>
      <c r="V187" s="80">
        <f t="shared" ref="V187:V197" si="66">Q187-J187</f>
        <v>-9.9999999999988987E-5</v>
      </c>
    </row>
    <row r="188" spans="1:24">
      <c r="A188" s="140">
        <v>156</v>
      </c>
      <c r="B188" s="141" t="s">
        <v>188</v>
      </c>
      <c r="C188" s="134" t="s">
        <v>64</v>
      </c>
      <c r="D188" s="9">
        <v>58024013.759999998</v>
      </c>
      <c r="E188" s="3">
        <f t="shared" si="60"/>
        <v>1.1514597552589533E-3</v>
      </c>
      <c r="F188" s="17">
        <v>103.64</v>
      </c>
      <c r="G188" s="17">
        <v>106.26</v>
      </c>
      <c r="H188" s="58">
        <v>13</v>
      </c>
      <c r="I188" s="5">
        <v>2.3E-3</v>
      </c>
      <c r="J188" s="5">
        <v>8.8599999999999998E-2</v>
      </c>
      <c r="K188" s="9">
        <v>58102911.240000002</v>
      </c>
      <c r="L188" s="3">
        <f t="shared" si="61"/>
        <v>1.1628100611128587E-3</v>
      </c>
      <c r="M188" s="17">
        <v>103.78</v>
      </c>
      <c r="N188" s="17">
        <v>106.52</v>
      </c>
      <c r="O188" s="58">
        <v>13</v>
      </c>
      <c r="P188" s="5">
        <v>2E-3</v>
      </c>
      <c r="Q188" s="5">
        <v>9.0700000000000003E-2</v>
      </c>
      <c r="R188" s="78">
        <f t="shared" si="62"/>
        <v>1.3597384063491608E-3</v>
      </c>
      <c r="S188" s="78">
        <f t="shared" si="63"/>
        <v>2.4468285337849696E-3</v>
      </c>
      <c r="T188" s="78">
        <f t="shared" si="64"/>
        <v>0</v>
      </c>
      <c r="U188" s="78">
        <f t="shared" si="65"/>
        <v>-2.9999999999999992E-4</v>
      </c>
      <c r="V188" s="80">
        <f t="shared" si="66"/>
        <v>2.1000000000000046E-3</v>
      </c>
    </row>
    <row r="189" spans="1:24">
      <c r="A189" s="146">
        <v>157</v>
      </c>
      <c r="B189" s="133" t="s">
        <v>189</v>
      </c>
      <c r="C189" s="134" t="s">
        <v>27</v>
      </c>
      <c r="D189" s="2">
        <v>9348601947.5599995</v>
      </c>
      <c r="E189" s="3">
        <f t="shared" si="60"/>
        <v>0.18551868809137018</v>
      </c>
      <c r="F189" s="17">
        <v>144.81</v>
      </c>
      <c r="G189" s="17">
        <v>144.81</v>
      </c>
      <c r="H189" s="58">
        <v>694</v>
      </c>
      <c r="I189" s="5">
        <v>3.0000000000000001E-3</v>
      </c>
      <c r="J189" s="5">
        <v>8.3000000000000004E-2</v>
      </c>
      <c r="K189" s="2">
        <v>8718628153.2299995</v>
      </c>
      <c r="L189" s="3">
        <f>(K189/$K$197)</f>
        <v>0.17448537980827114</v>
      </c>
      <c r="M189" s="17">
        <v>145.24</v>
      </c>
      <c r="N189" s="17">
        <v>145.24</v>
      </c>
      <c r="O189" s="58">
        <v>696</v>
      </c>
      <c r="P189" s="5">
        <v>3.0000000000000001E-3</v>
      </c>
      <c r="Q189" s="5">
        <v>8.6199999999999999E-2</v>
      </c>
      <c r="R189" s="78">
        <f>((K189-D189)/D189)</f>
        <v>-6.7386952387509039E-2</v>
      </c>
      <c r="S189" s="78">
        <f>((N189-G189)/G189)</f>
        <v>2.969408190042171E-3</v>
      </c>
      <c r="T189" s="78">
        <f t="shared" si="64"/>
        <v>2.881844380403458E-3</v>
      </c>
      <c r="U189" s="78">
        <f t="shared" si="65"/>
        <v>0</v>
      </c>
      <c r="V189" s="80">
        <f t="shared" si="66"/>
        <v>3.1999999999999945E-3</v>
      </c>
    </row>
    <row r="190" spans="1:24">
      <c r="A190" s="143">
        <v>158</v>
      </c>
      <c r="B190" s="133" t="s">
        <v>247</v>
      </c>
      <c r="C190" s="134" t="s">
        <v>56</v>
      </c>
      <c r="D190" s="2">
        <v>301043282.47108901</v>
      </c>
      <c r="E190" s="3">
        <f t="shared" si="60"/>
        <v>5.9740649068209537E-3</v>
      </c>
      <c r="F190" s="17">
        <v>1107.4900621300901</v>
      </c>
      <c r="G190" s="17">
        <v>1107.4900621300901</v>
      </c>
      <c r="H190" s="58">
        <v>85</v>
      </c>
      <c r="I190" s="5">
        <v>0.16543860735124943</v>
      </c>
      <c r="J190" s="5">
        <v>0.13366335124408479</v>
      </c>
      <c r="K190" s="2">
        <v>304291288.41799998</v>
      </c>
      <c r="L190" s="3">
        <f t="shared" si="61"/>
        <v>6.0897632171975323E-3</v>
      </c>
      <c r="M190" s="17">
        <v>1110.6039571855199</v>
      </c>
      <c r="N190" s="17">
        <v>1110.6039571855199</v>
      </c>
      <c r="O190" s="58">
        <v>85</v>
      </c>
      <c r="P190" s="5">
        <v>0.14701010216810059</v>
      </c>
      <c r="Q190" s="5">
        <v>0.13446147776946951</v>
      </c>
      <c r="R190" s="78">
        <f t="shared" si="62"/>
        <v>1.0789165997161563E-2</v>
      </c>
      <c r="S190" s="78">
        <f t="shared" si="63"/>
        <v>2.8116686207013777E-3</v>
      </c>
      <c r="T190" s="78">
        <f t="shared" si="64"/>
        <v>0</v>
      </c>
      <c r="U190" s="78">
        <f t="shared" si="65"/>
        <v>-1.8428505183148841E-2</v>
      </c>
      <c r="V190" s="80">
        <f t="shared" si="66"/>
        <v>7.9812652538471807E-4</v>
      </c>
    </row>
    <row r="191" spans="1:24">
      <c r="A191" s="147">
        <v>159</v>
      </c>
      <c r="B191" s="133" t="s">
        <v>190</v>
      </c>
      <c r="C191" s="134" t="s">
        <v>183</v>
      </c>
      <c r="D191" s="2">
        <v>22934085183.139999</v>
      </c>
      <c r="E191" s="3">
        <f t="shared" si="60"/>
        <v>0.45511632858240886</v>
      </c>
      <c r="F191" s="7">
        <v>1215.1300000000001</v>
      </c>
      <c r="G191" s="7">
        <v>1215.1300000000001</v>
      </c>
      <c r="H191" s="58">
        <v>8826</v>
      </c>
      <c r="I191" s="5">
        <v>2.3E-3</v>
      </c>
      <c r="J191" s="5">
        <v>8.2500000000000004E-2</v>
      </c>
      <c r="K191" s="2">
        <v>23104658575.939999</v>
      </c>
      <c r="L191" s="3">
        <f t="shared" si="61"/>
        <v>0.46239213969342102</v>
      </c>
      <c r="M191" s="7">
        <v>1218.3699999999999</v>
      </c>
      <c r="N191" s="7">
        <v>1218.3699999999999</v>
      </c>
      <c r="O191" s="58">
        <v>8855</v>
      </c>
      <c r="P191" s="5">
        <v>2.7000000000000001E-3</v>
      </c>
      <c r="Q191" s="5">
        <v>8.5099999999999995E-2</v>
      </c>
      <c r="R191" s="78">
        <f t="shared" si="62"/>
        <v>7.4375494569714224E-3</v>
      </c>
      <c r="S191" s="78">
        <f t="shared" si="63"/>
        <v>2.6663813748321425E-3</v>
      </c>
      <c r="T191" s="78">
        <f t="shared" si="64"/>
        <v>3.2857466576025379E-3</v>
      </c>
      <c r="U191" s="78">
        <f t="shared" si="65"/>
        <v>4.0000000000000018E-4</v>
      </c>
      <c r="V191" s="80">
        <f t="shared" si="66"/>
        <v>2.5999999999999912E-3</v>
      </c>
    </row>
    <row r="192" spans="1:24">
      <c r="A192" s="150">
        <v>160</v>
      </c>
      <c r="B192" s="133" t="s">
        <v>194</v>
      </c>
      <c r="C192" s="134" t="s">
        <v>195</v>
      </c>
      <c r="D192" s="2">
        <v>370767097.72000003</v>
      </c>
      <c r="E192" s="3">
        <f t="shared" si="60"/>
        <v>7.3577018191914841E-3</v>
      </c>
      <c r="F192" s="18">
        <v>121.5247</v>
      </c>
      <c r="G192" s="18">
        <v>122.2337</v>
      </c>
      <c r="H192" s="59">
        <v>168</v>
      </c>
      <c r="I192" s="5">
        <v>-1.7149999999999999E-3</v>
      </c>
      <c r="J192" s="5">
        <v>0.22789999999999999</v>
      </c>
      <c r="K192" s="2">
        <v>383284994.08999997</v>
      </c>
      <c r="L192" s="3">
        <f t="shared" si="61"/>
        <v>7.6706594883081897E-3</v>
      </c>
      <c r="M192" s="18">
        <v>121.5291</v>
      </c>
      <c r="N192" s="18">
        <v>122.2749</v>
      </c>
      <c r="O192" s="59">
        <v>167</v>
      </c>
      <c r="P192" s="5">
        <v>3.3700000000000001E-4</v>
      </c>
      <c r="Q192" s="5">
        <v>0.22828999999999999</v>
      </c>
      <c r="R192" s="78">
        <f>((K192-D192)/D192)</f>
        <v>3.3762155398841101E-2</v>
      </c>
      <c r="S192" s="78">
        <f>((N192-G192)/G192)</f>
        <v>3.3705925616260866E-4</v>
      </c>
      <c r="T192" s="78">
        <f>((O192-H192)/H192)</f>
        <v>-5.9523809523809521E-3</v>
      </c>
      <c r="U192" s="78">
        <f>P192-I192</f>
        <v>2.052E-3</v>
      </c>
      <c r="V192" s="80">
        <f>Q192-J192</f>
        <v>3.9000000000000146E-4</v>
      </c>
    </row>
    <row r="193" spans="1:22">
      <c r="A193" s="150">
        <v>161</v>
      </c>
      <c r="B193" s="133" t="s">
        <v>242</v>
      </c>
      <c r="C193" s="134" t="s">
        <v>195</v>
      </c>
      <c r="D193" s="2">
        <v>148587695.25999999</v>
      </c>
      <c r="E193" s="3">
        <f t="shared" si="60"/>
        <v>2.9486541886993294E-3</v>
      </c>
      <c r="F193" s="18">
        <v>107.33499999999999</v>
      </c>
      <c r="G193" s="18">
        <v>107.33499999999999</v>
      </c>
      <c r="H193" s="59">
        <v>77</v>
      </c>
      <c r="I193" s="5">
        <v>2.7460000000000002E-3</v>
      </c>
      <c r="J193" s="5">
        <v>7.1790999999999994E-2</v>
      </c>
      <c r="K193" s="2">
        <v>149006478.31</v>
      </c>
      <c r="L193" s="3">
        <f t="shared" si="61"/>
        <v>2.9820576706418222E-3</v>
      </c>
      <c r="M193" s="18">
        <v>107.6216</v>
      </c>
      <c r="N193" s="18">
        <v>107.6216</v>
      </c>
      <c r="O193" s="59">
        <v>77</v>
      </c>
      <c r="P193" s="5">
        <v>2.6700000000000001E-3</v>
      </c>
      <c r="Q193" s="5">
        <v>7.4651999999999996E-2</v>
      </c>
      <c r="R193" s="78">
        <f>((K193-D193)/D193)</f>
        <v>2.8184234856541914E-3</v>
      </c>
      <c r="S193" s="78">
        <f>((N193-G193)/G193)</f>
        <v>2.6701448735268747E-3</v>
      </c>
      <c r="T193" s="78">
        <f>((O193-H193)/H193)</f>
        <v>0</v>
      </c>
      <c r="U193" s="78">
        <f>P193-I193</f>
        <v>-7.6000000000000113E-5</v>
      </c>
      <c r="V193" s="80">
        <f>Q193-J193</f>
        <v>2.8610000000000024E-3</v>
      </c>
    </row>
    <row r="194" spans="1:22" ht="13.5" customHeight="1">
      <c r="A194" s="149">
        <v>162</v>
      </c>
      <c r="B194" s="133" t="s">
        <v>191</v>
      </c>
      <c r="C194" s="134" t="s">
        <v>78</v>
      </c>
      <c r="D194" s="2">
        <v>1046367256.34</v>
      </c>
      <c r="E194" s="3">
        <f t="shared" si="60"/>
        <v>2.0764674947854538E-2</v>
      </c>
      <c r="F194" s="14">
        <v>103.47</v>
      </c>
      <c r="G194" s="14">
        <v>103.47</v>
      </c>
      <c r="H194" s="58">
        <v>567</v>
      </c>
      <c r="I194" s="5">
        <v>2.7000000000000001E-3</v>
      </c>
      <c r="J194" s="5">
        <v>6.6799999999999998E-2</v>
      </c>
      <c r="K194" s="2">
        <v>1037709747.52</v>
      </c>
      <c r="L194" s="3">
        <f t="shared" si="61"/>
        <v>2.0767622640230726E-2</v>
      </c>
      <c r="M194" s="14">
        <v>103.71</v>
      </c>
      <c r="N194" s="14">
        <v>103.71</v>
      </c>
      <c r="O194" s="58">
        <v>567</v>
      </c>
      <c r="P194" s="5">
        <v>2.3E-3</v>
      </c>
      <c r="Q194" s="5">
        <v>6.9099999999999995E-2</v>
      </c>
      <c r="R194" s="78">
        <f t="shared" si="62"/>
        <v>-8.2738720726816539E-3</v>
      </c>
      <c r="S194" s="78">
        <f t="shared" si="63"/>
        <v>2.3195129022904695E-3</v>
      </c>
      <c r="T194" s="78">
        <f t="shared" si="64"/>
        <v>0</v>
      </c>
      <c r="U194" s="78">
        <f t="shared" si="65"/>
        <v>-4.0000000000000018E-4</v>
      </c>
      <c r="V194" s="80">
        <f t="shared" si="66"/>
        <v>2.2999999999999965E-3</v>
      </c>
    </row>
    <row r="195" spans="1:22" ht="15.75" customHeight="1">
      <c r="A195" s="143">
        <v>163</v>
      </c>
      <c r="B195" s="133" t="s">
        <v>192</v>
      </c>
      <c r="C195" s="134" t="s">
        <v>42</v>
      </c>
      <c r="D195" s="2">
        <v>7011058854.7299995</v>
      </c>
      <c r="E195" s="3">
        <f t="shared" si="60"/>
        <v>0.13913122498496944</v>
      </c>
      <c r="F195" s="14">
        <v>131.18</v>
      </c>
      <c r="G195" s="14">
        <v>131.18</v>
      </c>
      <c r="H195" s="58">
        <v>1230</v>
      </c>
      <c r="I195" s="5">
        <v>1E-4</v>
      </c>
      <c r="J195" s="5">
        <v>2.2499999999999999E-2</v>
      </c>
      <c r="K195" s="2">
        <v>7007381011.75</v>
      </c>
      <c r="L195" s="3">
        <f t="shared" si="61"/>
        <v>0.14023829389300155</v>
      </c>
      <c r="M195" s="14">
        <v>131.19999999999999</v>
      </c>
      <c r="N195" s="14">
        <v>131.19999999999999</v>
      </c>
      <c r="O195" s="58">
        <v>1226</v>
      </c>
      <c r="P195" s="5">
        <v>2.0000000000000001E-4</v>
      </c>
      <c r="Q195" s="5">
        <v>2.2700000000000001E-2</v>
      </c>
      <c r="R195" s="78">
        <f t="shared" si="62"/>
        <v>-5.2457739354424215E-4</v>
      </c>
      <c r="S195" s="78">
        <f t="shared" si="63"/>
        <v>1.5246226558912799E-4</v>
      </c>
      <c r="T195" s="78">
        <f t="shared" si="64"/>
        <v>-3.2520325203252032E-3</v>
      </c>
      <c r="U195" s="78">
        <f t="shared" si="65"/>
        <v>1E-4</v>
      </c>
      <c r="V195" s="80">
        <f t="shared" si="66"/>
        <v>2.0000000000000226E-4</v>
      </c>
    </row>
    <row r="196" spans="1:22">
      <c r="A196" s="142">
        <v>164</v>
      </c>
      <c r="B196" s="133" t="s">
        <v>193</v>
      </c>
      <c r="C196" s="134" t="s">
        <v>45</v>
      </c>
      <c r="D196" s="2">
        <v>3727893270.1599998</v>
      </c>
      <c r="E196" s="3">
        <f t="shared" si="60"/>
        <v>7.3978320256243041E-2</v>
      </c>
      <c r="F196" s="14">
        <v>1.1662999999999999</v>
      </c>
      <c r="G196" s="14">
        <v>1.1662999999999999</v>
      </c>
      <c r="H196" s="58">
        <v>760</v>
      </c>
      <c r="I196" s="5">
        <v>9.8599999999999993E-2</v>
      </c>
      <c r="J196" s="5">
        <v>9.9000000000000005E-2</v>
      </c>
      <c r="K196" s="2">
        <v>3730948185.9200001</v>
      </c>
      <c r="L196" s="3">
        <f t="shared" si="61"/>
        <v>7.4667241201708576E-2</v>
      </c>
      <c r="M196" s="14">
        <v>1.1675</v>
      </c>
      <c r="N196" s="14">
        <v>1.1675</v>
      </c>
      <c r="O196" s="58">
        <v>708</v>
      </c>
      <c r="P196" s="5">
        <v>9.8400000000000001E-2</v>
      </c>
      <c r="Q196" s="5">
        <v>9.8799999999999999E-2</v>
      </c>
      <c r="R196" s="78">
        <f t="shared" si="62"/>
        <v>8.1947511331758509E-4</v>
      </c>
      <c r="S196" s="78">
        <f t="shared" si="63"/>
        <v>1.0288947955072365E-3</v>
      </c>
      <c r="T196" s="78">
        <f t="shared" si="64"/>
        <v>-6.8421052631578952E-2</v>
      </c>
      <c r="U196" s="78">
        <f t="shared" si="65"/>
        <v>-1.9999999999999185E-4</v>
      </c>
      <c r="V196" s="80">
        <f t="shared" si="66"/>
        <v>-2.0000000000000573E-4</v>
      </c>
    </row>
    <row r="197" spans="1:22">
      <c r="A197" s="82"/>
      <c r="B197" s="131"/>
      <c r="C197" s="64" t="s">
        <v>46</v>
      </c>
      <c r="D197" s="57">
        <f>SUM(D182:D196)</f>
        <v>50391699314.71109</v>
      </c>
      <c r="E197" s="97">
        <f>(D197/$D$198)</f>
        <v>1.5686687180993621E-2</v>
      </c>
      <c r="F197" s="30"/>
      <c r="G197" s="34"/>
      <c r="H197" s="66">
        <f>SUM(H182:H196)</f>
        <v>28352</v>
      </c>
      <c r="I197" s="35"/>
      <c r="J197" s="35"/>
      <c r="K197" s="57">
        <f>SUM(K182:K196)</f>
        <v>49967671576.897987</v>
      </c>
      <c r="L197" s="97">
        <f>(K197/$K$198)</f>
        <v>1.5367996924702117E-2</v>
      </c>
      <c r="M197" s="30"/>
      <c r="N197" s="34"/>
      <c r="O197" s="66">
        <f>SUM(O182:O196)</f>
        <v>28332</v>
      </c>
      <c r="P197" s="35"/>
      <c r="Q197" s="35"/>
      <c r="R197" s="78">
        <f t="shared" si="62"/>
        <v>-8.4146346239471689E-3</v>
      </c>
      <c r="S197" s="78" t="e">
        <f t="shared" si="63"/>
        <v>#DIV/0!</v>
      </c>
      <c r="T197" s="78">
        <f t="shared" si="64"/>
        <v>-7.0541760722347632E-4</v>
      </c>
      <c r="U197" s="78">
        <f t="shared" si="65"/>
        <v>0</v>
      </c>
      <c r="V197" s="80">
        <f t="shared" si="66"/>
        <v>0</v>
      </c>
    </row>
    <row r="198" spans="1:22">
      <c r="A198" s="83"/>
      <c r="B198" s="38"/>
      <c r="C198" s="65" t="s">
        <v>196</v>
      </c>
      <c r="D198" s="67">
        <f>SUM(D23,D61,D99,D133,D141,D172,D178,D197)</f>
        <v>3212386320533.4346</v>
      </c>
      <c r="E198" s="39"/>
      <c r="F198" s="39"/>
      <c r="G198" s="40"/>
      <c r="H198" s="67">
        <f>SUM(H23,H61,H99,H133,H141,H172,H178,H197)</f>
        <v>753878</v>
      </c>
      <c r="I198" s="41"/>
      <c r="J198" s="41"/>
      <c r="K198" s="67">
        <f>SUM(K23,K61,K99,K133,K141,K172,K178,K197)</f>
        <v>3251410826129.2827</v>
      </c>
      <c r="L198" s="39"/>
      <c r="M198" s="39"/>
      <c r="N198" s="40"/>
      <c r="O198" s="67">
        <f>SUM(O23,O61,O99,O133,O141,O172,O178,O197)</f>
        <v>751624</v>
      </c>
      <c r="P198" s="42"/>
      <c r="Q198" s="67"/>
      <c r="R198" s="25">
        <f t="shared" si="62"/>
        <v>1.2148135903333043E-2</v>
      </c>
      <c r="S198" s="25"/>
      <c r="T198" s="25"/>
      <c r="U198" s="25"/>
      <c r="V198" s="25"/>
    </row>
    <row r="199" spans="1:22" ht="6.75" customHeight="1">
      <c r="A199" s="176"/>
      <c r="B199" s="176"/>
      <c r="C199" s="176"/>
      <c r="D199" s="176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9"/>
    </row>
    <row r="200" spans="1:22" ht="15.75">
      <c r="A200" s="174" t="s">
        <v>197</v>
      </c>
      <c r="B200" s="174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</row>
    <row r="201" spans="1:22">
      <c r="A201" s="152">
        <v>1</v>
      </c>
      <c r="B201" s="133" t="s">
        <v>198</v>
      </c>
      <c r="C201" s="134" t="s">
        <v>199</v>
      </c>
      <c r="D201" s="2">
        <v>103175705234</v>
      </c>
      <c r="E201" s="3">
        <f>(D201/$D$203)</f>
        <v>0.93395745107493966</v>
      </c>
      <c r="F201" s="14">
        <v>107.39</v>
      </c>
      <c r="G201" s="14">
        <v>107.39</v>
      </c>
      <c r="H201" s="62">
        <v>0</v>
      </c>
      <c r="I201" s="20">
        <v>0</v>
      </c>
      <c r="J201" s="20">
        <v>0.13800000000000001</v>
      </c>
      <c r="K201" s="2">
        <v>103175705234</v>
      </c>
      <c r="L201" s="3">
        <f>(K201/$K$203)</f>
        <v>0.93371737553737488</v>
      </c>
      <c r="M201" s="14">
        <v>107.39</v>
      </c>
      <c r="N201" s="14">
        <v>107.39</v>
      </c>
      <c r="O201" s="62">
        <v>0</v>
      </c>
      <c r="P201" s="20">
        <v>0</v>
      </c>
      <c r="Q201" s="20">
        <v>0.13800000000000001</v>
      </c>
      <c r="R201" s="78">
        <f>((K201-D201)/D201)</f>
        <v>0</v>
      </c>
      <c r="S201" s="78">
        <f>((N201-G201)/G201)</f>
        <v>0</v>
      </c>
      <c r="T201" s="78" t="e">
        <f>((O201-H201)/H201)</f>
        <v>#DIV/0!</v>
      </c>
      <c r="U201" s="78">
        <f>P201-I201</f>
        <v>0</v>
      </c>
      <c r="V201" s="80">
        <f>Q201-J201</f>
        <v>0</v>
      </c>
    </row>
    <row r="202" spans="1:22">
      <c r="A202" s="152">
        <v>2</v>
      </c>
      <c r="B202" s="133" t="s">
        <v>200</v>
      </c>
      <c r="C202" s="134" t="s">
        <v>45</v>
      </c>
      <c r="D202" s="2">
        <v>7295821188.5900002</v>
      </c>
      <c r="E202" s="3">
        <f>(D202/$D$203)</f>
        <v>6.6042548925060382E-2</v>
      </c>
      <c r="F202" s="21">
        <v>1000000</v>
      </c>
      <c r="G202" s="21">
        <v>1000000</v>
      </c>
      <c r="H202" s="62">
        <v>0</v>
      </c>
      <c r="I202" s="20">
        <v>0.21360000000000001</v>
      </c>
      <c r="J202" s="20">
        <v>0.21360000000000001</v>
      </c>
      <c r="K202" s="2">
        <v>7324225405.7399998</v>
      </c>
      <c r="L202" s="3">
        <f>(K202/$K$203)</f>
        <v>6.6282624462625034E-2</v>
      </c>
      <c r="M202" s="21">
        <v>1000000</v>
      </c>
      <c r="N202" s="21">
        <v>1000000</v>
      </c>
      <c r="O202" s="62">
        <v>0</v>
      </c>
      <c r="P202" s="20">
        <v>0.21329999999999999</v>
      </c>
      <c r="Q202" s="20">
        <v>0.21329999999999999</v>
      </c>
      <c r="R202" s="78">
        <f>((K202-D202)/D202)</f>
        <v>3.8932172836720872E-3</v>
      </c>
      <c r="S202" s="78">
        <f>((N202-G202)/G202)</f>
        <v>0</v>
      </c>
      <c r="T202" s="78" t="e">
        <f>((O202-H202)/H202)</f>
        <v>#DIV/0!</v>
      </c>
      <c r="U202" s="78">
        <f>P202-I202</f>
        <v>-3.0000000000002247E-4</v>
      </c>
      <c r="V202" s="80">
        <f>Q202-J202</f>
        <v>-3.0000000000002247E-4</v>
      </c>
    </row>
    <row r="203" spans="1:22">
      <c r="A203" s="38"/>
      <c r="B203" s="38"/>
      <c r="C203" s="65" t="s">
        <v>201</v>
      </c>
      <c r="D203" s="71">
        <f>SUM(D201:D202)</f>
        <v>110471526422.59</v>
      </c>
      <c r="E203" s="24"/>
      <c r="F203" s="22"/>
      <c r="G203" s="22"/>
      <c r="H203" s="71">
        <f>SUM(H201:H202)</f>
        <v>0</v>
      </c>
      <c r="I203" s="23"/>
      <c r="J203" s="23"/>
      <c r="K203" s="71">
        <f>SUM(K201:K202)</f>
        <v>110499930639.74001</v>
      </c>
      <c r="L203" s="24"/>
      <c r="M203" s="22"/>
      <c r="N203" s="22"/>
      <c r="O203" s="23"/>
      <c r="P203" s="23"/>
      <c r="Q203" s="71"/>
      <c r="R203" s="25">
        <f>((K203-D203)/D203)</f>
        <v>2.5711799293289081E-4</v>
      </c>
      <c r="S203" s="26"/>
      <c r="T203" s="26"/>
      <c r="U203" s="25"/>
      <c r="V203" s="84"/>
    </row>
    <row r="204" spans="1:22" ht="8.25" customHeight="1">
      <c r="A204" s="173"/>
      <c r="B204" s="173"/>
      <c r="C204" s="173"/>
      <c r="D204" s="173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</row>
    <row r="205" spans="1:22" ht="15.75">
      <c r="A205" s="174" t="s">
        <v>202</v>
      </c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</row>
    <row r="206" spans="1:22">
      <c r="A206" s="149">
        <v>1</v>
      </c>
      <c r="B206" s="133" t="s">
        <v>203</v>
      </c>
      <c r="C206" s="134" t="s">
        <v>74</v>
      </c>
      <c r="D206" s="27">
        <v>955914132.73265445</v>
      </c>
      <c r="E206" s="10">
        <f t="shared" ref="E206:E217" si="67">(D206/$D$218)</f>
        <v>7.8626144153173511E-2</v>
      </c>
      <c r="F206" s="21">
        <v>225.26549610761268</v>
      </c>
      <c r="G206" s="21">
        <v>229.53746342641685</v>
      </c>
      <c r="H206" s="61">
        <v>61</v>
      </c>
      <c r="I206" s="28">
        <v>-2.6468317094028748E-2</v>
      </c>
      <c r="J206" s="28">
        <v>0.28679022111054886</v>
      </c>
      <c r="K206" s="27">
        <v>955914132.73265445</v>
      </c>
      <c r="L206" s="10">
        <f t="shared" ref="L206:L217" si="68">(K206/$K$218)</f>
        <v>7.8615922749097011E-2</v>
      </c>
      <c r="M206" s="21">
        <v>225.26549610761268</v>
      </c>
      <c r="N206" s="21">
        <v>226.76227367031936</v>
      </c>
      <c r="O206" s="61">
        <v>61</v>
      </c>
      <c r="P206" s="28">
        <v>-1.2779565518456382E-2</v>
      </c>
      <c r="Q206" s="28">
        <v>0.27034560117135764</v>
      </c>
      <c r="R206" s="78">
        <f>((K206-D206)/D206)</f>
        <v>0</v>
      </c>
      <c r="S206" s="78">
        <f>((N206-G206)/G206)</f>
        <v>-1.2090356470228818E-2</v>
      </c>
      <c r="T206" s="78">
        <f>((O206-H206)/H206)</f>
        <v>0</v>
      </c>
      <c r="U206" s="78">
        <f>P206-I206</f>
        <v>1.3688751575572367E-2</v>
      </c>
      <c r="V206" s="80">
        <f>Q206-J206</f>
        <v>-1.6444619939191218E-2</v>
      </c>
    </row>
    <row r="207" spans="1:22">
      <c r="A207" s="147">
        <v>2</v>
      </c>
      <c r="B207" s="133" t="s">
        <v>204</v>
      </c>
      <c r="C207" s="134" t="s">
        <v>183</v>
      </c>
      <c r="D207" s="27">
        <v>993835382.49000001</v>
      </c>
      <c r="E207" s="10">
        <f t="shared" si="67"/>
        <v>8.1745254487243055E-2</v>
      </c>
      <c r="F207" s="21">
        <v>28.27</v>
      </c>
      <c r="G207" s="21">
        <v>31.24</v>
      </c>
      <c r="H207" s="61">
        <v>206</v>
      </c>
      <c r="I207" s="28">
        <v>-2.75E-2</v>
      </c>
      <c r="J207" s="28">
        <v>0.31879999999999997</v>
      </c>
      <c r="K207" s="27">
        <v>988336134.03999996</v>
      </c>
      <c r="L207" s="10">
        <f t="shared" si="68"/>
        <v>8.128236052093217E-2</v>
      </c>
      <c r="M207" s="21">
        <v>28.11</v>
      </c>
      <c r="N207" s="21">
        <v>31.07</v>
      </c>
      <c r="O207" s="61">
        <v>206</v>
      </c>
      <c r="P207" s="28">
        <v>-5.4999999999999997E-3</v>
      </c>
      <c r="Q207" s="28">
        <v>0.3115</v>
      </c>
      <c r="R207" s="78">
        <f t="shared" ref="R207:R218" si="69">((K207-D207)/D207)</f>
        <v>-5.5333594948310076E-3</v>
      </c>
      <c r="S207" s="78">
        <f t="shared" ref="S207:S218" si="70">((N207-G207)/G207)</f>
        <v>-5.441741357234256E-3</v>
      </c>
      <c r="T207" s="78">
        <f t="shared" ref="T207:T218" si="71">((O207-H207)/H207)</f>
        <v>0</v>
      </c>
      <c r="U207" s="78">
        <f t="shared" ref="U207:U218" si="72">P207-I207</f>
        <v>2.1999999999999999E-2</v>
      </c>
      <c r="V207" s="80">
        <f t="shared" ref="V207:V218" si="73">Q207-J207</f>
        <v>-7.2999999999999732E-3</v>
      </c>
    </row>
    <row r="208" spans="1:22">
      <c r="A208" s="142">
        <v>3</v>
      </c>
      <c r="B208" s="133" t="s">
        <v>205</v>
      </c>
      <c r="C208" s="134" t="s">
        <v>36</v>
      </c>
      <c r="D208" s="27">
        <v>278574546.51999998</v>
      </c>
      <c r="E208" s="10">
        <f t="shared" si="67"/>
        <v>2.2913399542982018E-2</v>
      </c>
      <c r="F208" s="21">
        <v>20.77</v>
      </c>
      <c r="G208" s="21">
        <v>21.28</v>
      </c>
      <c r="H208" s="61">
        <v>124</v>
      </c>
      <c r="I208" s="28">
        <v>-5.4502232259497463E-2</v>
      </c>
      <c r="J208" s="28">
        <v>-0.11219999999999999</v>
      </c>
      <c r="K208" s="27">
        <v>256650820.53999999</v>
      </c>
      <c r="L208" s="10">
        <f t="shared" si="68"/>
        <v>2.1107378152665061E-2</v>
      </c>
      <c r="M208" s="21">
        <v>19.57</v>
      </c>
      <c r="N208" s="21">
        <v>20.079999999999998</v>
      </c>
      <c r="O208" s="61">
        <v>124</v>
      </c>
      <c r="P208" s="28">
        <v>-5.4502232259497463E-2</v>
      </c>
      <c r="Q208" s="28">
        <v>-0.1628</v>
      </c>
      <c r="R208" s="78">
        <f t="shared" si="69"/>
        <v>-7.8699673943204276E-2</v>
      </c>
      <c r="S208" s="78">
        <f t="shared" si="70"/>
        <v>-5.6390977443609151E-2</v>
      </c>
      <c r="T208" s="78">
        <f t="shared" si="71"/>
        <v>0</v>
      </c>
      <c r="U208" s="78">
        <f t="shared" si="72"/>
        <v>0</v>
      </c>
      <c r="V208" s="80">
        <f t="shared" si="73"/>
        <v>-5.0600000000000006E-2</v>
      </c>
    </row>
    <row r="209" spans="1:22">
      <c r="A209" s="142">
        <v>4</v>
      </c>
      <c r="B209" s="133" t="s">
        <v>206</v>
      </c>
      <c r="C209" s="134" t="s">
        <v>36</v>
      </c>
      <c r="D209" s="27">
        <v>591108044.24000001</v>
      </c>
      <c r="E209" s="10">
        <f t="shared" si="67"/>
        <v>4.8620001216691966E-2</v>
      </c>
      <c r="F209" s="21">
        <v>45.03</v>
      </c>
      <c r="G209" s="21">
        <v>45.61</v>
      </c>
      <c r="H209" s="61">
        <v>122</v>
      </c>
      <c r="I209" s="28">
        <v>-5.3036812573749037E-3</v>
      </c>
      <c r="J209" s="28">
        <v>0.19650000000000001</v>
      </c>
      <c r="K209" s="27">
        <v>586094533.32000005</v>
      </c>
      <c r="L209" s="10">
        <f t="shared" si="68"/>
        <v>4.820136137482927E-2</v>
      </c>
      <c r="M209" s="21">
        <v>44.05</v>
      </c>
      <c r="N209" s="21">
        <v>44.62</v>
      </c>
      <c r="O209" s="61">
        <v>122</v>
      </c>
      <c r="P209" s="28">
        <v>-5.3036812573749037E-3</v>
      </c>
      <c r="Q209" s="28">
        <v>0.1704</v>
      </c>
      <c r="R209" s="78">
        <f t="shared" si="69"/>
        <v>-8.4815474410366611E-3</v>
      </c>
      <c r="S209" s="78">
        <f t="shared" si="70"/>
        <v>-2.1705766279324752E-2</v>
      </c>
      <c r="T209" s="78">
        <f t="shared" si="71"/>
        <v>0</v>
      </c>
      <c r="U209" s="78">
        <f t="shared" si="72"/>
        <v>0</v>
      </c>
      <c r="V209" s="80">
        <f t="shared" si="73"/>
        <v>-2.6100000000000012E-2</v>
      </c>
    </row>
    <row r="210" spans="1:22">
      <c r="A210" s="150">
        <v>5</v>
      </c>
      <c r="B210" s="133" t="s">
        <v>207</v>
      </c>
      <c r="C210" s="134" t="s">
        <v>208</v>
      </c>
      <c r="D210" s="27">
        <v>1194195362</v>
      </c>
      <c r="E210" s="10">
        <f t="shared" si="67"/>
        <v>9.8225325334658817E-2</v>
      </c>
      <c r="F210" s="21">
        <v>28200</v>
      </c>
      <c r="G210" s="21">
        <v>36100</v>
      </c>
      <c r="H210" s="61">
        <v>228</v>
      </c>
      <c r="I210" s="28">
        <v>-0.01</v>
      </c>
      <c r="J210" s="28">
        <v>1.04</v>
      </c>
      <c r="K210" s="27">
        <v>1250035615.98</v>
      </c>
      <c r="L210" s="10">
        <f t="shared" si="68"/>
        <v>0.10280494874426971</v>
      </c>
      <c r="M210" s="21">
        <v>28600</v>
      </c>
      <c r="N210" s="21">
        <v>36600</v>
      </c>
      <c r="O210" s="61">
        <v>228</v>
      </c>
      <c r="P210" s="28">
        <v>0.05</v>
      </c>
      <c r="Q210" s="28">
        <v>1.1399999999999999</v>
      </c>
      <c r="R210" s="78">
        <f t="shared" si="69"/>
        <v>4.6759731076564018E-2</v>
      </c>
      <c r="S210" s="78">
        <f t="shared" si="70"/>
        <v>1.3850415512465374E-2</v>
      </c>
      <c r="T210" s="78">
        <f t="shared" si="71"/>
        <v>0</v>
      </c>
      <c r="U210" s="78">
        <f t="shared" si="72"/>
        <v>6.0000000000000005E-2</v>
      </c>
      <c r="V210" s="80">
        <f t="shared" si="73"/>
        <v>9.9999999999999867E-2</v>
      </c>
    </row>
    <row r="211" spans="1:22">
      <c r="A211" s="143">
        <v>6</v>
      </c>
      <c r="B211" s="133" t="s">
        <v>209</v>
      </c>
      <c r="C211" s="134" t="s">
        <v>210</v>
      </c>
      <c r="D211" s="27">
        <v>1060357842.12</v>
      </c>
      <c r="E211" s="10">
        <f t="shared" si="67"/>
        <v>8.7216880359474877E-2</v>
      </c>
      <c r="F211" s="21">
        <v>1060.2</v>
      </c>
      <c r="G211" s="21">
        <v>1060.2</v>
      </c>
      <c r="H211" s="61">
        <v>122</v>
      </c>
      <c r="I211" s="28">
        <v>-1.23E-2</v>
      </c>
      <c r="J211" s="28">
        <v>0.12690000000000001</v>
      </c>
      <c r="K211" s="27">
        <v>1070490074.38</v>
      </c>
      <c r="L211" s="10">
        <f t="shared" si="68"/>
        <v>8.8038833310847164E-2</v>
      </c>
      <c r="M211" s="21">
        <v>1060.2</v>
      </c>
      <c r="N211" s="21">
        <v>1060.2</v>
      </c>
      <c r="O211" s="61">
        <v>122</v>
      </c>
      <c r="P211" s="28">
        <v>-2.63E-2</v>
      </c>
      <c r="Q211" s="28">
        <v>9.7900000000000001E-2</v>
      </c>
      <c r="R211" s="78">
        <f t="shared" si="69"/>
        <v>9.5554838730124957E-3</v>
      </c>
      <c r="S211" s="78">
        <f t="shared" si="70"/>
        <v>0</v>
      </c>
      <c r="T211" s="78">
        <f t="shared" si="71"/>
        <v>0</v>
      </c>
      <c r="U211" s="78">
        <f t="shared" si="72"/>
        <v>-1.4E-2</v>
      </c>
      <c r="V211" s="80">
        <f t="shared" si="73"/>
        <v>-2.9000000000000012E-2</v>
      </c>
    </row>
    <row r="212" spans="1:22">
      <c r="A212" s="143">
        <v>7</v>
      </c>
      <c r="B212" s="133" t="s">
        <v>211</v>
      </c>
      <c r="C212" s="134" t="s">
        <v>210</v>
      </c>
      <c r="D212" s="27">
        <v>890927824.60000002</v>
      </c>
      <c r="E212" s="10">
        <f t="shared" si="67"/>
        <v>7.3280870287817157E-2</v>
      </c>
      <c r="F212" s="21">
        <v>627</v>
      </c>
      <c r="G212" s="21">
        <v>627</v>
      </c>
      <c r="H212" s="61">
        <v>572</v>
      </c>
      <c r="I212" s="28">
        <v>-3.5999999999999999E-3</v>
      </c>
      <c r="J212" s="28">
        <v>0.33389999999999997</v>
      </c>
      <c r="K212" s="27">
        <v>865603668.64999998</v>
      </c>
      <c r="L212" s="10">
        <f t="shared" si="68"/>
        <v>7.1188644268067675E-2</v>
      </c>
      <c r="M212" s="21">
        <v>550</v>
      </c>
      <c r="N212" s="21">
        <v>550</v>
      </c>
      <c r="O212" s="61">
        <v>572</v>
      </c>
      <c r="P212" s="28">
        <v>-2.8400000000000002E-2</v>
      </c>
      <c r="Q212" s="28">
        <v>0.2964</v>
      </c>
      <c r="R212" s="78">
        <f t="shared" si="69"/>
        <v>-2.842447530625709E-2</v>
      </c>
      <c r="S212" s="78">
        <f t="shared" si="70"/>
        <v>-0.12280701754385964</v>
      </c>
      <c r="T212" s="78">
        <f t="shared" si="71"/>
        <v>0</v>
      </c>
      <c r="U212" s="78">
        <f t="shared" si="72"/>
        <v>-2.4800000000000003E-2</v>
      </c>
      <c r="V212" s="80">
        <f t="shared" si="73"/>
        <v>-3.7499999999999978E-2</v>
      </c>
    </row>
    <row r="213" spans="1:22">
      <c r="A213" s="146">
        <v>8</v>
      </c>
      <c r="B213" s="133" t="s">
        <v>212</v>
      </c>
      <c r="C213" s="134" t="s">
        <v>213</v>
      </c>
      <c r="D213" s="27">
        <v>51425793.420000002</v>
      </c>
      <c r="E213" s="10">
        <f t="shared" si="67"/>
        <v>4.2298902256768748E-3</v>
      </c>
      <c r="F213" s="21">
        <v>15.5</v>
      </c>
      <c r="G213" s="21">
        <v>15.6</v>
      </c>
      <c r="H213" s="61">
        <v>61</v>
      </c>
      <c r="I213" s="28">
        <v>0</v>
      </c>
      <c r="J213" s="28">
        <v>0.43230000000000002</v>
      </c>
      <c r="K213" s="27">
        <v>50007323.890000001</v>
      </c>
      <c r="L213" s="10">
        <f t="shared" si="68"/>
        <v>4.1126831136880171E-3</v>
      </c>
      <c r="M213" s="21">
        <v>14.98</v>
      </c>
      <c r="N213" s="21">
        <v>15.08</v>
      </c>
      <c r="O213" s="61">
        <v>61</v>
      </c>
      <c r="P213" s="28">
        <v>0</v>
      </c>
      <c r="Q213" s="28">
        <v>0.43230000000000002</v>
      </c>
      <c r="R213" s="78">
        <f t="shared" si="69"/>
        <v>-2.7582841909996558E-2</v>
      </c>
      <c r="S213" s="78">
        <f t="shared" si="70"/>
        <v>-3.3333333333333305E-2</v>
      </c>
      <c r="T213" s="78">
        <f t="shared" si="71"/>
        <v>0</v>
      </c>
      <c r="U213" s="78">
        <f t="shared" si="72"/>
        <v>0</v>
      </c>
      <c r="V213" s="80">
        <f t="shared" si="73"/>
        <v>0</v>
      </c>
    </row>
    <row r="214" spans="1:22">
      <c r="A214" s="146">
        <v>9</v>
      </c>
      <c r="B214" s="133" t="s">
        <v>214</v>
      </c>
      <c r="C214" s="134" t="s">
        <v>213</v>
      </c>
      <c r="D214" s="29">
        <v>511868630.60000002</v>
      </c>
      <c r="E214" s="10">
        <f t="shared" si="67"/>
        <v>4.2102376519941045E-2</v>
      </c>
      <c r="F214" s="21">
        <v>8.14</v>
      </c>
      <c r="G214" s="21">
        <v>8.24</v>
      </c>
      <c r="H214" s="61">
        <v>103</v>
      </c>
      <c r="I214" s="28">
        <v>4.0899999999999999E-2</v>
      </c>
      <c r="J214" s="28">
        <v>-7.1300000000000002E-2</v>
      </c>
      <c r="K214" s="29">
        <v>509353637.93000001</v>
      </c>
      <c r="L214" s="10">
        <f t="shared" si="68"/>
        <v>4.1890066147474286E-2</v>
      </c>
      <c r="M214" s="21">
        <v>8.1</v>
      </c>
      <c r="N214" s="21">
        <v>8.1999999999999993</v>
      </c>
      <c r="O214" s="61">
        <v>102</v>
      </c>
      <c r="P214" s="28">
        <v>0</v>
      </c>
      <c r="Q214" s="28">
        <v>-7.1300000000000002E-2</v>
      </c>
      <c r="R214" s="78">
        <f t="shared" si="69"/>
        <v>-4.9133557316298187E-3</v>
      </c>
      <c r="S214" s="78">
        <f t="shared" si="70"/>
        <v>-4.8543689320389473E-3</v>
      </c>
      <c r="T214" s="78">
        <f t="shared" si="71"/>
        <v>-9.7087378640776691E-3</v>
      </c>
      <c r="U214" s="78">
        <f t="shared" si="72"/>
        <v>-4.0899999999999999E-2</v>
      </c>
      <c r="V214" s="80">
        <f t="shared" si="73"/>
        <v>0</v>
      </c>
    </row>
    <row r="215" spans="1:22" ht="15" customHeight="1">
      <c r="A215" s="146">
        <v>10</v>
      </c>
      <c r="B215" s="133" t="s">
        <v>215</v>
      </c>
      <c r="C215" s="134" t="s">
        <v>213</v>
      </c>
      <c r="D215" s="27">
        <v>437283490.95999998</v>
      </c>
      <c r="E215" s="10">
        <f t="shared" si="67"/>
        <v>3.5967576604121275E-2</v>
      </c>
      <c r="F215" s="21">
        <v>123.22</v>
      </c>
      <c r="G215" s="21">
        <v>125.22</v>
      </c>
      <c r="H215" s="61">
        <v>260</v>
      </c>
      <c r="I215" s="28">
        <v>2.8799999999999999E-2</v>
      </c>
      <c r="J215" s="28">
        <v>0.11550000000000001</v>
      </c>
      <c r="K215" s="27">
        <v>436388429.56999999</v>
      </c>
      <c r="L215" s="10">
        <f t="shared" si="68"/>
        <v>3.5889289521854703E-2</v>
      </c>
      <c r="M215" s="21">
        <v>122.96</v>
      </c>
      <c r="N215" s="21">
        <v>124.96</v>
      </c>
      <c r="O215" s="61">
        <v>260</v>
      </c>
      <c r="P215" s="28">
        <v>0.2114</v>
      </c>
      <c r="Q215" s="28">
        <v>0.35139999999999999</v>
      </c>
      <c r="R215" s="78">
        <f t="shared" si="69"/>
        <v>-2.0468675550384782E-3</v>
      </c>
      <c r="S215" s="78">
        <f t="shared" si="70"/>
        <v>-2.0763456316882697E-3</v>
      </c>
      <c r="T215" s="78">
        <f t="shared" si="71"/>
        <v>0</v>
      </c>
      <c r="U215" s="78">
        <f t="shared" si="72"/>
        <v>0.18260000000000001</v>
      </c>
      <c r="V215" s="80">
        <f t="shared" si="73"/>
        <v>0.2359</v>
      </c>
    </row>
    <row r="216" spans="1:22">
      <c r="A216" s="146">
        <v>11</v>
      </c>
      <c r="B216" s="133" t="s">
        <v>216</v>
      </c>
      <c r="C216" s="134" t="s">
        <v>213</v>
      </c>
      <c r="D216" s="27">
        <v>5116675382.75</v>
      </c>
      <c r="E216" s="10">
        <f t="shared" si="67"/>
        <v>0.42085836211986449</v>
      </c>
      <c r="F216" s="21">
        <v>36.590000000000003</v>
      </c>
      <c r="G216" s="21">
        <v>36.79</v>
      </c>
      <c r="H216" s="61">
        <v>278</v>
      </c>
      <c r="I216" s="28">
        <v>0</v>
      </c>
      <c r="J216" s="28">
        <v>0.33329999999999999</v>
      </c>
      <c r="K216" s="27">
        <v>5115019780.0299997</v>
      </c>
      <c r="L216" s="10">
        <f t="shared" si="68"/>
        <v>0.42066749106156925</v>
      </c>
      <c r="M216" s="21">
        <v>36.369999999999997</v>
      </c>
      <c r="N216" s="21">
        <v>36.57</v>
      </c>
      <c r="O216" s="61">
        <v>278</v>
      </c>
      <c r="P216" s="28">
        <v>4.1700000000000001E-2</v>
      </c>
      <c r="Q216" s="28">
        <v>0.27779999999999999</v>
      </c>
      <c r="R216" s="78">
        <f t="shared" si="69"/>
        <v>-3.2357001297792892E-4</v>
      </c>
      <c r="S216" s="78">
        <f t="shared" si="70"/>
        <v>-5.9798858385430517E-3</v>
      </c>
      <c r="T216" s="78">
        <f t="shared" si="71"/>
        <v>0</v>
      </c>
      <c r="U216" s="78">
        <f t="shared" si="72"/>
        <v>4.1700000000000001E-2</v>
      </c>
      <c r="V216" s="80">
        <f t="shared" si="73"/>
        <v>-5.5499999999999994E-2</v>
      </c>
    </row>
    <row r="217" spans="1:22">
      <c r="A217" s="146">
        <v>12</v>
      </c>
      <c r="B217" s="133" t="s">
        <v>217</v>
      </c>
      <c r="C217" s="134" t="s">
        <v>213</v>
      </c>
      <c r="D217" s="29">
        <v>75547048.599999994</v>
      </c>
      <c r="E217" s="10">
        <f t="shared" si="67"/>
        <v>6.2139191483547903E-3</v>
      </c>
      <c r="F217" s="21">
        <v>44.25</v>
      </c>
      <c r="G217" s="21">
        <v>44.45</v>
      </c>
      <c r="H217" s="61">
        <v>57</v>
      </c>
      <c r="I217" s="28">
        <v>0</v>
      </c>
      <c r="J217" s="28">
        <v>0.81130000000000002</v>
      </c>
      <c r="K217" s="29">
        <v>75400039.040000007</v>
      </c>
      <c r="L217" s="10">
        <f t="shared" si="68"/>
        <v>6.2010210347055875E-3</v>
      </c>
      <c r="M217" s="21">
        <v>44.25</v>
      </c>
      <c r="N217" s="21">
        <v>44.45</v>
      </c>
      <c r="O217" s="61">
        <v>57</v>
      </c>
      <c r="P217" s="28">
        <v>0</v>
      </c>
      <c r="Q217" s="28">
        <v>0.81130000000000002</v>
      </c>
      <c r="R217" s="78">
        <f t="shared" si="69"/>
        <v>-1.945933861405507E-3</v>
      </c>
      <c r="S217" s="78">
        <f t="shared" si="70"/>
        <v>0</v>
      </c>
      <c r="T217" s="78">
        <f t="shared" si="71"/>
        <v>0</v>
      </c>
      <c r="U217" s="78">
        <f t="shared" si="72"/>
        <v>0</v>
      </c>
      <c r="V217" s="80">
        <f t="shared" si="73"/>
        <v>0</v>
      </c>
    </row>
    <row r="218" spans="1:22">
      <c r="A218" s="129"/>
      <c r="B218" s="129"/>
      <c r="C218" s="130" t="s">
        <v>218</v>
      </c>
      <c r="D218" s="71">
        <f>SUM(D206:D217)</f>
        <v>12157713481.032656</v>
      </c>
      <c r="E218" s="24"/>
      <c r="F218" s="24"/>
      <c r="G218" s="22"/>
      <c r="H218" s="71">
        <f>SUM(H206:H217)</f>
        <v>2194</v>
      </c>
      <c r="I218" s="23"/>
      <c r="J218" s="23"/>
      <c r="K218" s="71">
        <f>SUM(K206:K217)</f>
        <v>12159294190.102655</v>
      </c>
      <c r="L218" s="24"/>
      <c r="M218" s="24"/>
      <c r="N218" s="22"/>
      <c r="O218" s="71">
        <f>SUM(O206:O217)</f>
        <v>2193</v>
      </c>
      <c r="P218" s="23"/>
      <c r="Q218" s="23"/>
      <c r="R218" s="78">
        <f t="shared" si="69"/>
        <v>1.3001697008781885E-4</v>
      </c>
      <c r="S218" s="78" t="e">
        <f t="shared" si="70"/>
        <v>#DIV/0!</v>
      </c>
      <c r="T218" s="78">
        <f t="shared" si="71"/>
        <v>-4.5578851412944393E-4</v>
      </c>
      <c r="U218" s="78">
        <f t="shared" si="72"/>
        <v>0</v>
      </c>
      <c r="V218" s="80">
        <f t="shared" si="73"/>
        <v>0</v>
      </c>
    </row>
    <row r="219" spans="1:22">
      <c r="A219" s="85"/>
      <c r="B219" s="85"/>
      <c r="C219" s="86" t="s">
        <v>219</v>
      </c>
      <c r="D219" s="87">
        <f>SUM(D198,D203,D218)</f>
        <v>3335015560437.0571</v>
      </c>
      <c r="E219" s="88"/>
      <c r="F219" s="88"/>
      <c r="G219" s="89"/>
      <c r="H219" s="87">
        <f>SUM(H198,H203,H218)</f>
        <v>756072</v>
      </c>
      <c r="I219" s="90"/>
      <c r="J219" s="90"/>
      <c r="K219" s="87">
        <f>SUM(K198,K203,K218)</f>
        <v>3374070050959.1255</v>
      </c>
      <c r="L219" s="88"/>
      <c r="M219" s="88"/>
      <c r="N219" s="89"/>
      <c r="O219" s="87">
        <f>SUM(O198,O203,O218)</f>
        <v>753817</v>
      </c>
      <c r="P219" s="91"/>
      <c r="Q219" s="87"/>
      <c r="R219" s="92"/>
      <c r="S219" s="93"/>
      <c r="T219" s="93"/>
      <c r="U219" s="94"/>
      <c r="V219" s="94"/>
    </row>
    <row r="220" spans="1:22">
      <c r="A220" s="106" t="s">
        <v>248</v>
      </c>
      <c r="B220" s="107" t="s">
        <v>285</v>
      </c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</row>
    <row r="222" spans="1:22">
      <c r="B222" s="110"/>
      <c r="C222" s="110"/>
      <c r="D222" s="109"/>
      <c r="K222" s="109"/>
    </row>
    <row r="223" spans="1:22">
      <c r="B223" s="123"/>
      <c r="C223" s="124"/>
      <c r="D223" s="125"/>
      <c r="F223" s="126"/>
      <c r="G223" s="126"/>
      <c r="I223" s="127"/>
      <c r="J223" s="128"/>
    </row>
    <row r="226" spans="2:2">
      <c r="B226" s="110"/>
    </row>
  </sheetData>
  <sheetProtection password="CA3B" sheet="1" objects="1" scenarios="1"/>
  <mergeCells count="31">
    <mergeCell ref="A100:V100"/>
    <mergeCell ref="A1:V1"/>
    <mergeCell ref="U2:V2"/>
    <mergeCell ref="A4:V4"/>
    <mergeCell ref="A5:V5"/>
    <mergeCell ref="A24:V24"/>
    <mergeCell ref="A25:V25"/>
    <mergeCell ref="A62:V62"/>
    <mergeCell ref="A63:V63"/>
    <mergeCell ref="R2:T2"/>
    <mergeCell ref="K2:Q2"/>
    <mergeCell ref="D2:J2"/>
    <mergeCell ref="A180:V180"/>
    <mergeCell ref="A101:V101"/>
    <mergeCell ref="A102:V102"/>
    <mergeCell ref="A118:V118"/>
    <mergeCell ref="A119:V119"/>
    <mergeCell ref="A134:V134"/>
    <mergeCell ref="A135:V135"/>
    <mergeCell ref="A142:V142"/>
    <mergeCell ref="A143:V143"/>
    <mergeCell ref="A173:V173"/>
    <mergeCell ref="A174:V174"/>
    <mergeCell ref="A179:V179"/>
    <mergeCell ref="A204:V204"/>
    <mergeCell ref="A205:V205"/>
    <mergeCell ref="A181:V181"/>
    <mergeCell ref="A184:V184"/>
    <mergeCell ref="A185:V185"/>
    <mergeCell ref="A199:U199"/>
    <mergeCell ref="A200:V200"/>
  </mergeCells>
  <pageMargins left="0.7" right="0.7" top="0.75" bottom="0.75" header="0.3" footer="0.3"/>
  <pageSetup paperSize="9" orientation="portrait" horizontalDpi="300" verticalDpi="300" r:id="rId1"/>
  <ignoredErrors>
    <ignoredError sqref="L86 E86 E68" formula="1"/>
    <ignoredError sqref="S141 S23 T35 S61 S99 S133 T151 S172 S178 S197 S218 T201:T20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I5" sqref="I5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5">
      <c r="A1" s="98"/>
      <c r="B1" s="98"/>
      <c r="C1" s="98"/>
      <c r="D1" s="98"/>
    </row>
    <row r="2" spans="1:5" ht="33">
      <c r="A2" s="157" t="s">
        <v>220</v>
      </c>
      <c r="B2" s="158" t="s">
        <v>282</v>
      </c>
      <c r="C2" s="158" t="s">
        <v>286</v>
      </c>
      <c r="D2" s="98"/>
    </row>
    <row r="3" spans="1:5" ht="16.5">
      <c r="A3" s="159" t="s">
        <v>15</v>
      </c>
      <c r="B3" s="160">
        <f t="shared" ref="B3:C10" si="0">B13</f>
        <v>26.986311220071197</v>
      </c>
      <c r="C3" s="160">
        <f t="shared" si="0"/>
        <v>27.041982230700103</v>
      </c>
      <c r="D3" s="98"/>
    </row>
    <row r="4" spans="1:5" ht="17.25" customHeight="1">
      <c r="A4" s="161" t="s">
        <v>47</v>
      </c>
      <c r="B4" s="162">
        <f t="shared" si="0"/>
        <v>1182.8264042973062</v>
      </c>
      <c r="C4" s="162">
        <f t="shared" si="0"/>
        <v>1197.5843570663212</v>
      </c>
      <c r="D4" s="98"/>
    </row>
    <row r="5" spans="1:5" ht="19.5" customHeight="1">
      <c r="A5" s="161" t="s">
        <v>221</v>
      </c>
      <c r="B5" s="160">
        <f t="shared" si="0"/>
        <v>227.27414253834459</v>
      </c>
      <c r="C5" s="160">
        <f t="shared" si="0"/>
        <v>222.26541361099601</v>
      </c>
      <c r="D5" s="98"/>
    </row>
    <row r="6" spans="1:5" ht="16.5">
      <c r="A6" s="161" t="s">
        <v>128</v>
      </c>
      <c r="B6" s="162">
        <f t="shared" si="0"/>
        <v>1572.5488894558512</v>
      </c>
      <c r="C6" s="162">
        <f t="shared" si="0"/>
        <v>1602.2679201256169</v>
      </c>
      <c r="D6" s="98"/>
    </row>
    <row r="7" spans="1:5" ht="16.5">
      <c r="A7" s="161" t="s">
        <v>222</v>
      </c>
      <c r="B7" s="160">
        <f t="shared" si="0"/>
        <v>98.354700217780959</v>
      </c>
      <c r="C7" s="160">
        <f t="shared" si="0"/>
        <v>98.122255921538311</v>
      </c>
      <c r="D7" s="98"/>
    </row>
    <row r="8" spans="1:5" ht="16.5">
      <c r="A8" s="161" t="s">
        <v>152</v>
      </c>
      <c r="B8" s="163">
        <f t="shared" si="0"/>
        <v>48.792555116379305</v>
      </c>
      <c r="C8" s="163">
        <f t="shared" si="0"/>
        <v>48.930496510281785</v>
      </c>
      <c r="D8" s="98"/>
    </row>
    <row r="9" spans="1:5" ht="16.5">
      <c r="A9" s="161" t="s">
        <v>176</v>
      </c>
      <c r="B9" s="160">
        <f t="shared" si="0"/>
        <v>5.2116183729899994</v>
      </c>
      <c r="C9" s="160">
        <f t="shared" si="0"/>
        <v>5.2307290869300003</v>
      </c>
      <c r="D9" s="98"/>
    </row>
    <row r="10" spans="1:5" ht="16.5">
      <c r="A10" s="161" t="s">
        <v>223</v>
      </c>
      <c r="B10" s="160">
        <f t="shared" si="0"/>
        <v>50.39169931471109</v>
      </c>
      <c r="C10" s="160">
        <f t="shared" si="0"/>
        <v>49.967671576897985</v>
      </c>
      <c r="D10" s="98"/>
    </row>
    <row r="11" spans="1:5" ht="16.5">
      <c r="A11" s="164"/>
      <c r="B11" s="165"/>
      <c r="C11" s="165"/>
      <c r="D11" s="98"/>
    </row>
    <row r="12" spans="1:5">
      <c r="A12" s="96"/>
      <c r="B12" s="96"/>
      <c r="C12" s="96"/>
      <c r="D12" s="98"/>
    </row>
    <row r="13" spans="1:5">
      <c r="A13" s="166" t="s">
        <v>15</v>
      </c>
      <c r="B13" s="167">
        <f>'Weekly Valuation'!D23/1000000000</f>
        <v>26.986311220071197</v>
      </c>
      <c r="C13" s="168">
        <f>'Weekly Valuation'!K23/1000000000</f>
        <v>27.041982230700103</v>
      </c>
      <c r="D13" s="98"/>
      <c r="E13" s="98"/>
    </row>
    <row r="14" spans="1:5">
      <c r="A14" s="169" t="s">
        <v>47</v>
      </c>
      <c r="B14" s="167">
        <f>'Weekly Valuation'!D61/1000000000</f>
        <v>1182.8264042973062</v>
      </c>
      <c r="C14" s="170">
        <f>'Weekly Valuation'!K61/1000000000</f>
        <v>1197.5843570663212</v>
      </c>
      <c r="D14" s="98"/>
      <c r="E14" s="98"/>
    </row>
    <row r="15" spans="1:5">
      <c r="A15" s="169" t="s">
        <v>221</v>
      </c>
      <c r="B15" s="167">
        <f>'Weekly Valuation'!D99/1000000000</f>
        <v>227.27414253834459</v>
      </c>
      <c r="C15" s="168">
        <f>'Weekly Valuation'!K99/1000000000</f>
        <v>222.26541361099601</v>
      </c>
      <c r="D15" s="98"/>
      <c r="E15" s="98"/>
    </row>
    <row r="16" spans="1:5">
      <c r="A16" s="169" t="s">
        <v>128</v>
      </c>
      <c r="B16" s="167">
        <f>'Weekly Valuation'!D133/1000000000</f>
        <v>1572.5488894558512</v>
      </c>
      <c r="C16" s="170">
        <f>'Weekly Valuation'!K133/1000000000</f>
        <v>1602.2679201256169</v>
      </c>
      <c r="D16" s="98"/>
      <c r="E16" s="98"/>
    </row>
    <row r="17" spans="1:5">
      <c r="A17" s="169" t="s">
        <v>222</v>
      </c>
      <c r="B17" s="167">
        <f>'Weekly Valuation'!D141/1000000000</f>
        <v>98.354700217780959</v>
      </c>
      <c r="C17" s="168">
        <f>'Weekly Valuation'!K141/1000000000</f>
        <v>98.122255921538311</v>
      </c>
      <c r="D17" s="98"/>
      <c r="E17" s="98"/>
    </row>
    <row r="18" spans="1:5">
      <c r="A18" s="169" t="s">
        <v>152</v>
      </c>
      <c r="B18" s="167">
        <f>'Weekly Valuation'!D172/1000000000</f>
        <v>48.792555116379305</v>
      </c>
      <c r="C18" s="171">
        <f>'Weekly Valuation'!K172/1000000000</f>
        <v>48.930496510281785</v>
      </c>
      <c r="D18" s="98"/>
      <c r="E18" s="98"/>
    </row>
    <row r="19" spans="1:5">
      <c r="A19" s="169" t="s">
        <v>176</v>
      </c>
      <c r="B19" s="167">
        <f>'Weekly Valuation'!D178/1000000000</f>
        <v>5.2116183729899994</v>
      </c>
      <c r="C19" s="168">
        <f>'Weekly Valuation'!K178/1000000000</f>
        <v>5.2307290869300003</v>
      </c>
      <c r="D19" s="98"/>
      <c r="E19" s="98"/>
    </row>
    <row r="20" spans="1:5">
      <c r="A20" s="169" t="s">
        <v>223</v>
      </c>
      <c r="B20" s="167">
        <f>'Weekly Valuation'!D197/1000000000</f>
        <v>50.39169931471109</v>
      </c>
      <c r="C20" s="168">
        <f>'Weekly Valuation'!K197/1000000000</f>
        <v>49.967671576897985</v>
      </c>
      <c r="D20" s="98"/>
      <c r="E20" s="98"/>
    </row>
    <row r="21" spans="1:5" ht="16.5">
      <c r="A21" s="112"/>
      <c r="B21" s="98"/>
      <c r="C21" s="115"/>
      <c r="D21" s="98"/>
      <c r="E21" s="98"/>
    </row>
    <row r="22" spans="1:5" ht="16.5">
      <c r="A22" s="112"/>
      <c r="B22" s="98"/>
      <c r="C22" s="103"/>
      <c r="D22" s="98"/>
      <c r="E22" s="98"/>
    </row>
    <row r="23" spans="1:5" ht="16.5">
      <c r="A23" s="138"/>
      <c r="B23" s="136"/>
      <c r="C23" s="137"/>
      <c r="D23" s="96"/>
      <c r="E23" s="98"/>
    </row>
    <row r="24" spans="1:5" ht="16.5">
      <c r="A24" s="138"/>
      <c r="B24" s="136"/>
      <c r="C24" s="136"/>
      <c r="D24" s="96"/>
      <c r="E24" s="98"/>
    </row>
    <row r="25" spans="1:5" ht="16.5">
      <c r="A25" s="138"/>
      <c r="B25" s="136"/>
      <c r="C25" s="136"/>
      <c r="D25" s="98"/>
      <c r="E25" s="98"/>
    </row>
    <row r="26" spans="1:5" ht="16.5">
      <c r="A26" s="112"/>
      <c r="B26" s="103"/>
      <c r="C26" s="103"/>
      <c r="D26" s="98"/>
      <c r="E26" s="98"/>
    </row>
    <row r="27" spans="1:5" ht="16.5">
      <c r="A27" s="112"/>
      <c r="B27" s="103"/>
      <c r="C27" s="103"/>
      <c r="D27" s="98"/>
      <c r="E27" s="98"/>
    </row>
    <row r="28" spans="1:5">
      <c r="B28" s="98"/>
      <c r="C28" s="98"/>
    </row>
    <row r="29" spans="1:5">
      <c r="B29" s="98"/>
      <c r="C29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C10" sqref="C10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57" t="s">
        <v>220</v>
      </c>
      <c r="B1" s="172">
        <v>45506</v>
      </c>
      <c r="C1" s="98"/>
      <c r="D1" s="98"/>
    </row>
    <row r="2" spans="1:4" ht="16.5">
      <c r="A2" s="161" t="s">
        <v>176</v>
      </c>
      <c r="B2" s="160">
        <f>'Weekly Valuation'!K178</f>
        <v>5230729086.9300003</v>
      </c>
      <c r="C2" s="98"/>
      <c r="D2" s="98"/>
    </row>
    <row r="3" spans="1:4" ht="16.5">
      <c r="A3" s="161" t="s">
        <v>15</v>
      </c>
      <c r="B3" s="160">
        <f>'Weekly Valuation'!K23</f>
        <v>27041982230.700104</v>
      </c>
      <c r="C3" s="98"/>
      <c r="D3" s="98"/>
    </row>
    <row r="4" spans="1:4" ht="16.5">
      <c r="A4" s="161" t="s">
        <v>152</v>
      </c>
      <c r="B4" s="163">
        <f>'Weekly Valuation'!K172</f>
        <v>48930496510.281784</v>
      </c>
      <c r="C4" s="98"/>
      <c r="D4" s="98"/>
    </row>
    <row r="5" spans="1:4" ht="16.5">
      <c r="A5" s="161" t="s">
        <v>223</v>
      </c>
      <c r="B5" s="160">
        <f>'Weekly Valuation'!K197</f>
        <v>49967671576.897987</v>
      </c>
      <c r="C5" s="98"/>
      <c r="D5" s="98"/>
    </row>
    <row r="6" spans="1:4" ht="16.5">
      <c r="A6" s="161" t="s">
        <v>222</v>
      </c>
      <c r="B6" s="160">
        <f>'Weekly Valuation'!K141</f>
        <v>98122255921.538315</v>
      </c>
      <c r="C6" s="98"/>
      <c r="D6" s="98"/>
    </row>
    <row r="7" spans="1:4" ht="16.5">
      <c r="A7" s="161" t="s">
        <v>221</v>
      </c>
      <c r="B7" s="160">
        <f>'Weekly Valuation'!K99</f>
        <v>222265413610.996</v>
      </c>
      <c r="C7" s="98"/>
      <c r="D7" s="98"/>
    </row>
    <row r="8" spans="1:4" ht="16.5">
      <c r="A8" s="161" t="s">
        <v>47</v>
      </c>
      <c r="B8" s="162">
        <f>'Weekly Valuation'!K61</f>
        <v>1197584357066.3213</v>
      </c>
      <c r="C8" s="98"/>
      <c r="D8" s="98"/>
    </row>
    <row r="9" spans="1:4" ht="16.5">
      <c r="A9" s="161" t="s">
        <v>128</v>
      </c>
      <c r="B9" s="162">
        <f>'Weekly Valuation'!K133</f>
        <v>1602267920125.6169</v>
      </c>
      <c r="C9" s="98"/>
      <c r="D9" s="98"/>
    </row>
    <row r="10" spans="1:4">
      <c r="A10" s="98"/>
      <c r="B10" s="98"/>
      <c r="C10" s="98"/>
      <c r="D10" s="98"/>
    </row>
    <row r="11" spans="1:4" ht="16.5">
      <c r="A11" s="112"/>
      <c r="B11" s="119"/>
      <c r="C11" s="98"/>
      <c r="D11" s="98"/>
    </row>
    <row r="12" spans="1:4" ht="16.5">
      <c r="A12" s="103"/>
      <c r="B12" s="98"/>
      <c r="C12" s="98"/>
      <c r="D12" s="98"/>
    </row>
    <row r="13" spans="1:4" ht="16.5">
      <c r="A13" s="103"/>
      <c r="B13" s="103"/>
      <c r="C13" s="98"/>
      <c r="D13" s="98"/>
    </row>
    <row r="14" spans="1:4" ht="16.5">
      <c r="A14" s="136"/>
      <c r="B14" s="136"/>
      <c r="C14" s="135"/>
      <c r="D14" s="98"/>
    </row>
    <row r="15" spans="1:4" ht="16.5" customHeight="1">
      <c r="A15" s="137"/>
      <c r="B15" s="137"/>
      <c r="C15" s="135"/>
      <c r="D15" s="98"/>
    </row>
    <row r="16" spans="1:4" ht="16.5">
      <c r="A16" s="103"/>
      <c r="B16" s="103"/>
      <c r="C16" s="98"/>
      <c r="D16" s="98"/>
    </row>
    <row r="17" spans="1:17" ht="16.5">
      <c r="A17" s="103"/>
      <c r="B17" s="103"/>
      <c r="C17" s="98"/>
    </row>
    <row r="18" spans="1:17" ht="16.5">
      <c r="A18" s="115"/>
      <c r="B18" s="103"/>
      <c r="C18" s="98"/>
    </row>
    <row r="19" spans="1:17" ht="16.5">
      <c r="A19" s="115"/>
      <c r="B19" s="115"/>
      <c r="C19" s="98"/>
    </row>
    <row r="20" spans="1:17" ht="16.5">
      <c r="A20" s="115"/>
      <c r="B20" s="115"/>
      <c r="C20" s="98"/>
    </row>
    <row r="21" spans="1:17" ht="16.5">
      <c r="A21" s="112"/>
      <c r="B21" s="115"/>
      <c r="C21" s="98"/>
    </row>
    <row r="22" spans="1:17" ht="16.5">
      <c r="A22" s="98"/>
      <c r="B22" s="115"/>
      <c r="C22" s="98"/>
    </row>
    <row r="23" spans="1:17">
      <c r="A23" s="98"/>
      <c r="B23" s="98"/>
      <c r="C23" s="98"/>
    </row>
    <row r="24" spans="1:17">
      <c r="A24" s="98"/>
      <c r="B24" s="98"/>
      <c r="C24" s="98"/>
    </row>
    <row r="25" spans="1:17">
      <c r="A25" s="98"/>
      <c r="B25" s="98"/>
      <c r="C25" s="98"/>
    </row>
    <row r="26" spans="1:17">
      <c r="A26" s="98"/>
      <c r="B26" s="98"/>
    </row>
    <row r="32" spans="1:17" ht="16.5" customHeight="1">
      <c r="A32" s="186" t="s">
        <v>287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04"/>
    </row>
    <row r="33" spans="1:17" ht="1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04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D6" sqref="D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>
      <c r="A2" s="187" t="s">
        <v>231</v>
      </c>
      <c r="B2" s="188">
        <v>45457</v>
      </c>
      <c r="C2" s="188">
        <v>45464</v>
      </c>
      <c r="D2" s="188">
        <v>45471</v>
      </c>
      <c r="E2" s="188">
        <v>45478</v>
      </c>
      <c r="F2" s="188">
        <v>45485</v>
      </c>
      <c r="G2" s="188">
        <v>45492</v>
      </c>
      <c r="H2" s="188">
        <v>45499</v>
      </c>
      <c r="I2" s="188">
        <v>45506</v>
      </c>
      <c r="J2" s="96"/>
      <c r="K2" s="98"/>
      <c r="L2" s="98"/>
      <c r="M2" s="98"/>
    </row>
    <row r="3" spans="1:13">
      <c r="A3" s="187" t="s">
        <v>232</v>
      </c>
      <c r="B3" s="189">
        <f t="shared" ref="B3:I3" si="0">B4</f>
        <v>2928.2097391078973</v>
      </c>
      <c r="C3" s="189">
        <f t="shared" si="0"/>
        <v>2935.8430719008147</v>
      </c>
      <c r="D3" s="189">
        <f t="shared" si="0"/>
        <v>2970.9827489413674</v>
      </c>
      <c r="E3" s="189">
        <f t="shared" si="0"/>
        <v>3047.0187418823903</v>
      </c>
      <c r="F3" s="189">
        <f t="shared" si="0"/>
        <v>3097.1617711497356</v>
      </c>
      <c r="G3" s="189">
        <f t="shared" si="0"/>
        <v>3161.8406486109188</v>
      </c>
      <c r="H3" s="189">
        <f t="shared" si="0"/>
        <v>3212.3863205334346</v>
      </c>
      <c r="I3" s="189">
        <f t="shared" si="0"/>
        <v>3251.4108261292827</v>
      </c>
      <c r="J3" s="96"/>
      <c r="K3" s="98"/>
      <c r="L3" s="98"/>
      <c r="M3" s="98"/>
    </row>
    <row r="4" spans="1:13">
      <c r="A4" s="96"/>
      <c r="B4" s="190">
        <f>'NAV Trend'!C10/1000000000</f>
        <v>2928.2097391078973</v>
      </c>
      <c r="C4" s="190">
        <f>'NAV Trend'!D10/1000000000</f>
        <v>2935.8430719008147</v>
      </c>
      <c r="D4" s="190">
        <f>'NAV Trend'!E10/1000000000</f>
        <v>2970.9827489413674</v>
      </c>
      <c r="E4" s="190">
        <f>'NAV Trend'!F10/1000000000</f>
        <v>3047.0187418823903</v>
      </c>
      <c r="F4" s="190">
        <f>'NAV Trend'!G10/1000000000</f>
        <v>3097.1617711497356</v>
      </c>
      <c r="G4" s="190">
        <f>'NAV Trend'!H10/1000000000</f>
        <v>3161.8406486109188</v>
      </c>
      <c r="H4" s="191">
        <f>'NAV Trend'!I10/1000000000</f>
        <v>3212.3863205334346</v>
      </c>
      <c r="I4" s="191">
        <f>'NAV Trend'!J10/1000000000</f>
        <v>3251.4108261292827</v>
      </c>
      <c r="J4" s="96"/>
      <c r="K4" s="98"/>
      <c r="L4" s="98"/>
      <c r="M4" s="98"/>
    </row>
    <row r="5" spans="1:1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M7"/>
  <sheetViews>
    <sheetView workbookViewId="0">
      <selection activeCell="E6" sqref="E6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>
      <c r="A2" s="187" t="s">
        <v>231</v>
      </c>
      <c r="B2" s="188">
        <v>45457</v>
      </c>
      <c r="C2" s="188">
        <v>45464</v>
      </c>
      <c r="D2" s="188">
        <v>45471</v>
      </c>
      <c r="E2" s="188">
        <v>45478</v>
      </c>
      <c r="F2" s="188">
        <v>45485</v>
      </c>
      <c r="G2" s="188">
        <v>45492</v>
      </c>
      <c r="H2" s="188">
        <v>45499</v>
      </c>
      <c r="I2" s="188">
        <v>45506</v>
      </c>
      <c r="J2" s="98"/>
      <c r="K2" s="98"/>
      <c r="L2" s="98"/>
      <c r="M2" s="98"/>
    </row>
    <row r="3" spans="1:13">
      <c r="A3" s="187" t="s">
        <v>263</v>
      </c>
      <c r="B3" s="189">
        <f t="shared" ref="B3:I3" si="0">B4</f>
        <v>13.263470098545037</v>
      </c>
      <c r="C3" s="189">
        <f t="shared" si="0"/>
        <v>13.253375082678389</v>
      </c>
      <c r="D3" s="189">
        <f t="shared" si="0"/>
        <v>12.263967010065977</v>
      </c>
      <c r="E3" s="189">
        <f t="shared" si="0"/>
        <v>12.187736015745237</v>
      </c>
      <c r="F3" s="189">
        <f t="shared" si="0"/>
        <v>12.34693280092509</v>
      </c>
      <c r="G3" s="189">
        <f t="shared" si="0"/>
        <v>12.398936333326033</v>
      </c>
      <c r="H3" s="189">
        <f t="shared" si="0"/>
        <v>12.157713481032657</v>
      </c>
      <c r="I3" s="189">
        <f t="shared" si="0"/>
        <v>12.159294190102655</v>
      </c>
      <c r="J3" s="98"/>
      <c r="K3" s="98"/>
      <c r="L3" s="98"/>
      <c r="M3" s="98"/>
    </row>
    <row r="4" spans="1:13">
      <c r="A4" s="96"/>
      <c r="B4" s="190">
        <f>'NAV Trend'!C16/1000000000</f>
        <v>13.263470098545037</v>
      </c>
      <c r="C4" s="190">
        <f>'NAV Trend'!D16/1000000000</f>
        <v>13.253375082678389</v>
      </c>
      <c r="D4" s="190">
        <f>'NAV Trend'!E16/1000000000</f>
        <v>12.263967010065977</v>
      </c>
      <c r="E4" s="190">
        <f>'NAV Trend'!F16/1000000000</f>
        <v>12.187736015745237</v>
      </c>
      <c r="F4" s="190">
        <f>'NAV Trend'!G16/1000000000</f>
        <v>12.34693280092509</v>
      </c>
      <c r="G4" s="190">
        <f>'NAV Trend'!H16/1000000000</f>
        <v>12.398936333326033</v>
      </c>
      <c r="H4" s="190">
        <f>'NAV Trend'!I16/1000000000</f>
        <v>12.157713481032657</v>
      </c>
      <c r="I4" s="191">
        <f>'NAV Trend'!J16/1000000000</f>
        <v>12.159294190102655</v>
      </c>
      <c r="J4" s="98"/>
      <c r="K4" s="98"/>
      <c r="L4" s="98"/>
      <c r="M4" s="98"/>
    </row>
    <row r="5" spans="1:13">
      <c r="A5" s="98"/>
      <c r="B5" s="98"/>
      <c r="C5" s="98"/>
      <c r="D5" s="98"/>
      <c r="E5" s="98"/>
      <c r="F5" s="98"/>
      <c r="G5" s="98"/>
      <c r="H5" s="98"/>
      <c r="I5" s="98"/>
      <c r="J5" s="98"/>
      <c r="K5" s="96"/>
      <c r="L5" s="98"/>
    </row>
    <row r="6" spans="1:1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220</v>
      </c>
      <c r="B1" s="44">
        <v>45450</v>
      </c>
      <c r="C1" s="44">
        <v>45457</v>
      </c>
      <c r="D1" s="44">
        <v>45464</v>
      </c>
      <c r="E1" s="44">
        <v>45471</v>
      </c>
      <c r="F1" s="44">
        <v>45478</v>
      </c>
      <c r="G1" s="44">
        <v>45485</v>
      </c>
      <c r="H1" s="44">
        <v>45492</v>
      </c>
      <c r="I1" s="44">
        <v>45499</v>
      </c>
      <c r="J1" s="44">
        <v>45506</v>
      </c>
    </row>
    <row r="2" spans="1:11" ht="16.5">
      <c r="A2" s="45" t="s">
        <v>15</v>
      </c>
      <c r="B2" s="122">
        <v>27684716686.990002</v>
      </c>
      <c r="C2" s="122">
        <v>28067702772.25</v>
      </c>
      <c r="D2" s="122">
        <v>28799678439.980003</v>
      </c>
      <c r="E2" s="122">
        <v>28745543118.100006</v>
      </c>
      <c r="F2" s="122">
        <v>28719008525.705399</v>
      </c>
      <c r="G2" s="122">
        <v>28668185801.740002</v>
      </c>
      <c r="H2" s="122">
        <v>27374223550.790398</v>
      </c>
      <c r="I2" s="122">
        <v>26986311220.071198</v>
      </c>
      <c r="J2" s="122">
        <v>27041982230.700104</v>
      </c>
    </row>
    <row r="3" spans="1:11" ht="16.5">
      <c r="A3" s="45" t="s">
        <v>47</v>
      </c>
      <c r="B3" s="122">
        <v>1019331524884.9598</v>
      </c>
      <c r="C3" s="122">
        <v>1035718749074.4199</v>
      </c>
      <c r="D3" s="122">
        <v>1043320161390.5101</v>
      </c>
      <c r="E3" s="122">
        <v>1064964007608.8696</v>
      </c>
      <c r="F3" s="122">
        <v>1119081554645.3997</v>
      </c>
      <c r="G3" s="122">
        <v>1142921312773.24</v>
      </c>
      <c r="H3" s="122">
        <v>1166722877285.0798</v>
      </c>
      <c r="I3" s="122">
        <v>1182826404297.3062</v>
      </c>
      <c r="J3" s="122">
        <v>1197584357066.3213</v>
      </c>
    </row>
    <row r="4" spans="1:11" ht="16.5">
      <c r="A4" s="45" t="s">
        <v>221</v>
      </c>
      <c r="B4" s="121">
        <v>238984928037.17987</v>
      </c>
      <c r="C4" s="121">
        <v>238318816891.85349</v>
      </c>
      <c r="D4" s="121">
        <v>234982241429.96106</v>
      </c>
      <c r="E4" s="121">
        <v>232706729235.12198</v>
      </c>
      <c r="F4" s="121">
        <v>231541169667.96704</v>
      </c>
      <c r="G4" s="121">
        <v>234509456399.79123</v>
      </c>
      <c r="H4" s="121">
        <v>231629021027.44598</v>
      </c>
      <c r="I4" s="121">
        <v>227274142538.3446</v>
      </c>
      <c r="J4" s="121">
        <v>222265413610.996</v>
      </c>
    </row>
    <row r="5" spans="1:11" ht="16.5">
      <c r="A5" s="45" t="s">
        <v>128</v>
      </c>
      <c r="B5" s="122">
        <v>1421592979861.6797</v>
      </c>
      <c r="C5" s="122">
        <v>1422260670513.2676</v>
      </c>
      <c r="D5" s="122">
        <v>1424471070589.1018</v>
      </c>
      <c r="E5" s="122">
        <v>1440746247502.9666</v>
      </c>
      <c r="F5" s="122">
        <v>1462330955935.3621</v>
      </c>
      <c r="G5" s="122">
        <v>1488355338715.866</v>
      </c>
      <c r="H5" s="122">
        <v>1533129708414.949</v>
      </c>
      <c r="I5" s="122">
        <v>1572548889455.8511</v>
      </c>
      <c r="J5" s="122">
        <v>1602267920125.6169</v>
      </c>
    </row>
    <row r="6" spans="1:11" ht="16.5">
      <c r="A6" s="45" t="s">
        <v>222</v>
      </c>
      <c r="B6" s="46">
        <v>98650430272.592407</v>
      </c>
      <c r="C6" s="46">
        <v>98697054246.114548</v>
      </c>
      <c r="D6" s="46">
        <v>98696481407.247284</v>
      </c>
      <c r="E6" s="46">
        <v>98610688317.905182</v>
      </c>
      <c r="F6" s="46">
        <v>100344953021.42615</v>
      </c>
      <c r="G6" s="46">
        <v>98677642489.274277</v>
      </c>
      <c r="H6" s="46">
        <v>98890361757.442917</v>
      </c>
      <c r="I6" s="46">
        <v>98354700217.78096</v>
      </c>
      <c r="J6" s="46">
        <v>98122255921.538315</v>
      </c>
    </row>
    <row r="7" spans="1:11" ht="16.5">
      <c r="A7" s="45" t="s">
        <v>152</v>
      </c>
      <c r="B7" s="47">
        <v>48611257159.725822</v>
      </c>
      <c r="C7" s="47">
        <v>49621576838.56208</v>
      </c>
      <c r="D7" s="47">
        <v>50024750313.981438</v>
      </c>
      <c r="E7" s="47">
        <v>50394267994.968483</v>
      </c>
      <c r="F7" s="47">
        <v>50184242132.945633</v>
      </c>
      <c r="G7" s="47">
        <v>49261704634.470764</v>
      </c>
      <c r="H7" s="47">
        <v>49152903684.924065</v>
      </c>
      <c r="I7" s="47">
        <v>48792555116.379303</v>
      </c>
      <c r="J7" s="47">
        <v>48930496510.281784</v>
      </c>
    </row>
    <row r="8" spans="1:11" ht="16.5">
      <c r="A8" s="45" t="s">
        <v>176</v>
      </c>
      <c r="B8" s="46">
        <v>4967557316.1199999</v>
      </c>
      <c r="C8" s="46">
        <v>5139182455.1800003</v>
      </c>
      <c r="D8" s="46">
        <v>5167886512.6100006</v>
      </c>
      <c r="E8" s="46">
        <v>5189379175.1599998</v>
      </c>
      <c r="F8" s="46">
        <v>5228361973.7299995</v>
      </c>
      <c r="G8" s="46">
        <v>5224194854.3199997</v>
      </c>
      <c r="H8" s="46">
        <v>5245977844.9799995</v>
      </c>
      <c r="I8" s="46">
        <v>5211618372.9899998</v>
      </c>
      <c r="J8" s="46">
        <v>5230729086.9300003</v>
      </c>
    </row>
    <row r="9" spans="1:11" ht="16.5">
      <c r="A9" s="45" t="s">
        <v>223</v>
      </c>
      <c r="B9" s="46">
        <v>51054739828.693481</v>
      </c>
      <c r="C9" s="46">
        <v>50385986316.249466</v>
      </c>
      <c r="D9" s="46">
        <v>50380801817.423843</v>
      </c>
      <c r="E9" s="46">
        <v>49625885988.275536</v>
      </c>
      <c r="F9" s="46">
        <v>49588495979.853813</v>
      </c>
      <c r="G9" s="46">
        <v>49543935481.033516</v>
      </c>
      <c r="H9" s="46">
        <v>49695575045.307137</v>
      </c>
      <c r="I9" s="46">
        <v>50391699314.71109</v>
      </c>
      <c r="J9" s="46">
        <v>49967671576.897987</v>
      </c>
    </row>
    <row r="10" spans="1:11" ht="15.75">
      <c r="A10" s="48" t="s">
        <v>224</v>
      </c>
      <c r="B10" s="49">
        <f t="shared" ref="B10:I10" si="0">SUM(B2:B9)</f>
        <v>2910878134047.9409</v>
      </c>
      <c r="C10" s="49">
        <f t="shared" si="0"/>
        <v>2928209739107.8975</v>
      </c>
      <c r="D10" s="49">
        <f t="shared" si="0"/>
        <v>2935843071900.8149</v>
      </c>
      <c r="E10" s="49">
        <f t="shared" si="0"/>
        <v>2970982748941.3672</v>
      </c>
      <c r="F10" s="49">
        <f t="shared" si="0"/>
        <v>3047018741882.3901</v>
      </c>
      <c r="G10" s="49">
        <f t="shared" si="0"/>
        <v>3097161771149.7358</v>
      </c>
      <c r="H10" s="49">
        <f t="shared" si="0"/>
        <v>3161840648610.9189</v>
      </c>
      <c r="I10" s="49">
        <f t="shared" si="0"/>
        <v>3212386320533.4346</v>
      </c>
      <c r="J10" s="49">
        <f>SUM(J2:J9)</f>
        <v>3251410826129.2827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225</v>
      </c>
      <c r="B12" s="53" t="s">
        <v>226</v>
      </c>
      <c r="C12" s="54">
        <f>(B10+C10)/2</f>
        <v>2919543936577.9189</v>
      </c>
      <c r="D12" s="55">
        <f t="shared" ref="D12:J12" si="1">(C10+D10)/2</f>
        <v>2932026405504.3564</v>
      </c>
      <c r="E12" s="55">
        <f t="shared" si="1"/>
        <v>2953412910421.0908</v>
      </c>
      <c r="F12" s="55">
        <f t="shared" si="1"/>
        <v>3009000745411.8789</v>
      </c>
      <c r="G12" s="55">
        <f>(F10+G10)/2</f>
        <v>3072090256516.063</v>
      </c>
      <c r="H12" s="55">
        <f t="shared" si="1"/>
        <v>3129501209880.3271</v>
      </c>
      <c r="I12" s="55">
        <f t="shared" si="1"/>
        <v>3187113484572.1768</v>
      </c>
      <c r="J12" s="55">
        <f t="shared" si="1"/>
        <v>3231898573331.3584</v>
      </c>
    </row>
    <row r="13" spans="1:11">
      <c r="C13" s="98"/>
      <c r="D13" s="98"/>
      <c r="E13" s="98"/>
      <c r="F13" s="98"/>
      <c r="G13" s="98"/>
      <c r="H13" s="98"/>
      <c r="I13" s="98"/>
      <c r="J13" s="98"/>
      <c r="K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16.5">
      <c r="A15" s="98"/>
      <c r="B15" s="44">
        <v>45450</v>
      </c>
      <c r="C15" s="44">
        <v>45457</v>
      </c>
      <c r="D15" s="44">
        <v>45464</v>
      </c>
      <c r="E15" s="44">
        <v>45471</v>
      </c>
      <c r="F15" s="44">
        <v>45478</v>
      </c>
      <c r="G15" s="44">
        <v>45485</v>
      </c>
      <c r="H15" s="44">
        <v>45492</v>
      </c>
      <c r="I15" s="44">
        <v>45499</v>
      </c>
      <c r="J15" s="44">
        <v>45506</v>
      </c>
      <c r="K15" s="98"/>
    </row>
    <row r="16" spans="1:11" ht="16.5">
      <c r="A16" s="118" t="s">
        <v>262</v>
      </c>
      <c r="B16" s="120">
        <v>13088081030.059999</v>
      </c>
      <c r="C16" s="120">
        <v>13263470098.545036</v>
      </c>
      <c r="D16" s="120">
        <v>13253375082.678389</v>
      </c>
      <c r="E16" s="120">
        <v>12263967010.065977</v>
      </c>
      <c r="F16" s="120">
        <v>12187736015.745237</v>
      </c>
      <c r="G16" s="120">
        <v>12346932800.925091</v>
      </c>
      <c r="H16" s="120">
        <v>12398936333.326033</v>
      </c>
      <c r="I16" s="120">
        <v>12157713481.032656</v>
      </c>
      <c r="J16" s="120">
        <v>12159294190.102655</v>
      </c>
      <c r="K16" s="98"/>
    </row>
    <row r="17" spans="1:1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>
      <c r="A18" s="98"/>
      <c r="B18" s="98"/>
      <c r="C18" s="119"/>
      <c r="D18" s="119"/>
      <c r="E18" s="119"/>
      <c r="F18" s="119"/>
      <c r="G18" s="119"/>
      <c r="H18" s="119"/>
      <c r="I18" s="119"/>
      <c r="J18" s="119"/>
      <c r="K18" s="98"/>
    </row>
    <row r="19" spans="1:1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>
      <c r="B22" s="98"/>
      <c r="C22" s="98"/>
      <c r="D22" s="98"/>
      <c r="E22" s="98"/>
      <c r="F22" s="98"/>
      <c r="G22" s="98"/>
      <c r="H22" s="98"/>
      <c r="I22" s="98"/>
      <c r="J22" s="98"/>
      <c r="K22" s="96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2024-08-13T11:29:48Z</dcterms:modified>
</cp:coreProperties>
</file>