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0" windowWidth="10155" windowHeight="6150" tabRatio="599"/>
  </bookViews>
  <sheets>
    <sheet name="Data" sheetId="9" r:id="rId1"/>
    <sheet name="NAV COMPARISON" sheetId="13" r:id="rId2"/>
    <sheet name="Market Share" sheetId="12" r:id="rId3"/>
    <sheet name="Total NAV" sheetId="8" r:id="rId4"/>
    <sheet name="Sector Trend" sheetId="4" r:id="rId5"/>
    <sheet name="NAV Trend" sheetId="1" state="hidden" r:id="rId6"/>
    <sheet name="Volatility Measure" sheetId="11" r:id="rId7"/>
  </sheets>
  <definedNames>
    <definedName name="_GoBack" localSheetId="0">Data!#REF!</definedName>
    <definedName name="OLE_LINK6" localSheetId="0">Data!$K$65</definedName>
    <definedName name="_xlnm.Print_Area" localSheetId="0">Data!$A$1:$AQ$195</definedName>
    <definedName name="_xlnm.Print_Area" localSheetId="5">'NAV Trend'!$B$1:$J$10</definedName>
  </definedNames>
  <calcPr calcId="162913"/>
</workbook>
</file>

<file path=xl/calcChain.xml><?xml version="1.0" encoding="utf-8"?>
<calcChain xmlns="http://schemas.openxmlformats.org/spreadsheetml/2006/main">
  <c r="AJ178" i="11" l="1"/>
  <c r="AK178" i="11"/>
  <c r="AL178" i="11"/>
  <c r="AM178" i="11"/>
  <c r="AN178" i="11"/>
  <c r="AO178" i="11"/>
  <c r="AJ179" i="11"/>
  <c r="AK179" i="11"/>
  <c r="AL179" i="11"/>
  <c r="AM179" i="11"/>
  <c r="AN179" i="11"/>
  <c r="AO179" i="11"/>
  <c r="AJ180" i="11"/>
  <c r="AK180" i="11"/>
  <c r="AL180" i="11"/>
  <c r="AM180" i="11"/>
  <c r="AN180" i="11"/>
  <c r="AO180" i="11"/>
  <c r="AJ181" i="11"/>
  <c r="AK181" i="11"/>
  <c r="AL181" i="11"/>
  <c r="AM181" i="11"/>
  <c r="AN181" i="11"/>
  <c r="AO181" i="11"/>
  <c r="AJ182" i="11"/>
  <c r="AK182" i="11"/>
  <c r="AL182" i="11"/>
  <c r="AM182" i="11"/>
  <c r="AN182" i="11"/>
  <c r="AO182" i="11"/>
  <c r="AJ183" i="11"/>
  <c r="AK183" i="11"/>
  <c r="AL183" i="11"/>
  <c r="AM183" i="11"/>
  <c r="AN183" i="11"/>
  <c r="AO183" i="11"/>
  <c r="AJ184" i="11"/>
  <c r="AK184" i="11"/>
  <c r="AL184" i="11"/>
  <c r="AM184" i="11"/>
  <c r="AN184" i="11"/>
  <c r="AO184" i="11"/>
  <c r="AJ185" i="11"/>
  <c r="AK185" i="11"/>
  <c r="AL185" i="11"/>
  <c r="AM185" i="11"/>
  <c r="AN185" i="11"/>
  <c r="AO185" i="11"/>
  <c r="AJ186" i="11"/>
  <c r="AK186" i="11"/>
  <c r="AL186" i="11"/>
  <c r="AM186" i="11"/>
  <c r="AN186" i="11"/>
  <c r="AO186" i="11"/>
  <c r="AJ187" i="11"/>
  <c r="AK187" i="11"/>
  <c r="AL187" i="11"/>
  <c r="AM187" i="11"/>
  <c r="AN187" i="11"/>
  <c r="AO187" i="11"/>
  <c r="AJ188" i="11"/>
  <c r="AK188" i="11"/>
  <c r="AL188" i="11"/>
  <c r="AM188" i="11"/>
  <c r="AN188" i="11"/>
  <c r="AO188" i="11"/>
  <c r="AJ189" i="11"/>
  <c r="AL189" i="11"/>
  <c r="AN189" i="11"/>
  <c r="AJ190" i="11"/>
  <c r="AL190" i="11"/>
  <c r="AN190" i="11"/>
  <c r="AO177" i="11"/>
  <c r="AN177" i="11"/>
  <c r="AM177" i="11"/>
  <c r="AL177" i="11"/>
  <c r="AK177" i="11"/>
  <c r="AJ177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K19" i="11"/>
  <c r="AL19" i="11"/>
  <c r="AM19" i="11"/>
  <c r="AN19" i="11"/>
  <c r="AO19" i="11"/>
  <c r="AJ20" i="11"/>
  <c r="AK20" i="11"/>
  <c r="AL20" i="11"/>
  <c r="AM20" i="11"/>
  <c r="AN20" i="11"/>
  <c r="AO20" i="11"/>
  <c r="AJ21" i="11"/>
  <c r="AL21" i="11"/>
  <c r="AN21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L53" i="11"/>
  <c r="AN53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L85" i="11"/>
  <c r="AN85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L99" i="11"/>
  <c r="AN99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L111" i="11"/>
  <c r="AN111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L118" i="11"/>
  <c r="AN118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J135" i="11"/>
  <c r="AK135" i="11"/>
  <c r="AL135" i="11"/>
  <c r="AM135" i="11"/>
  <c r="AN135" i="11"/>
  <c r="AO135" i="11"/>
  <c r="AJ136" i="11"/>
  <c r="AK136" i="11"/>
  <c r="AL136" i="11"/>
  <c r="AM136" i="11"/>
  <c r="AN136" i="11"/>
  <c r="AO136" i="11"/>
  <c r="AJ137" i="11"/>
  <c r="AK137" i="11"/>
  <c r="AL137" i="11"/>
  <c r="AM137" i="11"/>
  <c r="AN137" i="11"/>
  <c r="AO137" i="11"/>
  <c r="AJ138" i="11"/>
  <c r="AK138" i="11"/>
  <c r="AL138" i="11"/>
  <c r="AM138" i="11"/>
  <c r="AN138" i="11"/>
  <c r="AO138" i="11"/>
  <c r="AJ139" i="11"/>
  <c r="AK139" i="11"/>
  <c r="AL139" i="11"/>
  <c r="AM139" i="11"/>
  <c r="AN139" i="11"/>
  <c r="AO139" i="11"/>
  <c r="AJ140" i="11"/>
  <c r="AK140" i="11"/>
  <c r="AL140" i="11"/>
  <c r="AM140" i="11"/>
  <c r="AN140" i="11"/>
  <c r="AO140" i="11"/>
  <c r="AJ141" i="11"/>
  <c r="AK141" i="11"/>
  <c r="AL141" i="11"/>
  <c r="AM141" i="11"/>
  <c r="AN141" i="11"/>
  <c r="AO141" i="11"/>
  <c r="AJ142" i="11"/>
  <c r="AK142" i="11"/>
  <c r="AL142" i="11"/>
  <c r="AM142" i="11"/>
  <c r="AN142" i="11"/>
  <c r="AO142" i="11"/>
  <c r="AJ143" i="11"/>
  <c r="AK143" i="11"/>
  <c r="AL143" i="11"/>
  <c r="AM143" i="11"/>
  <c r="AN143" i="11"/>
  <c r="AO143" i="11"/>
  <c r="AJ144" i="11"/>
  <c r="AK144" i="11"/>
  <c r="AL144" i="11"/>
  <c r="AM144" i="11"/>
  <c r="AN144" i="11"/>
  <c r="AO144" i="11"/>
  <c r="AJ145" i="11"/>
  <c r="AL145" i="11"/>
  <c r="AN145" i="11"/>
  <c r="AJ148" i="11"/>
  <c r="AK148" i="11"/>
  <c r="AL148" i="11"/>
  <c r="AM148" i="11"/>
  <c r="AN148" i="11"/>
  <c r="AO148" i="11"/>
  <c r="AJ149" i="11"/>
  <c r="AK149" i="11"/>
  <c r="AL149" i="11"/>
  <c r="AM149" i="11"/>
  <c r="AN149" i="11"/>
  <c r="AO149" i="11"/>
  <c r="AJ150" i="11"/>
  <c r="AK150" i="11"/>
  <c r="AL150" i="11"/>
  <c r="AM150" i="11"/>
  <c r="AN150" i="11"/>
  <c r="AO150" i="11"/>
  <c r="AJ151" i="11"/>
  <c r="AL151" i="11"/>
  <c r="AN151" i="11"/>
  <c r="AJ155" i="11"/>
  <c r="AK155" i="11"/>
  <c r="AL155" i="11"/>
  <c r="AM155" i="11"/>
  <c r="AN155" i="11"/>
  <c r="AO155" i="11"/>
  <c r="AJ156" i="11"/>
  <c r="AK156" i="11"/>
  <c r="AL156" i="11"/>
  <c r="AM156" i="11"/>
  <c r="AN156" i="11"/>
  <c r="AO156" i="11"/>
  <c r="AJ159" i="11"/>
  <c r="AK159" i="11"/>
  <c r="AL159" i="11"/>
  <c r="AM159" i="11"/>
  <c r="AN159" i="11"/>
  <c r="AO159" i="11"/>
  <c r="AJ160" i="11"/>
  <c r="AK160" i="11"/>
  <c r="AL160" i="11"/>
  <c r="AM160" i="11"/>
  <c r="AN160" i="11"/>
  <c r="AO160" i="11"/>
  <c r="AJ161" i="11"/>
  <c r="AK161" i="11"/>
  <c r="AL161" i="11"/>
  <c r="AM161" i="11"/>
  <c r="AN161" i="11"/>
  <c r="AO161" i="11"/>
  <c r="AJ162" i="11"/>
  <c r="AK162" i="11"/>
  <c r="AL162" i="11"/>
  <c r="AM162" i="11"/>
  <c r="AN162" i="11"/>
  <c r="AO162" i="11"/>
  <c r="AJ163" i="11"/>
  <c r="AK163" i="11"/>
  <c r="AL163" i="11"/>
  <c r="AM163" i="11"/>
  <c r="AN163" i="11"/>
  <c r="AO163" i="11"/>
  <c r="AJ164" i="11"/>
  <c r="AK164" i="11"/>
  <c r="AL164" i="11"/>
  <c r="AM164" i="11"/>
  <c r="AN164" i="11"/>
  <c r="AO164" i="11"/>
  <c r="AJ165" i="11"/>
  <c r="AK165" i="11"/>
  <c r="AL165" i="11"/>
  <c r="AM165" i="11"/>
  <c r="AN165" i="11"/>
  <c r="AO165" i="11"/>
  <c r="AJ166" i="11"/>
  <c r="AK166" i="11"/>
  <c r="AL166" i="11"/>
  <c r="AM166" i="11"/>
  <c r="AN166" i="11"/>
  <c r="AO166" i="11"/>
  <c r="AJ167" i="11"/>
  <c r="AK167" i="11"/>
  <c r="AL167" i="11"/>
  <c r="AM167" i="11"/>
  <c r="AN167" i="11"/>
  <c r="AO167" i="11"/>
  <c r="AJ168" i="11"/>
  <c r="AL168" i="11"/>
  <c r="AN168" i="11"/>
  <c r="AJ169" i="11"/>
  <c r="AL169" i="11"/>
  <c r="AN169" i="11"/>
  <c r="AJ172" i="11"/>
  <c r="AK172" i="11"/>
  <c r="AL172" i="11"/>
  <c r="AM172" i="11"/>
  <c r="AN172" i="11"/>
  <c r="AO172" i="11"/>
  <c r="AJ173" i="11"/>
  <c r="AK173" i="11"/>
  <c r="AL173" i="11"/>
  <c r="AM173" i="11"/>
  <c r="AN173" i="11"/>
  <c r="AO173" i="11"/>
  <c r="AO5" i="11"/>
  <c r="AN5" i="11"/>
  <c r="AM5" i="11"/>
  <c r="AL5" i="11"/>
  <c r="AK5" i="11"/>
  <c r="AJ5" i="11"/>
  <c r="AF190" i="11"/>
  <c r="AF189" i="11"/>
  <c r="AF174" i="11"/>
  <c r="AF168" i="11"/>
  <c r="AH168" i="11" s="1"/>
  <c r="AF151" i="11"/>
  <c r="AF145" i="11"/>
  <c r="AF118" i="11"/>
  <c r="AG110" i="11"/>
  <c r="AG106" i="11"/>
  <c r="AG103" i="11"/>
  <c r="AF103" i="11"/>
  <c r="AH103" i="11" s="1"/>
  <c r="AG99" i="11"/>
  <c r="AI99" i="11" s="1"/>
  <c r="AG97" i="11"/>
  <c r="AG96" i="11"/>
  <c r="AI96" i="11" s="1"/>
  <c r="AG94" i="11"/>
  <c r="AI94" i="11" s="1"/>
  <c r="AG90" i="11"/>
  <c r="AG89" i="11"/>
  <c r="AF99" i="11"/>
  <c r="AF97" i="11"/>
  <c r="AF96" i="11"/>
  <c r="AF94" i="11"/>
  <c r="AF90" i="11"/>
  <c r="AF85" i="11"/>
  <c r="AF53" i="11"/>
  <c r="AH53" i="11" s="1"/>
  <c r="AH190" i="11"/>
  <c r="AH189" i="11"/>
  <c r="AI188" i="11"/>
  <c r="AH188" i="11"/>
  <c r="AI187" i="11"/>
  <c r="AH187" i="11"/>
  <c r="AI186" i="11"/>
  <c r="AH186" i="11"/>
  <c r="AI185" i="11"/>
  <c r="AH185" i="11"/>
  <c r="AI184" i="11"/>
  <c r="AH184" i="11"/>
  <c r="AI183" i="11"/>
  <c r="AH183" i="11"/>
  <c r="AI182" i="11"/>
  <c r="AH182" i="11"/>
  <c r="AI181" i="11"/>
  <c r="AH181" i="11"/>
  <c r="AI180" i="11"/>
  <c r="AH180" i="11"/>
  <c r="AI179" i="11"/>
  <c r="AH179" i="11"/>
  <c r="AI178" i="11"/>
  <c r="AH178" i="11"/>
  <c r="AI177" i="11"/>
  <c r="AH177" i="11"/>
  <c r="AI173" i="11"/>
  <c r="AH173" i="11"/>
  <c r="AI172" i="11"/>
  <c r="AH172" i="11"/>
  <c r="AI167" i="11"/>
  <c r="AH167" i="11"/>
  <c r="AI166" i="11"/>
  <c r="AH166" i="11"/>
  <c r="AI165" i="11"/>
  <c r="AH165" i="11"/>
  <c r="AI164" i="11"/>
  <c r="AH164" i="11"/>
  <c r="AI163" i="11"/>
  <c r="AH163" i="11"/>
  <c r="AI162" i="11"/>
  <c r="AH162" i="11"/>
  <c r="AI161" i="11"/>
  <c r="AH161" i="11"/>
  <c r="AI160" i="11"/>
  <c r="AH160" i="11"/>
  <c r="AI159" i="11"/>
  <c r="AH159" i="11"/>
  <c r="AI156" i="11"/>
  <c r="AH156" i="11"/>
  <c r="AI155" i="11"/>
  <c r="AH155" i="11"/>
  <c r="AH151" i="11"/>
  <c r="AI150" i="11"/>
  <c r="AH150" i="11"/>
  <c r="AI149" i="11"/>
  <c r="AH149" i="11"/>
  <c r="AI148" i="11"/>
  <c r="AH148" i="11"/>
  <c r="AH145" i="11"/>
  <c r="AI144" i="11"/>
  <c r="AH144" i="11"/>
  <c r="AI143" i="11"/>
  <c r="AH143" i="11"/>
  <c r="AI142" i="11"/>
  <c r="AH142" i="11"/>
  <c r="AI141" i="11"/>
  <c r="AH141" i="11"/>
  <c r="AI140" i="11"/>
  <c r="AH140" i="11"/>
  <c r="AI139" i="11"/>
  <c r="AH139" i="11"/>
  <c r="AI138" i="11"/>
  <c r="AH138" i="11"/>
  <c r="AI137" i="11"/>
  <c r="AH137" i="11"/>
  <c r="AI136" i="11"/>
  <c r="AH136" i="11"/>
  <c r="AI135" i="11"/>
  <c r="AH135" i="11"/>
  <c r="AI134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H118" i="11"/>
  <c r="AI117" i="11"/>
  <c r="AH117" i="11"/>
  <c r="AI116" i="11"/>
  <c r="AH116" i="11"/>
  <c r="AI115" i="11"/>
  <c r="AH115" i="11"/>
  <c r="AI114" i="11"/>
  <c r="AH114" i="11"/>
  <c r="AI110" i="11"/>
  <c r="AH110" i="11"/>
  <c r="AI109" i="11"/>
  <c r="AH109" i="11"/>
  <c r="AI108" i="11"/>
  <c r="AH108" i="11"/>
  <c r="AI107" i="11"/>
  <c r="AH107" i="11"/>
  <c r="AI106" i="11"/>
  <c r="AH106" i="11"/>
  <c r="AI105" i="11"/>
  <c r="AH105" i="11"/>
  <c r="AI104" i="11"/>
  <c r="AH104" i="11"/>
  <c r="AI103" i="11"/>
  <c r="AI102" i="11"/>
  <c r="AH102" i="11"/>
  <c r="AI98" i="11"/>
  <c r="AH98" i="11"/>
  <c r="AI97" i="11"/>
  <c r="AH97" i="11"/>
  <c r="AH96" i="11"/>
  <c r="AI95" i="11"/>
  <c r="AH95" i="11"/>
  <c r="AH94" i="11"/>
  <c r="AI93" i="11"/>
  <c r="AH93" i="11"/>
  <c r="AI92" i="11"/>
  <c r="AH92" i="11"/>
  <c r="AI91" i="11"/>
  <c r="AH91" i="11"/>
  <c r="AI90" i="11"/>
  <c r="AH90" i="11"/>
  <c r="AI89" i="11"/>
  <c r="AH89" i="11"/>
  <c r="AH85" i="11"/>
  <c r="AI84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I52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H21" i="11"/>
  <c r="AI20" i="11"/>
  <c r="AH20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21" i="11"/>
  <c r="AE163" i="11"/>
  <c r="AD163" i="11"/>
  <c r="AA163" i="11"/>
  <c r="Z163" i="11"/>
  <c r="W163" i="11"/>
  <c r="V163" i="11"/>
  <c r="S163" i="11"/>
  <c r="R163" i="11"/>
  <c r="O163" i="11"/>
  <c r="N163" i="11"/>
  <c r="K163" i="11"/>
  <c r="J163" i="11"/>
  <c r="G163" i="11"/>
  <c r="F163" i="11"/>
  <c r="AF169" i="11" l="1"/>
  <c r="AH169" i="11" s="1"/>
  <c r="AF111" i="11"/>
  <c r="AH99" i="11" s="1"/>
  <c r="K161" i="9"/>
  <c r="K162" i="9"/>
  <c r="K163" i="9"/>
  <c r="K164" i="9"/>
  <c r="K165" i="9"/>
  <c r="K166" i="9"/>
  <c r="K167" i="9"/>
  <c r="K168" i="9"/>
  <c r="S164" i="9"/>
  <c r="R164" i="9"/>
  <c r="Q164" i="9"/>
  <c r="P164" i="9"/>
  <c r="M90" i="9" l="1"/>
  <c r="L90" i="9"/>
  <c r="M100" i="9" l="1"/>
  <c r="L100" i="9"/>
  <c r="J100" i="9"/>
  <c r="M111" i="9"/>
  <c r="L111" i="9"/>
  <c r="M97" i="9" l="1"/>
  <c r="L97" i="9"/>
  <c r="J97" i="9"/>
  <c r="M91" i="9" l="1"/>
  <c r="L91" i="9"/>
  <c r="J91" i="9"/>
  <c r="M104" i="9" l="1"/>
  <c r="L104" i="9"/>
  <c r="J104" i="9"/>
  <c r="M98" i="9"/>
  <c r="L98" i="9"/>
  <c r="J98" i="9"/>
  <c r="M107" i="9" l="1"/>
  <c r="L107" i="9"/>
  <c r="M95" i="9"/>
  <c r="L95" i="9"/>
  <c r="J95" i="9"/>
  <c r="D194" i="9"/>
  <c r="E187" i="9" s="1"/>
  <c r="D177" i="9"/>
  <c r="D169" i="9"/>
  <c r="D152" i="9"/>
  <c r="D146" i="9"/>
  <c r="D119" i="9"/>
  <c r="G107" i="9"/>
  <c r="F107" i="9"/>
  <c r="G104" i="9"/>
  <c r="F104" i="9"/>
  <c r="D104" i="9"/>
  <c r="G100" i="9"/>
  <c r="F100" i="9"/>
  <c r="G98" i="9"/>
  <c r="F98" i="9"/>
  <c r="G97" i="9"/>
  <c r="F97" i="9"/>
  <c r="G95" i="9"/>
  <c r="F95" i="9"/>
  <c r="G91" i="9"/>
  <c r="F91" i="9"/>
  <c r="G90" i="9"/>
  <c r="F90" i="9"/>
  <c r="D100" i="9"/>
  <c r="D98" i="9"/>
  <c r="D97" i="9"/>
  <c r="D95" i="9"/>
  <c r="D91" i="9"/>
  <c r="D112" i="9" s="1"/>
  <c r="D86" i="9"/>
  <c r="E164" i="9" s="1"/>
  <c r="D54" i="9"/>
  <c r="D22" i="9"/>
  <c r="D170" i="9" l="1"/>
  <c r="D195" i="9" s="1"/>
  <c r="E186" i="9"/>
  <c r="E192" i="9"/>
  <c r="E184" i="9"/>
  <c r="E191" i="9"/>
  <c r="E183" i="9"/>
  <c r="E193" i="9"/>
  <c r="E185" i="9"/>
  <c r="E190" i="9"/>
  <c r="E182" i="9"/>
  <c r="E189" i="9"/>
  <c r="E188" i="9"/>
  <c r="AB189" i="11" l="1"/>
  <c r="AB174" i="11"/>
  <c r="AB168" i="11"/>
  <c r="AB151" i="11"/>
  <c r="AB145" i="11"/>
  <c r="AB118" i="11"/>
  <c r="AC106" i="11"/>
  <c r="AC103" i="11"/>
  <c r="AB103" i="11"/>
  <c r="AC99" i="11"/>
  <c r="AC97" i="11"/>
  <c r="AC96" i="11"/>
  <c r="AC94" i="11"/>
  <c r="AC90" i="11"/>
  <c r="AC89" i="11"/>
  <c r="AB99" i="11"/>
  <c r="AB97" i="11"/>
  <c r="AB96" i="11"/>
  <c r="AB94" i="11"/>
  <c r="AB90" i="11"/>
  <c r="AB85" i="11"/>
  <c r="AB53" i="11"/>
  <c r="AB21" i="11"/>
  <c r="AE188" i="11"/>
  <c r="AD188" i="11"/>
  <c r="AE187" i="11"/>
  <c r="AD187" i="11"/>
  <c r="AE186" i="11"/>
  <c r="AD186" i="11"/>
  <c r="AE185" i="11"/>
  <c r="AD185" i="11"/>
  <c r="AE184" i="11"/>
  <c r="AD184" i="11"/>
  <c r="AE183" i="11"/>
  <c r="AD183" i="11"/>
  <c r="AE182" i="11"/>
  <c r="AD182" i="11"/>
  <c r="AE181" i="11"/>
  <c r="AD181" i="11"/>
  <c r="AE180" i="11"/>
  <c r="AD180" i="11"/>
  <c r="AE179" i="11"/>
  <c r="AD179" i="11"/>
  <c r="AE178" i="11"/>
  <c r="AD178" i="11"/>
  <c r="AE177" i="11"/>
  <c r="AD177" i="11"/>
  <c r="AE173" i="11"/>
  <c r="AD173" i="11"/>
  <c r="AE172" i="11"/>
  <c r="AD172" i="11"/>
  <c r="AE167" i="11"/>
  <c r="AD167" i="11"/>
  <c r="AE166" i="11"/>
  <c r="AD166" i="11"/>
  <c r="AE165" i="11"/>
  <c r="AD165" i="11"/>
  <c r="AE164" i="11"/>
  <c r="AD164" i="11"/>
  <c r="AE162" i="11"/>
  <c r="AD162" i="11"/>
  <c r="AE161" i="11"/>
  <c r="AD161" i="11"/>
  <c r="AE160" i="11"/>
  <c r="AD160" i="11"/>
  <c r="AE159" i="11"/>
  <c r="AD159" i="11"/>
  <c r="AE156" i="11"/>
  <c r="AD156" i="11"/>
  <c r="AE155" i="11"/>
  <c r="AD155" i="11"/>
  <c r="AE150" i="11"/>
  <c r="AD150" i="11"/>
  <c r="AE149" i="11"/>
  <c r="AD149" i="11"/>
  <c r="AE148" i="11"/>
  <c r="AD148" i="11"/>
  <c r="AE144" i="11"/>
  <c r="AD144" i="11"/>
  <c r="AE143" i="11"/>
  <c r="AD143" i="11"/>
  <c r="AE142" i="11"/>
  <c r="AD142" i="11"/>
  <c r="AE141" i="11"/>
  <c r="AD141" i="11"/>
  <c r="AE140" i="11"/>
  <c r="AD140" i="11"/>
  <c r="AE139" i="11"/>
  <c r="AD139" i="11"/>
  <c r="AE138" i="11"/>
  <c r="AD138" i="11"/>
  <c r="AE137" i="11"/>
  <c r="AD137" i="11"/>
  <c r="AE136" i="11"/>
  <c r="AD136" i="11"/>
  <c r="AE135" i="11"/>
  <c r="AD135" i="11"/>
  <c r="AE134" i="11"/>
  <c r="AD134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17" i="11"/>
  <c r="AD117" i="11"/>
  <c r="AE116" i="11"/>
  <c r="AD116" i="11"/>
  <c r="AE115" i="11"/>
  <c r="AD115" i="11"/>
  <c r="AE114" i="11"/>
  <c r="AD114" i="11"/>
  <c r="AE110" i="11"/>
  <c r="AD110" i="11"/>
  <c r="AE109" i="11"/>
  <c r="AD109" i="11"/>
  <c r="AE108" i="11"/>
  <c r="AD108" i="11"/>
  <c r="AE107" i="11"/>
  <c r="AD107" i="11"/>
  <c r="AD106" i="11"/>
  <c r="AE105" i="11"/>
  <c r="AD105" i="11"/>
  <c r="AE104" i="11"/>
  <c r="AD104" i="11"/>
  <c r="AE102" i="11"/>
  <c r="AD102" i="11"/>
  <c r="AE98" i="11"/>
  <c r="AD98" i="11"/>
  <c r="AE95" i="11"/>
  <c r="AD95" i="11"/>
  <c r="AE93" i="11"/>
  <c r="AD93" i="11"/>
  <c r="AE92" i="11"/>
  <c r="AD92" i="11"/>
  <c r="AE91" i="11"/>
  <c r="AD91" i="11"/>
  <c r="AE84" i="11"/>
  <c r="AD84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2" i="11"/>
  <c r="AD52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0" i="11"/>
  <c r="AD20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A129" i="11"/>
  <c r="Z129" i="11"/>
  <c r="W129" i="11"/>
  <c r="V129" i="11"/>
  <c r="S129" i="11"/>
  <c r="R129" i="11"/>
  <c r="O129" i="11"/>
  <c r="N129" i="11"/>
  <c r="K129" i="11"/>
  <c r="J129" i="11"/>
  <c r="G129" i="11"/>
  <c r="F129" i="11"/>
  <c r="AA65" i="11"/>
  <c r="Z65" i="11"/>
  <c r="W65" i="11"/>
  <c r="V65" i="11"/>
  <c r="S65" i="11"/>
  <c r="R65" i="11"/>
  <c r="O65" i="11"/>
  <c r="N65" i="11"/>
  <c r="K65" i="11"/>
  <c r="J65" i="11"/>
  <c r="G65" i="11"/>
  <c r="F65" i="11"/>
  <c r="AA9" i="11"/>
  <c r="Z9" i="11"/>
  <c r="W9" i="11"/>
  <c r="V9" i="11"/>
  <c r="S9" i="11"/>
  <c r="R9" i="11"/>
  <c r="O9" i="11"/>
  <c r="N9" i="11"/>
  <c r="K9" i="11"/>
  <c r="J9" i="11"/>
  <c r="G9" i="11"/>
  <c r="F9" i="11"/>
  <c r="AE89" i="11" l="1"/>
  <c r="AD89" i="11"/>
  <c r="AB111" i="11"/>
  <c r="AB169" i="11" l="1"/>
  <c r="AB190" i="11" s="1"/>
  <c r="P57" i="9"/>
  <c r="P68" i="9"/>
  <c r="P69" i="9"/>
  <c r="P70" i="9"/>
  <c r="S10" i="9" l="1"/>
  <c r="R10" i="9"/>
  <c r="Q10" i="9"/>
  <c r="P10" i="9"/>
  <c r="S66" i="9"/>
  <c r="R66" i="9"/>
  <c r="Q66" i="9"/>
  <c r="P66" i="9"/>
  <c r="S130" i="9"/>
  <c r="R130" i="9"/>
  <c r="Q130" i="9"/>
  <c r="P130" i="9"/>
  <c r="E130" i="9" l="1"/>
  <c r="E66" i="9"/>
  <c r="E10" i="9"/>
  <c r="AA167" i="11" l="1"/>
  <c r="Z167" i="11"/>
  <c r="W167" i="11"/>
  <c r="V167" i="11"/>
  <c r="S167" i="11"/>
  <c r="R167" i="11"/>
  <c r="O167" i="11"/>
  <c r="N167" i="11"/>
  <c r="K167" i="11"/>
  <c r="J167" i="11"/>
  <c r="G167" i="11"/>
  <c r="F167" i="11"/>
  <c r="AA166" i="11"/>
  <c r="Z166" i="11"/>
  <c r="W166" i="11"/>
  <c r="V166" i="11"/>
  <c r="S166" i="11"/>
  <c r="R166" i="11"/>
  <c r="O166" i="11"/>
  <c r="N166" i="11"/>
  <c r="K166" i="11"/>
  <c r="J166" i="11"/>
  <c r="G166" i="11"/>
  <c r="F166" i="11"/>
  <c r="S168" i="9"/>
  <c r="R168" i="9"/>
  <c r="Q168" i="9"/>
  <c r="P168" i="9"/>
  <c r="S167" i="9"/>
  <c r="R167" i="9"/>
  <c r="Q167" i="9"/>
  <c r="P167" i="9"/>
  <c r="X189" i="11" l="1"/>
  <c r="AD189" i="11" s="1"/>
  <c r="X174" i="11"/>
  <c r="X168" i="11"/>
  <c r="AD168" i="11" s="1"/>
  <c r="X151" i="11"/>
  <c r="AD151" i="11" s="1"/>
  <c r="X145" i="11"/>
  <c r="AD145" i="11" s="1"/>
  <c r="X118" i="11"/>
  <c r="AD118" i="11" s="1"/>
  <c r="Y106" i="11"/>
  <c r="AE106" i="11" s="1"/>
  <c r="Y103" i="11"/>
  <c r="AE103" i="11" s="1"/>
  <c r="X103" i="11"/>
  <c r="AD103" i="11" s="1"/>
  <c r="Y99" i="11"/>
  <c r="AE99" i="11" s="1"/>
  <c r="Y97" i="11"/>
  <c r="AE97" i="11" s="1"/>
  <c r="Y96" i="11"/>
  <c r="AE96" i="11" s="1"/>
  <c r="Y94" i="11"/>
  <c r="AE94" i="11" s="1"/>
  <c r="Y90" i="11"/>
  <c r="AE90" i="11" s="1"/>
  <c r="X99" i="11"/>
  <c r="AD99" i="11" s="1"/>
  <c r="X97" i="11"/>
  <c r="AD97" i="11" s="1"/>
  <c r="X96" i="11"/>
  <c r="AD96" i="11" s="1"/>
  <c r="X94" i="11"/>
  <c r="AD94" i="11" s="1"/>
  <c r="X90" i="11"/>
  <c r="AD90" i="11" s="1"/>
  <c r="X85" i="11"/>
  <c r="AD85" i="11" s="1"/>
  <c r="X53" i="11"/>
  <c r="AD53" i="11" s="1"/>
  <c r="X21" i="11"/>
  <c r="AD21" i="11" s="1"/>
  <c r="X111" i="11" l="1"/>
  <c r="AA156" i="11"/>
  <c r="Z156" i="11"/>
  <c r="W156" i="11"/>
  <c r="V156" i="11"/>
  <c r="S156" i="11"/>
  <c r="R156" i="11"/>
  <c r="O156" i="11"/>
  <c r="N156" i="11"/>
  <c r="K156" i="11"/>
  <c r="J156" i="11"/>
  <c r="G156" i="11"/>
  <c r="F156" i="11"/>
  <c r="X169" i="11" l="1"/>
  <c r="AA188" i="11"/>
  <c r="Z188" i="11"/>
  <c r="AA187" i="11"/>
  <c r="Z187" i="11"/>
  <c r="AA186" i="11"/>
  <c r="Z186" i="11"/>
  <c r="AA185" i="11"/>
  <c r="Z185" i="11"/>
  <c r="AA184" i="11"/>
  <c r="Z184" i="11"/>
  <c r="AA183" i="11"/>
  <c r="Z183" i="11"/>
  <c r="AA182" i="11"/>
  <c r="Z182" i="11"/>
  <c r="AA181" i="11"/>
  <c r="Z181" i="11"/>
  <c r="AA180" i="11"/>
  <c r="Z180" i="11"/>
  <c r="AA179" i="11"/>
  <c r="Z179" i="11"/>
  <c r="AA178" i="11"/>
  <c r="Z178" i="11"/>
  <c r="AA177" i="11"/>
  <c r="Z177" i="11"/>
  <c r="AA173" i="11"/>
  <c r="Z173" i="11"/>
  <c r="AA172" i="11"/>
  <c r="Z172" i="11"/>
  <c r="AA165" i="11"/>
  <c r="Z165" i="11"/>
  <c r="AA164" i="11"/>
  <c r="Z164" i="11"/>
  <c r="AA162" i="11"/>
  <c r="Z162" i="11"/>
  <c r="AA161" i="11"/>
  <c r="Z161" i="11"/>
  <c r="AA160" i="11"/>
  <c r="Z160" i="11"/>
  <c r="AA159" i="11"/>
  <c r="Z159" i="11"/>
  <c r="AA155" i="11"/>
  <c r="Z155" i="11"/>
  <c r="AA150" i="11"/>
  <c r="Z150" i="11"/>
  <c r="AA149" i="11"/>
  <c r="Z149" i="11"/>
  <c r="AA148" i="11"/>
  <c r="Z148" i="11"/>
  <c r="AA144" i="11"/>
  <c r="Z144" i="11"/>
  <c r="AA143" i="11"/>
  <c r="Z143" i="11"/>
  <c r="AA142" i="11"/>
  <c r="Z142" i="11"/>
  <c r="AA141" i="11"/>
  <c r="Z141" i="11"/>
  <c r="AA140" i="11"/>
  <c r="Z140" i="11"/>
  <c r="AA139" i="11"/>
  <c r="Z139" i="11"/>
  <c r="AA138" i="11"/>
  <c r="Z138" i="11"/>
  <c r="AA137" i="11"/>
  <c r="Z137" i="11"/>
  <c r="AA136" i="11"/>
  <c r="Z136" i="11"/>
  <c r="AA135" i="11"/>
  <c r="Z135" i="11"/>
  <c r="AA134" i="11"/>
  <c r="Z134" i="11"/>
  <c r="AA133" i="11"/>
  <c r="Z133" i="11"/>
  <c r="AA132" i="11"/>
  <c r="Z132" i="11"/>
  <c r="AA131" i="11"/>
  <c r="Z131" i="11"/>
  <c r="AA130" i="11"/>
  <c r="Z130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17" i="11"/>
  <c r="Z117" i="11"/>
  <c r="AA116" i="11"/>
  <c r="Z116" i="11"/>
  <c r="AA115" i="11"/>
  <c r="Z115" i="11"/>
  <c r="AA114" i="11"/>
  <c r="Z114" i="11"/>
  <c r="AA110" i="11"/>
  <c r="Z110" i="11"/>
  <c r="AA109" i="11"/>
  <c r="Z109" i="11"/>
  <c r="AA108" i="11"/>
  <c r="Z108" i="11"/>
  <c r="AA107" i="11"/>
  <c r="Z107" i="11"/>
  <c r="Z106" i="11"/>
  <c r="AA105" i="11"/>
  <c r="Z105" i="11"/>
  <c r="AA104" i="11"/>
  <c r="Z104" i="11"/>
  <c r="AA102" i="11"/>
  <c r="Z102" i="11"/>
  <c r="AA98" i="11"/>
  <c r="Z98" i="11"/>
  <c r="AA95" i="11"/>
  <c r="Z95" i="11"/>
  <c r="AA93" i="11"/>
  <c r="Z93" i="11"/>
  <c r="AA92" i="11"/>
  <c r="Z92" i="11"/>
  <c r="AA91" i="11"/>
  <c r="Z91" i="11"/>
  <c r="Z89" i="11"/>
  <c r="AA84" i="11"/>
  <c r="Z84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2" i="11"/>
  <c r="Z52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0" i="11"/>
  <c r="Z20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8" i="11"/>
  <c r="Z8" i="11"/>
  <c r="AA7" i="11"/>
  <c r="Z7" i="11"/>
  <c r="AA6" i="11"/>
  <c r="Z6" i="11"/>
  <c r="AA5" i="11"/>
  <c r="Z5" i="11"/>
  <c r="X190" i="11" l="1"/>
  <c r="AD190" i="11" s="1"/>
  <c r="AD169" i="11"/>
  <c r="S157" i="9"/>
  <c r="R157" i="9"/>
  <c r="Q157" i="9"/>
  <c r="P157" i="9"/>
  <c r="E168" i="9" l="1"/>
  <c r="E157" i="9" l="1"/>
  <c r="E167" i="9"/>
  <c r="T189" i="11"/>
  <c r="Z189" i="11" s="1"/>
  <c r="T174" i="11"/>
  <c r="T168" i="11"/>
  <c r="Z168" i="11" s="1"/>
  <c r="T151" i="11"/>
  <c r="Z151" i="11" s="1"/>
  <c r="T145" i="11"/>
  <c r="Z145" i="11" s="1"/>
  <c r="T118" i="11"/>
  <c r="Z118" i="11" s="1"/>
  <c r="U106" i="11"/>
  <c r="AA106" i="11" s="1"/>
  <c r="U103" i="11"/>
  <c r="AA103" i="11" s="1"/>
  <c r="T103" i="11"/>
  <c r="Z103" i="11" s="1"/>
  <c r="U99" i="11"/>
  <c r="AA99" i="11" s="1"/>
  <c r="U97" i="11"/>
  <c r="AA97" i="11" s="1"/>
  <c r="U96" i="11"/>
  <c r="AA96" i="11" s="1"/>
  <c r="U94" i="11"/>
  <c r="AA94" i="11" s="1"/>
  <c r="U90" i="11"/>
  <c r="AA90" i="11" s="1"/>
  <c r="U89" i="11"/>
  <c r="AA89" i="11" s="1"/>
  <c r="T99" i="11"/>
  <c r="Z99" i="11" s="1"/>
  <c r="T97" i="11"/>
  <c r="Z97" i="11" s="1"/>
  <c r="T96" i="11"/>
  <c r="Z96" i="11" s="1"/>
  <c r="T94" i="11"/>
  <c r="Z94" i="11" s="1"/>
  <c r="T90" i="11"/>
  <c r="Z90" i="11" s="1"/>
  <c r="T85" i="11"/>
  <c r="Z85" i="11" s="1"/>
  <c r="T53" i="11"/>
  <c r="Z53" i="11" s="1"/>
  <c r="T21" i="11"/>
  <c r="Z21" i="11" s="1"/>
  <c r="W188" i="11"/>
  <c r="V188" i="11"/>
  <c r="W187" i="11"/>
  <c r="V187" i="11"/>
  <c r="W186" i="11"/>
  <c r="V186" i="11"/>
  <c r="W185" i="11"/>
  <c r="V185" i="11"/>
  <c r="W184" i="11"/>
  <c r="V184" i="11"/>
  <c r="W183" i="11"/>
  <c r="V183" i="11"/>
  <c r="W182" i="11"/>
  <c r="V182" i="11"/>
  <c r="W181" i="11"/>
  <c r="V181" i="11"/>
  <c r="W180" i="11"/>
  <c r="V180" i="11"/>
  <c r="W179" i="11"/>
  <c r="V179" i="11"/>
  <c r="W178" i="11"/>
  <c r="V178" i="11"/>
  <c r="W177" i="11"/>
  <c r="V177" i="11"/>
  <c r="W173" i="11"/>
  <c r="V173" i="11"/>
  <c r="W172" i="11"/>
  <c r="V172" i="11"/>
  <c r="W165" i="11"/>
  <c r="V165" i="11"/>
  <c r="W164" i="11"/>
  <c r="V164" i="11"/>
  <c r="W162" i="11"/>
  <c r="V162" i="11"/>
  <c r="W161" i="11"/>
  <c r="V161" i="11"/>
  <c r="W160" i="11"/>
  <c r="V160" i="11"/>
  <c r="W159" i="11"/>
  <c r="V159" i="11"/>
  <c r="W155" i="11"/>
  <c r="V155" i="11"/>
  <c r="W150" i="11"/>
  <c r="V150" i="11"/>
  <c r="W149" i="11"/>
  <c r="V149" i="11"/>
  <c r="W148" i="11"/>
  <c r="V148" i="11"/>
  <c r="W144" i="11"/>
  <c r="V144" i="11"/>
  <c r="W143" i="11"/>
  <c r="V143" i="11"/>
  <c r="W142" i="11"/>
  <c r="V142" i="11"/>
  <c r="W141" i="11"/>
  <c r="V141" i="11"/>
  <c r="W140" i="11"/>
  <c r="V140" i="11"/>
  <c r="W139" i="11"/>
  <c r="V139" i="11"/>
  <c r="W138" i="11"/>
  <c r="V138" i="11"/>
  <c r="W137" i="11"/>
  <c r="V137" i="11"/>
  <c r="W136" i="11"/>
  <c r="V136" i="11"/>
  <c r="W135" i="11"/>
  <c r="V135" i="11"/>
  <c r="W134" i="11"/>
  <c r="V134" i="11"/>
  <c r="W133" i="11"/>
  <c r="V133" i="11"/>
  <c r="W132" i="11"/>
  <c r="V132" i="11"/>
  <c r="W131" i="11"/>
  <c r="V131" i="11"/>
  <c r="W130" i="11"/>
  <c r="V130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17" i="11"/>
  <c r="V117" i="11"/>
  <c r="W116" i="11"/>
  <c r="V116" i="11"/>
  <c r="W115" i="11"/>
  <c r="V115" i="11"/>
  <c r="W114" i="11"/>
  <c r="V114" i="11"/>
  <c r="W110" i="11"/>
  <c r="V110" i="11"/>
  <c r="W109" i="11"/>
  <c r="V109" i="11"/>
  <c r="W108" i="11"/>
  <c r="V108" i="11"/>
  <c r="W107" i="11"/>
  <c r="V107" i="11"/>
  <c r="V106" i="11"/>
  <c r="W105" i="11"/>
  <c r="V105" i="11"/>
  <c r="W104" i="11"/>
  <c r="V104" i="11"/>
  <c r="W102" i="11"/>
  <c r="V102" i="11"/>
  <c r="W98" i="11"/>
  <c r="V98" i="11"/>
  <c r="W95" i="11"/>
  <c r="V95" i="11"/>
  <c r="W93" i="11"/>
  <c r="V93" i="11"/>
  <c r="W92" i="11"/>
  <c r="V92" i="11"/>
  <c r="W91" i="11"/>
  <c r="V91" i="11"/>
  <c r="W84" i="11"/>
  <c r="V84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2" i="11"/>
  <c r="V52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0" i="11"/>
  <c r="V20" i="11"/>
  <c r="W19" i="11"/>
  <c r="V19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8" i="11"/>
  <c r="V8" i="11"/>
  <c r="W7" i="11"/>
  <c r="V7" i="11"/>
  <c r="W6" i="11"/>
  <c r="V6" i="11"/>
  <c r="W5" i="11"/>
  <c r="V5" i="11"/>
  <c r="T111" i="11" l="1"/>
  <c r="V89" i="11"/>
  <c r="T169" i="11" l="1"/>
  <c r="Z169" i="11" s="1"/>
  <c r="R8" i="9"/>
  <c r="R6" i="9"/>
  <c r="P189" i="11"/>
  <c r="V189" i="11" s="1"/>
  <c r="P174" i="11"/>
  <c r="P168" i="11"/>
  <c r="V168" i="11" s="1"/>
  <c r="P151" i="11"/>
  <c r="V151" i="11" s="1"/>
  <c r="P145" i="11"/>
  <c r="V145" i="11" s="1"/>
  <c r="P118" i="11"/>
  <c r="Q106" i="11"/>
  <c r="W106" i="11" s="1"/>
  <c r="Q103" i="11"/>
  <c r="W103" i="11" s="1"/>
  <c r="P103" i="11"/>
  <c r="V103" i="11" s="1"/>
  <c r="Q99" i="11"/>
  <c r="W99" i="11" s="1"/>
  <c r="Q97" i="11"/>
  <c r="W97" i="11" s="1"/>
  <c r="Q96" i="11"/>
  <c r="W96" i="11" s="1"/>
  <c r="Q94" i="11"/>
  <c r="Q90" i="11"/>
  <c r="Q89" i="11"/>
  <c r="W89" i="11" s="1"/>
  <c r="P99" i="11"/>
  <c r="V99" i="11" s="1"/>
  <c r="P97" i="11"/>
  <c r="V97" i="11" s="1"/>
  <c r="P96" i="11"/>
  <c r="V96" i="11" s="1"/>
  <c r="P94" i="11"/>
  <c r="V94" i="11" s="1"/>
  <c r="P90" i="11"/>
  <c r="V90" i="11" s="1"/>
  <c r="P85" i="11"/>
  <c r="P53" i="11"/>
  <c r="P21" i="11"/>
  <c r="V21" i="11" s="1"/>
  <c r="T190" i="11" l="1"/>
  <c r="Z190" i="11" s="1"/>
  <c r="V53" i="11"/>
  <c r="W90" i="11"/>
  <c r="V118" i="11"/>
  <c r="V85" i="11"/>
  <c r="W94" i="11"/>
  <c r="P111" i="11"/>
  <c r="S188" i="11"/>
  <c r="R188" i="11"/>
  <c r="S187" i="11"/>
  <c r="R187" i="11"/>
  <c r="S186" i="11"/>
  <c r="R186" i="11"/>
  <c r="S185" i="11"/>
  <c r="R185" i="11"/>
  <c r="S184" i="11"/>
  <c r="R184" i="11"/>
  <c r="S183" i="11"/>
  <c r="R183" i="11"/>
  <c r="S182" i="11"/>
  <c r="R182" i="11"/>
  <c r="S181" i="11"/>
  <c r="R181" i="11"/>
  <c r="S180" i="11"/>
  <c r="R180" i="11"/>
  <c r="S179" i="11"/>
  <c r="R179" i="11"/>
  <c r="S178" i="11"/>
  <c r="R178" i="11"/>
  <c r="S177" i="11"/>
  <c r="R177" i="11"/>
  <c r="S173" i="11"/>
  <c r="R173" i="11"/>
  <c r="S172" i="11"/>
  <c r="R172" i="11"/>
  <c r="S165" i="11"/>
  <c r="R165" i="11"/>
  <c r="S164" i="11"/>
  <c r="R164" i="11"/>
  <c r="S162" i="11"/>
  <c r="R162" i="11"/>
  <c r="S161" i="11"/>
  <c r="R161" i="11"/>
  <c r="S160" i="11"/>
  <c r="R160" i="11"/>
  <c r="S159" i="11"/>
  <c r="R159" i="11"/>
  <c r="S155" i="11"/>
  <c r="R155" i="11"/>
  <c r="S150" i="11"/>
  <c r="R150" i="11"/>
  <c r="S149" i="11"/>
  <c r="R149" i="11"/>
  <c r="S148" i="11"/>
  <c r="R148" i="11"/>
  <c r="S144" i="11"/>
  <c r="R144" i="11"/>
  <c r="S143" i="11"/>
  <c r="R143" i="11"/>
  <c r="S142" i="11"/>
  <c r="R142" i="11"/>
  <c r="S141" i="11"/>
  <c r="R141" i="11"/>
  <c r="S140" i="11"/>
  <c r="R140" i="11"/>
  <c r="S139" i="11"/>
  <c r="R139" i="11"/>
  <c r="S138" i="11"/>
  <c r="R138" i="11"/>
  <c r="S137" i="11"/>
  <c r="R137" i="11"/>
  <c r="S136" i="11"/>
  <c r="R136" i="11"/>
  <c r="S135" i="11"/>
  <c r="R135" i="11"/>
  <c r="S134" i="11"/>
  <c r="R134" i="11"/>
  <c r="S133" i="11"/>
  <c r="R133" i="11"/>
  <c r="S132" i="11"/>
  <c r="R132" i="11"/>
  <c r="S131" i="11"/>
  <c r="R131" i="11"/>
  <c r="S130" i="11"/>
  <c r="R130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17" i="11"/>
  <c r="R117" i="11"/>
  <c r="S116" i="11"/>
  <c r="R116" i="11"/>
  <c r="S115" i="11"/>
  <c r="R115" i="11"/>
  <c r="S114" i="11"/>
  <c r="R114" i="11"/>
  <c r="S110" i="11"/>
  <c r="R110" i="11"/>
  <c r="S109" i="11"/>
  <c r="R109" i="11"/>
  <c r="S108" i="11"/>
  <c r="R108" i="11"/>
  <c r="S107" i="11"/>
  <c r="R107" i="11"/>
  <c r="R106" i="11"/>
  <c r="S105" i="11"/>
  <c r="R105" i="11"/>
  <c r="S104" i="11"/>
  <c r="R104" i="11"/>
  <c r="S102" i="11"/>
  <c r="R102" i="11"/>
  <c r="S98" i="11"/>
  <c r="R98" i="11"/>
  <c r="S95" i="11"/>
  <c r="R95" i="11"/>
  <c r="S93" i="11"/>
  <c r="R93" i="11"/>
  <c r="S92" i="11"/>
  <c r="R92" i="11"/>
  <c r="S91" i="11"/>
  <c r="R91" i="11"/>
  <c r="R89" i="11"/>
  <c r="S84" i="11"/>
  <c r="R84" i="11"/>
  <c r="S83" i="11"/>
  <c r="R83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2" i="11"/>
  <c r="R52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0" i="11"/>
  <c r="R20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8" i="11"/>
  <c r="R8" i="11"/>
  <c r="S7" i="11"/>
  <c r="R7" i="11"/>
  <c r="S6" i="11"/>
  <c r="R6" i="11"/>
  <c r="S5" i="11"/>
  <c r="R5" i="11"/>
  <c r="P169" i="11" l="1"/>
  <c r="M106" i="11"/>
  <c r="S106" i="11" s="1"/>
  <c r="M103" i="11"/>
  <c r="S103" i="11" s="1"/>
  <c r="L103" i="11"/>
  <c r="R103" i="11" s="1"/>
  <c r="M99" i="11"/>
  <c r="S99" i="11" s="1"/>
  <c r="M97" i="11"/>
  <c r="S97" i="11" s="1"/>
  <c r="M96" i="11"/>
  <c r="S96" i="11" s="1"/>
  <c r="M94" i="11"/>
  <c r="S94" i="11" s="1"/>
  <c r="M90" i="11"/>
  <c r="S90" i="11" s="1"/>
  <c r="M89" i="11"/>
  <c r="S89" i="11" s="1"/>
  <c r="L99" i="11"/>
  <c r="R99" i="11" s="1"/>
  <c r="L97" i="11"/>
  <c r="R97" i="11" s="1"/>
  <c r="L96" i="11"/>
  <c r="R96" i="11" s="1"/>
  <c r="L94" i="11"/>
  <c r="R94" i="11" s="1"/>
  <c r="L90" i="11"/>
  <c r="R90" i="11" s="1"/>
  <c r="L189" i="11"/>
  <c r="R189" i="11" s="1"/>
  <c r="L174" i="11"/>
  <c r="L168" i="11"/>
  <c r="R168" i="11" s="1"/>
  <c r="L151" i="11"/>
  <c r="R151" i="11" s="1"/>
  <c r="L145" i="11"/>
  <c r="R145" i="11" s="1"/>
  <c r="L118" i="11"/>
  <c r="R118" i="11" s="1"/>
  <c r="L85" i="11"/>
  <c r="R85" i="11" s="1"/>
  <c r="L53" i="11"/>
  <c r="R53" i="11" s="1"/>
  <c r="L21" i="11"/>
  <c r="R21" i="11" s="1"/>
  <c r="V169" i="11" l="1"/>
  <c r="P190" i="11"/>
  <c r="L111" i="11"/>
  <c r="L169" i="11" s="1"/>
  <c r="L190" i="11" s="1"/>
  <c r="O188" i="11"/>
  <c r="N188" i="11"/>
  <c r="O187" i="11"/>
  <c r="N187" i="11"/>
  <c r="O186" i="11"/>
  <c r="N186" i="11"/>
  <c r="O185" i="11"/>
  <c r="N185" i="11"/>
  <c r="O184" i="11"/>
  <c r="N184" i="11"/>
  <c r="O183" i="11"/>
  <c r="N183" i="11"/>
  <c r="O182" i="11"/>
  <c r="N182" i="11"/>
  <c r="O181" i="11"/>
  <c r="N181" i="11"/>
  <c r="O180" i="11"/>
  <c r="N180" i="11"/>
  <c r="O179" i="11"/>
  <c r="N179" i="11"/>
  <c r="O178" i="11"/>
  <c r="N178" i="11"/>
  <c r="O177" i="11"/>
  <c r="N177" i="11"/>
  <c r="O173" i="11"/>
  <c r="N173" i="11"/>
  <c r="O172" i="11"/>
  <c r="N172" i="11"/>
  <c r="O165" i="11"/>
  <c r="N165" i="11"/>
  <c r="O164" i="11"/>
  <c r="N164" i="11"/>
  <c r="O162" i="11"/>
  <c r="N162" i="11"/>
  <c r="O161" i="11"/>
  <c r="N161" i="11"/>
  <c r="O160" i="11"/>
  <c r="N160" i="11"/>
  <c r="O159" i="11"/>
  <c r="N159" i="11"/>
  <c r="O155" i="11"/>
  <c r="N155" i="11"/>
  <c r="O150" i="11"/>
  <c r="N150" i="11"/>
  <c r="O149" i="11"/>
  <c r="N149" i="11"/>
  <c r="O148" i="11"/>
  <c r="N148" i="11"/>
  <c r="O144" i="11"/>
  <c r="N144" i="11"/>
  <c r="O143" i="11"/>
  <c r="N143" i="11"/>
  <c r="O142" i="11"/>
  <c r="N142" i="11"/>
  <c r="O141" i="11"/>
  <c r="N141" i="11"/>
  <c r="O140" i="11"/>
  <c r="N140" i="11"/>
  <c r="O139" i="11"/>
  <c r="N139" i="11"/>
  <c r="O138" i="11"/>
  <c r="N138" i="11"/>
  <c r="O137" i="11"/>
  <c r="N137" i="11"/>
  <c r="O136" i="11"/>
  <c r="N136" i="11"/>
  <c r="O135" i="11"/>
  <c r="N135" i="11"/>
  <c r="O134" i="11"/>
  <c r="N134" i="11"/>
  <c r="O133" i="11"/>
  <c r="N133" i="11"/>
  <c r="O132" i="11"/>
  <c r="N132" i="11"/>
  <c r="O131" i="11"/>
  <c r="N131" i="11"/>
  <c r="O130" i="11"/>
  <c r="N130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17" i="11"/>
  <c r="N117" i="11"/>
  <c r="O116" i="11"/>
  <c r="N116" i="11"/>
  <c r="O115" i="11"/>
  <c r="N115" i="11"/>
  <c r="O114" i="11"/>
  <c r="N114" i="11"/>
  <c r="O110" i="11"/>
  <c r="N110" i="11"/>
  <c r="O109" i="11"/>
  <c r="N109" i="11"/>
  <c r="O108" i="11"/>
  <c r="N108" i="11"/>
  <c r="O107" i="11"/>
  <c r="N107" i="11"/>
  <c r="N106" i="11"/>
  <c r="O105" i="11"/>
  <c r="N105" i="11"/>
  <c r="O104" i="11"/>
  <c r="N104" i="11"/>
  <c r="O102" i="11"/>
  <c r="N102" i="11"/>
  <c r="O99" i="11"/>
  <c r="O98" i="11"/>
  <c r="N98" i="11"/>
  <c r="O95" i="11"/>
  <c r="N95" i="11"/>
  <c r="O93" i="11"/>
  <c r="N93" i="11"/>
  <c r="O92" i="11"/>
  <c r="N92" i="11"/>
  <c r="O91" i="11"/>
  <c r="N91" i="11"/>
  <c r="N89" i="11"/>
  <c r="O84" i="11"/>
  <c r="N84" i="11"/>
  <c r="O83" i="11"/>
  <c r="N83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2" i="11"/>
  <c r="N52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0" i="11"/>
  <c r="N20" i="11"/>
  <c r="O19" i="11"/>
  <c r="N19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8" i="11"/>
  <c r="N8" i="11"/>
  <c r="O7" i="11"/>
  <c r="N7" i="11"/>
  <c r="O6" i="11"/>
  <c r="N6" i="11"/>
  <c r="O5" i="11"/>
  <c r="N5" i="11"/>
  <c r="R169" i="11" l="1"/>
  <c r="V190" i="11"/>
  <c r="R190" i="11"/>
  <c r="N99" i="11"/>
  <c r="K98" i="11"/>
  <c r="J98" i="11"/>
  <c r="G98" i="11"/>
  <c r="F98" i="11"/>
  <c r="S99" i="9"/>
  <c r="R99" i="9"/>
  <c r="Q99" i="9"/>
  <c r="P99" i="9"/>
  <c r="E99" i="9" l="1"/>
  <c r="H189" i="11" l="1"/>
  <c r="N189" i="11" s="1"/>
  <c r="H174" i="11"/>
  <c r="H168" i="11"/>
  <c r="N168" i="11" s="1"/>
  <c r="H151" i="11"/>
  <c r="N151" i="11" s="1"/>
  <c r="H145" i="11"/>
  <c r="N145" i="11" s="1"/>
  <c r="H118" i="11"/>
  <c r="N118" i="11" s="1"/>
  <c r="I106" i="11"/>
  <c r="O106" i="11" s="1"/>
  <c r="I103" i="11"/>
  <c r="O103" i="11" s="1"/>
  <c r="H103" i="11"/>
  <c r="I97" i="11"/>
  <c r="O97" i="11" s="1"/>
  <c r="I96" i="11"/>
  <c r="O96" i="11" s="1"/>
  <c r="I94" i="11"/>
  <c r="O94" i="11" s="1"/>
  <c r="I90" i="11"/>
  <c r="O90" i="11" s="1"/>
  <c r="I89" i="11"/>
  <c r="O89" i="11" s="1"/>
  <c r="H97" i="11"/>
  <c r="N97" i="11" s="1"/>
  <c r="H96" i="11"/>
  <c r="N96" i="11" s="1"/>
  <c r="H94" i="11"/>
  <c r="N94" i="11" s="1"/>
  <c r="H90" i="11"/>
  <c r="N90" i="11" s="1"/>
  <c r="H85" i="11"/>
  <c r="N85" i="11" s="1"/>
  <c r="H53" i="11"/>
  <c r="N53" i="11" s="1"/>
  <c r="H21" i="11"/>
  <c r="N21" i="11" s="1"/>
  <c r="J152" i="9"/>
  <c r="K188" i="11"/>
  <c r="J188" i="11"/>
  <c r="K187" i="11"/>
  <c r="J187" i="11"/>
  <c r="K186" i="11"/>
  <c r="J186" i="11"/>
  <c r="K185" i="11"/>
  <c r="J185" i="11"/>
  <c r="K184" i="11"/>
  <c r="J184" i="11"/>
  <c r="K183" i="11"/>
  <c r="J183" i="11"/>
  <c r="K182" i="11"/>
  <c r="J182" i="11"/>
  <c r="K181" i="11"/>
  <c r="J181" i="11"/>
  <c r="K180" i="11"/>
  <c r="J180" i="11"/>
  <c r="K179" i="11"/>
  <c r="J179" i="11"/>
  <c r="K178" i="11"/>
  <c r="J178" i="11"/>
  <c r="K177" i="11"/>
  <c r="J177" i="11"/>
  <c r="K173" i="11"/>
  <c r="J173" i="11"/>
  <c r="K172" i="11"/>
  <c r="J172" i="11"/>
  <c r="K165" i="11"/>
  <c r="J165" i="11"/>
  <c r="K164" i="11"/>
  <c r="J164" i="11"/>
  <c r="K162" i="11"/>
  <c r="J162" i="11"/>
  <c r="K161" i="11"/>
  <c r="J161" i="11"/>
  <c r="K160" i="11"/>
  <c r="J160" i="11"/>
  <c r="K159" i="11"/>
  <c r="J159" i="11"/>
  <c r="K155" i="11"/>
  <c r="J155" i="11"/>
  <c r="K150" i="11"/>
  <c r="J150" i="11"/>
  <c r="K149" i="11"/>
  <c r="J149" i="11"/>
  <c r="K148" i="11"/>
  <c r="J148" i="11"/>
  <c r="K144" i="11"/>
  <c r="J144" i="11"/>
  <c r="K143" i="11"/>
  <c r="J143" i="11"/>
  <c r="K142" i="11"/>
  <c r="J142" i="11"/>
  <c r="K141" i="11"/>
  <c r="J141" i="11"/>
  <c r="K140" i="11"/>
  <c r="J140" i="11"/>
  <c r="K139" i="11"/>
  <c r="J139" i="11"/>
  <c r="K138" i="11"/>
  <c r="J138" i="11"/>
  <c r="K137" i="11"/>
  <c r="J137" i="11"/>
  <c r="K136" i="11"/>
  <c r="J136" i="11"/>
  <c r="K135" i="11"/>
  <c r="J135" i="11"/>
  <c r="K134" i="11"/>
  <c r="J134" i="11"/>
  <c r="K133" i="11"/>
  <c r="J133" i="11"/>
  <c r="K132" i="11"/>
  <c r="J132" i="11"/>
  <c r="K131" i="11"/>
  <c r="J131" i="11"/>
  <c r="K130" i="11"/>
  <c r="J130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17" i="11"/>
  <c r="J117" i="11"/>
  <c r="K116" i="11"/>
  <c r="J116" i="11"/>
  <c r="K115" i="11"/>
  <c r="J115" i="11"/>
  <c r="K114" i="11"/>
  <c r="J114" i="11"/>
  <c r="K110" i="11"/>
  <c r="J110" i="11"/>
  <c r="K109" i="11"/>
  <c r="J109" i="11"/>
  <c r="K108" i="11"/>
  <c r="J108" i="11"/>
  <c r="K107" i="11"/>
  <c r="J107" i="11"/>
  <c r="J106" i="11"/>
  <c r="K105" i="11"/>
  <c r="J105" i="11"/>
  <c r="K104" i="11"/>
  <c r="J104" i="11"/>
  <c r="K102" i="11"/>
  <c r="J102" i="11"/>
  <c r="K99" i="11"/>
  <c r="K95" i="11"/>
  <c r="J95" i="11"/>
  <c r="K93" i="11"/>
  <c r="J93" i="11"/>
  <c r="K92" i="11"/>
  <c r="J92" i="11"/>
  <c r="K91" i="11"/>
  <c r="J91" i="11"/>
  <c r="K84" i="11"/>
  <c r="J84" i="11"/>
  <c r="K83" i="11"/>
  <c r="J83" i="11"/>
  <c r="K82" i="11"/>
  <c r="J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2" i="11"/>
  <c r="J52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0" i="11"/>
  <c r="J20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8" i="11"/>
  <c r="J8" i="11"/>
  <c r="K7" i="11"/>
  <c r="J7" i="11"/>
  <c r="K6" i="11"/>
  <c r="J6" i="11"/>
  <c r="K5" i="11"/>
  <c r="J5" i="11"/>
  <c r="J89" i="11" l="1"/>
  <c r="N103" i="11"/>
  <c r="H111" i="11"/>
  <c r="J99" i="11" s="1"/>
  <c r="H169" i="11" l="1"/>
  <c r="D118" i="11"/>
  <c r="J118" i="11" s="1"/>
  <c r="D85" i="11"/>
  <c r="J85" i="11" s="1"/>
  <c r="H190" i="11" l="1"/>
  <c r="N190" i="11" s="1"/>
  <c r="N169" i="11"/>
  <c r="D189" i="11"/>
  <c r="J189" i="11" s="1"/>
  <c r="D174" i="11"/>
  <c r="D168" i="11"/>
  <c r="J168" i="11" s="1"/>
  <c r="D151" i="11"/>
  <c r="J151" i="11" s="1"/>
  <c r="D145" i="11"/>
  <c r="J145" i="11" s="1"/>
  <c r="E106" i="11"/>
  <c r="K106" i="11" s="1"/>
  <c r="E103" i="11"/>
  <c r="K103" i="11" s="1"/>
  <c r="D103" i="11"/>
  <c r="J103" i="11" s="1"/>
  <c r="E97" i="11"/>
  <c r="K97" i="11" s="1"/>
  <c r="E96" i="11"/>
  <c r="K96" i="11" s="1"/>
  <c r="E94" i="11"/>
  <c r="K94" i="11" s="1"/>
  <c r="E90" i="11"/>
  <c r="K90" i="11" s="1"/>
  <c r="E89" i="11"/>
  <c r="K89" i="11" s="1"/>
  <c r="D97" i="11"/>
  <c r="J97" i="11" s="1"/>
  <c r="D96" i="11"/>
  <c r="J96" i="11" s="1"/>
  <c r="D94" i="11"/>
  <c r="J94" i="11" s="1"/>
  <c r="D90" i="11"/>
  <c r="J90" i="11" s="1"/>
  <c r="D53" i="11"/>
  <c r="J53" i="11" s="1"/>
  <c r="D21" i="11"/>
  <c r="J21" i="11" s="1"/>
  <c r="G188" i="11"/>
  <c r="F188" i="11"/>
  <c r="G187" i="11"/>
  <c r="F187" i="11"/>
  <c r="G186" i="11"/>
  <c r="F186" i="11"/>
  <c r="G185" i="11"/>
  <c r="F185" i="11"/>
  <c r="G184" i="11"/>
  <c r="F184" i="11"/>
  <c r="G183" i="11"/>
  <c r="F183" i="11"/>
  <c r="G182" i="11"/>
  <c r="F182" i="11"/>
  <c r="G181" i="11"/>
  <c r="F181" i="11"/>
  <c r="G180" i="11"/>
  <c r="F180" i="11"/>
  <c r="G179" i="11"/>
  <c r="F179" i="11"/>
  <c r="G178" i="11"/>
  <c r="F178" i="11"/>
  <c r="G177" i="11"/>
  <c r="F177" i="11"/>
  <c r="G173" i="11"/>
  <c r="F173" i="11"/>
  <c r="G172" i="11"/>
  <c r="F172" i="11"/>
  <c r="G165" i="11"/>
  <c r="F165" i="11"/>
  <c r="G164" i="11"/>
  <c r="F164" i="11"/>
  <c r="G162" i="11"/>
  <c r="F162" i="11"/>
  <c r="G161" i="11"/>
  <c r="F161" i="11"/>
  <c r="G160" i="11"/>
  <c r="F160" i="11"/>
  <c r="G159" i="11"/>
  <c r="F159" i="11"/>
  <c r="G155" i="11"/>
  <c r="F155" i="11"/>
  <c r="G150" i="11"/>
  <c r="F150" i="11"/>
  <c r="G149" i="11"/>
  <c r="F149" i="11"/>
  <c r="G148" i="11"/>
  <c r="F148" i="11"/>
  <c r="G144" i="11"/>
  <c r="F144" i="11"/>
  <c r="G143" i="11"/>
  <c r="F143" i="11"/>
  <c r="G142" i="11"/>
  <c r="F142" i="11"/>
  <c r="G141" i="11"/>
  <c r="F141" i="11"/>
  <c r="G140" i="11"/>
  <c r="F140" i="11"/>
  <c r="G139" i="11"/>
  <c r="F139" i="11"/>
  <c r="G138" i="11"/>
  <c r="F138" i="11"/>
  <c r="G137" i="11"/>
  <c r="F137" i="11"/>
  <c r="G136" i="11"/>
  <c r="F136" i="11"/>
  <c r="G135" i="11"/>
  <c r="F135" i="11"/>
  <c r="G134" i="11"/>
  <c r="F134" i="11"/>
  <c r="G133" i="11"/>
  <c r="F133" i="11"/>
  <c r="G132" i="11"/>
  <c r="F132" i="11"/>
  <c r="G131" i="11"/>
  <c r="F131" i="11"/>
  <c r="G130" i="11"/>
  <c r="F130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17" i="11"/>
  <c r="F117" i="11"/>
  <c r="G116" i="11"/>
  <c r="F116" i="11"/>
  <c r="G115" i="11"/>
  <c r="F115" i="11"/>
  <c r="G114" i="11"/>
  <c r="F114" i="11"/>
  <c r="G110" i="11"/>
  <c r="F110" i="11"/>
  <c r="G109" i="11"/>
  <c r="F109" i="11"/>
  <c r="G108" i="11"/>
  <c r="F108" i="11"/>
  <c r="G107" i="11"/>
  <c r="F107" i="11"/>
  <c r="F106" i="11"/>
  <c r="G105" i="11"/>
  <c r="F105" i="11"/>
  <c r="G104" i="11"/>
  <c r="F104" i="11"/>
  <c r="G102" i="11"/>
  <c r="F102" i="11"/>
  <c r="G99" i="11"/>
  <c r="G95" i="11"/>
  <c r="F95" i="11"/>
  <c r="G93" i="11"/>
  <c r="F93" i="11"/>
  <c r="G92" i="11"/>
  <c r="F92" i="11"/>
  <c r="G91" i="11"/>
  <c r="F91" i="11"/>
  <c r="F89" i="11"/>
  <c r="G84" i="11"/>
  <c r="F84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2" i="11"/>
  <c r="F52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0" i="11"/>
  <c r="F20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8" i="11"/>
  <c r="F8" i="11"/>
  <c r="G7" i="11"/>
  <c r="F7" i="11"/>
  <c r="G6" i="11"/>
  <c r="F6" i="11"/>
  <c r="G5" i="11"/>
  <c r="F5" i="11"/>
  <c r="D111" i="11" l="1"/>
  <c r="D169" i="11" s="1"/>
  <c r="J169" i="11" s="1"/>
  <c r="D190" i="11" l="1"/>
  <c r="J190" i="11" s="1"/>
  <c r="F99" i="11"/>
  <c r="P131" i="9"/>
  <c r="B189" i="11" l="1"/>
  <c r="B174" i="11"/>
  <c r="B168" i="11"/>
  <c r="B151" i="11"/>
  <c r="B145" i="11"/>
  <c r="B118" i="11"/>
  <c r="C106" i="11"/>
  <c r="C103" i="11"/>
  <c r="B103" i="11"/>
  <c r="C97" i="11"/>
  <c r="C96" i="11"/>
  <c r="C94" i="11"/>
  <c r="C90" i="11"/>
  <c r="C89" i="11"/>
  <c r="B97" i="11"/>
  <c r="B96" i="11"/>
  <c r="B94" i="11"/>
  <c r="B90" i="11"/>
  <c r="B85" i="11"/>
  <c r="B53" i="11"/>
  <c r="B21" i="11"/>
  <c r="F96" i="11" l="1"/>
  <c r="G103" i="11"/>
  <c r="F97" i="11"/>
  <c r="G106" i="11"/>
  <c r="F118" i="11"/>
  <c r="G89" i="11"/>
  <c r="F21" i="11"/>
  <c r="G90" i="11"/>
  <c r="F145" i="11"/>
  <c r="F53" i="11"/>
  <c r="G94" i="11"/>
  <c r="F151" i="11"/>
  <c r="F85" i="11"/>
  <c r="G96" i="11"/>
  <c r="F90" i="11"/>
  <c r="G97" i="11"/>
  <c r="F94" i="11"/>
  <c r="F189" i="11"/>
  <c r="F168" i="11"/>
  <c r="F103" i="11"/>
  <c r="B111" i="11"/>
  <c r="S38" i="9"/>
  <c r="R38" i="9"/>
  <c r="Q38" i="9"/>
  <c r="P38" i="9"/>
  <c r="B169" i="11" l="1"/>
  <c r="F169" i="11" l="1"/>
  <c r="B190" i="11"/>
  <c r="F190" i="11" l="1"/>
  <c r="E122" i="9" l="1"/>
  <c r="E129" i="9" l="1"/>
  <c r="E144" i="9"/>
  <c r="E127" i="9"/>
  <c r="E142" i="9"/>
  <c r="E135" i="9"/>
  <c r="E126" i="9"/>
  <c r="E145" i="9"/>
  <c r="E137" i="9"/>
  <c r="E136" i="9"/>
  <c r="E134" i="9"/>
  <c r="E125" i="9"/>
  <c r="E138" i="9"/>
  <c r="E143" i="9"/>
  <c r="E141" i="9"/>
  <c r="E133" i="9"/>
  <c r="E124" i="9"/>
  <c r="E128" i="9"/>
  <c r="E140" i="9"/>
  <c r="E132" i="9"/>
  <c r="E123" i="9"/>
  <c r="E139" i="9"/>
  <c r="E131" i="9"/>
  <c r="P110" i="9" l="1"/>
  <c r="Q110" i="9"/>
  <c r="R110" i="9"/>
  <c r="S110" i="9"/>
  <c r="S136" i="9" l="1"/>
  <c r="R136" i="9"/>
  <c r="Q136" i="9"/>
  <c r="P136" i="9"/>
  <c r="S42" i="9"/>
  <c r="R42" i="9"/>
  <c r="Q42" i="9"/>
  <c r="P42" i="9"/>
  <c r="S14" i="9"/>
  <c r="R14" i="9"/>
  <c r="Q14" i="9"/>
  <c r="P14" i="9"/>
  <c r="E14" i="9" l="1"/>
  <c r="J10" i="1" l="1"/>
  <c r="I10" i="1"/>
  <c r="H10" i="1"/>
  <c r="G10" i="1"/>
  <c r="F10" i="1"/>
  <c r="E10" i="1"/>
  <c r="D10" i="1"/>
  <c r="C10" i="1"/>
  <c r="Q94" i="9" l="1"/>
  <c r="P94" i="9" l="1"/>
  <c r="S94" i="9"/>
  <c r="R94" i="9"/>
  <c r="P93" i="9"/>
  <c r="E94" i="9" l="1"/>
  <c r="K150" i="9" l="1"/>
  <c r="K149" i="9" l="1"/>
  <c r="K151" i="9"/>
  <c r="P47" i="9" l="1"/>
  <c r="S192" i="9" l="1"/>
  <c r="S190" i="9"/>
  <c r="S189" i="9"/>
  <c r="S193" i="9"/>
  <c r="S191" i="9"/>
  <c r="S186" i="9"/>
  <c r="S183" i="9"/>
  <c r="S188" i="9"/>
  <c r="S187" i="9"/>
  <c r="S182" i="9"/>
  <c r="S185" i="9"/>
  <c r="S184" i="9"/>
  <c r="S194" i="9"/>
  <c r="S181" i="9"/>
  <c r="S176" i="9"/>
  <c r="S177" i="9"/>
  <c r="S175" i="9"/>
  <c r="S163" i="9"/>
  <c r="S165" i="9"/>
  <c r="S160" i="9"/>
  <c r="S161" i="9"/>
  <c r="S162" i="9"/>
  <c r="S169" i="9"/>
  <c r="S166" i="9"/>
  <c r="S156" i="9"/>
  <c r="S151" i="9"/>
  <c r="S149" i="9"/>
  <c r="S152" i="9"/>
  <c r="S150" i="9"/>
  <c r="S145" i="9"/>
  <c r="S142" i="9"/>
  <c r="S123" i="9"/>
  <c r="S124" i="9"/>
  <c r="S133" i="9"/>
  <c r="S144" i="9"/>
  <c r="S126" i="9"/>
  <c r="S134" i="9"/>
  <c r="S138" i="9"/>
  <c r="S140" i="9"/>
  <c r="S143" i="9"/>
  <c r="S129" i="9"/>
  <c r="S135" i="9"/>
  <c r="S122" i="9"/>
  <c r="S127" i="9"/>
  <c r="S137" i="9"/>
  <c r="S125" i="9"/>
  <c r="S139" i="9"/>
  <c r="S132" i="9"/>
  <c r="S128" i="9"/>
  <c r="S131" i="9"/>
  <c r="S146" i="9"/>
  <c r="S141" i="9"/>
  <c r="S117" i="9"/>
  <c r="S118" i="9"/>
  <c r="S115" i="9"/>
  <c r="S119" i="9"/>
  <c r="S116" i="9"/>
  <c r="S111" i="9"/>
  <c r="S105" i="9"/>
  <c r="S103" i="9"/>
  <c r="S106" i="9"/>
  <c r="S108" i="9"/>
  <c r="S107" i="9"/>
  <c r="S104" i="9"/>
  <c r="S112" i="9"/>
  <c r="S109" i="9"/>
  <c r="S100" i="9"/>
  <c r="S96" i="9"/>
  <c r="S98" i="9"/>
  <c r="S90" i="9"/>
  <c r="S91" i="9"/>
  <c r="S92" i="9"/>
  <c r="S95" i="9"/>
  <c r="S97" i="9"/>
  <c r="S93" i="9"/>
  <c r="S75" i="9"/>
  <c r="S70" i="9"/>
  <c r="S69" i="9"/>
  <c r="S63" i="9"/>
  <c r="S83" i="9"/>
  <c r="S84" i="9"/>
  <c r="S85" i="9"/>
  <c r="S62" i="9"/>
  <c r="S82" i="9"/>
  <c r="S77" i="9"/>
  <c r="S73" i="9"/>
  <c r="S78" i="9"/>
  <c r="S80" i="9"/>
  <c r="S76" i="9"/>
  <c r="S71" i="9"/>
  <c r="S68" i="9"/>
  <c r="S72" i="9"/>
  <c r="S65" i="9"/>
  <c r="S57" i="9"/>
  <c r="S58" i="9"/>
  <c r="S81" i="9"/>
  <c r="S60" i="9"/>
  <c r="S61" i="9"/>
  <c r="S74" i="9"/>
  <c r="S64" i="9"/>
  <c r="S59" i="9"/>
  <c r="S67" i="9"/>
  <c r="S86" i="9"/>
  <c r="S79" i="9"/>
  <c r="S50" i="9"/>
  <c r="S26" i="9"/>
  <c r="S28" i="9"/>
  <c r="S44" i="9"/>
  <c r="S29" i="9"/>
  <c r="S41" i="9"/>
  <c r="S32" i="9"/>
  <c r="S47" i="9"/>
  <c r="S30" i="9"/>
  <c r="S35" i="9"/>
  <c r="S36" i="9"/>
  <c r="S34" i="9"/>
  <c r="S53" i="9"/>
  <c r="S25" i="9"/>
  <c r="S43" i="9"/>
  <c r="S40" i="9"/>
  <c r="S52" i="9"/>
  <c r="S31" i="9"/>
  <c r="S39" i="9"/>
  <c r="S27" i="9"/>
  <c r="S49" i="9"/>
  <c r="S51" i="9"/>
  <c r="S46" i="9"/>
  <c r="S37" i="9"/>
  <c r="S33" i="9"/>
  <c r="S45" i="9"/>
  <c r="S54" i="9"/>
  <c r="S48" i="9"/>
  <c r="S15" i="9"/>
  <c r="S12" i="9"/>
  <c r="S18" i="9"/>
  <c r="S6" i="9"/>
  <c r="S21" i="9"/>
  <c r="S8" i="9"/>
  <c r="S11" i="9"/>
  <c r="S16" i="9"/>
  <c r="S19" i="9"/>
  <c r="S9" i="9"/>
  <c r="S17" i="9"/>
  <c r="S7" i="9"/>
  <c r="S13" i="9"/>
  <c r="S22" i="9"/>
  <c r="S20" i="9"/>
  <c r="P17" i="9" l="1"/>
  <c r="K10" i="1" l="1"/>
  <c r="K12" i="1" l="1"/>
  <c r="R104" i="9" l="1"/>
  <c r="P104" i="9"/>
  <c r="R97" i="9"/>
  <c r="Q97" i="9"/>
  <c r="P97" i="9"/>
  <c r="E110" i="9" l="1"/>
  <c r="E97" i="9"/>
  <c r="J22" i="9" l="1"/>
  <c r="K16" i="9" s="1"/>
  <c r="K14" i="9" l="1"/>
  <c r="R95" i="9"/>
  <c r="P95" i="9"/>
  <c r="Q95" i="9"/>
  <c r="E95" i="9" l="1"/>
  <c r="R194" i="9" l="1"/>
  <c r="Q98" i="9"/>
  <c r="Q20" i="9"/>
  <c r="R131" i="9" l="1"/>
  <c r="Q131" i="9"/>
  <c r="R67" i="9"/>
  <c r="Q67" i="9"/>
  <c r="P67" i="9"/>
  <c r="R13" i="9"/>
  <c r="Q13" i="9"/>
  <c r="P13" i="9"/>
  <c r="E67" i="9" l="1"/>
  <c r="E13" i="9"/>
  <c r="R59" i="9" l="1"/>
  <c r="Q59" i="9"/>
  <c r="P59" i="9"/>
  <c r="E59" i="9" l="1"/>
  <c r="J146" i="9" l="1"/>
  <c r="K130" i="9" s="1"/>
  <c r="J119" i="9"/>
  <c r="J112" i="9"/>
  <c r="J86" i="9"/>
  <c r="J54" i="9"/>
  <c r="K38" i="9" s="1"/>
  <c r="K66" i="9" l="1"/>
  <c r="K96" i="9"/>
  <c r="K97" i="9"/>
  <c r="K76" i="9"/>
  <c r="K62" i="9"/>
  <c r="K99" i="9"/>
  <c r="K109" i="9"/>
  <c r="K94" i="9"/>
  <c r="K103" i="9"/>
  <c r="K122" i="9"/>
  <c r="K129" i="9"/>
  <c r="K145" i="9"/>
  <c r="K136" i="9"/>
  <c r="K25" i="9"/>
  <c r="K42" i="9"/>
  <c r="K139" i="9"/>
  <c r="K142" i="9"/>
  <c r="K110" i="9"/>
  <c r="K128" i="9"/>
  <c r="K82" i="9"/>
  <c r="K80" i="9"/>
  <c r="K104" i="9"/>
  <c r="E104" i="9"/>
  <c r="K95" i="9"/>
  <c r="K52" i="9"/>
  <c r="K44" i="9"/>
  <c r="K67" i="9"/>
  <c r="K60" i="9"/>
  <c r="K131" i="9"/>
  <c r="K124" i="9"/>
  <c r="K43" i="9"/>
  <c r="K46" i="9"/>
  <c r="K27" i="9"/>
  <c r="K40" i="9"/>
  <c r="K37" i="9"/>
  <c r="K51" i="9"/>
  <c r="K33" i="9"/>
  <c r="K39" i="9"/>
  <c r="K49" i="9"/>
  <c r="K31" i="9"/>
  <c r="K45" i="9"/>
  <c r="K138" i="9"/>
  <c r="K125" i="9"/>
  <c r="K59" i="9"/>
  <c r="R92" i="9"/>
  <c r="Q92" i="9"/>
  <c r="P92" i="9"/>
  <c r="K92" i="9"/>
  <c r="R161" i="9"/>
  <c r="Q161" i="9"/>
  <c r="P161" i="9"/>
  <c r="R128" i="9"/>
  <c r="Q128" i="9"/>
  <c r="P128" i="9"/>
  <c r="E92" i="9"/>
  <c r="E161" i="9" l="1"/>
  <c r="J194" i="9" l="1"/>
  <c r="K184" i="9" s="1"/>
  <c r="J177" i="9"/>
  <c r="J169" i="9"/>
  <c r="K156" i="9" l="1"/>
  <c r="K157" i="9"/>
  <c r="J170" i="9"/>
  <c r="K185" i="9"/>
  <c r="K192" i="9"/>
  <c r="J195" i="9" l="1"/>
  <c r="K169" i="9"/>
  <c r="R184" i="9"/>
  <c r="Q184" i="9"/>
  <c r="P184" i="9"/>
  <c r="R185" i="9"/>
  <c r="Q185" i="9"/>
  <c r="P185" i="9"/>
  <c r="R182" i="9"/>
  <c r="Q182" i="9"/>
  <c r="P182" i="9"/>
  <c r="R187" i="9"/>
  <c r="Q187" i="9"/>
  <c r="P187" i="9"/>
  <c r="R188" i="9"/>
  <c r="Q188" i="9"/>
  <c r="P188" i="9"/>
  <c r="R183" i="9"/>
  <c r="Q183" i="9"/>
  <c r="P183" i="9"/>
  <c r="R186" i="9"/>
  <c r="Q186" i="9"/>
  <c r="P186" i="9"/>
  <c r="R191" i="9"/>
  <c r="Q191" i="9"/>
  <c r="P191" i="9"/>
  <c r="R193" i="9"/>
  <c r="Q193" i="9"/>
  <c r="P193" i="9"/>
  <c r="R189" i="9"/>
  <c r="Q189" i="9"/>
  <c r="P189" i="9"/>
  <c r="R190" i="9"/>
  <c r="Q190" i="9"/>
  <c r="P190" i="9"/>
  <c r="R192" i="9"/>
  <c r="Q192" i="9"/>
  <c r="P192" i="9"/>
  <c r="R177" i="9"/>
  <c r="P177" i="9"/>
  <c r="R176" i="9"/>
  <c r="Q176" i="9"/>
  <c r="P176" i="9"/>
  <c r="K176" i="9"/>
  <c r="E176" i="9"/>
  <c r="R175" i="9"/>
  <c r="Q175" i="9"/>
  <c r="P175" i="9"/>
  <c r="K175" i="9"/>
  <c r="E175" i="9"/>
  <c r="R169" i="9"/>
  <c r="R162" i="9"/>
  <c r="Q162" i="9"/>
  <c r="P162" i="9"/>
  <c r="R160" i="9"/>
  <c r="Q160" i="9"/>
  <c r="P160" i="9"/>
  <c r="R165" i="9"/>
  <c r="Q165" i="9"/>
  <c r="P165" i="9"/>
  <c r="R163" i="9"/>
  <c r="Q163" i="9"/>
  <c r="P163" i="9"/>
  <c r="E163" i="9"/>
  <c r="R166" i="9"/>
  <c r="Q166" i="9"/>
  <c r="P166" i="9"/>
  <c r="R156" i="9"/>
  <c r="Q156" i="9"/>
  <c r="P156" i="9"/>
  <c r="R152" i="9"/>
  <c r="P152" i="9"/>
  <c r="R149" i="9"/>
  <c r="Q149" i="9"/>
  <c r="P149" i="9"/>
  <c r="E149" i="9"/>
  <c r="R151" i="9"/>
  <c r="Q151" i="9"/>
  <c r="P151" i="9"/>
  <c r="E151" i="9"/>
  <c r="R150" i="9"/>
  <c r="Q150" i="9"/>
  <c r="P150" i="9"/>
  <c r="E150" i="9"/>
  <c r="R146" i="9"/>
  <c r="R132" i="9"/>
  <c r="Q132" i="9"/>
  <c r="P132" i="9"/>
  <c r="R139" i="9"/>
  <c r="Q139" i="9"/>
  <c r="P139" i="9"/>
  <c r="R125" i="9"/>
  <c r="Q125" i="9"/>
  <c r="P125" i="9"/>
  <c r="R137" i="9"/>
  <c r="Q137" i="9"/>
  <c r="P137" i="9"/>
  <c r="R127" i="9"/>
  <c r="Q127" i="9"/>
  <c r="P127" i="9"/>
  <c r="R122" i="9"/>
  <c r="Q122" i="9"/>
  <c r="P122" i="9"/>
  <c r="R135" i="9"/>
  <c r="Q135" i="9"/>
  <c r="P135" i="9"/>
  <c r="R129" i="9"/>
  <c r="Q129" i="9"/>
  <c r="P129" i="9"/>
  <c r="R143" i="9"/>
  <c r="Q143" i="9"/>
  <c r="P143" i="9"/>
  <c r="R140" i="9"/>
  <c r="Q140" i="9"/>
  <c r="P140" i="9"/>
  <c r="R138" i="9"/>
  <c r="Q138" i="9"/>
  <c r="P138" i="9"/>
  <c r="R134" i="9"/>
  <c r="Q134" i="9"/>
  <c r="P134" i="9"/>
  <c r="R126" i="9"/>
  <c r="Q126" i="9"/>
  <c r="P126" i="9"/>
  <c r="R144" i="9"/>
  <c r="Q144" i="9"/>
  <c r="P144" i="9"/>
  <c r="R133" i="9"/>
  <c r="Q133" i="9"/>
  <c r="P133" i="9"/>
  <c r="R124" i="9"/>
  <c r="Q124" i="9"/>
  <c r="P124" i="9"/>
  <c r="R123" i="9"/>
  <c r="Q123" i="9"/>
  <c r="P123" i="9"/>
  <c r="R142" i="9"/>
  <c r="Q142" i="9"/>
  <c r="P142" i="9"/>
  <c r="R145" i="9"/>
  <c r="Q145" i="9"/>
  <c r="P145" i="9"/>
  <c r="R141" i="9"/>
  <c r="Q141" i="9"/>
  <c r="P141" i="9"/>
  <c r="R119" i="9"/>
  <c r="P119" i="9"/>
  <c r="E115" i="9"/>
  <c r="R115" i="9"/>
  <c r="Q115" i="9"/>
  <c r="P115" i="9"/>
  <c r="R118" i="9"/>
  <c r="Q118" i="9"/>
  <c r="P118" i="9"/>
  <c r="E118" i="9"/>
  <c r="R117" i="9"/>
  <c r="Q117" i="9"/>
  <c r="P117" i="9"/>
  <c r="R116" i="9"/>
  <c r="Q116" i="9"/>
  <c r="P116" i="9"/>
  <c r="E116" i="9"/>
  <c r="R112" i="9"/>
  <c r="R107" i="9"/>
  <c r="Q107" i="9"/>
  <c r="P107" i="9"/>
  <c r="R108" i="9"/>
  <c r="Q108" i="9"/>
  <c r="P108" i="9"/>
  <c r="R106" i="9"/>
  <c r="Q106" i="9"/>
  <c r="P106" i="9"/>
  <c r="R103" i="9"/>
  <c r="Q103" i="9"/>
  <c r="P103" i="9"/>
  <c r="R105" i="9"/>
  <c r="Q105" i="9"/>
  <c r="P105" i="9"/>
  <c r="R111" i="9"/>
  <c r="Q111" i="9"/>
  <c r="P111" i="9"/>
  <c r="R109" i="9"/>
  <c r="Q109" i="9"/>
  <c r="P109" i="9"/>
  <c r="R91" i="9"/>
  <c r="Q91" i="9"/>
  <c r="R90" i="9"/>
  <c r="P90" i="9"/>
  <c r="Q90" i="9"/>
  <c r="R98" i="9"/>
  <c r="P98" i="9"/>
  <c r="R96" i="9"/>
  <c r="Q96" i="9"/>
  <c r="P96" i="9"/>
  <c r="R100" i="9"/>
  <c r="Q100" i="9"/>
  <c r="P100" i="9"/>
  <c r="R93" i="9"/>
  <c r="Q93" i="9"/>
  <c r="R86" i="9"/>
  <c r="P86" i="9"/>
  <c r="R64" i="9"/>
  <c r="Q64" i="9"/>
  <c r="P64" i="9"/>
  <c r="E64" i="9"/>
  <c r="R74" i="9"/>
  <c r="Q74" i="9"/>
  <c r="P74" i="9"/>
  <c r="R61" i="9"/>
  <c r="Q61" i="9"/>
  <c r="P61" i="9"/>
  <c r="R60" i="9"/>
  <c r="Q60" i="9"/>
  <c r="P60" i="9"/>
  <c r="E60" i="9"/>
  <c r="R81" i="9"/>
  <c r="Q81" i="9"/>
  <c r="P81" i="9"/>
  <c r="E81" i="9"/>
  <c r="R58" i="9"/>
  <c r="Q58" i="9"/>
  <c r="P58" i="9"/>
  <c r="E58" i="9"/>
  <c r="R57" i="9"/>
  <c r="Q57" i="9"/>
  <c r="E57" i="9"/>
  <c r="R65" i="9"/>
  <c r="Q65" i="9"/>
  <c r="P65" i="9"/>
  <c r="E65" i="9"/>
  <c r="R72" i="9"/>
  <c r="Q72" i="9"/>
  <c r="P72" i="9"/>
  <c r="E72" i="9"/>
  <c r="R68" i="9"/>
  <c r="Q68" i="9"/>
  <c r="E68" i="9"/>
  <c r="R71" i="9"/>
  <c r="Q71" i="9"/>
  <c r="P71" i="9"/>
  <c r="E71" i="9"/>
  <c r="R76" i="9"/>
  <c r="Q76" i="9"/>
  <c r="P76" i="9"/>
  <c r="E76" i="9"/>
  <c r="R80" i="9"/>
  <c r="Q80" i="9"/>
  <c r="P80" i="9"/>
  <c r="E80" i="9"/>
  <c r="R78" i="9"/>
  <c r="Q78" i="9"/>
  <c r="P78" i="9"/>
  <c r="E78" i="9"/>
  <c r="R73" i="9"/>
  <c r="Q73" i="9"/>
  <c r="P73" i="9"/>
  <c r="E73" i="9"/>
  <c r="R77" i="9"/>
  <c r="Q77" i="9"/>
  <c r="P77" i="9"/>
  <c r="E77" i="9"/>
  <c r="R82" i="9"/>
  <c r="Q82" i="9"/>
  <c r="P82" i="9"/>
  <c r="E82" i="9"/>
  <c r="R62" i="9"/>
  <c r="Q62" i="9"/>
  <c r="P62" i="9"/>
  <c r="E62" i="9"/>
  <c r="R85" i="9"/>
  <c r="Q85" i="9"/>
  <c r="P85" i="9"/>
  <c r="E85" i="9"/>
  <c r="R84" i="9"/>
  <c r="Q84" i="9"/>
  <c r="P84" i="9"/>
  <c r="E84" i="9"/>
  <c r="R83" i="9"/>
  <c r="Q83" i="9"/>
  <c r="P83" i="9"/>
  <c r="E83" i="9"/>
  <c r="R63" i="9"/>
  <c r="Q63" i="9"/>
  <c r="P63" i="9"/>
  <c r="E63" i="9"/>
  <c r="R69" i="9"/>
  <c r="Q69" i="9"/>
  <c r="E69" i="9"/>
  <c r="R70" i="9"/>
  <c r="Q70" i="9"/>
  <c r="E70" i="9"/>
  <c r="R75" i="9"/>
  <c r="Q75" i="9"/>
  <c r="P75" i="9"/>
  <c r="E75" i="9"/>
  <c r="R79" i="9"/>
  <c r="Q79" i="9"/>
  <c r="P79" i="9"/>
  <c r="E79" i="9"/>
  <c r="R54" i="9"/>
  <c r="E39" i="9"/>
  <c r="R45" i="9"/>
  <c r="Q45" i="9"/>
  <c r="P45" i="9"/>
  <c r="R33" i="9"/>
  <c r="Q33" i="9"/>
  <c r="P33" i="9"/>
  <c r="R37" i="9"/>
  <c r="Q37" i="9"/>
  <c r="P37" i="9"/>
  <c r="R46" i="9"/>
  <c r="Q46" i="9"/>
  <c r="P46" i="9"/>
  <c r="R51" i="9"/>
  <c r="Q51" i="9"/>
  <c r="P51" i="9"/>
  <c r="R49" i="9"/>
  <c r="Q49" i="9"/>
  <c r="P49" i="9"/>
  <c r="R27" i="9"/>
  <c r="Q27" i="9"/>
  <c r="P27" i="9"/>
  <c r="R39" i="9"/>
  <c r="Q39" i="9"/>
  <c r="P39" i="9"/>
  <c r="R31" i="9"/>
  <c r="Q31" i="9"/>
  <c r="P31" i="9"/>
  <c r="R52" i="9"/>
  <c r="Q52" i="9"/>
  <c r="P52" i="9"/>
  <c r="R40" i="9"/>
  <c r="Q40" i="9"/>
  <c r="P40" i="9"/>
  <c r="R43" i="9"/>
  <c r="Q43" i="9"/>
  <c r="P43" i="9"/>
  <c r="R25" i="9"/>
  <c r="Q25" i="9"/>
  <c r="P25" i="9"/>
  <c r="R53" i="9"/>
  <c r="Q53" i="9"/>
  <c r="P53" i="9"/>
  <c r="R34" i="9"/>
  <c r="Q34" i="9"/>
  <c r="P34" i="9"/>
  <c r="R36" i="9"/>
  <c r="Q36" i="9"/>
  <c r="P36" i="9"/>
  <c r="R35" i="9"/>
  <c r="Q35" i="9"/>
  <c r="P35" i="9"/>
  <c r="R30" i="9"/>
  <c r="Q30" i="9"/>
  <c r="P30" i="9"/>
  <c r="R47" i="9"/>
  <c r="Q47" i="9"/>
  <c r="R32" i="9"/>
  <c r="Q32" i="9"/>
  <c r="P32" i="9"/>
  <c r="R41" i="9"/>
  <c r="Q41" i="9"/>
  <c r="P41" i="9"/>
  <c r="R29" i="9"/>
  <c r="Q29" i="9"/>
  <c r="P29" i="9"/>
  <c r="R44" i="9"/>
  <c r="Q44" i="9"/>
  <c r="P44" i="9"/>
  <c r="R28" i="9"/>
  <c r="Q28" i="9"/>
  <c r="P28" i="9"/>
  <c r="R26" i="9"/>
  <c r="Q26" i="9"/>
  <c r="P26" i="9"/>
  <c r="R50" i="9"/>
  <c r="Q50" i="9"/>
  <c r="P50" i="9"/>
  <c r="R48" i="9"/>
  <c r="Q48" i="9"/>
  <c r="P48" i="9"/>
  <c r="R22" i="9"/>
  <c r="P22" i="9"/>
  <c r="E8" i="9"/>
  <c r="R7" i="9"/>
  <c r="Q7" i="9"/>
  <c r="R17" i="9"/>
  <c r="Q17" i="9"/>
  <c r="R9" i="9"/>
  <c r="Q9" i="9"/>
  <c r="P9" i="9"/>
  <c r="R19" i="9"/>
  <c r="Q19" i="9"/>
  <c r="P19" i="9"/>
  <c r="R16" i="9"/>
  <c r="Q16" i="9"/>
  <c r="P16" i="9"/>
  <c r="E16" i="9"/>
  <c r="R11" i="9"/>
  <c r="Q11" i="9"/>
  <c r="P11" i="9"/>
  <c r="Q8" i="9"/>
  <c r="P8" i="9"/>
  <c r="R21" i="9"/>
  <c r="Q21" i="9"/>
  <c r="P21" i="9"/>
  <c r="E21" i="9"/>
  <c r="Q6" i="9"/>
  <c r="P6" i="9"/>
  <c r="R18" i="9"/>
  <c r="Q18" i="9"/>
  <c r="P18" i="9"/>
  <c r="E18" i="9"/>
  <c r="Q12" i="9"/>
  <c r="P12" i="9"/>
  <c r="R15" i="9"/>
  <c r="Q15" i="9"/>
  <c r="P15" i="9"/>
  <c r="R20" i="9"/>
  <c r="P20" i="9"/>
  <c r="E20" i="9"/>
  <c r="K182" i="9" l="1"/>
  <c r="K189" i="9"/>
  <c r="K191" i="9"/>
  <c r="K183" i="9"/>
  <c r="K190" i="9"/>
  <c r="K187" i="9"/>
  <c r="P194" i="9"/>
  <c r="K188" i="9"/>
  <c r="K186" i="9"/>
  <c r="K160" i="9"/>
  <c r="K123" i="9"/>
  <c r="K68" i="9"/>
  <c r="K75" i="9"/>
  <c r="K84" i="9"/>
  <c r="K78" i="9"/>
  <c r="K64" i="9"/>
  <c r="K83" i="9"/>
  <c r="K63" i="9"/>
  <c r="K65" i="9"/>
  <c r="K58" i="9"/>
  <c r="K61" i="9"/>
  <c r="K34" i="9"/>
  <c r="K29" i="9"/>
  <c r="K28" i="9"/>
  <c r="K50" i="9"/>
  <c r="K35" i="9"/>
  <c r="K32" i="9"/>
  <c r="K48" i="9"/>
  <c r="K30" i="9"/>
  <c r="P54" i="9"/>
  <c r="K15" i="9"/>
  <c r="K18" i="9"/>
  <c r="K21" i="9"/>
  <c r="K17" i="9"/>
  <c r="K20" i="9"/>
  <c r="K19" i="9"/>
  <c r="K11" i="9"/>
  <c r="K12" i="9"/>
  <c r="K144" i="9"/>
  <c r="K140" i="9"/>
  <c r="K135" i="9"/>
  <c r="K117" i="9"/>
  <c r="K118" i="9"/>
  <c r="K116" i="9"/>
  <c r="K7" i="9"/>
  <c r="K6" i="9"/>
  <c r="K8" i="9"/>
  <c r="K9" i="9"/>
  <c r="E156" i="9"/>
  <c r="E160" i="9"/>
  <c r="P169" i="9"/>
  <c r="E7" i="9"/>
  <c r="K69" i="9"/>
  <c r="K73" i="9"/>
  <c r="K72" i="9"/>
  <c r="K133" i="9"/>
  <c r="P146" i="9"/>
  <c r="E165" i="9"/>
  <c r="E12" i="9"/>
  <c r="E9" i="9"/>
  <c r="E11" i="9"/>
  <c r="K26" i="9"/>
  <c r="K41" i="9"/>
  <c r="K47" i="9"/>
  <c r="K36" i="9"/>
  <c r="K53" i="9"/>
  <c r="K79" i="9"/>
  <c r="K71" i="9"/>
  <c r="E74" i="9"/>
  <c r="E117" i="9"/>
  <c r="E166" i="9"/>
  <c r="P91" i="9"/>
  <c r="K134" i="9"/>
  <c r="K127" i="9"/>
  <c r="K57" i="9"/>
  <c r="K74" i="9"/>
  <c r="K126" i="9"/>
  <c r="E162" i="9"/>
  <c r="K141" i="9"/>
  <c r="E15" i="9"/>
  <c r="E19" i="9"/>
  <c r="K70" i="9"/>
  <c r="K77" i="9"/>
  <c r="K81" i="9"/>
  <c r="K143" i="9"/>
  <c r="K132" i="9"/>
  <c r="E91" i="9"/>
  <c r="E6" i="9"/>
  <c r="E17" i="9"/>
  <c r="K85" i="9"/>
  <c r="E61" i="9"/>
  <c r="K115" i="9"/>
  <c r="E109" i="9" l="1"/>
  <c r="E103" i="9"/>
  <c r="E107" i="9"/>
  <c r="E111" i="9"/>
  <c r="E96" i="9"/>
  <c r="E106" i="9"/>
  <c r="E98" i="9"/>
  <c r="E108" i="9"/>
  <c r="E93" i="9"/>
  <c r="E90" i="9"/>
  <c r="E105" i="9"/>
  <c r="E100" i="9"/>
  <c r="E146" i="9" l="1"/>
  <c r="E119" i="9"/>
  <c r="E152" i="9"/>
  <c r="E169" i="9"/>
  <c r="E54" i="9"/>
  <c r="E22" i="9"/>
  <c r="E86" i="9"/>
  <c r="E112" i="9"/>
  <c r="AT143" i="11" l="1"/>
  <c r="AT139" i="11"/>
  <c r="AQ139" i="11"/>
  <c r="AS139" i="11" s="1"/>
  <c r="AT138" i="11"/>
  <c r="AS138" i="11"/>
  <c r="AT137" i="11"/>
  <c r="AS137" i="11"/>
  <c r="AT136" i="11"/>
  <c r="AS136" i="11"/>
  <c r="AT132" i="11"/>
  <c r="AS132" i="11"/>
  <c r="AT131" i="11"/>
  <c r="AS131" i="11"/>
  <c r="AT130" i="11"/>
  <c r="AS130" i="11"/>
  <c r="AT128" i="11"/>
  <c r="AS128" i="11"/>
  <c r="AT127" i="11"/>
  <c r="AS127" i="11"/>
  <c r="AT126" i="11"/>
  <c r="AS126" i="11"/>
  <c r="AT125" i="11"/>
  <c r="AQ125" i="11"/>
  <c r="AQ143" i="11" s="1"/>
  <c r="AS143" i="11" s="1"/>
  <c r="AT124" i="11"/>
  <c r="AQ124" i="11"/>
  <c r="AS124" i="11" s="1"/>
  <c r="AT120" i="11"/>
  <c r="AS120" i="11"/>
  <c r="AT118" i="11"/>
  <c r="AS118" i="11"/>
  <c r="AT117" i="11"/>
  <c r="AS117" i="11"/>
  <c r="AT116" i="11"/>
  <c r="AS116" i="11"/>
  <c r="AT115" i="11"/>
  <c r="AS115" i="11"/>
  <c r="AT114" i="11"/>
  <c r="AS114" i="11"/>
  <c r="AT113" i="11"/>
  <c r="AQ113" i="11"/>
  <c r="AS113" i="11" s="1"/>
  <c r="AT104" i="11"/>
  <c r="AS104" i="11"/>
  <c r="AT103" i="11"/>
  <c r="AS103" i="11"/>
  <c r="AT102" i="11"/>
  <c r="AS102" i="11"/>
  <c r="AT101" i="11"/>
  <c r="AS101" i="11"/>
  <c r="AT100" i="11"/>
  <c r="AS100" i="11"/>
  <c r="AT99" i="11"/>
  <c r="AS99" i="11"/>
  <c r="AT95" i="11"/>
  <c r="AS95" i="11"/>
  <c r="AT94" i="11"/>
  <c r="AS94" i="11"/>
  <c r="AT92" i="11"/>
  <c r="AS92" i="11"/>
  <c r="AT91" i="11"/>
  <c r="AS91" i="11"/>
  <c r="AT90" i="11"/>
  <c r="AQ90" i="11"/>
  <c r="AS90" i="11" s="1"/>
  <c r="AT89" i="11"/>
  <c r="AS89" i="11"/>
  <c r="AT85" i="11"/>
  <c r="AS85" i="11"/>
  <c r="AT71" i="11"/>
  <c r="AS71" i="11"/>
  <c r="AT69" i="11"/>
  <c r="AS69" i="11"/>
  <c r="AT68" i="11"/>
  <c r="AS68" i="11"/>
  <c r="AT67" i="11"/>
  <c r="AS67" i="11"/>
  <c r="AT66" i="11"/>
  <c r="AS66" i="11"/>
  <c r="AT64" i="11"/>
  <c r="AS64" i="11"/>
  <c r="AT63" i="11"/>
  <c r="AS63" i="11"/>
  <c r="AT62" i="11"/>
  <c r="AS62" i="11"/>
  <c r="AT61" i="11"/>
  <c r="AS61" i="11"/>
  <c r="AT60" i="11"/>
  <c r="AS60" i="11"/>
  <c r="AT58" i="11"/>
  <c r="AS58" i="11"/>
  <c r="AT57" i="11"/>
  <c r="AS57" i="11"/>
  <c r="AT56" i="11"/>
  <c r="AS56" i="11"/>
  <c r="AT55" i="11"/>
  <c r="AS55" i="11"/>
  <c r="AT53" i="11"/>
  <c r="AQ53" i="11"/>
  <c r="AS53" i="11" s="1"/>
  <c r="AT52" i="11"/>
  <c r="AS52" i="11"/>
  <c r="AT28" i="11"/>
  <c r="AS28" i="11"/>
  <c r="AT27" i="11"/>
  <c r="AS27" i="11"/>
  <c r="AT26" i="11"/>
  <c r="AS26" i="11"/>
  <c r="AT25" i="11"/>
  <c r="AS25" i="11"/>
  <c r="AT24" i="11"/>
  <c r="AS24" i="11"/>
  <c r="AT23" i="11"/>
  <c r="AS23" i="11"/>
  <c r="AT21" i="11"/>
  <c r="AQ21" i="11"/>
  <c r="AS21" i="11" s="1"/>
  <c r="AT16" i="11"/>
  <c r="AS16" i="11"/>
  <c r="AT15" i="11"/>
  <c r="AS15" i="11"/>
  <c r="AT14" i="11"/>
  <c r="AS14" i="11"/>
  <c r="AT12" i="11"/>
  <c r="AS12" i="11"/>
  <c r="AT11" i="11"/>
  <c r="AS11" i="11"/>
  <c r="AT8" i="11"/>
  <c r="AS8" i="11"/>
  <c r="AT7" i="11"/>
  <c r="AS7" i="11"/>
  <c r="AT6" i="11"/>
  <c r="AS6" i="11"/>
  <c r="AT5" i="11"/>
  <c r="AS5" i="11"/>
  <c r="I12" i="1"/>
  <c r="H12" i="1"/>
  <c r="G12" i="1"/>
  <c r="F12" i="1"/>
  <c r="E12" i="1"/>
  <c r="D12" i="1"/>
  <c r="J12" i="1"/>
  <c r="F14" i="12"/>
  <c r="F13" i="12"/>
  <c r="F12" i="12"/>
  <c r="F11" i="12"/>
  <c r="F10" i="12"/>
  <c r="F9" i="12"/>
  <c r="F8" i="12"/>
  <c r="F7" i="12"/>
  <c r="AS125" i="11" l="1"/>
  <c r="T177" i="9"/>
  <c r="T195" i="9"/>
  <c r="K106" i="9"/>
  <c r="P170" i="9" l="1"/>
  <c r="K98" i="9"/>
  <c r="K91" i="9"/>
  <c r="K107" i="9"/>
  <c r="K105" i="9"/>
  <c r="K108" i="9"/>
  <c r="P112" i="9"/>
  <c r="K100" i="9"/>
  <c r="K93" i="9"/>
  <c r="K90" i="9"/>
  <c r="K111" i="9"/>
  <c r="K54" i="9" l="1"/>
  <c r="K86" i="9"/>
  <c r="T170" i="9"/>
  <c r="K152" i="9"/>
  <c r="K22" i="9"/>
  <c r="K112" i="9"/>
  <c r="K146" i="9"/>
  <c r="K119" i="9"/>
  <c r="Q104" i="9"/>
</calcChain>
</file>

<file path=xl/sharedStrings.xml><?xml version="1.0" encoding="utf-8"?>
<sst xmlns="http://schemas.openxmlformats.org/spreadsheetml/2006/main" count="728" uniqueCount="289">
  <si>
    <t>EQUITY BASED FUNDS</t>
  </si>
  <si>
    <t>S/N</t>
  </si>
  <si>
    <t>FUND</t>
  </si>
  <si>
    <t>Unit Price</t>
  </si>
  <si>
    <t>N</t>
  </si>
  <si>
    <t>Stanbic IBTC Asset Mgt. Limited</t>
  </si>
  <si>
    <t>Asset &amp; Resources Mgt. Co. Ltd</t>
  </si>
  <si>
    <t>FSDH Asset Management Ltd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</si>
  <si>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</si>
  <si>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</si>
  <si>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</si>
  <si>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</si>
  <si>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</si>
  <si>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</si>
  <si>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</si>
  <si>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</si>
  <si>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</si>
  <si>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</si>
  <si>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</si>
  <si>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</si>
  <si>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</si>
  <si>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</si>
  <si>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</si>
  <si>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</si>
  <si>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</si>
  <si>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</si>
  <si>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</si>
  <si>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</si>
  <si>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</si>
  <si>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</si>
  <si>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</si>
  <si>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</si>
  <si>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</si>
  <si>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</si>
  <si>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</si>
  <si>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</si>
  <si>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</si>
  <si>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</si>
  <si>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</si>
  <si>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</si>
  <si>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</si>
  <si>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</si>
  <si>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</si>
  <si>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</si>
  <si>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</si>
  <si>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</si>
  <si>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</si>
  <si>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</si>
  <si>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PACAM Balanced Fund</t>
  </si>
  <si>
    <t>Vantage Guaranteed Income Fund</t>
  </si>
  <si>
    <t>VCG ETF</t>
  </si>
  <si>
    <t>VI ETF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</si>
  <si>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</si>
  <si>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</si>
  <si>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</si>
  <si>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</si>
  <si>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</si>
  <si>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</si>
  <si>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</si>
  <si>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</si>
  <si>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</si>
  <si>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</si>
  <si>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</si>
  <si>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</si>
  <si>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</si>
  <si>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</si>
  <si>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</si>
  <si>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</si>
  <si>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</si>
  <si>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</si>
  <si>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</si>
  <si>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</si>
  <si>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</si>
  <si>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</si>
  <si>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</si>
  <si>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</si>
  <si>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</si>
  <si>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</si>
  <si>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</si>
  <si>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</si>
  <si>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</si>
  <si>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</si>
  <si>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</si>
  <si>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</si>
  <si>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</si>
  <si>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</si>
  <si>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</si>
  <si>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</si>
  <si>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</si>
  <si>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</si>
  <si>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</si>
  <si>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</si>
  <si>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</si>
  <si>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</si>
  <si>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</si>
  <si>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</si>
  <si>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</si>
  <si>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</si>
  <si>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EDC Fund Management Limited</t>
  </si>
  <si>
    <t>EDC Money Market Fund Class B</t>
  </si>
  <si>
    <t>EDC Money Market Fund Class A</t>
  </si>
  <si>
    <t>EDC Fixed Income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</si>
  <si>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</si>
  <si>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</si>
  <si>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</si>
  <si>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</si>
  <si>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</si>
  <si>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</si>
  <si>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</si>
  <si>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</si>
  <si>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</si>
  <si>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</si>
  <si>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</si>
  <si>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</si>
  <si>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</si>
  <si>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</si>
  <si>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</si>
  <si>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</si>
  <si>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</si>
  <si>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</si>
  <si>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Legacy USD Bond Fund</t>
  </si>
  <si>
    <t>Legacy Money Market Fund</t>
  </si>
  <si>
    <t>GDL Money Market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</si>
  <si>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</si>
  <si>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</si>
  <si>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</si>
  <si>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</si>
  <si>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</si>
  <si>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</si>
  <si>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</si>
  <si>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</si>
  <si>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</si>
  <si>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</si>
  <si>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</si>
  <si>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</si>
  <si>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</si>
  <si>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</si>
  <si>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</si>
  <si>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</si>
  <si>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</si>
  <si>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</si>
  <si>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</si>
  <si>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</si>
  <si>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</si>
  <si>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</si>
  <si>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</si>
  <si>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</si>
  <si>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</si>
  <si>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</si>
  <si>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</si>
  <si>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</si>
  <si>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</si>
  <si>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</si>
  <si>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</si>
  <si>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</si>
  <si>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</si>
  <si>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</si>
  <si>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</si>
  <si>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</si>
  <si>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 xml:space="preserve">Novambl Asset Management 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</si>
  <si>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</si>
  <si>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</si>
  <si>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</si>
  <si>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</si>
  <si>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</si>
  <si>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</si>
  <si>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</si>
  <si>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</si>
  <si>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</si>
  <si>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</si>
  <si>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</si>
  <si>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</si>
  <si>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</si>
  <si>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</si>
  <si>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</si>
  <si>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</si>
  <si>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</si>
  <si>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</si>
  <si>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</si>
  <si>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</si>
  <si>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</si>
  <si>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</si>
  <si>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</si>
  <si>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</si>
  <si>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</si>
  <si>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</si>
  <si>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</si>
  <si>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</si>
  <si>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</si>
  <si>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FBN Balanced Fund</t>
  </si>
  <si>
    <t>Nigeria Dollar Income Fund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</si>
  <si>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</si>
  <si>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</si>
  <si>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</si>
  <si>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</si>
  <si>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</si>
  <si>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</si>
  <si>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</si>
  <si>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</si>
  <si>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</si>
  <si>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</si>
  <si>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</si>
  <si>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</si>
  <si>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</si>
  <si>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</si>
  <si>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</si>
  <si>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</si>
  <si>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</si>
  <si>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</si>
  <si>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</si>
  <si>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</si>
  <si>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</si>
  <si>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</si>
  <si>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</si>
  <si>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Difference</t>
  </si>
  <si>
    <t>Futureview Equity Fund</t>
  </si>
  <si>
    <t>Futureview Asset Management Limited</t>
  </si>
  <si>
    <t>Nigeria Infrastructure Debt Fund (NIDF)</t>
  </si>
  <si>
    <t>Nigerian Bond Fund</t>
  </si>
  <si>
    <t>BALANCED FUNDS</t>
  </si>
  <si>
    <t>Cordros Fixed Income Fund</t>
  </si>
  <si>
    <t>Greenwich ALPHA ETF</t>
  </si>
  <si>
    <t>Nigeria Real Estate Investment Trust</t>
  </si>
  <si>
    <t>Stanbic IBTC Nigerian Equity Fund</t>
  </si>
  <si>
    <t>ARM Short Term Bond Fund</t>
  </si>
  <si>
    <t>AXA Mansard Dollar Bond Fund</t>
  </si>
  <si>
    <t>CapitalTrust Halal Fixed Income Fund</t>
  </si>
  <si>
    <t>CapitalTrust Investments &amp; Asset Management Ltd.</t>
  </si>
  <si>
    <t>Coral Money Market Fund</t>
  </si>
  <si>
    <t>Cordros Halal Fixed Income Fund</t>
  </si>
  <si>
    <t>Nigeria Bond Fund</t>
  </si>
  <si>
    <t>Women's Balanced Fund</t>
  </si>
  <si>
    <t>EDC Balanced Fund</t>
  </si>
  <si>
    <t>EDC Halal Fund</t>
  </si>
  <si>
    <t>Futureview Dollar Fund</t>
  </si>
  <si>
    <t>DLM Asset Management Limited</t>
  </si>
  <si>
    <t>DLM Fixed Income Fund</t>
  </si>
  <si>
    <t>FBN Dollar Fund (Retail)</t>
  </si>
  <si>
    <t>United Capital Wealth for Women Fund</t>
  </si>
  <si>
    <t>Balanced Strategy Fund</t>
  </si>
  <si>
    <t>Guaranty Trust Fund Managers</t>
  </si>
  <si>
    <t>United Capital Infrastructure Fund</t>
  </si>
  <si>
    <t>Cowry Treasurers Limited</t>
  </si>
  <si>
    <t>UBA Nom-Cowry Balanced Fund</t>
  </si>
  <si>
    <t>TOTAL</t>
  </si>
  <si>
    <t>Norrenberger Dollar Fund</t>
  </si>
  <si>
    <t>FBN Bond Fund</t>
  </si>
  <si>
    <t>United Capital Nigerian Eurobond Fund</t>
  </si>
  <si>
    <t>United Capital Global Fixed Income Fund</t>
  </si>
  <si>
    <t>Yield (WTD)</t>
  </si>
  <si>
    <t>Yield  (YTD)</t>
  </si>
  <si>
    <t>Greenwich Balanced Fund</t>
  </si>
  <si>
    <t>Yield (%) WYD</t>
  </si>
  <si>
    <t>Yield (%) YTD</t>
  </si>
  <si>
    <t>Coronation Asset Management Ltd</t>
  </si>
  <si>
    <t>% Change in Total NAV of ETFs</t>
  </si>
  <si>
    <t>% Change in Total NAV of CIS</t>
  </si>
  <si>
    <t>First Ally Money Market Fund</t>
  </si>
  <si>
    <t>BOND/FIXED INCOME FUNDS</t>
  </si>
  <si>
    <t>Emerging Africa Balanced-Diversity Fund</t>
  </si>
  <si>
    <t>GDL CanaryGrowth Fund</t>
  </si>
  <si>
    <t>Coral Balanced Fund</t>
  </si>
  <si>
    <t>FBN Specialized Dollar Fund</t>
  </si>
  <si>
    <t>Guaranty Trust Equity Income Fund (GTEIF)</t>
  </si>
  <si>
    <t>Guaranty Trust Money Market Fund (GTMMF)</t>
  </si>
  <si>
    <t>Vantage Guaranteed Income Fund (VGIF)</t>
  </si>
  <si>
    <t>Vantage Dollar Fund (VDF)</t>
  </si>
  <si>
    <t>Guaranty Trust Balanced Fund (GTBF)</t>
  </si>
  <si>
    <t>NAV and Unit Price as at Week Ended July 28, 2023</t>
  </si>
  <si>
    <t>NAV and Unit Price as at Week Ended August 4, 2023</t>
  </si>
  <si>
    <t>NAV and Unit Price as at Week Ended August 11, 2023</t>
  </si>
  <si>
    <t>EDC Dollar Fund</t>
  </si>
  <si>
    <t>NAV and Unit Price as at Week Ended August 18, 2023</t>
  </si>
  <si>
    <t>NAV and Unit Price as at Week Ended August 25, 2023</t>
  </si>
  <si>
    <t>NAV and Unit Price as at Week Ended September 1, 2023</t>
  </si>
  <si>
    <t>Marble Halal Commodities Fund</t>
  </si>
  <si>
    <t xml:space="preserve">Marble Capital Limited </t>
  </si>
  <si>
    <t>NAV and Unit Price as at Week Ended September 8, 2023</t>
  </si>
  <si>
    <t>NAV, Unit Price and Yield as at Week Ended September 15, 2023</t>
  </si>
  <si>
    <t>ESG Impact Fund</t>
  </si>
  <si>
    <t>Zenith Asset Management Ltd.</t>
  </si>
  <si>
    <t>Cowry Balanced Fund</t>
  </si>
  <si>
    <t>Cowry Fixed Income Fund</t>
  </si>
  <si>
    <t>Cowry Equity Fund</t>
  </si>
  <si>
    <t>NAV and Unit Price as at Week Ended September 15, 2023</t>
  </si>
  <si>
    <t>NET ASSET VALUES AND UNIT PRICES OF COLLECTIVE INVESTMENT SCHEMES AS AT WEEK ENDED SEPTEMBER 22, 2023</t>
  </si>
  <si>
    <t>NAV, Unit Price and Yield as at Week Ended September 22, 2023</t>
  </si>
  <si>
    <t>NAV and Unit Price as at Week Ended September 22, 2023</t>
  </si>
  <si>
    <t>The chart above shows that Money Market Fund category has 44.08% share of the Net Asset Value (NAV), followed by Dollar Fund (Eurobonds and Fixed Income) with 29.75%, Bond/Fixed Income Fund at 15.54%, Real Estate Investment Trust at 4.82%.  Next is Shari'ah Compliant Fund at 2.36%, Balanced Fund at 2.08%, Equity Fund at 1.17% and Ethical Fund at 0.20%.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</si>
</sst>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[$€-2]\ #,##0.00_);[Red]\([$€-2]\ #,##0.00\)"/>
    <numFmt numFmtId="169" formatCode="_-* #,##0.0000_-;\-* #,##0.0000_-;_-* &quot;-&quot;??_-;_-@_-"/>
    <numFmt numFmtId="170" formatCode="&quot;True&quot;;&quot;True&quot;;&quot;False&quot;"/>
    <numFmt numFmtId="171" formatCode="#,##0_ ;\-#,##0\ "/>
    <numFmt numFmtId="172" formatCode="&quot; &quot;#,##0.00&quot; &quot;;&quot;-&quot;#,##0.00&quot; &quot;;&quot; -&quot;00&quot; &quot;;&quot; &quot;@&quot; &quot;"/>
    <numFmt numFmtId="173" formatCode="_([$€]* #,##0.00_);_([$€]* \(#,##0.00\);_([$€]* &quot;-&quot;??_);_(@_)"/>
  </numFmts>
  <fonts count="97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i/>
      <sz val="8"/>
      <name val="Arial Narrow"/>
      <family val="2"/>
    </font>
    <font>
      <i/>
      <sz val="8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14"/>
      <color rgb="FF002060"/>
      <name val="Calibri"/>
      <family val="2"/>
      <scheme val="minor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u/>
      <sz val="11"/>
      <color theme="1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2"/>
      <color theme="1"/>
      <name val="Book Antiqua"/>
      <family val="2"/>
    </font>
    <font>
      <sz val="11"/>
      <color theme="1"/>
      <name val="Book Antiqua"/>
      <family val="2"/>
    </font>
    <font>
      <b/>
      <sz val="14"/>
      <color rgb="FFFF0000"/>
      <name val="Calibri"/>
      <family val="2"/>
      <scheme val="minor"/>
    </font>
    <font>
      <b/>
      <i/>
      <sz val="10"/>
      <color theme="4"/>
      <name val="Calibri"/>
      <family val="2"/>
      <scheme val="minor"/>
    </font>
    <font>
      <b/>
      <sz val="16"/>
      <color theme="0"/>
      <name val="Arial Narrow"/>
      <family val="2"/>
    </font>
    <font>
      <b/>
      <sz val="10"/>
      <color theme="0"/>
      <name val="Arial Narrow"/>
      <family val="2"/>
    </font>
    <font>
      <b/>
      <sz val="36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</font>
  </fonts>
  <fills count="5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351">
    <xf numFmtId="0" fontId="0" fillId="0" borderId="0"/>
    <xf numFmtId="0" fontId="6" fillId="2" borderId="0" applyNumberFormat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14" borderId="0" applyNumberFormat="0" applyBorder="0" applyAlignment="0" applyProtection="0"/>
    <xf numFmtId="0" fontId="45" fillId="16" borderId="15" applyNumberFormat="0" applyAlignment="0" applyProtection="0"/>
    <xf numFmtId="0" fontId="46" fillId="17" borderId="16" applyNumberFormat="0" applyAlignment="0" applyProtection="0"/>
    <xf numFmtId="0" fontId="47" fillId="17" borderId="15" applyNumberFormat="0" applyAlignment="0" applyProtection="0"/>
    <xf numFmtId="0" fontId="48" fillId="0" borderId="17" applyNumberFormat="0" applyFill="0" applyAlignment="0" applyProtection="0"/>
    <xf numFmtId="0" fontId="49" fillId="18" borderId="18" applyNumberFormat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1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1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1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1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1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1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2" fillId="0" borderId="0"/>
    <xf numFmtId="43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4" fillId="0" borderId="0"/>
    <xf numFmtId="0" fontId="55" fillId="0" borderId="0" applyNumberFormat="0" applyFill="0" applyBorder="0" applyAlignment="0" applyProtection="0"/>
    <xf numFmtId="0" fontId="44" fillId="15" borderId="0" applyNumberFormat="0" applyBorder="0" applyAlignment="0" applyProtection="0"/>
    <xf numFmtId="0" fontId="51" fillId="23" borderId="0" applyNumberFormat="0" applyBorder="0" applyAlignment="0" applyProtection="0"/>
    <xf numFmtId="0" fontId="51" fillId="27" borderId="0" applyNumberFormat="0" applyBorder="0" applyAlignment="0" applyProtection="0"/>
    <xf numFmtId="0" fontId="51" fillId="31" borderId="0" applyNumberFormat="0" applyBorder="0" applyAlignment="0" applyProtection="0"/>
    <xf numFmtId="0" fontId="51" fillId="35" borderId="0" applyNumberFormat="0" applyBorder="0" applyAlignment="0" applyProtection="0"/>
    <xf numFmtId="0" fontId="51" fillId="39" borderId="0" applyNumberFormat="0" applyBorder="0" applyAlignment="0" applyProtection="0"/>
    <xf numFmtId="0" fontId="51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6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52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2" fillId="0" borderId="0"/>
    <xf numFmtId="43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44" fillId="15" borderId="0" applyNumberFormat="0" applyBorder="0" applyAlignment="0" applyProtection="0"/>
    <xf numFmtId="0" fontId="51" fillId="23" borderId="0" applyNumberFormat="0" applyBorder="0" applyAlignment="0" applyProtection="0"/>
    <xf numFmtId="0" fontId="51" fillId="27" borderId="0" applyNumberFormat="0" applyBorder="0" applyAlignment="0" applyProtection="0"/>
    <xf numFmtId="0" fontId="51" fillId="31" borderId="0" applyNumberFormat="0" applyBorder="0" applyAlignment="0" applyProtection="0"/>
    <xf numFmtId="0" fontId="51" fillId="35" borderId="0" applyNumberFormat="0" applyBorder="0" applyAlignment="0" applyProtection="0"/>
    <xf numFmtId="0" fontId="51" fillId="39" borderId="0" applyNumberFormat="0" applyBorder="0" applyAlignment="0" applyProtection="0"/>
    <xf numFmtId="0" fontId="51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2" fillId="0" borderId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5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2" fillId="0" borderId="0"/>
    <xf numFmtId="43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2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7" fillId="0" borderId="0"/>
    <xf numFmtId="0" fontId="69" fillId="0" borderId="0" applyNumberFormat="0" applyFill="0" applyBorder="0" applyAlignment="0" applyProtection="0"/>
    <xf numFmtId="0" fontId="44" fillId="15" borderId="0" applyNumberFormat="0" applyBorder="0" applyAlignment="0" applyProtection="0"/>
    <xf numFmtId="0" fontId="5" fillId="19" borderId="19" applyNumberFormat="0" applyFont="0" applyAlignment="0" applyProtection="0"/>
    <xf numFmtId="0" fontId="51" fillId="23" borderId="0" applyNumberFormat="0" applyBorder="0" applyAlignment="0" applyProtection="0"/>
    <xf numFmtId="0" fontId="51" fillId="27" borderId="0" applyNumberFormat="0" applyBorder="0" applyAlignment="0" applyProtection="0"/>
    <xf numFmtId="0" fontId="51" fillId="31" borderId="0" applyNumberFormat="0" applyBorder="0" applyAlignment="0" applyProtection="0"/>
    <xf numFmtId="0" fontId="51" fillId="35" borderId="0" applyNumberFormat="0" applyBorder="0" applyAlignment="0" applyProtection="0"/>
    <xf numFmtId="0" fontId="51" fillId="39" borderId="0" applyNumberFormat="0" applyBorder="0" applyAlignment="0" applyProtection="0"/>
    <xf numFmtId="0" fontId="51" fillId="43" borderId="0" applyNumberFormat="0" applyBorder="0" applyAlignment="0" applyProtection="0"/>
    <xf numFmtId="43" fontId="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0" fontId="54" fillId="0" borderId="0"/>
    <xf numFmtId="0" fontId="54" fillId="0" borderId="0"/>
    <xf numFmtId="0" fontId="52" fillId="0" borderId="0"/>
    <xf numFmtId="0" fontId="54" fillId="0" borderId="0"/>
    <xf numFmtId="0" fontId="54" fillId="0" borderId="0"/>
    <xf numFmtId="0" fontId="54" fillId="0" borderId="0"/>
    <xf numFmtId="0" fontId="73" fillId="0" borderId="0">
      <alignment vertical="top"/>
    </xf>
    <xf numFmtId="0" fontId="73" fillId="0" borderId="0">
      <alignment vertical="top"/>
    </xf>
    <xf numFmtId="0" fontId="52" fillId="0" borderId="0">
      <alignment wrapText="1"/>
    </xf>
    <xf numFmtId="0" fontId="54" fillId="0" borderId="0"/>
    <xf numFmtId="0" fontId="5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4" fillId="0" borderId="0"/>
    <xf numFmtId="164" fontId="52" fillId="0" borderId="0" applyFont="0" applyFill="0" applyBorder="0" applyAlignment="0" applyProtection="0"/>
    <xf numFmtId="0" fontId="75" fillId="48" borderId="0" applyNumberFormat="0" applyBorder="0" applyAlignment="0" applyProtection="0"/>
    <xf numFmtId="0" fontId="76" fillId="16" borderId="15" applyNumberFormat="0" applyAlignment="0" applyProtection="0"/>
    <xf numFmtId="0" fontId="77" fillId="17" borderId="1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0"/>
    <xf numFmtId="0" fontId="5" fillId="0" borderId="0"/>
    <xf numFmtId="0" fontId="52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2" fillId="0" borderId="0"/>
    <xf numFmtId="43" fontId="5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2" fillId="0" borderId="0"/>
    <xf numFmtId="9" fontId="5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43" fontId="5" fillId="0" borderId="0" applyFon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/>
    <xf numFmtId="43" fontId="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86" fillId="0" borderId="0" applyFont="0" applyFill="0" applyBorder="0" applyAlignment="0" applyProtection="0"/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86" fillId="0" borderId="0"/>
    <xf numFmtId="0" fontId="52" fillId="0" borderId="0">
      <alignment wrapText="1"/>
    </xf>
    <xf numFmtId="0" fontId="52" fillId="0" borderId="0">
      <alignment wrapText="1"/>
    </xf>
    <xf numFmtId="0" fontId="73" fillId="0" borderId="0">
      <alignment vertical="top"/>
    </xf>
    <xf numFmtId="0" fontId="85" fillId="0" borderId="0" applyNumberFormat="0" applyBorder="0" applyProtection="0">
      <alignment vertical="top"/>
    </xf>
    <xf numFmtId="0" fontId="56" fillId="0" borderId="0"/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85" fillId="0" borderId="0" applyNumberFormat="0" applyBorder="0" applyProtection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85" fillId="0" borderId="0" applyNumberFormat="0" applyBorder="0" applyProtection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85" fillId="0" borderId="0" applyNumberFormat="0" applyBorder="0" applyProtection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85" fillId="0" borderId="0" applyNumberFormat="0" applyBorder="0" applyProtection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85" fillId="0" borderId="0" applyNumberFormat="0" applyBorder="0" applyProtection="0">
      <alignment vertical="top"/>
    </xf>
    <xf numFmtId="0" fontId="73" fillId="0" borderId="0">
      <alignment vertical="top"/>
    </xf>
    <xf numFmtId="0" fontId="85" fillId="0" borderId="0" applyNumberFormat="0" applyBorder="0" applyProtection="0">
      <alignment vertical="top"/>
    </xf>
    <xf numFmtId="0" fontId="73" fillId="0" borderId="0">
      <alignment vertical="top"/>
    </xf>
    <xf numFmtId="0" fontId="85" fillId="0" borderId="0" applyNumberFormat="0" applyBorder="0" applyProtection="0">
      <alignment vertical="top"/>
    </xf>
    <xf numFmtId="0" fontId="73" fillId="0" borderId="0">
      <alignment vertical="top"/>
    </xf>
    <xf numFmtId="0" fontId="85" fillId="0" borderId="0" applyNumberFormat="0" applyBorder="0" applyProtection="0">
      <alignment vertical="top"/>
    </xf>
    <xf numFmtId="0" fontId="73" fillId="0" borderId="0">
      <alignment vertical="top"/>
    </xf>
    <xf numFmtId="0" fontId="85" fillId="0" borderId="0" applyNumberFormat="0" applyBorder="0" applyProtection="0">
      <alignment vertical="top"/>
    </xf>
    <xf numFmtId="0" fontId="73" fillId="0" borderId="0">
      <alignment vertical="top"/>
    </xf>
    <xf numFmtId="0" fontId="85" fillId="0" borderId="0" applyNumberFormat="0" applyBorder="0" applyProtection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85" fillId="0" borderId="0" applyNumberFormat="0" applyBorder="0" applyProtection="0">
      <alignment vertical="top"/>
    </xf>
    <xf numFmtId="0" fontId="85" fillId="0" borderId="0" applyNumberFormat="0" applyBorder="0" applyProtection="0">
      <alignment vertical="top"/>
    </xf>
    <xf numFmtId="0" fontId="85" fillId="0" borderId="0" applyNumberFormat="0" applyBorder="0" applyProtection="0">
      <alignment vertical="top"/>
    </xf>
    <xf numFmtId="0" fontId="85" fillId="0" borderId="0" applyNumberFormat="0" applyBorder="0" applyProtection="0">
      <alignment vertical="top"/>
    </xf>
    <xf numFmtId="0" fontId="85" fillId="0" borderId="0" applyNumberFormat="0" applyBorder="0" applyProtection="0">
      <alignment vertical="top"/>
    </xf>
    <xf numFmtId="0" fontId="85" fillId="0" borderId="0" applyNumberFormat="0" applyBorder="0" applyProtection="0">
      <alignment vertical="top"/>
    </xf>
    <xf numFmtId="0" fontId="85" fillId="0" borderId="0" applyNumberFormat="0" applyBorder="0" applyProtection="0">
      <alignment vertical="top"/>
    </xf>
    <xf numFmtId="0" fontId="85" fillId="0" borderId="0" applyNumberFormat="0" applyBorder="0" applyProtection="0">
      <alignment vertical="top"/>
    </xf>
    <xf numFmtId="0" fontId="85" fillId="0" borderId="0" applyNumberFormat="0" applyBorder="0" applyProtection="0">
      <alignment vertical="top"/>
    </xf>
    <xf numFmtId="0" fontId="85" fillId="0" borderId="0" applyNumberFormat="0" applyBorder="0" applyProtection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85" fillId="0" borderId="0" applyNumberFormat="0" applyBorder="0" applyProtection="0">
      <alignment vertical="top"/>
    </xf>
    <xf numFmtId="0" fontId="85" fillId="0" borderId="0" applyNumberFormat="0" applyBorder="0" applyProtection="0">
      <alignment vertical="top"/>
    </xf>
    <xf numFmtId="0" fontId="85" fillId="0" borderId="0" applyNumberFormat="0" applyBorder="0" applyProtection="0">
      <alignment vertical="top"/>
    </xf>
    <xf numFmtId="0" fontId="85" fillId="0" borderId="0" applyNumberFormat="0" applyBorder="0" applyProtection="0">
      <alignment vertical="top"/>
    </xf>
    <xf numFmtId="0" fontId="85" fillId="0" borderId="0" applyNumberFormat="0" applyBorder="0" applyProtection="0">
      <alignment vertical="top"/>
    </xf>
    <xf numFmtId="0" fontId="85" fillId="0" borderId="0" applyNumberFormat="0" applyBorder="0" applyProtection="0">
      <alignment vertical="top"/>
    </xf>
    <xf numFmtId="0" fontId="85" fillId="0" borderId="0" applyNumberFormat="0" applyBorder="0" applyProtection="0">
      <alignment vertical="top"/>
    </xf>
    <xf numFmtId="0" fontId="85" fillId="0" borderId="0" applyNumberFormat="0" applyBorder="0" applyProtection="0">
      <alignment vertical="top"/>
    </xf>
    <xf numFmtId="0" fontId="85" fillId="0" borderId="0" applyNumberFormat="0" applyBorder="0" applyProtection="0">
      <alignment vertical="top"/>
    </xf>
    <xf numFmtId="0" fontId="85" fillId="0" borderId="0" applyNumberFormat="0" applyBorder="0" applyProtection="0">
      <alignment vertical="top"/>
    </xf>
    <xf numFmtId="0" fontId="85" fillId="0" borderId="0" applyNumberFormat="0" applyBorder="0" applyProtection="0">
      <alignment vertical="top"/>
    </xf>
    <xf numFmtId="0" fontId="85" fillId="0" borderId="0" applyNumberFormat="0" applyBorder="0" applyProtection="0">
      <alignment vertical="top"/>
    </xf>
    <xf numFmtId="0" fontId="85" fillId="0" borderId="0" applyNumberFormat="0" applyBorder="0" applyProtection="0">
      <alignment vertical="top"/>
    </xf>
    <xf numFmtId="0" fontId="85" fillId="0" borderId="0" applyNumberFormat="0" applyBorder="0" applyProtection="0">
      <alignment vertical="top"/>
    </xf>
    <xf numFmtId="0" fontId="85" fillId="0" borderId="0" applyNumberFormat="0" applyBorder="0" applyProtection="0">
      <alignment vertical="top"/>
    </xf>
    <xf numFmtId="0" fontId="85" fillId="0" borderId="0" applyNumberFormat="0" applyBorder="0" applyProtection="0">
      <alignment vertical="top"/>
    </xf>
    <xf numFmtId="0" fontId="85" fillId="0" borderId="0" applyNumberFormat="0" applyBorder="0" applyProtection="0">
      <alignment vertical="top"/>
    </xf>
    <xf numFmtId="0" fontId="85" fillId="0" borderId="0" applyNumberFormat="0" applyBorder="0" applyProtection="0">
      <alignment vertical="top"/>
    </xf>
    <xf numFmtId="0" fontId="85" fillId="0" borderId="0" applyNumberFormat="0" applyBorder="0" applyProtection="0">
      <alignment vertical="top"/>
    </xf>
    <xf numFmtId="0" fontId="85" fillId="0" borderId="0" applyNumberFormat="0" applyBorder="0" applyProtection="0">
      <alignment vertical="top"/>
    </xf>
    <xf numFmtId="0" fontId="85" fillId="0" borderId="0" applyNumberFormat="0" applyBorder="0" applyProtection="0">
      <alignment vertical="top"/>
    </xf>
    <xf numFmtId="0" fontId="86" fillId="0" borderId="0" applyNumberFormat="0" applyFont="0" applyBorder="0" applyProtection="0"/>
    <xf numFmtId="0" fontId="85" fillId="0" borderId="0" applyNumberFormat="0" applyBorder="0" applyProtection="0">
      <alignment vertical="top"/>
    </xf>
    <xf numFmtId="0" fontId="85" fillId="0" borderId="0" applyNumberFormat="0" applyBorder="0" applyProtection="0">
      <alignment vertical="top"/>
    </xf>
    <xf numFmtId="0" fontId="85" fillId="0" borderId="0" applyNumberFormat="0" applyBorder="0" applyProtection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5" fillId="19" borderId="19" applyNumberFormat="0" applyFont="0" applyAlignment="0" applyProtection="0"/>
    <xf numFmtId="9" fontId="56" fillId="0" borderId="0" applyFont="0" applyFill="0" applyBorder="0" applyAlignment="0" applyProtection="0"/>
    <xf numFmtId="9" fontId="86" fillId="0" borderId="0" applyFont="0" applyFill="0" applyBorder="0" applyAlignment="0" applyProtection="0"/>
    <xf numFmtId="169" fontId="52" fillId="0" borderId="0" applyFont="0" applyFill="0" applyBorder="0" applyAlignment="0" applyProtection="0">
      <alignment wrapText="1"/>
    </xf>
    <xf numFmtId="43" fontId="38" fillId="0" borderId="0" applyFont="0" applyFill="0" applyBorder="0" applyAlignment="0" applyProtection="0"/>
    <xf numFmtId="43" fontId="87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2" fillId="0" borderId="0" applyFont="0" applyFill="0" applyBorder="0" applyAlignment="0" applyProtection="0"/>
    <xf numFmtId="43" fontId="87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2" fillId="0" borderId="0" applyFont="0" applyFill="0" applyBorder="0" applyAlignment="0" applyProtection="0">
      <alignment wrapText="1"/>
    </xf>
    <xf numFmtId="43" fontId="52" fillId="0" borderId="0" applyFont="0" applyFill="0" applyBorder="0" applyAlignment="0" applyProtection="0">
      <alignment wrapText="1"/>
    </xf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2" fillId="0" borderId="0" applyFont="0" applyFill="0" applyBorder="0" applyAlignment="0" applyProtection="0">
      <alignment wrapText="1"/>
    </xf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7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2" fillId="0" borderId="0">
      <alignment wrapText="1"/>
    </xf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2" fillId="0" borderId="0" applyFont="0" applyFill="0" applyBorder="0" applyAlignment="0" applyProtection="0">
      <alignment wrapText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8" fillId="0" borderId="0"/>
    <xf numFmtId="0" fontId="52" fillId="0" borderId="0">
      <alignment wrapText="1"/>
    </xf>
    <xf numFmtId="0" fontId="5" fillId="0" borderId="0"/>
    <xf numFmtId="0" fontId="5" fillId="0" borderId="0"/>
    <xf numFmtId="0" fontId="52" fillId="0" borderId="0"/>
    <xf numFmtId="0" fontId="87" fillId="0" borderId="0"/>
    <xf numFmtId="0" fontId="54" fillId="0" borderId="0"/>
    <xf numFmtId="0" fontId="57" fillId="0" borderId="0"/>
    <xf numFmtId="0" fontId="57" fillId="0" borderId="0"/>
    <xf numFmtId="0" fontId="52" fillId="0" borderId="0"/>
    <xf numFmtId="0" fontId="52" fillId="0" borderId="0">
      <alignment wrapText="1"/>
    </xf>
    <xf numFmtId="0" fontId="5" fillId="0" borderId="0"/>
    <xf numFmtId="0" fontId="52" fillId="0" borderId="0"/>
    <xf numFmtId="0" fontId="5" fillId="0" borderId="0"/>
    <xf numFmtId="0" fontId="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87" fillId="0" borderId="0"/>
    <xf numFmtId="0" fontId="57" fillId="0" borderId="0"/>
    <xf numFmtId="0" fontId="52" fillId="0" borderId="0">
      <alignment wrapText="1"/>
    </xf>
    <xf numFmtId="0" fontId="5" fillId="0" borderId="0"/>
    <xf numFmtId="0" fontId="52" fillId="0" borderId="0">
      <alignment wrapText="1"/>
    </xf>
    <xf numFmtId="0" fontId="52" fillId="0" borderId="0">
      <alignment wrapText="1"/>
    </xf>
    <xf numFmtId="0" fontId="5" fillId="0" borderId="0"/>
    <xf numFmtId="0" fontId="5" fillId="0" borderId="0"/>
    <xf numFmtId="0" fontId="5" fillId="0" borderId="0"/>
    <xf numFmtId="0" fontId="52" fillId="0" borderId="0"/>
    <xf numFmtId="0" fontId="38" fillId="0" borderId="0"/>
    <xf numFmtId="0" fontId="52" fillId="0" borderId="0">
      <alignment wrapText="1"/>
    </xf>
    <xf numFmtId="0" fontId="87" fillId="0" borderId="0"/>
    <xf numFmtId="0" fontId="87" fillId="0" borderId="0"/>
    <xf numFmtId="0" fontId="87" fillId="0" borderId="0"/>
    <xf numFmtId="0" fontId="52" fillId="0" borderId="0"/>
    <xf numFmtId="0" fontId="38" fillId="0" borderId="0"/>
    <xf numFmtId="0" fontId="52" fillId="0" borderId="0"/>
    <xf numFmtId="0" fontId="52" fillId="0" borderId="0"/>
    <xf numFmtId="0" fontId="52" fillId="0" borderId="0"/>
    <xf numFmtId="0" fontId="88" fillId="0" borderId="0"/>
    <xf numFmtId="0" fontId="88" fillId="0" borderId="0"/>
    <xf numFmtId="0" fontId="88" fillId="0" borderId="0"/>
    <xf numFmtId="0" fontId="52" fillId="0" borderId="0"/>
    <xf numFmtId="0" fontId="5" fillId="19" borderId="19" applyNumberFormat="0" applyFont="0" applyAlignment="0" applyProtection="0"/>
    <xf numFmtId="9" fontId="5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2" fillId="0" borderId="0" applyFont="0" applyFill="0" applyBorder="0" applyAlignment="0" applyProtection="0">
      <alignment wrapText="1"/>
    </xf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2" fillId="0" borderId="0" applyFont="0" applyFill="0" applyBorder="0" applyAlignment="0" applyProtection="0">
      <alignment wrapText="1"/>
    </xf>
    <xf numFmtId="43" fontId="52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2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2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2" fillId="0" borderId="0" applyFont="0" applyFill="0" applyBorder="0" applyAlignment="0" applyProtection="0">
      <alignment wrapText="1"/>
    </xf>
    <xf numFmtId="43" fontId="52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2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2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66">
    <xf numFmtId="0" fontId="0" fillId="0" borderId="0" xfId="0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wrapText="1"/>
    </xf>
    <xf numFmtId="165" fontId="5" fillId="0" borderId="0" xfId="2" applyFont="1"/>
    <xf numFmtId="0" fontId="0" fillId="0" borderId="0" xfId="0" applyBorder="1"/>
    <xf numFmtId="165" fontId="5" fillId="0" borderId="0" xfId="2" applyFont="1" applyBorder="1"/>
    <xf numFmtId="165" fontId="13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5" fontId="2" fillId="9" borderId="1" xfId="2" applyNumberFormat="1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19" fillId="9" borderId="1" xfId="0" applyNumberFormat="1" applyFont="1" applyFill="1" applyBorder="1" applyAlignment="1">
      <alignment vertical="center"/>
    </xf>
    <xf numFmtId="10" fontId="13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5" fontId="19" fillId="9" borderId="1" xfId="2" applyFont="1" applyFill="1" applyBorder="1" applyAlignment="1">
      <alignment horizontal="right" vertical="center"/>
    </xf>
    <xf numFmtId="0" fontId="19" fillId="9" borderId="1" xfId="0" applyFont="1" applyFill="1" applyBorder="1" applyAlignment="1">
      <alignment vertical="center"/>
    </xf>
    <xf numFmtId="4" fontId="19" fillId="9" borderId="1" xfId="0" applyNumberFormat="1" applyFont="1" applyFill="1" applyBorder="1" applyAlignment="1">
      <alignment vertical="center" wrapText="1"/>
    </xf>
    <xf numFmtId="2" fontId="19" fillId="9" borderId="1" xfId="0" applyNumberFormat="1" applyFont="1" applyFill="1" applyBorder="1" applyAlignment="1">
      <alignment vertical="center" wrapText="1"/>
    </xf>
    <xf numFmtId="4" fontId="19" fillId="9" borderId="1" xfId="2" applyNumberFormat="1" applyFont="1" applyFill="1" applyBorder="1" applyAlignment="1">
      <alignment horizontal="right" vertical="center"/>
    </xf>
    <xf numFmtId="165" fontId="20" fillId="9" borderId="1" xfId="1" applyNumberFormat="1" applyFont="1" applyFill="1" applyBorder="1" applyAlignment="1">
      <alignment horizontal="right" vertical="center"/>
    </xf>
    <xf numFmtId="4" fontId="20" fillId="9" borderId="1" xfId="1" applyNumberFormat="1" applyFont="1" applyFill="1" applyBorder="1" applyAlignment="1">
      <alignment horizontal="right" vertical="center"/>
    </xf>
    <xf numFmtId="165" fontId="19" fillId="9" borderId="1" xfId="2" applyFont="1" applyFill="1" applyBorder="1" applyAlignment="1">
      <alignment vertical="center"/>
    </xf>
    <xf numFmtId="165" fontId="19" fillId="9" borderId="1" xfId="2" applyFont="1" applyFill="1" applyBorder="1" applyAlignment="1">
      <alignment vertical="center" wrapText="1"/>
    </xf>
    <xf numFmtId="165" fontId="17" fillId="9" borderId="1" xfId="2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vertical="center" wrapText="1"/>
    </xf>
    <xf numFmtId="4" fontId="19" fillId="9" borderId="1" xfId="0" applyNumberFormat="1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19" fillId="9" borderId="1" xfId="0" applyNumberFormat="1" applyFont="1" applyFill="1" applyBorder="1" applyAlignment="1">
      <alignment vertical="center"/>
    </xf>
    <xf numFmtId="4" fontId="19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19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1" fillId="9" borderId="1" xfId="0" applyNumberFormat="1" applyFont="1" applyFill="1" applyBorder="1" applyAlignment="1">
      <alignment vertical="center"/>
    </xf>
    <xf numFmtId="0" fontId="21" fillId="9" borderId="1" xfId="0" applyFont="1" applyFill="1" applyBorder="1" applyAlignment="1">
      <alignment vertical="center"/>
    </xf>
    <xf numFmtId="165" fontId="19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5" fontId="17" fillId="9" borderId="1" xfId="2" applyFont="1" applyFill="1" applyBorder="1" applyAlignment="1">
      <alignment horizontal="right" vertical="center"/>
    </xf>
    <xf numFmtId="165" fontId="17" fillId="0" borderId="1" xfId="2" applyFont="1" applyBorder="1" applyAlignment="1">
      <alignment horizontal="right" vertical="center" wrapText="1"/>
    </xf>
    <xf numFmtId="4" fontId="17" fillId="0" borderId="1" xfId="2" applyNumberFormat="1" applyFont="1" applyBorder="1" applyAlignment="1">
      <alignment horizontal="right" vertical="center" wrapText="1"/>
    </xf>
    <xf numFmtId="0" fontId="17" fillId="13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 wrapText="1"/>
    </xf>
    <xf numFmtId="165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5" fillId="4" borderId="5" xfId="0" applyFont="1" applyFill="1" applyBorder="1" applyAlignment="1">
      <alignment horizontal="right" vertical="center" wrapText="1"/>
    </xf>
    <xf numFmtId="165" fontId="15" fillId="9" borderId="2" xfId="2" applyFont="1" applyFill="1" applyBorder="1" applyAlignment="1">
      <alignment horizontal="right" vertical="center" wrapText="1"/>
    </xf>
    <xf numFmtId="4" fontId="17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4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/>
    <xf numFmtId="4" fontId="1" fillId="6" borderId="1" xfId="2" applyNumberFormat="1" applyFont="1" applyFill="1" applyBorder="1" applyAlignment="1">
      <alignment horizontal="right"/>
    </xf>
    <xf numFmtId="165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horizontal="right"/>
    </xf>
    <xf numFmtId="165" fontId="1" fillId="6" borderId="1" xfId="2" applyFont="1" applyFill="1" applyBorder="1"/>
    <xf numFmtId="165" fontId="1" fillId="6" borderId="1" xfId="2" applyFont="1" applyFill="1" applyBorder="1" applyAlignment="1">
      <alignment horizontal="right" vertical="top" wrapText="1"/>
    </xf>
    <xf numFmtId="165" fontId="2" fillId="6" borderId="1" xfId="2" applyFont="1" applyFill="1" applyBorder="1" applyAlignment="1">
      <alignment horizontal="right"/>
    </xf>
    <xf numFmtId="165" fontId="3" fillId="6" borderId="1" xfId="2" applyFont="1" applyFill="1" applyBorder="1" applyAlignment="1">
      <alignment horizontal="right" vertical="top" wrapText="1"/>
    </xf>
    <xf numFmtId="10" fontId="2" fillId="8" borderId="3" xfId="6" applyNumberFormat="1" applyFont="1" applyFill="1" applyBorder="1" applyAlignment="1">
      <alignment vertical="center"/>
    </xf>
    <xf numFmtId="165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165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1" fillId="6" borderId="0" xfId="0" applyFont="1" applyFill="1" applyBorder="1" applyAlignment="1">
      <alignment wrapText="1"/>
    </xf>
    <xf numFmtId="10" fontId="13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165" fontId="0" fillId="0" borderId="0" xfId="2" applyFont="1"/>
    <xf numFmtId="3" fontId="22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5" fontId="0" fillId="0" borderId="0" xfId="2" applyFont="1" applyBorder="1"/>
    <xf numFmtId="0" fontId="23" fillId="0" borderId="0" xfId="0" applyFont="1" applyAlignment="1"/>
    <xf numFmtId="0" fontId="58" fillId="0" borderId="0" xfId="0" applyFont="1" applyBorder="1"/>
    <xf numFmtId="0" fontId="58" fillId="0" borderId="0" xfId="0" applyFont="1" applyAlignment="1">
      <alignment horizontal="right"/>
    </xf>
    <xf numFmtId="4" fontId="59" fillId="0" borderId="0" xfId="0" applyNumberFormat="1" applyFont="1"/>
    <xf numFmtId="0" fontId="34" fillId="0" borderId="0" xfId="0" applyFont="1"/>
    <xf numFmtId="0" fontId="0" fillId="0" borderId="0" xfId="0"/>
    <xf numFmtId="0" fontId="9" fillId="6" borderId="0" xfId="0" applyFont="1" applyFill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5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0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4" fontId="30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5" fontId="8" fillId="6" borderId="0" xfId="2" applyFont="1" applyFill="1" applyBorder="1" applyAlignment="1"/>
    <xf numFmtId="0" fontId="16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3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7" fontId="10" fillId="6" borderId="0" xfId="2" applyNumberFormat="1" applyFont="1" applyFill="1" applyBorder="1"/>
    <xf numFmtId="4" fontId="24" fillId="6" borderId="0" xfId="0" applyNumberFormat="1" applyFont="1" applyFill="1" applyBorder="1"/>
    <xf numFmtId="0" fontId="24" fillId="6" borderId="0" xfId="0" applyFont="1" applyFill="1" applyBorder="1" applyAlignment="1">
      <alignment vertical="top" wrapText="1"/>
    </xf>
    <xf numFmtId="0" fontId="13" fillId="6" borderId="0" xfId="0" applyFont="1" applyFill="1" applyBorder="1"/>
    <xf numFmtId="4" fontId="13" fillId="6" borderId="0" xfId="0" applyNumberFormat="1" applyFont="1" applyFill="1" applyBorder="1"/>
    <xf numFmtId="165" fontId="30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3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2" fillId="6" borderId="0" xfId="0" applyNumberFormat="1" applyFont="1" applyFill="1" applyBorder="1" applyAlignment="1">
      <alignment horizontal="justify" vertical="center" wrapText="1"/>
    </xf>
    <xf numFmtId="0" fontId="32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61" fillId="6" borderId="0" xfId="0" quotePrefix="1" applyFont="1" applyFill="1" applyBorder="1" applyAlignment="1">
      <alignment horizontal="center"/>
    </xf>
    <xf numFmtId="10" fontId="60" fillId="6" borderId="0" xfId="6" applyNumberFormat="1" applyFont="1" applyFill="1" applyBorder="1" applyAlignment="1">
      <alignment horizontal="center"/>
    </xf>
    <xf numFmtId="165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5" fontId="64" fillId="6" borderId="0" xfId="2" applyFont="1" applyFill="1" applyBorder="1"/>
    <xf numFmtId="4" fontId="35" fillId="6" borderId="11" xfId="0" applyNumberFormat="1" applyFont="1" applyFill="1" applyBorder="1" applyAlignment="1">
      <alignment vertical="center" wrapText="1"/>
    </xf>
    <xf numFmtId="4" fontId="35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0" fontId="30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0" fillId="6" borderId="0" xfId="0" applyFont="1" applyFill="1" applyBorder="1" applyAlignment="1">
      <alignment vertical="center" wrapText="1"/>
    </xf>
    <xf numFmtId="165" fontId="5" fillId="6" borderId="0" xfId="2" applyFont="1" applyFill="1" applyBorder="1" applyAlignment="1"/>
    <xf numFmtId="165" fontId="5" fillId="6" borderId="0" xfId="2" applyNumberFormat="1" applyFont="1" applyFill="1" applyBorder="1" applyAlignment="1"/>
    <xf numFmtId="165" fontId="8" fillId="6" borderId="0" xfId="2" applyNumberFormat="1" applyFont="1" applyFill="1" applyBorder="1" applyAlignment="1"/>
    <xf numFmtId="165" fontId="63" fillId="6" borderId="0" xfId="2" applyNumberFormat="1" applyFont="1" applyFill="1" applyBorder="1" applyAlignment="1"/>
    <xf numFmtId="0" fontId="31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16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16" fillId="6" borderId="0" xfId="0" applyFont="1" applyFill="1" applyBorder="1" applyAlignment="1">
      <alignment horizontal="center" vertical="top" wrapText="1"/>
    </xf>
    <xf numFmtId="4" fontId="29" fillId="6" borderId="0" xfId="0" applyNumberFormat="1" applyFont="1" applyFill="1" applyBorder="1" applyAlignment="1">
      <alignment vertical="center" wrapText="1"/>
    </xf>
    <xf numFmtId="165" fontId="2" fillId="6" borderId="0" xfId="2" applyFont="1" applyFill="1" applyBorder="1" applyAlignment="1">
      <alignment horizontal="left"/>
    </xf>
    <xf numFmtId="0" fontId="39" fillId="6" borderId="0" xfId="0" applyFont="1" applyFill="1" applyBorder="1" applyAlignment="1">
      <alignment vertical="center" wrapText="1"/>
    </xf>
    <xf numFmtId="4" fontId="28" fillId="6" borderId="0" xfId="0" applyNumberFormat="1" applyFont="1" applyFill="1" applyBorder="1"/>
    <xf numFmtId="4" fontId="66" fillId="6" borderId="0" xfId="0" applyNumberFormat="1" applyFont="1" applyFill="1" applyBorder="1"/>
    <xf numFmtId="0" fontId="0" fillId="6" borderId="0" xfId="0" applyFill="1" applyBorder="1"/>
    <xf numFmtId="0" fontId="24" fillId="6" borderId="0" xfId="0" applyFont="1" applyFill="1" applyBorder="1"/>
    <xf numFmtId="0" fontId="35" fillId="6" borderId="0" xfId="0" applyFont="1" applyFill="1" applyBorder="1"/>
    <xf numFmtId="0" fontId="35" fillId="6" borderId="0" xfId="0" applyFont="1" applyFill="1" applyBorder="1" applyAlignment="1">
      <alignment vertical="top" wrapText="1"/>
    </xf>
    <xf numFmtId="0" fontId="25" fillId="6" borderId="0" xfId="0" applyFont="1" applyFill="1" applyBorder="1" applyAlignment="1">
      <alignment wrapText="1"/>
    </xf>
    <xf numFmtId="0" fontId="65" fillId="6" borderId="0" xfId="0" applyFont="1" applyFill="1" applyBorder="1" applyAlignment="1">
      <alignment vertical="center"/>
    </xf>
    <xf numFmtId="4" fontId="65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26" fillId="6" borderId="0" xfId="0" applyFont="1" applyFill="1" applyBorder="1" applyAlignment="1">
      <alignment vertical="top"/>
    </xf>
    <xf numFmtId="4" fontId="38" fillId="6" borderId="0" xfId="0" applyNumberFormat="1" applyFont="1" applyFill="1" applyBorder="1"/>
    <xf numFmtId="0" fontId="27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2" fillId="6" borderId="0" xfId="0" applyFont="1" applyFill="1" applyBorder="1"/>
    <xf numFmtId="4" fontId="35" fillId="6" borderId="0" xfId="0" applyNumberFormat="1" applyFont="1" applyFill="1" applyBorder="1"/>
    <xf numFmtId="4" fontId="39" fillId="6" borderId="0" xfId="0" applyNumberFormat="1" applyFont="1" applyFill="1" applyBorder="1" applyAlignment="1">
      <alignment vertical="center" wrapText="1"/>
    </xf>
    <xf numFmtId="0" fontId="35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wrapText="1"/>
    </xf>
    <xf numFmtId="165" fontId="2" fillId="6" borderId="1" xfId="0" applyNumberFormat="1" applyFont="1" applyFill="1" applyBorder="1"/>
    <xf numFmtId="0" fontId="35" fillId="6" borderId="0" xfId="0" applyFont="1" applyFill="1" applyBorder="1" applyAlignment="1">
      <alignment vertical="center" wrapText="1"/>
    </xf>
    <xf numFmtId="0" fontId="36" fillId="6" borderId="0" xfId="0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2" fillId="44" borderId="1" xfId="0" applyFont="1" applyFill="1" applyBorder="1" applyAlignment="1">
      <alignment horizontal="center" vertical="top"/>
    </xf>
    <xf numFmtId="0" fontId="12" fillId="44" borderId="1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 vertical="top" wrapText="1"/>
    </xf>
    <xf numFmtId="0" fontId="51" fillId="0" borderId="0" xfId="0" applyFont="1" applyBorder="1"/>
    <xf numFmtId="4" fontId="51" fillId="0" borderId="0" xfId="0" applyNumberFormat="1" applyFont="1"/>
    <xf numFmtId="0" fontId="2" fillId="44" borderId="1" xfId="0" applyFont="1" applyFill="1" applyBorder="1" applyAlignment="1">
      <alignment horizontal="center" vertical="center"/>
    </xf>
    <xf numFmtId="0" fontId="2" fillId="44" borderId="1" xfId="0" applyFont="1" applyFill="1" applyBorder="1" applyAlignment="1">
      <alignment horizontal="center" vertical="center" wrapText="1"/>
    </xf>
    <xf numFmtId="0" fontId="10" fillId="6" borderId="1" xfId="0" applyFont="1" applyFill="1" applyBorder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68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68" fillId="4" borderId="6" xfId="0" applyFont="1" applyFill="1" applyBorder="1" applyAlignment="1">
      <alignment vertical="center" wrapText="1"/>
    </xf>
    <xf numFmtId="0" fontId="68" fillId="4" borderId="6" xfId="0" applyFont="1" applyFill="1" applyBorder="1" applyAlignment="1">
      <alignment horizontal="center" vertical="center" wrapText="1"/>
    </xf>
    <xf numFmtId="0" fontId="68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10" fontId="1" fillId="10" borderId="2" xfId="6" applyNumberFormat="1" applyFont="1" applyFill="1" applyBorder="1" applyAlignment="1">
      <alignment horizontal="center" vertical="top" wrapText="1"/>
    </xf>
    <xf numFmtId="166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166" fontId="1" fillId="10" borderId="2" xfId="6" applyNumberFormat="1" applyFont="1" applyFill="1" applyBorder="1" applyAlignment="1">
      <alignment horizontal="center" vertical="top" wrapText="1"/>
    </xf>
    <xf numFmtId="165" fontId="2" fillId="6" borderId="1" xfId="2" applyFont="1" applyFill="1" applyBorder="1"/>
    <xf numFmtId="165" fontId="10" fillId="6" borderId="1" xfId="2" applyFont="1" applyFill="1" applyBorder="1"/>
    <xf numFmtId="165" fontId="10" fillId="0" borderId="0" xfId="2" applyFont="1" applyBorder="1"/>
    <xf numFmtId="4" fontId="38" fillId="0" borderId="0" xfId="0" applyNumberFormat="1" applyFont="1"/>
    <xf numFmtId="0" fontId="10" fillId="6" borderId="1" xfId="0" applyFont="1" applyFill="1" applyBorder="1" applyAlignment="1">
      <alignment horizontal="center"/>
    </xf>
    <xf numFmtId="9" fontId="10" fillId="6" borderId="1" xfId="6" applyFont="1" applyFill="1" applyBorder="1" applyAlignment="1">
      <alignment horizontal="center"/>
    </xf>
    <xf numFmtId="9" fontId="10" fillId="0" borderId="0" xfId="6" applyFont="1" applyBorder="1" applyAlignment="1">
      <alignment horizontal="center"/>
    </xf>
    <xf numFmtId="165" fontId="15" fillId="6" borderId="1" xfId="2" applyFont="1" applyFill="1" applyBorder="1" applyAlignment="1">
      <alignment horizontal="right" vertical="top" wrapText="1"/>
    </xf>
    <xf numFmtId="2" fontId="70" fillId="6" borderId="0" xfId="0" applyNumberFormat="1" applyFont="1" applyFill="1" applyBorder="1" applyAlignment="1">
      <alignment horizontal="center"/>
    </xf>
    <xf numFmtId="165" fontId="13" fillId="6" borderId="1" xfId="2" applyFont="1" applyFill="1" applyBorder="1" applyAlignment="1">
      <alignment vertical="top"/>
    </xf>
    <xf numFmtId="0" fontId="13" fillId="6" borderId="1" xfId="0" applyFont="1" applyFill="1" applyBorder="1" applyAlignment="1">
      <alignment vertical="top"/>
    </xf>
    <xf numFmtId="0" fontId="13" fillId="6" borderId="1" xfId="0" applyFont="1" applyFill="1" applyBorder="1" applyAlignment="1">
      <alignment horizontal="center" vertical="top" wrapText="1"/>
    </xf>
    <xf numFmtId="165" fontId="1" fillId="10" borderId="2" xfId="2" applyFont="1" applyFill="1" applyBorder="1" applyAlignment="1">
      <alignment horizontal="right" vertical="top" wrapText="1"/>
    </xf>
    <xf numFmtId="4" fontId="1" fillId="10" borderId="2" xfId="0" applyNumberFormat="1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72" fillId="0" borderId="0" xfId="0" applyFont="1" applyBorder="1"/>
    <xf numFmtId="0" fontId="22" fillId="0" borderId="0" xfId="0" applyFont="1"/>
    <xf numFmtId="9" fontId="22" fillId="0" borderId="0" xfId="6" applyFont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9" fontId="13" fillId="0" borderId="0" xfId="6" applyFont="1" applyBorder="1" applyAlignment="1">
      <alignment horizontal="center"/>
    </xf>
    <xf numFmtId="3" fontId="13" fillId="0" borderId="0" xfId="0" applyNumberFormat="1" applyFont="1" applyBorder="1"/>
    <xf numFmtId="165" fontId="13" fillId="0" borderId="0" xfId="2" applyFont="1" applyBorder="1"/>
    <xf numFmtId="0" fontId="13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 wrapText="1"/>
    </xf>
    <xf numFmtId="0" fontId="12" fillId="7" borderId="6" xfId="0" applyFont="1" applyFill="1" applyBorder="1" applyAlignment="1"/>
    <xf numFmtId="0" fontId="12" fillId="7" borderId="1" xfId="0" applyFont="1" applyFill="1" applyBorder="1" applyAlignment="1"/>
    <xf numFmtId="0" fontId="2" fillId="6" borderId="1" xfId="0" applyFont="1" applyFill="1" applyBorder="1" applyAlignment="1">
      <alignment horizontal="right"/>
    </xf>
    <xf numFmtId="9" fontId="2" fillId="47" borderId="1" xfId="6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5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9" fontId="2" fillId="10" borderId="2" xfId="6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9" fontId="2" fillId="7" borderId="1" xfId="6" applyFont="1" applyFill="1" applyBorder="1" applyAlignment="1">
      <alignment horizontal="center" vertical="top" wrapText="1"/>
    </xf>
    <xf numFmtId="165" fontId="2" fillId="7" borderId="1" xfId="2" applyFont="1" applyFill="1" applyBorder="1" applyAlignment="1">
      <alignment horizontal="center" vertical="top"/>
    </xf>
    <xf numFmtId="0" fontId="12" fillId="7" borderId="1" xfId="0" applyFont="1" applyFill="1" applyBorder="1" applyAlignment="1">
      <alignment horizontal="center" vertical="top"/>
    </xf>
    <xf numFmtId="0" fontId="12" fillId="7" borderId="1" xfId="0" applyFont="1" applyFill="1" applyBorder="1" applyAlignment="1">
      <alignment vertical="top"/>
    </xf>
    <xf numFmtId="9" fontId="12" fillId="7" borderId="1" xfId="6" applyFont="1" applyFill="1" applyBorder="1" applyAlignment="1">
      <alignment horizontal="center" vertical="top" wrapText="1"/>
    </xf>
    <xf numFmtId="165" fontId="12" fillId="7" borderId="1" xfId="2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/>
    <xf numFmtId="10" fontId="2" fillId="6" borderId="1" xfId="6" applyNumberFormat="1" applyFont="1" applyFill="1" applyBorder="1" applyAlignment="1">
      <alignment horizontal="center" vertical="top" wrapText="1"/>
    </xf>
    <xf numFmtId="4" fontId="2" fillId="47" borderId="1" xfId="2" applyNumberFormat="1" applyFont="1" applyFill="1" applyBorder="1" applyAlignment="1">
      <alignment horizontal="center" vertical="top" wrapText="1"/>
    </xf>
    <xf numFmtId="10" fontId="12" fillId="8" borderId="1" xfId="6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center" wrapText="1"/>
    </xf>
    <xf numFmtId="0" fontId="2" fillId="46" borderId="1" xfId="0" applyFont="1" applyFill="1" applyBorder="1" applyAlignment="1">
      <alignment horizontal="right" vertical="center"/>
    </xf>
    <xf numFmtId="165" fontId="2" fillId="46" borderId="1" xfId="2" applyFont="1" applyFill="1" applyBorder="1" applyAlignment="1">
      <alignment horizontal="right" vertical="center" wrapText="1"/>
    </xf>
    <xf numFmtId="10" fontId="2" fillId="46" borderId="1" xfId="2" applyNumberFormat="1" applyFont="1" applyFill="1" applyBorder="1" applyAlignment="1">
      <alignment horizontal="right" vertical="center" wrapText="1"/>
    </xf>
    <xf numFmtId="4" fontId="2" fillId="46" borderId="1" xfId="2" applyNumberFormat="1" applyFont="1" applyFill="1" applyBorder="1" applyAlignment="1">
      <alignment horizontal="right" vertical="center" wrapText="1"/>
    </xf>
    <xf numFmtId="9" fontId="2" fillId="46" borderId="1" xfId="6" applyFont="1" applyFill="1" applyBorder="1" applyAlignment="1">
      <alignment horizontal="center" vertical="center" wrapText="1"/>
    </xf>
    <xf numFmtId="4" fontId="2" fillId="46" borderId="1" xfId="2" applyNumberFormat="1" applyFont="1" applyFill="1" applyBorder="1" applyAlignment="1">
      <alignment horizontal="center" vertical="center" wrapText="1"/>
    </xf>
    <xf numFmtId="10" fontId="12" fillId="46" borderId="1" xfId="6" applyNumberFormat="1" applyFont="1" applyFill="1" applyBorder="1" applyAlignment="1">
      <alignment horizontal="center" vertical="top" wrapText="1"/>
    </xf>
    <xf numFmtId="10" fontId="12" fillId="46" borderId="3" xfId="6" applyNumberFormat="1" applyFont="1" applyFill="1" applyBorder="1" applyAlignment="1">
      <alignment horizontal="center" vertical="top" wrapText="1"/>
    </xf>
    <xf numFmtId="9" fontId="2" fillId="47" borderId="1" xfId="6" applyFont="1" applyFill="1" applyBorder="1" applyAlignment="1">
      <alignment horizontal="center"/>
    </xf>
    <xf numFmtId="165" fontId="2" fillId="47" borderId="1" xfId="0" applyNumberFormat="1" applyFont="1" applyFill="1" applyBorder="1" applyAlignment="1">
      <alignment horizontal="center"/>
    </xf>
    <xf numFmtId="4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wrapText="1"/>
    </xf>
    <xf numFmtId="10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vertical="top" wrapText="1"/>
    </xf>
    <xf numFmtId="0" fontId="12" fillId="6" borderId="6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vertical="top" wrapText="1"/>
    </xf>
    <xf numFmtId="0" fontId="0" fillId="0" borderId="0" xfId="0"/>
    <xf numFmtId="0" fontId="2" fillId="0" borderId="1" xfId="0" applyFont="1" applyFill="1" applyBorder="1" applyAlignment="1">
      <alignment horizontal="right"/>
    </xf>
    <xf numFmtId="10" fontId="12" fillId="6" borderId="0" xfId="6" applyNumberFormat="1" applyFont="1" applyFill="1" applyBorder="1" applyAlignment="1">
      <alignment horizontal="right" vertical="top" wrapText="1"/>
    </xf>
    <xf numFmtId="0" fontId="0" fillId="0" borderId="0" xfId="0"/>
    <xf numFmtId="10" fontId="2" fillId="6" borderId="0" xfId="6" applyNumberFormat="1" applyFont="1" applyFill="1" applyBorder="1" applyAlignment="1">
      <alignment wrapText="1"/>
    </xf>
    <xf numFmtId="0" fontId="12" fillId="6" borderId="6" xfId="0" applyFont="1" applyFill="1" applyBorder="1" applyAlignment="1">
      <alignment horizontal="center" wrapText="1"/>
    </xf>
    <xf numFmtId="0" fontId="36" fillId="6" borderId="0" xfId="0" applyFont="1" applyFill="1" applyBorder="1" applyAlignment="1">
      <alignment wrapText="1"/>
    </xf>
    <xf numFmtId="0" fontId="35" fillId="6" borderId="0" xfId="0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 wrapText="1"/>
    </xf>
    <xf numFmtId="0" fontId="2" fillId="8" borderId="6" xfId="0" applyFont="1" applyFill="1" applyBorder="1" applyAlignment="1">
      <alignment vertical="top" wrapText="1"/>
    </xf>
    <xf numFmtId="0" fontId="12" fillId="8" borderId="1" xfId="0" applyFont="1" applyFill="1" applyBorder="1" applyAlignment="1">
      <alignment vertical="top" wrapText="1"/>
    </xf>
    <xf numFmtId="0" fontId="12" fillId="8" borderId="1" xfId="0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 vertical="top" wrapText="1"/>
    </xf>
    <xf numFmtId="165" fontId="12" fillId="8" borderId="1" xfId="2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wrapText="1"/>
    </xf>
    <xf numFmtId="0" fontId="12" fillId="8" borderId="3" xfId="0" applyFont="1" applyFill="1" applyBorder="1" applyAlignment="1">
      <alignment horizontal="center" vertical="top" wrapText="1"/>
    </xf>
    <xf numFmtId="0" fontId="0" fillId="0" borderId="0" xfId="0"/>
    <xf numFmtId="165" fontId="2" fillId="6" borderId="1" xfId="2" applyFont="1" applyFill="1" applyBorder="1" applyAlignment="1">
      <alignment horizontal="right" vertical="center" wrapText="1"/>
    </xf>
    <xf numFmtId="16" fontId="0" fillId="0" borderId="0" xfId="0" applyNumberFormat="1"/>
    <xf numFmtId="0" fontId="4" fillId="5" borderId="1" xfId="0" applyFont="1" applyFill="1" applyBorder="1" applyAlignment="1">
      <alignment horizontal="center" vertical="center" wrapText="1"/>
    </xf>
    <xf numFmtId="0" fontId="0" fillId="10" borderId="0" xfId="0" applyFill="1"/>
    <xf numFmtId="10" fontId="1" fillId="6" borderId="7" xfId="6" applyNumberFormat="1" applyFont="1" applyFill="1" applyBorder="1" applyAlignment="1">
      <alignment horizontal="center" vertical="center" wrapText="1"/>
    </xf>
    <xf numFmtId="0" fontId="0" fillId="6" borderId="0" xfId="0" applyFill="1"/>
    <xf numFmtId="169" fontId="78" fillId="6" borderId="0" xfId="13398" applyNumberFormat="1" applyFont="1" applyFill="1" applyBorder="1"/>
    <xf numFmtId="4" fontId="1" fillId="6" borderId="1" xfId="0" applyNumberFormat="1" applyFont="1" applyFill="1" applyBorder="1" applyAlignment="1">
      <alignment horizontal="right"/>
    </xf>
    <xf numFmtId="43" fontId="1" fillId="6" borderId="1" xfId="13398" applyFont="1" applyFill="1" applyBorder="1" applyAlignment="1">
      <alignment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right"/>
    </xf>
    <xf numFmtId="10" fontId="1" fillId="7" borderId="1" xfId="6" applyNumberFormat="1" applyFont="1" applyFill="1" applyBorder="1" applyAlignment="1">
      <alignment horizontal="center" wrapText="1"/>
    </xf>
    <xf numFmtId="10" fontId="13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wrapText="1"/>
    </xf>
    <xf numFmtId="4" fontId="1" fillId="6" borderId="1" xfId="13398" applyNumberFormat="1" applyFont="1" applyFill="1" applyBorder="1" applyAlignment="1">
      <alignment horizontal="right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left" wrapText="1"/>
    </xf>
    <xf numFmtId="10" fontId="1" fillId="47" borderId="1" xfId="6" applyNumberFormat="1" applyFont="1" applyFill="1" applyBorder="1" applyAlignment="1">
      <alignment horizontal="center" wrapText="1"/>
    </xf>
    <xf numFmtId="43" fontId="1" fillId="6" borderId="1" xfId="13398" applyFont="1" applyFill="1" applyBorder="1" applyAlignment="1">
      <alignment horizontal="right"/>
    </xf>
    <xf numFmtId="4" fontId="1" fillId="6" borderId="1" xfId="13398" applyNumberFormat="1" applyFont="1" applyFill="1" applyBorder="1" applyAlignment="1">
      <alignment horizontal="right"/>
    </xf>
    <xf numFmtId="10" fontId="1" fillId="47" borderId="1" xfId="6" quotePrefix="1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vertical="top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4" fontId="1" fillId="6" borderId="1" xfId="13398" applyNumberFormat="1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0" fillId="6" borderId="0" xfId="0" applyFont="1" applyFill="1" applyBorder="1"/>
    <xf numFmtId="0" fontId="27" fillId="6" borderId="0" xfId="0" applyFont="1" applyFill="1" applyBorder="1"/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vertical="top" wrapText="1"/>
    </xf>
    <xf numFmtId="165" fontId="15" fillId="9" borderId="0" xfId="2" applyFont="1" applyFill="1" applyBorder="1" applyAlignment="1">
      <alignment horizontal="right" vertical="center" wrapText="1"/>
    </xf>
    <xf numFmtId="4" fontId="17" fillId="9" borderId="0" xfId="0" applyNumberFormat="1" applyFont="1" applyFill="1" applyBorder="1" applyAlignment="1">
      <alignment horizontal="right" vertical="center"/>
    </xf>
    <xf numFmtId="0" fontId="36" fillId="6" borderId="0" xfId="0" applyFont="1" applyFill="1" applyBorder="1" applyAlignment="1">
      <alignment wrapText="1"/>
    </xf>
    <xf numFmtId="0" fontId="36" fillId="6" borderId="0" xfId="0" applyFont="1" applyFill="1" applyBorder="1" applyAlignment="1">
      <alignment wrapText="1"/>
    </xf>
    <xf numFmtId="16" fontId="79" fillId="6" borderId="1" xfId="0" applyNumberFormat="1" applyFont="1" applyFill="1" applyBorder="1"/>
    <xf numFmtId="4" fontId="63" fillId="6" borderId="1" xfId="0" applyNumberFormat="1" applyFont="1" applyFill="1" applyBorder="1"/>
    <xf numFmtId="4" fontId="63" fillId="6" borderId="1" xfId="0" applyNumberFormat="1" applyFont="1" applyFill="1" applyBorder="1" applyAlignment="1">
      <alignment horizontal="right"/>
    </xf>
    <xf numFmtId="165" fontId="80" fillId="6" borderId="1" xfId="2" applyFont="1" applyFill="1" applyBorder="1" applyAlignment="1">
      <alignment horizontal="right" vertical="top" wrapText="1"/>
    </xf>
    <xf numFmtId="0" fontId="63" fillId="0" borderId="0" xfId="0" applyFont="1"/>
    <xf numFmtId="165" fontId="63" fillId="0" borderId="0" xfId="2" applyFont="1"/>
    <xf numFmtId="0" fontId="81" fillId="0" borderId="1" xfId="0" applyFont="1" applyBorder="1" applyAlignment="1">
      <alignment horizontal="right"/>
    </xf>
    <xf numFmtId="0" fontId="79" fillId="0" borderId="1" xfId="0" applyFont="1" applyBorder="1" applyAlignment="1">
      <alignment horizontal="right"/>
    </xf>
    <xf numFmtId="0" fontId="82" fillId="44" borderId="1" xfId="0" applyFont="1" applyFill="1" applyBorder="1" applyAlignment="1">
      <alignment horizontal="right"/>
    </xf>
    <xf numFmtId="165" fontId="82" fillId="44" borderId="1" xfId="0" applyNumberFormat="1" applyFont="1" applyFill="1" applyBorder="1"/>
    <xf numFmtId="0" fontId="81" fillId="50" borderId="1" xfId="0" applyFont="1" applyFill="1" applyBorder="1" applyAlignment="1">
      <alignment horizontal="right"/>
    </xf>
    <xf numFmtId="165" fontId="81" fillId="50" borderId="1" xfId="0" quotePrefix="1" applyNumberFormat="1" applyFont="1" applyFill="1" applyBorder="1" applyAlignment="1">
      <alignment horizontal="center"/>
    </xf>
    <xf numFmtId="165" fontId="81" fillId="50" borderId="1" xfId="0" applyNumberFormat="1" applyFont="1" applyFill="1" applyBorder="1"/>
    <xf numFmtId="165" fontId="81" fillId="50" borderId="1" xfId="2" applyFont="1" applyFill="1" applyBorder="1"/>
    <xf numFmtId="4" fontId="35" fillId="6" borderId="0" xfId="0" applyNumberFormat="1" applyFont="1" applyFill="1" applyBorder="1" applyAlignment="1">
      <alignment vertical="center" wrapText="1"/>
    </xf>
    <xf numFmtId="0" fontId="35" fillId="6" borderId="0" xfId="0" applyFont="1" applyFill="1" applyBorder="1" applyAlignment="1">
      <alignment vertical="center" wrapText="1"/>
    </xf>
    <xf numFmtId="0" fontId="0" fillId="0" borderId="0" xfId="0"/>
    <xf numFmtId="16" fontId="79" fillId="6" borderId="0" xfId="0" applyNumberFormat="1" applyFont="1" applyFill="1" applyBorder="1"/>
    <xf numFmtId="0" fontId="79" fillId="0" borderId="0" xfId="0" applyFont="1" applyBorder="1" applyAlignment="1">
      <alignment horizontal="right"/>
    </xf>
    <xf numFmtId="4" fontId="63" fillId="6" borderId="0" xfId="0" applyNumberFormat="1" applyFont="1" applyFill="1" applyBorder="1"/>
    <xf numFmtId="4" fontId="63" fillId="6" borderId="0" xfId="0" applyNumberFormat="1" applyFont="1" applyFill="1" applyBorder="1" applyAlignment="1">
      <alignment horizontal="right"/>
    </xf>
    <xf numFmtId="165" fontId="80" fillId="6" borderId="0" xfId="2" applyFont="1" applyFill="1" applyBorder="1" applyAlignment="1">
      <alignment horizontal="right" vertical="top" wrapText="1"/>
    </xf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0" fontId="10" fillId="6" borderId="3" xfId="0" applyFont="1" applyFill="1" applyBorder="1"/>
    <xf numFmtId="0" fontId="10" fillId="8" borderId="3" xfId="0" applyFont="1" applyFill="1" applyBorder="1"/>
    <xf numFmtId="0" fontId="2" fillId="7" borderId="3" xfId="0" applyFont="1" applyFill="1" applyBorder="1" applyAlignment="1">
      <alignment horizontal="center" vertical="top" wrapText="1"/>
    </xf>
    <xf numFmtId="0" fontId="0" fillId="0" borderId="0" xfId="0"/>
    <xf numFmtId="165" fontId="3" fillId="46" borderId="1" xfId="2" applyFont="1" applyFill="1" applyBorder="1" applyAlignment="1">
      <alignment horizontal="right" vertical="top" wrapText="1"/>
    </xf>
    <xf numFmtId="4" fontId="1" fillId="46" borderId="1" xfId="2" applyNumberFormat="1" applyFont="1" applyFill="1" applyBorder="1" applyAlignment="1">
      <alignment horizontal="right" vertical="top" wrapText="1"/>
    </xf>
    <xf numFmtId="4" fontId="1" fillId="46" borderId="1" xfId="2" applyNumberFormat="1" applyFont="1" applyFill="1" applyBorder="1" applyAlignment="1">
      <alignment horizontal="center" vertical="top" wrapText="1"/>
    </xf>
    <xf numFmtId="165" fontId="71" fillId="46" borderId="1" xfId="2" applyFont="1" applyFill="1" applyBorder="1" applyAlignment="1">
      <alignment horizontal="right" vertical="top" wrapText="1"/>
    </xf>
    <xf numFmtId="10" fontId="13" fillId="46" borderId="1" xfId="6" applyNumberFormat="1" applyFont="1" applyFill="1" applyBorder="1" applyAlignment="1">
      <alignment horizontal="center" vertical="top" wrapText="1"/>
    </xf>
    <xf numFmtId="166" fontId="13" fillId="46" borderId="1" xfId="6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right"/>
    </xf>
    <xf numFmtId="0" fontId="2" fillId="46" borderId="1" xfId="0" applyFont="1" applyFill="1" applyBorder="1" applyAlignment="1">
      <alignment horizontal="right"/>
    </xf>
    <xf numFmtId="0" fontId="89" fillId="0" borderId="0" xfId="0" applyFont="1"/>
    <xf numFmtId="4" fontId="94" fillId="0" borderId="0" xfId="0" applyNumberFormat="1" applyFont="1"/>
    <xf numFmtId="0" fontId="8" fillId="0" borderId="0" xfId="0" applyFont="1"/>
    <xf numFmtId="0" fontId="2" fillId="44" borderId="3" xfId="0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horizontal="center" vertical="center"/>
    </xf>
    <xf numFmtId="10" fontId="2" fillId="8" borderId="3" xfId="6" applyNumberFormat="1" applyFont="1" applyFill="1" applyBorder="1" applyAlignment="1">
      <alignment horizontal="center" vertical="center"/>
    </xf>
    <xf numFmtId="0" fontId="35" fillId="6" borderId="0" xfId="0" applyFont="1" applyFill="1" applyBorder="1" applyAlignment="1">
      <alignment vertical="center" wrapText="1"/>
    </xf>
    <xf numFmtId="4" fontId="1" fillId="6" borderId="1" xfId="0" applyNumberFormat="1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95" fillId="0" borderId="0" xfId="0" applyNumberFormat="1" applyFont="1"/>
    <xf numFmtId="165" fontId="35" fillId="6" borderId="0" xfId="2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3" fontId="10" fillId="6" borderId="0" xfId="0" applyNumberFormat="1" applyFont="1" applyFill="1" applyBorder="1"/>
    <xf numFmtId="0" fontId="2" fillId="5" borderId="1" xfId="0" applyFont="1" applyFill="1" applyBorder="1" applyAlignment="1">
      <alignment horizontal="center" vertical="center" wrapText="1"/>
    </xf>
    <xf numFmtId="10" fontId="13" fillId="8" borderId="3" xfId="2" applyNumberFormat="1" applyFont="1" applyFill="1" applyBorder="1" applyAlignment="1">
      <alignment horizontal="center" vertical="top" wrapText="1"/>
    </xf>
    <xf numFmtId="10" fontId="13" fillId="46" borderId="3" xfId="2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wrapText="1"/>
    </xf>
    <xf numFmtId="4" fontId="35" fillId="6" borderId="0" xfId="0" applyNumberFormat="1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49" fontId="96" fillId="0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0" fontId="1" fillId="6" borderId="6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 wrapText="1"/>
    </xf>
    <xf numFmtId="0" fontId="92" fillId="45" borderId="6" xfId="0" applyFont="1" applyFill="1" applyBorder="1" applyAlignment="1">
      <alignment horizontal="center"/>
    </xf>
    <xf numFmtId="0" fontId="92" fillId="45" borderId="26" xfId="0" applyFont="1" applyFill="1" applyBorder="1" applyAlignment="1">
      <alignment horizontal="center"/>
    </xf>
    <xf numFmtId="0" fontId="92" fillId="45" borderId="1" xfId="0" applyFont="1" applyFill="1" applyBorder="1" applyAlignment="1">
      <alignment horizontal="center"/>
    </xf>
    <xf numFmtId="0" fontId="92" fillId="45" borderId="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0" fontId="2" fillId="4" borderId="2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13" fillId="6" borderId="6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91" fillId="49" borderId="21" xfId="0" applyFont="1" applyFill="1" applyBorder="1" applyAlignment="1">
      <alignment horizontal="center"/>
    </xf>
    <xf numFmtId="0" fontId="91" fillId="49" borderId="25" xfId="0" applyFont="1" applyFill="1" applyBorder="1" applyAlignment="1">
      <alignment horizontal="center"/>
    </xf>
    <xf numFmtId="0" fontId="91" fillId="49" borderId="22" xfId="0" applyFont="1" applyFill="1" applyBorder="1" applyAlignment="1">
      <alignment horizontal="center"/>
    </xf>
    <xf numFmtId="0" fontId="91" fillId="49" borderId="23" xfId="0" applyFont="1" applyFill="1" applyBorder="1" applyAlignment="1">
      <alignment horizontal="center"/>
    </xf>
    <xf numFmtId="0" fontId="68" fillId="44" borderId="6" xfId="0" applyFont="1" applyFill="1" applyBorder="1" applyAlignment="1">
      <alignment horizontal="center" wrapText="1"/>
    </xf>
    <xf numFmtId="0" fontId="68" fillId="44" borderId="26" xfId="0" applyFont="1" applyFill="1" applyBorder="1" applyAlignment="1">
      <alignment horizontal="center" wrapText="1"/>
    </xf>
    <xf numFmtId="0" fontId="68" fillId="44" borderId="1" xfId="0" applyFont="1" applyFill="1" applyBorder="1" applyAlignment="1">
      <alignment horizontal="center" wrapText="1"/>
    </xf>
    <xf numFmtId="0" fontId="68" fillId="44" borderId="3" xfId="0" applyFont="1" applyFill="1" applyBorder="1" applyAlignment="1">
      <alignment horizontal="center" wrapText="1"/>
    </xf>
    <xf numFmtId="0" fontId="12" fillId="7" borderId="27" xfId="0" applyFont="1" applyFill="1" applyBorder="1" applyAlignment="1">
      <alignment horizontal="center" vertical="top" wrapText="1"/>
    </xf>
    <xf numFmtId="0" fontId="12" fillId="7" borderId="28" xfId="0" applyFont="1" applyFill="1" applyBorder="1" applyAlignment="1">
      <alignment horizontal="center" vertical="top" wrapText="1"/>
    </xf>
    <xf numFmtId="0" fontId="12" fillId="7" borderId="26" xfId="0" applyFont="1" applyFill="1" applyBorder="1" applyAlignment="1">
      <alignment horizontal="center" vertical="top" wrapText="1"/>
    </xf>
    <xf numFmtId="0" fontId="37" fillId="6" borderId="0" xfId="0" applyFont="1" applyFill="1" applyBorder="1" applyAlignment="1">
      <alignment wrapText="1"/>
    </xf>
    <xf numFmtId="165" fontId="5" fillId="6" borderId="0" xfId="2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165" fontId="8" fillId="6" borderId="0" xfId="2" applyNumberFormat="1" applyFont="1" applyFill="1" applyBorder="1" applyAlignment="1">
      <alignment horizontal="center"/>
    </xf>
    <xf numFmtId="165" fontId="8" fillId="6" borderId="0" xfId="2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 vertical="top" wrapText="1"/>
    </xf>
    <xf numFmtId="0" fontId="13" fillId="6" borderId="26" xfId="0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horizontal="center" vertical="top" wrapText="1"/>
    </xf>
    <xf numFmtId="0" fontId="13" fillId="6" borderId="3" xfId="0" applyFont="1" applyFill="1" applyBorder="1" applyAlignment="1">
      <alignment horizontal="center" vertical="top" wrapText="1"/>
    </xf>
    <xf numFmtId="0" fontId="68" fillId="44" borderId="6" xfId="0" applyFont="1" applyFill="1" applyBorder="1" applyAlignment="1">
      <alignment horizontal="center" vertical="top" wrapText="1"/>
    </xf>
    <xf numFmtId="0" fontId="68" fillId="44" borderId="26" xfId="0" applyFont="1" applyFill="1" applyBorder="1" applyAlignment="1">
      <alignment horizontal="center" vertical="top" wrapText="1"/>
    </xf>
    <xf numFmtId="0" fontId="68" fillId="44" borderId="1" xfId="0" applyFont="1" applyFill="1" applyBorder="1" applyAlignment="1">
      <alignment horizontal="center" vertical="top" wrapText="1"/>
    </xf>
    <xf numFmtId="0" fontId="68" fillId="44" borderId="3" xfId="0" applyFont="1" applyFill="1" applyBorder="1" applyAlignment="1">
      <alignment horizontal="center" vertical="top" wrapText="1"/>
    </xf>
    <xf numFmtId="4" fontId="35" fillId="6" borderId="0" xfId="0" applyNumberFormat="1" applyFont="1" applyFill="1" applyBorder="1" applyAlignment="1">
      <alignment vertical="center"/>
    </xf>
    <xf numFmtId="0" fontId="36" fillId="6" borderId="0" xfId="0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 wrapText="1"/>
    </xf>
    <xf numFmtId="0" fontId="68" fillId="44" borderId="6" xfId="0" applyFont="1" applyFill="1" applyBorder="1" applyAlignment="1">
      <alignment horizontal="center"/>
    </xf>
    <xf numFmtId="0" fontId="68" fillId="44" borderId="26" xfId="0" applyFont="1" applyFill="1" applyBorder="1" applyAlignment="1">
      <alignment horizontal="center"/>
    </xf>
    <xf numFmtId="0" fontId="68" fillId="44" borderId="1" xfId="0" applyFont="1" applyFill="1" applyBorder="1" applyAlignment="1">
      <alignment horizontal="center"/>
    </xf>
    <xf numFmtId="0" fontId="68" fillId="44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0" fillId="0" borderId="0" xfId="0" applyFont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93" fillId="6" borderId="21" xfId="0" applyFont="1" applyFill="1" applyBorder="1" applyAlignment="1">
      <alignment horizontal="center"/>
    </xf>
    <xf numFmtId="0" fontId="93" fillId="6" borderId="22" xfId="0" applyFont="1" applyFill="1" applyBorder="1" applyAlignment="1">
      <alignment horizontal="center"/>
    </xf>
    <xf numFmtId="0" fontId="93" fillId="6" borderId="2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5" fontId="17" fillId="13" borderId="1" xfId="2" applyFont="1" applyFill="1" applyBorder="1" applyAlignment="1">
      <alignment horizontal="center" vertical="center" wrapText="1"/>
    </xf>
  </cellXfs>
  <cellStyles count="20351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12" xfId="13173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alculation 2" xfId="13175"/>
    <cellStyle name="Check Cell" xfId="16" builtinId="23" customBuiltin="1"/>
    <cellStyle name="Comma" xfId="2" builtinId="3"/>
    <cellStyle name="Comma 10" xfId="68"/>
    <cellStyle name="Comma 10 13" xfId="13398"/>
    <cellStyle name="Comma 10 13 2" xfId="19776"/>
    <cellStyle name="Comma 10 13 3" xfId="19789"/>
    <cellStyle name="Comma 10 2" xfId="2902"/>
    <cellStyle name="Comma 10 2 2" xfId="10862"/>
    <cellStyle name="Comma 10 2 2 2" xfId="17401"/>
    <cellStyle name="Comma 10 2 3" xfId="13191"/>
    <cellStyle name="Comma 10 2 3 2" xfId="19700"/>
    <cellStyle name="Comma 10 2 4" xfId="14549"/>
    <cellStyle name="Comma 10 2 5" xfId="19795"/>
    <cellStyle name="Comma 10 2 6" xfId="20220"/>
    <cellStyle name="Comma 10 3" xfId="2337"/>
    <cellStyle name="Comma 10 3 2" xfId="13985"/>
    <cellStyle name="Comma 10 3 3" xfId="20293"/>
    <cellStyle name="Comma 10 4" xfId="10298"/>
    <cellStyle name="Comma 10 4 2" xfId="16837"/>
    <cellStyle name="Comma 10 5" xfId="13190"/>
    <cellStyle name="Comma 10 5 2" xfId="19699"/>
    <cellStyle name="Comma 10 6" xfId="13409"/>
    <cellStyle name="Comma 10 7" xfId="19794"/>
    <cellStyle name="Comma 10 8" xfId="20051"/>
    <cellStyle name="Comma 11" xfId="226"/>
    <cellStyle name="Comma 11 2" xfId="2941"/>
    <cellStyle name="Comma 11 2 2" xfId="10899"/>
    <cellStyle name="Comma 11 2 2 2" xfId="17438"/>
    <cellStyle name="Comma 11 2 3" xfId="13193"/>
    <cellStyle name="Comma 11 2 3 2" xfId="19702"/>
    <cellStyle name="Comma 11 2 4" xfId="14586"/>
    <cellStyle name="Comma 11 2 5" xfId="19797"/>
    <cellStyle name="Comma 11 2 6" xfId="20218"/>
    <cellStyle name="Comma 11 3" xfId="2373"/>
    <cellStyle name="Comma 11 3 2" xfId="13186"/>
    <cellStyle name="Comma 11 3 2 2" xfId="19696"/>
    <cellStyle name="Comma 11 3 3" xfId="14021"/>
    <cellStyle name="Comma 11 3 4" xfId="20291"/>
    <cellStyle name="Comma 11 4" xfId="10334"/>
    <cellStyle name="Comma 11 4 2" xfId="16873"/>
    <cellStyle name="Comma 11 5" xfId="13192"/>
    <cellStyle name="Comma 11 5 2" xfId="19701"/>
    <cellStyle name="Comma 11 6" xfId="13446"/>
    <cellStyle name="Comma 11 7" xfId="19796"/>
    <cellStyle name="Comma 11 8" xfId="20048"/>
    <cellStyle name="Comma 12" xfId="211"/>
    <cellStyle name="Comma 12 10" xfId="13194"/>
    <cellStyle name="Comma 12 10 2" xfId="19703"/>
    <cellStyle name="Comma 12 11" xfId="13445"/>
    <cellStyle name="Comma 12 12" xfId="19798"/>
    <cellStyle name="Comma 12 13" xfId="20044"/>
    <cellStyle name="Comma 12 2" xfId="449"/>
    <cellStyle name="Comma 12 2 10" xfId="19799"/>
    <cellStyle name="Comma 12 2 11" xfId="20215"/>
    <cellStyle name="Comma 12 2 2" xfId="903"/>
    <cellStyle name="Comma 12 2 2 2" xfId="2038"/>
    <cellStyle name="Comma 12 2 2 2 2" xfId="5458"/>
    <cellStyle name="Comma 12 2 2 2 2 2" xfId="11926"/>
    <cellStyle name="Comma 12 2 2 2 2 2 2" xfId="18465"/>
    <cellStyle name="Comma 12 2 2 2 2 3" xfId="15613"/>
    <cellStyle name="Comma 12 2 2 2 3" xfId="7730"/>
    <cellStyle name="Comma 12 2 2 2 3 2" xfId="12497"/>
    <cellStyle name="Comma 12 2 2 2 3 2 2" xfId="19036"/>
    <cellStyle name="Comma 12 2 2 2 3 3" xfId="16184"/>
    <cellStyle name="Comma 12 2 2 2 4" xfId="10002"/>
    <cellStyle name="Comma 12 2 2 2 4 2" xfId="13068"/>
    <cellStyle name="Comma 12 2 2 2 4 2 2" xfId="19607"/>
    <cellStyle name="Comma 12 2 2 2 4 3" xfId="16755"/>
    <cellStyle name="Comma 12 2 2 2 5" xfId="3398"/>
    <cellStyle name="Comma 12 2 2 2 5 2" xfId="11355"/>
    <cellStyle name="Comma 12 2 2 2 5 2 2" xfId="17894"/>
    <cellStyle name="Comma 12 2 2 2 5 3" xfId="15042"/>
    <cellStyle name="Comma 12 2 2 2 6" xfId="13902"/>
    <cellStyle name="Comma 12 2 2 3" xfId="4323"/>
    <cellStyle name="Comma 12 2 2 3 2" xfId="11641"/>
    <cellStyle name="Comma 12 2 2 3 2 2" xfId="18180"/>
    <cellStyle name="Comma 12 2 2 3 3" xfId="15328"/>
    <cellStyle name="Comma 12 2 2 4" xfId="6595"/>
    <cellStyle name="Comma 12 2 2 4 2" xfId="12212"/>
    <cellStyle name="Comma 12 2 2 4 2 2" xfId="18751"/>
    <cellStyle name="Comma 12 2 2 4 3" xfId="15899"/>
    <cellStyle name="Comma 12 2 2 5" xfId="8867"/>
    <cellStyle name="Comma 12 2 2 5 2" xfId="12783"/>
    <cellStyle name="Comma 12 2 2 5 2 2" xfId="19322"/>
    <cellStyle name="Comma 12 2 2 5 3" xfId="16470"/>
    <cellStyle name="Comma 12 2 2 6" xfId="3113"/>
    <cellStyle name="Comma 12 2 2 6 2" xfId="11070"/>
    <cellStyle name="Comma 12 2 2 6 2 2" xfId="17609"/>
    <cellStyle name="Comma 12 2 2 6 3" xfId="14757"/>
    <cellStyle name="Comma 12 2 2 7" xfId="13617"/>
    <cellStyle name="Comma 12 2 3" xfId="1584"/>
    <cellStyle name="Comma 12 2 3 2" xfId="5004"/>
    <cellStyle name="Comma 12 2 3 2 2" xfId="11812"/>
    <cellStyle name="Comma 12 2 3 2 2 2" xfId="18351"/>
    <cellStyle name="Comma 12 2 3 2 3" xfId="15499"/>
    <cellStyle name="Comma 12 2 3 3" xfId="7276"/>
    <cellStyle name="Comma 12 2 3 3 2" xfId="12383"/>
    <cellStyle name="Comma 12 2 3 3 2 2" xfId="18922"/>
    <cellStyle name="Comma 12 2 3 3 3" xfId="16070"/>
    <cellStyle name="Comma 12 2 3 4" xfId="9548"/>
    <cellStyle name="Comma 12 2 3 4 2" xfId="12954"/>
    <cellStyle name="Comma 12 2 3 4 2 2" xfId="19493"/>
    <cellStyle name="Comma 12 2 3 4 3" xfId="16641"/>
    <cellStyle name="Comma 12 2 3 5" xfId="3284"/>
    <cellStyle name="Comma 12 2 3 5 2" xfId="11241"/>
    <cellStyle name="Comma 12 2 3 5 2 2" xfId="17780"/>
    <cellStyle name="Comma 12 2 3 5 3" xfId="14928"/>
    <cellStyle name="Comma 12 2 3 6" xfId="13788"/>
    <cellStyle name="Comma 12 2 4" xfId="3869"/>
    <cellStyle name="Comma 12 2 4 2" xfId="11527"/>
    <cellStyle name="Comma 12 2 4 2 2" xfId="18066"/>
    <cellStyle name="Comma 12 2 4 3" xfId="15214"/>
    <cellStyle name="Comma 12 2 5" xfId="6141"/>
    <cellStyle name="Comma 12 2 5 2" xfId="12098"/>
    <cellStyle name="Comma 12 2 5 2 2" xfId="18637"/>
    <cellStyle name="Comma 12 2 5 3" xfId="15785"/>
    <cellStyle name="Comma 12 2 6" xfId="8413"/>
    <cellStyle name="Comma 12 2 6 2" xfId="12669"/>
    <cellStyle name="Comma 12 2 6 2 2" xfId="19208"/>
    <cellStyle name="Comma 12 2 6 3" xfId="16356"/>
    <cellStyle name="Comma 12 2 7" xfId="2999"/>
    <cellStyle name="Comma 12 2 7 2" xfId="10956"/>
    <cellStyle name="Comma 12 2 7 2 2" xfId="17495"/>
    <cellStyle name="Comma 12 2 7 3" xfId="14643"/>
    <cellStyle name="Comma 12 2 8" xfId="13195"/>
    <cellStyle name="Comma 12 2 8 2" xfId="19704"/>
    <cellStyle name="Comma 12 2 9" xfId="13503"/>
    <cellStyle name="Comma 12 3" xfId="1130"/>
    <cellStyle name="Comma 12 3 2" xfId="2265"/>
    <cellStyle name="Comma 12 3 2 2" xfId="5685"/>
    <cellStyle name="Comma 12 3 2 2 2" xfId="11983"/>
    <cellStyle name="Comma 12 3 2 2 2 2" xfId="18522"/>
    <cellStyle name="Comma 12 3 2 2 3" xfId="15670"/>
    <cellStyle name="Comma 12 3 2 3" xfId="7957"/>
    <cellStyle name="Comma 12 3 2 3 2" xfId="12554"/>
    <cellStyle name="Comma 12 3 2 3 2 2" xfId="19093"/>
    <cellStyle name="Comma 12 3 2 3 3" xfId="16241"/>
    <cellStyle name="Comma 12 3 2 4" xfId="10229"/>
    <cellStyle name="Comma 12 3 2 4 2" xfId="13125"/>
    <cellStyle name="Comma 12 3 2 4 2 2" xfId="19664"/>
    <cellStyle name="Comma 12 3 2 4 3" xfId="16812"/>
    <cellStyle name="Comma 12 3 2 5" xfId="3455"/>
    <cellStyle name="Comma 12 3 2 5 2" xfId="11412"/>
    <cellStyle name="Comma 12 3 2 5 2 2" xfId="17951"/>
    <cellStyle name="Comma 12 3 2 5 3" xfId="15099"/>
    <cellStyle name="Comma 12 3 2 6" xfId="13959"/>
    <cellStyle name="Comma 12 3 3" xfId="4550"/>
    <cellStyle name="Comma 12 3 3 2" xfId="11698"/>
    <cellStyle name="Comma 12 3 3 2 2" xfId="18237"/>
    <cellStyle name="Comma 12 3 3 3" xfId="15385"/>
    <cellStyle name="Comma 12 3 4" xfId="6822"/>
    <cellStyle name="Comma 12 3 4 2" xfId="12269"/>
    <cellStyle name="Comma 12 3 4 2 2" xfId="18808"/>
    <cellStyle name="Comma 12 3 4 3" xfId="15956"/>
    <cellStyle name="Comma 12 3 5" xfId="9094"/>
    <cellStyle name="Comma 12 3 5 2" xfId="12840"/>
    <cellStyle name="Comma 12 3 5 2 2" xfId="19379"/>
    <cellStyle name="Comma 12 3 5 3" xfId="16527"/>
    <cellStyle name="Comma 12 3 6" xfId="3170"/>
    <cellStyle name="Comma 12 3 6 2" xfId="11127"/>
    <cellStyle name="Comma 12 3 6 2 2" xfId="17666"/>
    <cellStyle name="Comma 12 3 6 3" xfId="14814"/>
    <cellStyle name="Comma 12 3 7" xfId="13674"/>
    <cellStyle name="Comma 12 3 8" xfId="20288"/>
    <cellStyle name="Comma 12 4" xfId="676"/>
    <cellStyle name="Comma 12 4 2" xfId="1811"/>
    <cellStyle name="Comma 12 4 2 2" xfId="5231"/>
    <cellStyle name="Comma 12 4 2 2 2" xfId="11869"/>
    <cellStyle name="Comma 12 4 2 2 2 2" xfId="18408"/>
    <cellStyle name="Comma 12 4 2 2 3" xfId="15556"/>
    <cellStyle name="Comma 12 4 2 3" xfId="7503"/>
    <cellStyle name="Comma 12 4 2 3 2" xfId="12440"/>
    <cellStyle name="Comma 12 4 2 3 2 2" xfId="18979"/>
    <cellStyle name="Comma 12 4 2 3 3" xfId="16127"/>
    <cellStyle name="Comma 12 4 2 4" xfId="9775"/>
    <cellStyle name="Comma 12 4 2 4 2" xfId="13011"/>
    <cellStyle name="Comma 12 4 2 4 2 2" xfId="19550"/>
    <cellStyle name="Comma 12 4 2 4 3" xfId="16698"/>
    <cellStyle name="Comma 12 4 2 5" xfId="3341"/>
    <cellStyle name="Comma 12 4 2 5 2" xfId="11298"/>
    <cellStyle name="Comma 12 4 2 5 2 2" xfId="17837"/>
    <cellStyle name="Comma 12 4 2 5 3" xfId="14985"/>
    <cellStyle name="Comma 12 4 2 6" xfId="13845"/>
    <cellStyle name="Comma 12 4 3" xfId="4096"/>
    <cellStyle name="Comma 12 4 3 2" xfId="11584"/>
    <cellStyle name="Comma 12 4 3 2 2" xfId="18123"/>
    <cellStyle name="Comma 12 4 3 3" xfId="15271"/>
    <cellStyle name="Comma 12 4 4" xfId="6368"/>
    <cellStyle name="Comma 12 4 4 2" xfId="12155"/>
    <cellStyle name="Comma 12 4 4 2 2" xfId="18694"/>
    <cellStyle name="Comma 12 4 4 3" xfId="15842"/>
    <cellStyle name="Comma 12 4 5" xfId="8640"/>
    <cellStyle name="Comma 12 4 5 2" xfId="12726"/>
    <cellStyle name="Comma 12 4 5 2 2" xfId="19265"/>
    <cellStyle name="Comma 12 4 5 3" xfId="16413"/>
    <cellStyle name="Comma 12 4 6" xfId="3056"/>
    <cellStyle name="Comma 12 4 6 2" xfId="11013"/>
    <cellStyle name="Comma 12 4 6 2 2" xfId="17552"/>
    <cellStyle name="Comma 12 4 6 3" xfId="14700"/>
    <cellStyle name="Comma 12 4 7" xfId="13560"/>
    <cellStyle name="Comma 12 5" xfId="1357"/>
    <cellStyle name="Comma 12 5 2" xfId="4777"/>
    <cellStyle name="Comma 12 5 2 2" xfId="11755"/>
    <cellStyle name="Comma 12 5 2 2 2" xfId="18294"/>
    <cellStyle name="Comma 12 5 2 3" xfId="15442"/>
    <cellStyle name="Comma 12 5 3" xfId="7049"/>
    <cellStyle name="Comma 12 5 3 2" xfId="12326"/>
    <cellStyle name="Comma 12 5 3 2 2" xfId="18865"/>
    <cellStyle name="Comma 12 5 3 3" xfId="16013"/>
    <cellStyle name="Comma 12 5 4" xfId="9321"/>
    <cellStyle name="Comma 12 5 4 2" xfId="12897"/>
    <cellStyle name="Comma 12 5 4 2 2" xfId="19436"/>
    <cellStyle name="Comma 12 5 4 3" xfId="16584"/>
    <cellStyle name="Comma 12 5 5" xfId="3227"/>
    <cellStyle name="Comma 12 5 5 2" xfId="11184"/>
    <cellStyle name="Comma 12 5 5 2 2" xfId="17723"/>
    <cellStyle name="Comma 12 5 5 3" xfId="14871"/>
    <cellStyle name="Comma 12 5 6" xfId="13731"/>
    <cellStyle name="Comma 12 6" xfId="3642"/>
    <cellStyle name="Comma 12 6 2" xfId="11470"/>
    <cellStyle name="Comma 12 6 2 2" xfId="18009"/>
    <cellStyle name="Comma 12 6 3" xfId="15157"/>
    <cellStyle name="Comma 12 7" xfId="5914"/>
    <cellStyle name="Comma 12 7 2" xfId="12041"/>
    <cellStyle name="Comma 12 7 2 2" xfId="18580"/>
    <cellStyle name="Comma 12 7 3" xfId="15728"/>
    <cellStyle name="Comma 12 8" xfId="8186"/>
    <cellStyle name="Comma 12 8 2" xfId="12612"/>
    <cellStyle name="Comma 12 8 2 2" xfId="19151"/>
    <cellStyle name="Comma 12 8 3" xfId="16299"/>
    <cellStyle name="Comma 12 9" xfId="2939"/>
    <cellStyle name="Comma 12 9 2" xfId="10898"/>
    <cellStyle name="Comma 12 9 2 2" xfId="17437"/>
    <cellStyle name="Comma 12 9 3" xfId="14585"/>
    <cellStyle name="Comma 13" xfId="39"/>
    <cellStyle name="Comma 13 10" xfId="19800"/>
    <cellStyle name="Comma 13 11" xfId="20191"/>
    <cellStyle name="Comma 13 2" xfId="5744"/>
    <cellStyle name="Comma 13 2 2" xfId="11998"/>
    <cellStyle name="Comma 13 2 2 2" xfId="18537"/>
    <cellStyle name="Comma 13 2 3" xfId="15685"/>
    <cellStyle name="Comma 13 2 4" xfId="20270"/>
    <cellStyle name="Comma 13 3" xfId="8016"/>
    <cellStyle name="Comma 13 3 2" xfId="12569"/>
    <cellStyle name="Comma 13 3 2 2" xfId="19108"/>
    <cellStyle name="Comma 13 3 3" xfId="16256"/>
    <cellStyle name="Comma 13 3 4" xfId="20343"/>
    <cellStyle name="Comma 13 4" xfId="10288"/>
    <cellStyle name="Comma 13 4 2" xfId="13140"/>
    <cellStyle name="Comma 13 4 2 2" xfId="19679"/>
    <cellStyle name="Comma 13 4 3" xfId="16827"/>
    <cellStyle name="Comma 13 5" xfId="3471"/>
    <cellStyle name="Comma 13 5 2" xfId="11427"/>
    <cellStyle name="Comma 13 5 2 2" xfId="17966"/>
    <cellStyle name="Comma 13 5 3" xfId="15114"/>
    <cellStyle name="Comma 13 6" xfId="2328"/>
    <cellStyle name="Comma 13 6 2" xfId="13976"/>
    <cellStyle name="Comma 13 7" xfId="10289"/>
    <cellStyle name="Comma 13 7 2" xfId="16828"/>
    <cellStyle name="Comma 13 8" xfId="13196"/>
    <cellStyle name="Comma 13 8 2" xfId="19705"/>
    <cellStyle name="Comma 13 9" xfId="13400"/>
    <cellStyle name="Comma 14" xfId="2892"/>
    <cellStyle name="Comma 14 2" xfId="10853"/>
    <cellStyle name="Comma 14 2 2" xfId="17392"/>
    <cellStyle name="Comma 14 2 3" xfId="20272"/>
    <cellStyle name="Comma 14 3" xfId="13197"/>
    <cellStyle name="Comma 14 3 2" xfId="19706"/>
    <cellStyle name="Comma 14 3 3" xfId="20345"/>
    <cellStyle name="Comma 14 4" xfId="14540"/>
    <cellStyle name="Comma 14 5" xfId="19801"/>
    <cellStyle name="Comma 14 6" xfId="20193"/>
    <cellStyle name="Comma 15" xfId="13153"/>
    <cellStyle name="Comma 15 2" xfId="13198"/>
    <cellStyle name="Comma 15 2 2" xfId="19707"/>
    <cellStyle name="Comma 15 2 3" xfId="20201"/>
    <cellStyle name="Comma 15 3" xfId="19682"/>
    <cellStyle name="Comma 15 3 2" xfId="20346"/>
    <cellStyle name="Comma 15 4" xfId="19802"/>
    <cellStyle name="Comma 15 5" xfId="20195"/>
    <cellStyle name="Comma 16" xfId="13154"/>
    <cellStyle name="Comma 16 2" xfId="13199"/>
    <cellStyle name="Comma 16 2 2" xfId="19708"/>
    <cellStyle name="Comma 16 2 3" xfId="20347"/>
    <cellStyle name="Comma 16 3" xfId="19683"/>
    <cellStyle name="Comma 16 4" xfId="19803"/>
    <cellStyle name="Comma 16 5" xfId="20196"/>
    <cellStyle name="Comma 17" xfId="13180"/>
    <cellStyle name="Comma 17 2" xfId="13200"/>
    <cellStyle name="Comma 17 2 2" xfId="19709"/>
    <cellStyle name="Comma 17 2 3" xfId="20348"/>
    <cellStyle name="Comma 17 3" xfId="19691"/>
    <cellStyle name="Comma 17 4" xfId="19804"/>
    <cellStyle name="Comma 17 5" xfId="20197"/>
    <cellStyle name="Comma 18" xfId="13201"/>
    <cellStyle name="Comma 18 2" xfId="19710"/>
    <cellStyle name="Comma 18 2 2" xfId="20349"/>
    <cellStyle name="Comma 18 3" xfId="19805"/>
    <cellStyle name="Comma 18 4" xfId="20198"/>
    <cellStyle name="Comma 19" xfId="13202"/>
    <cellStyle name="Comma 19 2" xfId="19711"/>
    <cellStyle name="Comma 19 3" xfId="19806"/>
    <cellStyle name="Comma 19 4" xfId="20274"/>
    <cellStyle name="Comma 2" xfId="3"/>
    <cellStyle name="Comma 2 10" xfId="13203"/>
    <cellStyle name="Comma 2 10 2" xfId="19712"/>
    <cellStyle name="Comma 2 10 2 2" xfId="20211"/>
    <cellStyle name="Comma 2 10 3" xfId="20284"/>
    <cellStyle name="Comma 2 10 4" xfId="20037"/>
    <cellStyle name="Comma 2 11" xfId="13399"/>
    <cellStyle name="Comma 2 11 2" xfId="20033"/>
    <cellStyle name="Comma 2 12" xfId="19778"/>
    <cellStyle name="Comma 2 12 2" xfId="20222"/>
    <cellStyle name="Comma 2 12 3" xfId="20295"/>
    <cellStyle name="Comma 2 12 4" xfId="20054"/>
    <cellStyle name="Comma 2 13" xfId="19785"/>
    <cellStyle name="Comma 2 13 2" xfId="20271"/>
    <cellStyle name="Comma 2 13 3" xfId="20344"/>
    <cellStyle name="Comma 2 13 4" xfId="20192"/>
    <cellStyle name="Comma 2 14" xfId="19791"/>
    <cellStyle name="Comma 2 14 2" xfId="20199"/>
    <cellStyle name="Comma 2 15" xfId="19807"/>
    <cellStyle name="Comma 2 15 2" xfId="20273"/>
    <cellStyle name="Comma 2 16" xfId="19871"/>
    <cellStyle name="Comma 2 2" xfId="41"/>
    <cellStyle name="Comma 2 2 2" xfId="2894"/>
    <cellStyle name="Comma 2 2 2 2" xfId="14541"/>
    <cellStyle name="Comma 2 2 2 2 2" xfId="20043"/>
    <cellStyle name="Comma 2 2 2 3" xfId="20040"/>
    <cellStyle name="Comma 2 2 2 4" xfId="20036"/>
    <cellStyle name="Comma 2 2 2 5" xfId="20047"/>
    <cellStyle name="Comma 2 2 2 6" xfId="20203"/>
    <cellStyle name="Comma 2 2 2 7" xfId="20276"/>
    <cellStyle name="Comma 2 2 2 8" xfId="19879"/>
    <cellStyle name="Comma 2 2 3" xfId="10854"/>
    <cellStyle name="Comma 2 2 3 2" xfId="17393"/>
    <cellStyle name="Comma 2 2 3 3" xfId="20053"/>
    <cellStyle name="Comma 2 2 4" xfId="13177"/>
    <cellStyle name="Comma 2 2 4 2" xfId="19688"/>
    <cellStyle name="Comma 2 2 4 3" xfId="20050"/>
    <cellStyle name="Comma 2 2 5" xfId="13204"/>
    <cellStyle name="Comma 2 2 5 2" xfId="19713"/>
    <cellStyle name="Comma 2 2 5 2 2" xfId="20217"/>
    <cellStyle name="Comma 2 2 5 3" xfId="20290"/>
    <cellStyle name="Comma 2 2 5 4" xfId="20046"/>
    <cellStyle name="Comma 2 2 6" xfId="13401"/>
    <cellStyle name="Comma 2 2 6 2" xfId="20214"/>
    <cellStyle name="Comma 2 2 6 3" xfId="20287"/>
    <cellStyle name="Comma 2 2 6 4" xfId="20042"/>
    <cellStyle name="Comma 2 2 7" xfId="19780"/>
    <cellStyle name="Comma 2 2 7 2" xfId="20200"/>
    <cellStyle name="Comma 2 2 8" xfId="19808"/>
    <cellStyle name="Comma 2 2 9" xfId="19872"/>
    <cellStyle name="Comma 2 3" xfId="2323"/>
    <cellStyle name="Comma 2 3 2" xfId="13179"/>
    <cellStyle name="Comma 2 3 2 2" xfId="19690"/>
    <cellStyle name="Comma 2 3 2 2 2" xfId="20213"/>
    <cellStyle name="Comma 2 3 2 3" xfId="20286"/>
    <cellStyle name="Comma 2 3 2 4" xfId="20039"/>
    <cellStyle name="Comma 2 3 3" xfId="13974"/>
    <cellStyle name="Comma 2 3 3 2" xfId="20206"/>
    <cellStyle name="Comma 2 3 4" xfId="19782"/>
    <cellStyle name="Comma 2 3 4 2" xfId="20279"/>
    <cellStyle name="Comma 2 3 5" xfId="19884"/>
    <cellStyle name="Comma 2 4" xfId="2329"/>
    <cellStyle name="Comma 2 4 2" xfId="13977"/>
    <cellStyle name="Comma 2 4 2 2" xfId="20210"/>
    <cellStyle name="Comma 2 4 2 3" xfId="20283"/>
    <cellStyle name="Comma 2 4 2 4" xfId="20035"/>
    <cellStyle name="Comma 2 4 3" xfId="20223"/>
    <cellStyle name="Comma 2 4 4" xfId="20296"/>
    <cellStyle name="Comma 2 4 5" xfId="20055"/>
    <cellStyle name="Comma 2 5" xfId="10290"/>
    <cellStyle name="Comma 2 5 2" xfId="16829"/>
    <cellStyle name="Comma 2 5 2 2" xfId="20221"/>
    <cellStyle name="Comma 2 5 2 3" xfId="20294"/>
    <cellStyle name="Comma 2 5 2 4" xfId="20052"/>
    <cellStyle name="Comma 2 5 3" xfId="20205"/>
    <cellStyle name="Comma 2 5 4" xfId="20278"/>
    <cellStyle name="Comma 2 5 5" xfId="19883"/>
    <cellStyle name="Comma 2 6" xfId="13141"/>
    <cellStyle name="Comma 2 6 2" xfId="19680"/>
    <cellStyle name="Comma 2 6 2 2" xfId="20219"/>
    <cellStyle name="Comma 2 6 3" xfId="20292"/>
    <cellStyle name="Comma 2 6 4" xfId="20049"/>
    <cellStyle name="Comma 2 7" xfId="13170"/>
    <cellStyle name="Comma 2 7 2" xfId="19686"/>
    <cellStyle name="Comma 2 7 2 2" xfId="20216"/>
    <cellStyle name="Comma 2 7 3" xfId="20289"/>
    <cellStyle name="Comma 2 7 4" xfId="20045"/>
    <cellStyle name="Comma 2 8" xfId="13181"/>
    <cellStyle name="Comma 2 8 2" xfId="19692"/>
    <cellStyle name="Comma 2 8 3" xfId="20041"/>
    <cellStyle name="Comma 2 9" xfId="13183"/>
    <cellStyle name="Comma 2 9 2" xfId="19694"/>
    <cellStyle name="Comma 2 9 2 2" xfId="20212"/>
    <cellStyle name="Comma 2 9 3" xfId="20285"/>
    <cellStyle name="Comma 2 9 4" xfId="20038"/>
    <cellStyle name="Comma 20" xfId="13205"/>
    <cellStyle name="Comma 20 2" xfId="19714"/>
    <cellStyle name="Comma 20 3" xfId="19809"/>
    <cellStyle name="Comma 20 4" xfId="20350"/>
    <cellStyle name="Comma 21" xfId="13206"/>
    <cellStyle name="Comma 21 2" xfId="19715"/>
    <cellStyle name="Comma 21 3" xfId="19810"/>
    <cellStyle name="Comma 21 4" xfId="19873"/>
    <cellStyle name="Comma 22" xfId="13207"/>
    <cellStyle name="Comma 22 2" xfId="19716"/>
    <cellStyle name="Comma 22 3" xfId="19811"/>
    <cellStyle name="Comma 23" xfId="13208"/>
    <cellStyle name="Comma 23 2" xfId="19717"/>
    <cellStyle name="Comma 23 2 2" xfId="20204"/>
    <cellStyle name="Comma 23 3" xfId="19812"/>
    <cellStyle name="Comma 23 3 2" xfId="20277"/>
    <cellStyle name="Comma 23 4" xfId="19882"/>
    <cellStyle name="Comma 24" xfId="13209"/>
    <cellStyle name="Comma 24 2" xfId="19718"/>
    <cellStyle name="Comma 24 3" xfId="19813"/>
    <cellStyle name="Comma 25" xfId="13210"/>
    <cellStyle name="Comma 25 2" xfId="19719"/>
    <cellStyle name="Comma 25 3" xfId="19814"/>
    <cellStyle name="Comma 26" xfId="13211"/>
    <cellStyle name="Comma 26 2" xfId="19720"/>
    <cellStyle name="Comma 26 3" xfId="19815"/>
    <cellStyle name="Comma 27" xfId="13212"/>
    <cellStyle name="Comma 27 2" xfId="19721"/>
    <cellStyle name="Comma 27 3" xfId="19816"/>
    <cellStyle name="Comma 28" xfId="13213"/>
    <cellStyle name="Comma 28 2" xfId="19722"/>
    <cellStyle name="Comma 28 3" xfId="19817"/>
    <cellStyle name="Comma 29" xfId="13214"/>
    <cellStyle name="Comma 29 2" xfId="19723"/>
    <cellStyle name="Comma 29 3" xfId="19818"/>
    <cellStyle name="Comma 3" xfId="54"/>
    <cellStyle name="Comma 3 10" xfId="3488"/>
    <cellStyle name="Comma 3 10 2" xfId="11428"/>
    <cellStyle name="Comma 3 10 2 2" xfId="17967"/>
    <cellStyle name="Comma 3 10 2 3" xfId="20224"/>
    <cellStyle name="Comma 3 10 3" xfId="15115"/>
    <cellStyle name="Comma 3 10 3 2" xfId="20297"/>
    <cellStyle name="Comma 3 10 4" xfId="20057"/>
    <cellStyle name="Comma 3 11" xfId="5760"/>
    <cellStyle name="Comma 3 11 2" xfId="11999"/>
    <cellStyle name="Comma 3 11 2 2" xfId="18538"/>
    <cellStyle name="Comma 3 11 2 3" xfId="20225"/>
    <cellStyle name="Comma 3 11 3" xfId="15686"/>
    <cellStyle name="Comma 3 11 3 2" xfId="20298"/>
    <cellStyle name="Comma 3 11 4" xfId="20058"/>
    <cellStyle name="Comma 3 12" xfId="8032"/>
    <cellStyle name="Comma 3 12 2" xfId="12570"/>
    <cellStyle name="Comma 3 12 2 2" xfId="19109"/>
    <cellStyle name="Comma 3 12 2 3" xfId="20226"/>
    <cellStyle name="Comma 3 12 3" xfId="16257"/>
    <cellStyle name="Comma 3 12 3 2" xfId="20299"/>
    <cellStyle name="Comma 3 12 4" xfId="20059"/>
    <cellStyle name="Comma 3 13" xfId="2895"/>
    <cellStyle name="Comma 3 13 2" xfId="10855"/>
    <cellStyle name="Comma 3 13 2 2" xfId="17394"/>
    <cellStyle name="Comma 3 13 2 3" xfId="20227"/>
    <cellStyle name="Comma 3 13 3" xfId="14542"/>
    <cellStyle name="Comma 3 13 3 2" xfId="20300"/>
    <cellStyle name="Comma 3 13 4" xfId="20060"/>
    <cellStyle name="Comma 3 14" xfId="2330"/>
    <cellStyle name="Comma 3 14 2" xfId="13978"/>
    <cellStyle name="Comma 3 14 2 2" xfId="20228"/>
    <cellStyle name="Comma 3 14 3" xfId="20301"/>
    <cellStyle name="Comma 3 14 4" xfId="20061"/>
    <cellStyle name="Comma 3 15" xfId="10291"/>
    <cellStyle name="Comma 3 15 2" xfId="16830"/>
    <cellStyle name="Comma 3 15 2 2" xfId="20229"/>
    <cellStyle name="Comma 3 15 3" xfId="20302"/>
    <cellStyle name="Comma 3 15 4" xfId="20062"/>
    <cellStyle name="Comma 3 16" xfId="13169"/>
    <cellStyle name="Comma 3 16 2" xfId="19685"/>
    <cellStyle name="Comma 3 16 2 2" xfId="20209"/>
    <cellStyle name="Comma 3 16 3" xfId="20282"/>
    <cellStyle name="Comma 3 16 4" xfId="20034"/>
    <cellStyle name="Comma 3 17" xfId="13215"/>
    <cellStyle name="Comma 3 17 2" xfId="19724"/>
    <cellStyle name="Comma 3 17 3" xfId="20207"/>
    <cellStyle name="Comma 3 18" xfId="13402"/>
    <cellStyle name="Comma 3 18 2" xfId="20280"/>
    <cellStyle name="Comma 3 19" xfId="19777"/>
    <cellStyle name="Comma 3 2" xfId="4"/>
    <cellStyle name="Comma 3 2 10" xfId="5788"/>
    <cellStyle name="Comma 3 2 10 2" xfId="12006"/>
    <cellStyle name="Comma 3 2 10 2 2" xfId="18545"/>
    <cellStyle name="Comma 3 2 10 3" xfId="15693"/>
    <cellStyle name="Comma 3 2 11" xfId="8060"/>
    <cellStyle name="Comma 3 2 11 2" xfId="12577"/>
    <cellStyle name="Comma 3 2 11 2 2" xfId="19116"/>
    <cellStyle name="Comma 3 2 11 3" xfId="16264"/>
    <cellStyle name="Comma 3 2 12" xfId="2904"/>
    <cellStyle name="Comma 3 2 12 2" xfId="10863"/>
    <cellStyle name="Comma 3 2 12 2 2" xfId="17402"/>
    <cellStyle name="Comma 3 2 12 3" xfId="14550"/>
    <cellStyle name="Comma 3 2 13" xfId="2338"/>
    <cellStyle name="Comma 3 2 13 2" xfId="13986"/>
    <cellStyle name="Comma 3 2 14" xfId="10299"/>
    <cellStyle name="Comma 3 2 14 2" xfId="16838"/>
    <cellStyle name="Comma 3 2 15" xfId="13216"/>
    <cellStyle name="Comma 3 2 15 2" xfId="19725"/>
    <cellStyle name="Comma 3 2 16" xfId="19820"/>
    <cellStyle name="Comma 3 2 17" xfId="20063"/>
    <cellStyle name="Comma 3 2 2" xfId="197"/>
    <cellStyle name="Comma 3 2 2 10" xfId="2366"/>
    <cellStyle name="Comma 3 2 2 10 2" xfId="14014"/>
    <cellStyle name="Comma 3 2 2 11" xfId="10327"/>
    <cellStyle name="Comma 3 2 2 11 2" xfId="16866"/>
    <cellStyle name="Comma 3 2 2 12" xfId="13142"/>
    <cellStyle name="Comma 3 2 2 12 2" xfId="19681"/>
    <cellStyle name="Comma 3 2 2 13" xfId="13182"/>
    <cellStyle name="Comma 3 2 2 13 2" xfId="19693"/>
    <cellStyle name="Comma 3 2 2 14" xfId="13184"/>
    <cellStyle name="Comma 3 2 2 14 2" xfId="19695"/>
    <cellStyle name="Comma 3 2 2 15" xfId="13438"/>
    <cellStyle name="Comma 3 2 2 16" xfId="20064"/>
    <cellStyle name="Comma 3 2 2 2" xfId="435"/>
    <cellStyle name="Comma 3 2 2 2 10" xfId="13496"/>
    <cellStyle name="Comma 3 2 2 2 11" xfId="20065"/>
    <cellStyle name="Comma 3 2 2 2 2" xfId="889"/>
    <cellStyle name="Comma 3 2 2 2 2 2" xfId="2024"/>
    <cellStyle name="Comma 3 2 2 2 2 2 2" xfId="5444"/>
    <cellStyle name="Comma 3 2 2 2 2 2 2 2" xfId="11919"/>
    <cellStyle name="Comma 3 2 2 2 2 2 2 2 2" xfId="18458"/>
    <cellStyle name="Comma 3 2 2 2 2 2 2 3" xfId="15606"/>
    <cellStyle name="Comma 3 2 2 2 2 2 3" xfId="7716"/>
    <cellStyle name="Comma 3 2 2 2 2 2 3 2" xfId="12490"/>
    <cellStyle name="Comma 3 2 2 2 2 2 3 2 2" xfId="19029"/>
    <cellStyle name="Comma 3 2 2 2 2 2 3 3" xfId="16177"/>
    <cellStyle name="Comma 3 2 2 2 2 2 4" xfId="9988"/>
    <cellStyle name="Comma 3 2 2 2 2 2 4 2" xfId="13061"/>
    <cellStyle name="Comma 3 2 2 2 2 2 4 2 2" xfId="19600"/>
    <cellStyle name="Comma 3 2 2 2 2 2 4 3" xfId="16748"/>
    <cellStyle name="Comma 3 2 2 2 2 2 5" xfId="3391"/>
    <cellStyle name="Comma 3 2 2 2 2 2 5 2" xfId="11348"/>
    <cellStyle name="Comma 3 2 2 2 2 2 5 2 2" xfId="17887"/>
    <cellStyle name="Comma 3 2 2 2 2 2 5 3" xfId="15035"/>
    <cellStyle name="Comma 3 2 2 2 2 2 6" xfId="2815"/>
    <cellStyle name="Comma 3 2 2 2 2 2 6 2" xfId="14463"/>
    <cellStyle name="Comma 3 2 2 2 2 2 7" xfId="10776"/>
    <cellStyle name="Comma 3 2 2 2 2 2 7 2" xfId="17315"/>
    <cellStyle name="Comma 3 2 2 2 2 2 8" xfId="13895"/>
    <cellStyle name="Comma 3 2 2 2 2 3" xfId="4309"/>
    <cellStyle name="Comma 3 2 2 2 2 3 2" xfId="11634"/>
    <cellStyle name="Comma 3 2 2 2 2 3 2 2" xfId="18173"/>
    <cellStyle name="Comma 3 2 2 2 2 3 3" xfId="15321"/>
    <cellStyle name="Comma 3 2 2 2 2 4" xfId="6581"/>
    <cellStyle name="Comma 3 2 2 2 2 4 2" xfId="12205"/>
    <cellStyle name="Comma 3 2 2 2 2 4 2 2" xfId="18744"/>
    <cellStyle name="Comma 3 2 2 2 2 4 3" xfId="15892"/>
    <cellStyle name="Comma 3 2 2 2 2 5" xfId="8853"/>
    <cellStyle name="Comma 3 2 2 2 2 5 2" xfId="12776"/>
    <cellStyle name="Comma 3 2 2 2 2 5 2 2" xfId="19315"/>
    <cellStyle name="Comma 3 2 2 2 2 5 3" xfId="16463"/>
    <cellStyle name="Comma 3 2 2 2 2 6" xfId="3106"/>
    <cellStyle name="Comma 3 2 2 2 2 6 2" xfId="11063"/>
    <cellStyle name="Comma 3 2 2 2 2 6 2 2" xfId="17602"/>
    <cellStyle name="Comma 3 2 2 2 2 6 3" xfId="14750"/>
    <cellStyle name="Comma 3 2 2 2 2 7" xfId="2535"/>
    <cellStyle name="Comma 3 2 2 2 2 7 2" xfId="14183"/>
    <cellStyle name="Comma 3 2 2 2 2 8" xfId="10496"/>
    <cellStyle name="Comma 3 2 2 2 2 8 2" xfId="17035"/>
    <cellStyle name="Comma 3 2 2 2 2 9" xfId="13610"/>
    <cellStyle name="Comma 3 2 2 2 3" xfId="1570"/>
    <cellStyle name="Comma 3 2 2 2 3 2" xfId="4990"/>
    <cellStyle name="Comma 3 2 2 2 3 2 2" xfId="11805"/>
    <cellStyle name="Comma 3 2 2 2 3 2 2 2" xfId="18344"/>
    <cellStyle name="Comma 3 2 2 2 3 2 3" xfId="15492"/>
    <cellStyle name="Comma 3 2 2 2 3 3" xfId="7262"/>
    <cellStyle name="Comma 3 2 2 2 3 3 2" xfId="12376"/>
    <cellStyle name="Comma 3 2 2 2 3 3 2 2" xfId="18915"/>
    <cellStyle name="Comma 3 2 2 2 3 3 3" xfId="16063"/>
    <cellStyle name="Comma 3 2 2 2 3 4" xfId="9534"/>
    <cellStyle name="Comma 3 2 2 2 3 4 2" xfId="12947"/>
    <cellStyle name="Comma 3 2 2 2 3 4 2 2" xfId="19486"/>
    <cellStyle name="Comma 3 2 2 2 3 4 3" xfId="16634"/>
    <cellStyle name="Comma 3 2 2 2 3 5" xfId="3277"/>
    <cellStyle name="Comma 3 2 2 2 3 5 2" xfId="11234"/>
    <cellStyle name="Comma 3 2 2 2 3 5 2 2" xfId="17773"/>
    <cellStyle name="Comma 3 2 2 2 3 5 3" xfId="14921"/>
    <cellStyle name="Comma 3 2 2 2 3 6" xfId="2703"/>
    <cellStyle name="Comma 3 2 2 2 3 6 2" xfId="14351"/>
    <cellStyle name="Comma 3 2 2 2 3 7" xfId="10664"/>
    <cellStyle name="Comma 3 2 2 2 3 7 2" xfId="17203"/>
    <cellStyle name="Comma 3 2 2 2 3 8" xfId="13781"/>
    <cellStyle name="Comma 3 2 2 2 4" xfId="3855"/>
    <cellStyle name="Comma 3 2 2 2 4 2" xfId="11520"/>
    <cellStyle name="Comma 3 2 2 2 4 2 2" xfId="18059"/>
    <cellStyle name="Comma 3 2 2 2 4 3" xfId="15207"/>
    <cellStyle name="Comma 3 2 2 2 5" xfId="6127"/>
    <cellStyle name="Comma 3 2 2 2 5 2" xfId="12091"/>
    <cellStyle name="Comma 3 2 2 2 5 2 2" xfId="18630"/>
    <cellStyle name="Comma 3 2 2 2 5 3" xfId="15778"/>
    <cellStyle name="Comma 3 2 2 2 6" xfId="8399"/>
    <cellStyle name="Comma 3 2 2 2 6 2" xfId="12662"/>
    <cellStyle name="Comma 3 2 2 2 6 2 2" xfId="19201"/>
    <cellStyle name="Comma 3 2 2 2 6 3" xfId="16349"/>
    <cellStyle name="Comma 3 2 2 2 7" xfId="2992"/>
    <cellStyle name="Comma 3 2 2 2 7 2" xfId="10949"/>
    <cellStyle name="Comma 3 2 2 2 7 2 2" xfId="17488"/>
    <cellStyle name="Comma 3 2 2 2 7 3" xfId="14636"/>
    <cellStyle name="Comma 3 2 2 2 8" xfId="2423"/>
    <cellStyle name="Comma 3 2 2 2 8 2" xfId="14071"/>
    <cellStyle name="Comma 3 2 2 2 9" xfId="10384"/>
    <cellStyle name="Comma 3 2 2 2 9 2" xfId="16923"/>
    <cellStyle name="Comma 3 2 2 3" xfId="1116"/>
    <cellStyle name="Comma 3 2 2 3 10" xfId="20066"/>
    <cellStyle name="Comma 3 2 2 3 2" xfId="2251"/>
    <cellStyle name="Comma 3 2 2 3 2 2" xfId="5671"/>
    <cellStyle name="Comma 3 2 2 3 2 2 2" xfId="11976"/>
    <cellStyle name="Comma 3 2 2 3 2 2 2 2" xfId="18515"/>
    <cellStyle name="Comma 3 2 2 3 2 2 3" xfId="15663"/>
    <cellStyle name="Comma 3 2 2 3 2 3" xfId="7943"/>
    <cellStyle name="Comma 3 2 2 3 2 3 2" xfId="12547"/>
    <cellStyle name="Comma 3 2 2 3 2 3 2 2" xfId="19086"/>
    <cellStyle name="Comma 3 2 2 3 2 3 3" xfId="16234"/>
    <cellStyle name="Comma 3 2 2 3 2 4" xfId="10215"/>
    <cellStyle name="Comma 3 2 2 3 2 4 2" xfId="13118"/>
    <cellStyle name="Comma 3 2 2 3 2 4 2 2" xfId="19657"/>
    <cellStyle name="Comma 3 2 2 3 2 4 3" xfId="16805"/>
    <cellStyle name="Comma 3 2 2 3 2 5" xfId="3448"/>
    <cellStyle name="Comma 3 2 2 3 2 5 2" xfId="11405"/>
    <cellStyle name="Comma 3 2 2 3 2 5 2 2" xfId="17944"/>
    <cellStyle name="Comma 3 2 2 3 2 5 3" xfId="15092"/>
    <cellStyle name="Comma 3 2 2 3 2 6" xfId="2871"/>
    <cellStyle name="Comma 3 2 2 3 2 6 2" xfId="14519"/>
    <cellStyle name="Comma 3 2 2 3 2 7" xfId="10832"/>
    <cellStyle name="Comma 3 2 2 3 2 7 2" xfId="17371"/>
    <cellStyle name="Comma 3 2 2 3 2 8" xfId="13952"/>
    <cellStyle name="Comma 3 2 2 3 3" xfId="4536"/>
    <cellStyle name="Comma 3 2 2 3 3 2" xfId="11691"/>
    <cellStyle name="Comma 3 2 2 3 3 2 2" xfId="18230"/>
    <cellStyle name="Comma 3 2 2 3 3 3" xfId="15378"/>
    <cellStyle name="Comma 3 2 2 3 4" xfId="6808"/>
    <cellStyle name="Comma 3 2 2 3 4 2" xfId="12262"/>
    <cellStyle name="Comma 3 2 2 3 4 2 2" xfId="18801"/>
    <cellStyle name="Comma 3 2 2 3 4 3" xfId="15949"/>
    <cellStyle name="Comma 3 2 2 3 5" xfId="9080"/>
    <cellStyle name="Comma 3 2 2 3 5 2" xfId="12833"/>
    <cellStyle name="Comma 3 2 2 3 5 2 2" xfId="19372"/>
    <cellStyle name="Comma 3 2 2 3 5 3" xfId="16520"/>
    <cellStyle name="Comma 3 2 2 3 6" xfId="3163"/>
    <cellStyle name="Comma 3 2 2 3 6 2" xfId="11120"/>
    <cellStyle name="Comma 3 2 2 3 6 2 2" xfId="17659"/>
    <cellStyle name="Comma 3 2 2 3 6 3" xfId="14807"/>
    <cellStyle name="Comma 3 2 2 3 7" xfId="2591"/>
    <cellStyle name="Comma 3 2 2 3 7 2" xfId="14239"/>
    <cellStyle name="Comma 3 2 2 3 8" xfId="10552"/>
    <cellStyle name="Comma 3 2 2 3 8 2" xfId="17091"/>
    <cellStyle name="Comma 3 2 2 3 9" xfId="13667"/>
    <cellStyle name="Comma 3 2 2 4" xfId="662"/>
    <cellStyle name="Comma 3 2 2 4 2" xfId="1797"/>
    <cellStyle name="Comma 3 2 2 4 2 2" xfId="5217"/>
    <cellStyle name="Comma 3 2 2 4 2 2 2" xfId="11862"/>
    <cellStyle name="Comma 3 2 2 4 2 2 2 2" xfId="18401"/>
    <cellStyle name="Comma 3 2 2 4 2 2 3" xfId="15549"/>
    <cellStyle name="Comma 3 2 2 4 2 3" xfId="7489"/>
    <cellStyle name="Comma 3 2 2 4 2 3 2" xfId="12433"/>
    <cellStyle name="Comma 3 2 2 4 2 3 2 2" xfId="18972"/>
    <cellStyle name="Comma 3 2 2 4 2 3 3" xfId="16120"/>
    <cellStyle name="Comma 3 2 2 4 2 4" xfId="9761"/>
    <cellStyle name="Comma 3 2 2 4 2 4 2" xfId="13004"/>
    <cellStyle name="Comma 3 2 2 4 2 4 2 2" xfId="19543"/>
    <cellStyle name="Comma 3 2 2 4 2 4 3" xfId="16691"/>
    <cellStyle name="Comma 3 2 2 4 2 5" xfId="3334"/>
    <cellStyle name="Comma 3 2 2 4 2 5 2" xfId="11291"/>
    <cellStyle name="Comma 3 2 2 4 2 5 2 2" xfId="17830"/>
    <cellStyle name="Comma 3 2 2 4 2 5 3" xfId="14978"/>
    <cellStyle name="Comma 3 2 2 4 2 6" xfId="2759"/>
    <cellStyle name="Comma 3 2 2 4 2 6 2" xfId="14407"/>
    <cellStyle name="Comma 3 2 2 4 2 7" xfId="10720"/>
    <cellStyle name="Comma 3 2 2 4 2 7 2" xfId="17259"/>
    <cellStyle name="Comma 3 2 2 4 2 8" xfId="13838"/>
    <cellStyle name="Comma 3 2 2 4 3" xfId="4082"/>
    <cellStyle name="Comma 3 2 2 4 3 2" xfId="11577"/>
    <cellStyle name="Comma 3 2 2 4 3 2 2" xfId="18116"/>
    <cellStyle name="Comma 3 2 2 4 3 3" xfId="15264"/>
    <cellStyle name="Comma 3 2 2 4 4" xfId="6354"/>
    <cellStyle name="Comma 3 2 2 4 4 2" xfId="12148"/>
    <cellStyle name="Comma 3 2 2 4 4 2 2" xfId="18687"/>
    <cellStyle name="Comma 3 2 2 4 4 3" xfId="15835"/>
    <cellStyle name="Comma 3 2 2 4 5" xfId="8626"/>
    <cellStyle name="Comma 3 2 2 4 5 2" xfId="12719"/>
    <cellStyle name="Comma 3 2 2 4 5 2 2" xfId="19258"/>
    <cellStyle name="Comma 3 2 2 4 5 3" xfId="16406"/>
    <cellStyle name="Comma 3 2 2 4 6" xfId="3049"/>
    <cellStyle name="Comma 3 2 2 4 6 2" xfId="11006"/>
    <cellStyle name="Comma 3 2 2 4 6 2 2" xfId="17545"/>
    <cellStyle name="Comma 3 2 2 4 6 3" xfId="14693"/>
    <cellStyle name="Comma 3 2 2 4 7" xfId="2479"/>
    <cellStyle name="Comma 3 2 2 4 7 2" xfId="14127"/>
    <cellStyle name="Comma 3 2 2 4 8" xfId="10440"/>
    <cellStyle name="Comma 3 2 2 4 8 2" xfId="16979"/>
    <cellStyle name="Comma 3 2 2 4 9" xfId="13553"/>
    <cellStyle name="Comma 3 2 2 5" xfId="1343"/>
    <cellStyle name="Comma 3 2 2 5 2" xfId="4763"/>
    <cellStyle name="Comma 3 2 2 5 2 2" xfId="11748"/>
    <cellStyle name="Comma 3 2 2 5 2 2 2" xfId="18287"/>
    <cellStyle name="Comma 3 2 2 5 2 3" xfId="15435"/>
    <cellStyle name="Comma 3 2 2 5 3" xfId="7035"/>
    <cellStyle name="Comma 3 2 2 5 3 2" xfId="12319"/>
    <cellStyle name="Comma 3 2 2 5 3 2 2" xfId="18858"/>
    <cellStyle name="Comma 3 2 2 5 3 3" xfId="16006"/>
    <cellStyle name="Comma 3 2 2 5 4" xfId="9307"/>
    <cellStyle name="Comma 3 2 2 5 4 2" xfId="12890"/>
    <cellStyle name="Comma 3 2 2 5 4 2 2" xfId="19429"/>
    <cellStyle name="Comma 3 2 2 5 4 3" xfId="16577"/>
    <cellStyle name="Comma 3 2 2 5 5" xfId="3220"/>
    <cellStyle name="Comma 3 2 2 5 5 2" xfId="11177"/>
    <cellStyle name="Comma 3 2 2 5 5 2 2" xfId="17716"/>
    <cellStyle name="Comma 3 2 2 5 5 3" xfId="14864"/>
    <cellStyle name="Comma 3 2 2 5 6" xfId="2647"/>
    <cellStyle name="Comma 3 2 2 5 6 2" xfId="14295"/>
    <cellStyle name="Comma 3 2 2 5 7" xfId="10608"/>
    <cellStyle name="Comma 3 2 2 5 7 2" xfId="17147"/>
    <cellStyle name="Comma 3 2 2 5 8" xfId="13724"/>
    <cellStyle name="Comma 3 2 2 6" xfId="2324"/>
    <cellStyle name="Comma 3 2 2 6 2" xfId="3628"/>
    <cellStyle name="Comma 3 2 2 6 2 2" xfId="15150"/>
    <cellStyle name="Comma 3 2 2 6 3" xfId="11463"/>
    <cellStyle name="Comma 3 2 2 6 3 2" xfId="18002"/>
    <cellStyle name="Comma 3 2 2 6 4" xfId="13975"/>
    <cellStyle name="Comma 3 2 2 7" xfId="5900"/>
    <cellStyle name="Comma 3 2 2 7 2" xfId="12034"/>
    <cellStyle name="Comma 3 2 2 7 2 2" xfId="18573"/>
    <cellStyle name="Comma 3 2 2 7 3" xfId="15721"/>
    <cellStyle name="Comma 3 2 2 8" xfId="8172"/>
    <cellStyle name="Comma 3 2 2 8 2" xfId="12605"/>
    <cellStyle name="Comma 3 2 2 8 2 2" xfId="19144"/>
    <cellStyle name="Comma 3 2 2 8 3" xfId="16292"/>
    <cellStyle name="Comma 3 2 2 9" xfId="2932"/>
    <cellStyle name="Comma 3 2 2 9 2" xfId="10891"/>
    <cellStyle name="Comma 3 2 2 9 2 2" xfId="17430"/>
    <cellStyle name="Comma 3 2 2 9 3" xfId="14578"/>
    <cellStyle name="Comma 3 2 3" xfId="141"/>
    <cellStyle name="Comma 3 2 3 10" xfId="2352"/>
    <cellStyle name="Comma 3 2 3 10 2" xfId="14000"/>
    <cellStyle name="Comma 3 2 3 11" xfId="10313"/>
    <cellStyle name="Comma 3 2 3 11 2" xfId="16852"/>
    <cellStyle name="Comma 3 2 3 12" xfId="13424"/>
    <cellStyle name="Comma 3 2 3 13" xfId="20067"/>
    <cellStyle name="Comma 3 2 3 2" xfId="379"/>
    <cellStyle name="Comma 3 2 3 2 10" xfId="13482"/>
    <cellStyle name="Comma 3 2 3 2 11" xfId="20068"/>
    <cellStyle name="Comma 3 2 3 2 2" xfId="833"/>
    <cellStyle name="Comma 3 2 3 2 2 10" xfId="20232"/>
    <cellStyle name="Comma 3 2 3 2 2 2" xfId="1968"/>
    <cellStyle name="Comma 3 2 3 2 2 2 2" xfId="5388"/>
    <cellStyle name="Comma 3 2 3 2 2 2 2 2" xfId="11905"/>
    <cellStyle name="Comma 3 2 3 2 2 2 2 2 2" xfId="18444"/>
    <cellStyle name="Comma 3 2 3 2 2 2 2 3" xfId="15592"/>
    <cellStyle name="Comma 3 2 3 2 2 2 3" xfId="7660"/>
    <cellStyle name="Comma 3 2 3 2 2 2 3 2" xfId="12476"/>
    <cellStyle name="Comma 3 2 3 2 2 2 3 2 2" xfId="19015"/>
    <cellStyle name="Comma 3 2 3 2 2 2 3 3" xfId="16163"/>
    <cellStyle name="Comma 3 2 3 2 2 2 4" xfId="9932"/>
    <cellStyle name="Comma 3 2 3 2 2 2 4 2" xfId="13047"/>
    <cellStyle name="Comma 3 2 3 2 2 2 4 2 2" xfId="19586"/>
    <cellStyle name="Comma 3 2 3 2 2 2 4 3" xfId="16734"/>
    <cellStyle name="Comma 3 2 3 2 2 2 5" xfId="3377"/>
    <cellStyle name="Comma 3 2 3 2 2 2 5 2" xfId="11334"/>
    <cellStyle name="Comma 3 2 3 2 2 2 5 2 2" xfId="17873"/>
    <cellStyle name="Comma 3 2 3 2 2 2 5 3" xfId="15021"/>
    <cellStyle name="Comma 3 2 3 2 2 2 6" xfId="2801"/>
    <cellStyle name="Comma 3 2 3 2 2 2 6 2" xfId="14449"/>
    <cellStyle name="Comma 3 2 3 2 2 2 7" xfId="10762"/>
    <cellStyle name="Comma 3 2 3 2 2 2 7 2" xfId="17301"/>
    <cellStyle name="Comma 3 2 3 2 2 2 8" xfId="13881"/>
    <cellStyle name="Comma 3 2 3 2 2 3" xfId="4253"/>
    <cellStyle name="Comma 3 2 3 2 2 3 2" xfId="11620"/>
    <cellStyle name="Comma 3 2 3 2 2 3 2 2" xfId="18159"/>
    <cellStyle name="Comma 3 2 3 2 2 3 3" xfId="15307"/>
    <cellStyle name="Comma 3 2 3 2 2 4" xfId="6525"/>
    <cellStyle name="Comma 3 2 3 2 2 4 2" xfId="12191"/>
    <cellStyle name="Comma 3 2 3 2 2 4 2 2" xfId="18730"/>
    <cellStyle name="Comma 3 2 3 2 2 4 3" xfId="15878"/>
    <cellStyle name="Comma 3 2 3 2 2 5" xfId="8797"/>
    <cellStyle name="Comma 3 2 3 2 2 5 2" xfId="12762"/>
    <cellStyle name="Comma 3 2 3 2 2 5 2 2" xfId="19301"/>
    <cellStyle name="Comma 3 2 3 2 2 5 3" xfId="16449"/>
    <cellStyle name="Comma 3 2 3 2 2 6" xfId="3092"/>
    <cellStyle name="Comma 3 2 3 2 2 6 2" xfId="11049"/>
    <cellStyle name="Comma 3 2 3 2 2 6 2 2" xfId="17588"/>
    <cellStyle name="Comma 3 2 3 2 2 6 3" xfId="14736"/>
    <cellStyle name="Comma 3 2 3 2 2 7" xfId="2521"/>
    <cellStyle name="Comma 3 2 3 2 2 7 2" xfId="14169"/>
    <cellStyle name="Comma 3 2 3 2 2 8" xfId="10482"/>
    <cellStyle name="Comma 3 2 3 2 2 8 2" xfId="17021"/>
    <cellStyle name="Comma 3 2 3 2 2 9" xfId="13596"/>
    <cellStyle name="Comma 3 2 3 2 3" xfId="1514"/>
    <cellStyle name="Comma 3 2 3 2 3 2" xfId="4934"/>
    <cellStyle name="Comma 3 2 3 2 3 2 2" xfId="11791"/>
    <cellStyle name="Comma 3 2 3 2 3 2 2 2" xfId="18330"/>
    <cellStyle name="Comma 3 2 3 2 3 2 3" xfId="15478"/>
    <cellStyle name="Comma 3 2 3 2 3 3" xfId="7206"/>
    <cellStyle name="Comma 3 2 3 2 3 3 2" xfId="12362"/>
    <cellStyle name="Comma 3 2 3 2 3 3 2 2" xfId="18901"/>
    <cellStyle name="Comma 3 2 3 2 3 3 3" xfId="16049"/>
    <cellStyle name="Comma 3 2 3 2 3 4" xfId="9478"/>
    <cellStyle name="Comma 3 2 3 2 3 4 2" xfId="12933"/>
    <cellStyle name="Comma 3 2 3 2 3 4 2 2" xfId="19472"/>
    <cellStyle name="Comma 3 2 3 2 3 4 3" xfId="16620"/>
    <cellStyle name="Comma 3 2 3 2 3 5" xfId="3263"/>
    <cellStyle name="Comma 3 2 3 2 3 5 2" xfId="11220"/>
    <cellStyle name="Comma 3 2 3 2 3 5 2 2" xfId="17759"/>
    <cellStyle name="Comma 3 2 3 2 3 5 3" xfId="14907"/>
    <cellStyle name="Comma 3 2 3 2 3 6" xfId="2689"/>
    <cellStyle name="Comma 3 2 3 2 3 6 2" xfId="14337"/>
    <cellStyle name="Comma 3 2 3 2 3 7" xfId="10650"/>
    <cellStyle name="Comma 3 2 3 2 3 7 2" xfId="17189"/>
    <cellStyle name="Comma 3 2 3 2 3 8" xfId="13767"/>
    <cellStyle name="Comma 3 2 3 2 3 9" xfId="20305"/>
    <cellStyle name="Comma 3 2 3 2 4" xfId="3799"/>
    <cellStyle name="Comma 3 2 3 2 4 2" xfId="11506"/>
    <cellStyle name="Comma 3 2 3 2 4 2 2" xfId="18045"/>
    <cellStyle name="Comma 3 2 3 2 4 3" xfId="15193"/>
    <cellStyle name="Comma 3 2 3 2 5" xfId="6071"/>
    <cellStyle name="Comma 3 2 3 2 5 2" xfId="12077"/>
    <cellStyle name="Comma 3 2 3 2 5 2 2" xfId="18616"/>
    <cellStyle name="Comma 3 2 3 2 5 3" xfId="15764"/>
    <cellStyle name="Comma 3 2 3 2 6" xfId="8343"/>
    <cellStyle name="Comma 3 2 3 2 6 2" xfId="12648"/>
    <cellStyle name="Comma 3 2 3 2 6 2 2" xfId="19187"/>
    <cellStyle name="Comma 3 2 3 2 6 3" xfId="16335"/>
    <cellStyle name="Comma 3 2 3 2 7" xfId="2978"/>
    <cellStyle name="Comma 3 2 3 2 7 2" xfId="10935"/>
    <cellStyle name="Comma 3 2 3 2 7 2 2" xfId="17474"/>
    <cellStyle name="Comma 3 2 3 2 7 3" xfId="14622"/>
    <cellStyle name="Comma 3 2 3 2 8" xfId="2409"/>
    <cellStyle name="Comma 3 2 3 2 8 2" xfId="14057"/>
    <cellStyle name="Comma 3 2 3 2 9" xfId="10370"/>
    <cellStyle name="Comma 3 2 3 2 9 2" xfId="16909"/>
    <cellStyle name="Comma 3 2 3 3" xfId="1060"/>
    <cellStyle name="Comma 3 2 3 3 10" xfId="20069"/>
    <cellStyle name="Comma 3 2 3 3 2" xfId="2195"/>
    <cellStyle name="Comma 3 2 3 3 2 2" xfId="5615"/>
    <cellStyle name="Comma 3 2 3 3 2 2 2" xfId="11962"/>
    <cellStyle name="Comma 3 2 3 3 2 2 2 2" xfId="18501"/>
    <cellStyle name="Comma 3 2 3 3 2 2 3" xfId="15649"/>
    <cellStyle name="Comma 3 2 3 3 2 3" xfId="7887"/>
    <cellStyle name="Comma 3 2 3 3 2 3 2" xfId="12533"/>
    <cellStyle name="Comma 3 2 3 3 2 3 2 2" xfId="19072"/>
    <cellStyle name="Comma 3 2 3 3 2 3 3" xfId="16220"/>
    <cellStyle name="Comma 3 2 3 3 2 4" xfId="10159"/>
    <cellStyle name="Comma 3 2 3 3 2 4 2" xfId="13104"/>
    <cellStyle name="Comma 3 2 3 3 2 4 2 2" xfId="19643"/>
    <cellStyle name="Comma 3 2 3 3 2 4 3" xfId="16791"/>
    <cellStyle name="Comma 3 2 3 3 2 5" xfId="3434"/>
    <cellStyle name="Comma 3 2 3 3 2 5 2" xfId="11391"/>
    <cellStyle name="Comma 3 2 3 3 2 5 2 2" xfId="17930"/>
    <cellStyle name="Comma 3 2 3 3 2 5 3" xfId="15078"/>
    <cellStyle name="Comma 3 2 3 3 2 6" xfId="2857"/>
    <cellStyle name="Comma 3 2 3 3 2 6 2" xfId="14505"/>
    <cellStyle name="Comma 3 2 3 3 2 7" xfId="10818"/>
    <cellStyle name="Comma 3 2 3 3 2 7 2" xfId="17357"/>
    <cellStyle name="Comma 3 2 3 3 2 8" xfId="13938"/>
    <cellStyle name="Comma 3 2 3 3 2 9" xfId="20233"/>
    <cellStyle name="Comma 3 2 3 3 3" xfId="4480"/>
    <cellStyle name="Comma 3 2 3 3 3 2" xfId="11677"/>
    <cellStyle name="Comma 3 2 3 3 3 2 2" xfId="18216"/>
    <cellStyle name="Comma 3 2 3 3 3 3" xfId="15364"/>
    <cellStyle name="Comma 3 2 3 3 3 4" xfId="20306"/>
    <cellStyle name="Comma 3 2 3 3 4" xfId="6752"/>
    <cellStyle name="Comma 3 2 3 3 4 2" xfId="12248"/>
    <cellStyle name="Comma 3 2 3 3 4 2 2" xfId="18787"/>
    <cellStyle name="Comma 3 2 3 3 4 3" xfId="15935"/>
    <cellStyle name="Comma 3 2 3 3 5" xfId="9024"/>
    <cellStyle name="Comma 3 2 3 3 5 2" xfId="12819"/>
    <cellStyle name="Comma 3 2 3 3 5 2 2" xfId="19358"/>
    <cellStyle name="Comma 3 2 3 3 5 3" xfId="16506"/>
    <cellStyle name="Comma 3 2 3 3 6" xfId="3149"/>
    <cellStyle name="Comma 3 2 3 3 6 2" xfId="11106"/>
    <cellStyle name="Comma 3 2 3 3 6 2 2" xfId="17645"/>
    <cellStyle name="Comma 3 2 3 3 6 3" xfId="14793"/>
    <cellStyle name="Comma 3 2 3 3 7" xfId="2577"/>
    <cellStyle name="Comma 3 2 3 3 7 2" xfId="14225"/>
    <cellStyle name="Comma 3 2 3 3 8" xfId="10538"/>
    <cellStyle name="Comma 3 2 3 3 8 2" xfId="17077"/>
    <cellStyle name="Comma 3 2 3 3 9" xfId="13653"/>
    <cellStyle name="Comma 3 2 3 4" xfId="606"/>
    <cellStyle name="Comma 3 2 3 4 10" xfId="20231"/>
    <cellStyle name="Comma 3 2 3 4 2" xfId="1741"/>
    <cellStyle name="Comma 3 2 3 4 2 2" xfId="5161"/>
    <cellStyle name="Comma 3 2 3 4 2 2 2" xfId="11848"/>
    <cellStyle name="Comma 3 2 3 4 2 2 2 2" xfId="18387"/>
    <cellStyle name="Comma 3 2 3 4 2 2 3" xfId="15535"/>
    <cellStyle name="Comma 3 2 3 4 2 3" xfId="7433"/>
    <cellStyle name="Comma 3 2 3 4 2 3 2" xfId="12419"/>
    <cellStyle name="Comma 3 2 3 4 2 3 2 2" xfId="18958"/>
    <cellStyle name="Comma 3 2 3 4 2 3 3" xfId="16106"/>
    <cellStyle name="Comma 3 2 3 4 2 4" xfId="9705"/>
    <cellStyle name="Comma 3 2 3 4 2 4 2" xfId="12990"/>
    <cellStyle name="Comma 3 2 3 4 2 4 2 2" xfId="19529"/>
    <cellStyle name="Comma 3 2 3 4 2 4 3" xfId="16677"/>
    <cellStyle name="Comma 3 2 3 4 2 5" xfId="3320"/>
    <cellStyle name="Comma 3 2 3 4 2 5 2" xfId="11277"/>
    <cellStyle name="Comma 3 2 3 4 2 5 2 2" xfId="17816"/>
    <cellStyle name="Comma 3 2 3 4 2 5 3" xfId="14964"/>
    <cellStyle name="Comma 3 2 3 4 2 6" xfId="2745"/>
    <cellStyle name="Comma 3 2 3 4 2 6 2" xfId="14393"/>
    <cellStyle name="Comma 3 2 3 4 2 7" xfId="10706"/>
    <cellStyle name="Comma 3 2 3 4 2 7 2" xfId="17245"/>
    <cellStyle name="Comma 3 2 3 4 2 8" xfId="13824"/>
    <cellStyle name="Comma 3 2 3 4 3" xfId="4026"/>
    <cellStyle name="Comma 3 2 3 4 3 2" xfId="11563"/>
    <cellStyle name="Comma 3 2 3 4 3 2 2" xfId="18102"/>
    <cellStyle name="Comma 3 2 3 4 3 3" xfId="15250"/>
    <cellStyle name="Comma 3 2 3 4 4" xfId="6298"/>
    <cellStyle name="Comma 3 2 3 4 4 2" xfId="12134"/>
    <cellStyle name="Comma 3 2 3 4 4 2 2" xfId="18673"/>
    <cellStyle name="Comma 3 2 3 4 4 3" xfId="15821"/>
    <cellStyle name="Comma 3 2 3 4 5" xfId="8570"/>
    <cellStyle name="Comma 3 2 3 4 5 2" xfId="12705"/>
    <cellStyle name="Comma 3 2 3 4 5 2 2" xfId="19244"/>
    <cellStyle name="Comma 3 2 3 4 5 3" xfId="16392"/>
    <cellStyle name="Comma 3 2 3 4 6" xfId="3035"/>
    <cellStyle name="Comma 3 2 3 4 6 2" xfId="10992"/>
    <cellStyle name="Comma 3 2 3 4 6 2 2" xfId="17531"/>
    <cellStyle name="Comma 3 2 3 4 6 3" xfId="14679"/>
    <cellStyle name="Comma 3 2 3 4 7" xfId="2465"/>
    <cellStyle name="Comma 3 2 3 4 7 2" xfId="14113"/>
    <cellStyle name="Comma 3 2 3 4 8" xfId="10426"/>
    <cellStyle name="Comma 3 2 3 4 8 2" xfId="16965"/>
    <cellStyle name="Comma 3 2 3 4 9" xfId="13539"/>
    <cellStyle name="Comma 3 2 3 5" xfId="1287"/>
    <cellStyle name="Comma 3 2 3 5 2" xfId="4707"/>
    <cellStyle name="Comma 3 2 3 5 2 2" xfId="11734"/>
    <cellStyle name="Comma 3 2 3 5 2 2 2" xfId="18273"/>
    <cellStyle name="Comma 3 2 3 5 2 3" xfId="15421"/>
    <cellStyle name="Comma 3 2 3 5 3" xfId="6979"/>
    <cellStyle name="Comma 3 2 3 5 3 2" xfId="12305"/>
    <cellStyle name="Comma 3 2 3 5 3 2 2" xfId="18844"/>
    <cellStyle name="Comma 3 2 3 5 3 3" xfId="15992"/>
    <cellStyle name="Comma 3 2 3 5 4" xfId="9251"/>
    <cellStyle name="Comma 3 2 3 5 4 2" xfId="12876"/>
    <cellStyle name="Comma 3 2 3 5 4 2 2" xfId="19415"/>
    <cellStyle name="Comma 3 2 3 5 4 3" xfId="16563"/>
    <cellStyle name="Comma 3 2 3 5 5" xfId="3206"/>
    <cellStyle name="Comma 3 2 3 5 5 2" xfId="11163"/>
    <cellStyle name="Comma 3 2 3 5 5 2 2" xfId="17702"/>
    <cellStyle name="Comma 3 2 3 5 5 3" xfId="14850"/>
    <cellStyle name="Comma 3 2 3 5 6" xfId="2633"/>
    <cellStyle name="Comma 3 2 3 5 6 2" xfId="14281"/>
    <cellStyle name="Comma 3 2 3 5 7" xfId="10594"/>
    <cellStyle name="Comma 3 2 3 5 7 2" xfId="17133"/>
    <cellStyle name="Comma 3 2 3 5 8" xfId="13710"/>
    <cellStyle name="Comma 3 2 3 5 9" xfId="20304"/>
    <cellStyle name="Comma 3 2 3 6" xfId="3572"/>
    <cellStyle name="Comma 3 2 3 6 2" xfId="11449"/>
    <cellStyle name="Comma 3 2 3 6 2 2" xfId="17988"/>
    <cellStyle name="Comma 3 2 3 6 3" xfId="15136"/>
    <cellStyle name="Comma 3 2 3 7" xfId="5844"/>
    <cellStyle name="Comma 3 2 3 7 2" xfId="12020"/>
    <cellStyle name="Comma 3 2 3 7 2 2" xfId="18559"/>
    <cellStyle name="Comma 3 2 3 7 3" xfId="15707"/>
    <cellStyle name="Comma 3 2 3 8" xfId="8116"/>
    <cellStyle name="Comma 3 2 3 8 2" xfId="12591"/>
    <cellStyle name="Comma 3 2 3 8 2 2" xfId="19130"/>
    <cellStyle name="Comma 3 2 3 8 3" xfId="16278"/>
    <cellStyle name="Comma 3 2 3 9" xfId="2918"/>
    <cellStyle name="Comma 3 2 3 9 2" xfId="10877"/>
    <cellStyle name="Comma 3 2 3 9 2 2" xfId="17416"/>
    <cellStyle name="Comma 3 2 3 9 3" xfId="14564"/>
    <cellStyle name="Comma 3 2 4" xfId="267"/>
    <cellStyle name="Comma 3 2 4 10" xfId="2381"/>
    <cellStyle name="Comma 3 2 4 10 2" xfId="14029"/>
    <cellStyle name="Comma 3 2 4 11" xfId="10342"/>
    <cellStyle name="Comma 3 2 4 11 2" xfId="16881"/>
    <cellStyle name="Comma 3 2 4 12" xfId="13454"/>
    <cellStyle name="Comma 3 2 4 13" xfId="20070"/>
    <cellStyle name="Comma 3 2 4 2" xfId="494"/>
    <cellStyle name="Comma 3 2 4 2 10" xfId="13511"/>
    <cellStyle name="Comma 3 2 4 2 11" xfId="20071"/>
    <cellStyle name="Comma 3 2 4 2 2" xfId="948"/>
    <cellStyle name="Comma 3 2 4 2 2 10" xfId="20235"/>
    <cellStyle name="Comma 3 2 4 2 2 2" xfId="2083"/>
    <cellStyle name="Comma 3 2 4 2 2 2 2" xfId="5503"/>
    <cellStyle name="Comma 3 2 4 2 2 2 2 2" xfId="11934"/>
    <cellStyle name="Comma 3 2 4 2 2 2 2 2 2" xfId="18473"/>
    <cellStyle name="Comma 3 2 4 2 2 2 2 3" xfId="15621"/>
    <cellStyle name="Comma 3 2 4 2 2 2 3" xfId="7775"/>
    <cellStyle name="Comma 3 2 4 2 2 2 3 2" xfId="12505"/>
    <cellStyle name="Comma 3 2 4 2 2 2 3 2 2" xfId="19044"/>
    <cellStyle name="Comma 3 2 4 2 2 2 3 3" xfId="16192"/>
    <cellStyle name="Comma 3 2 4 2 2 2 4" xfId="10047"/>
    <cellStyle name="Comma 3 2 4 2 2 2 4 2" xfId="13076"/>
    <cellStyle name="Comma 3 2 4 2 2 2 4 2 2" xfId="19615"/>
    <cellStyle name="Comma 3 2 4 2 2 2 4 3" xfId="16763"/>
    <cellStyle name="Comma 3 2 4 2 2 2 5" xfId="3406"/>
    <cellStyle name="Comma 3 2 4 2 2 2 5 2" xfId="11363"/>
    <cellStyle name="Comma 3 2 4 2 2 2 5 2 2" xfId="17902"/>
    <cellStyle name="Comma 3 2 4 2 2 2 5 3" xfId="15050"/>
    <cellStyle name="Comma 3 2 4 2 2 2 6" xfId="2829"/>
    <cellStyle name="Comma 3 2 4 2 2 2 6 2" xfId="14477"/>
    <cellStyle name="Comma 3 2 4 2 2 2 7" xfId="10790"/>
    <cellStyle name="Comma 3 2 4 2 2 2 7 2" xfId="17329"/>
    <cellStyle name="Comma 3 2 4 2 2 2 8" xfId="13910"/>
    <cellStyle name="Comma 3 2 4 2 2 3" xfId="4368"/>
    <cellStyle name="Comma 3 2 4 2 2 3 2" xfId="11649"/>
    <cellStyle name="Comma 3 2 4 2 2 3 2 2" xfId="18188"/>
    <cellStyle name="Comma 3 2 4 2 2 3 3" xfId="15336"/>
    <cellStyle name="Comma 3 2 4 2 2 4" xfId="6640"/>
    <cellStyle name="Comma 3 2 4 2 2 4 2" xfId="12220"/>
    <cellStyle name="Comma 3 2 4 2 2 4 2 2" xfId="18759"/>
    <cellStyle name="Comma 3 2 4 2 2 4 3" xfId="15907"/>
    <cellStyle name="Comma 3 2 4 2 2 5" xfId="8912"/>
    <cellStyle name="Comma 3 2 4 2 2 5 2" xfId="12791"/>
    <cellStyle name="Comma 3 2 4 2 2 5 2 2" xfId="19330"/>
    <cellStyle name="Comma 3 2 4 2 2 5 3" xfId="16478"/>
    <cellStyle name="Comma 3 2 4 2 2 6" xfId="3121"/>
    <cellStyle name="Comma 3 2 4 2 2 6 2" xfId="11078"/>
    <cellStyle name="Comma 3 2 4 2 2 6 2 2" xfId="17617"/>
    <cellStyle name="Comma 3 2 4 2 2 6 3" xfId="14765"/>
    <cellStyle name="Comma 3 2 4 2 2 7" xfId="2549"/>
    <cellStyle name="Comma 3 2 4 2 2 7 2" xfId="14197"/>
    <cellStyle name="Comma 3 2 4 2 2 8" xfId="10510"/>
    <cellStyle name="Comma 3 2 4 2 2 8 2" xfId="17049"/>
    <cellStyle name="Comma 3 2 4 2 2 9" xfId="13625"/>
    <cellStyle name="Comma 3 2 4 2 3" xfId="1629"/>
    <cellStyle name="Comma 3 2 4 2 3 2" xfId="5049"/>
    <cellStyle name="Comma 3 2 4 2 3 2 2" xfId="11820"/>
    <cellStyle name="Comma 3 2 4 2 3 2 2 2" xfId="18359"/>
    <cellStyle name="Comma 3 2 4 2 3 2 3" xfId="15507"/>
    <cellStyle name="Comma 3 2 4 2 3 3" xfId="7321"/>
    <cellStyle name="Comma 3 2 4 2 3 3 2" xfId="12391"/>
    <cellStyle name="Comma 3 2 4 2 3 3 2 2" xfId="18930"/>
    <cellStyle name="Comma 3 2 4 2 3 3 3" xfId="16078"/>
    <cellStyle name="Comma 3 2 4 2 3 4" xfId="9593"/>
    <cellStyle name="Comma 3 2 4 2 3 4 2" xfId="12962"/>
    <cellStyle name="Comma 3 2 4 2 3 4 2 2" xfId="19501"/>
    <cellStyle name="Comma 3 2 4 2 3 4 3" xfId="16649"/>
    <cellStyle name="Comma 3 2 4 2 3 5" xfId="3292"/>
    <cellStyle name="Comma 3 2 4 2 3 5 2" xfId="11249"/>
    <cellStyle name="Comma 3 2 4 2 3 5 2 2" xfId="17788"/>
    <cellStyle name="Comma 3 2 4 2 3 5 3" xfId="14936"/>
    <cellStyle name="Comma 3 2 4 2 3 6" xfId="2717"/>
    <cellStyle name="Comma 3 2 4 2 3 6 2" xfId="14365"/>
    <cellStyle name="Comma 3 2 4 2 3 7" xfId="10678"/>
    <cellStyle name="Comma 3 2 4 2 3 7 2" xfId="17217"/>
    <cellStyle name="Comma 3 2 4 2 3 8" xfId="13796"/>
    <cellStyle name="Comma 3 2 4 2 3 9" xfId="20308"/>
    <cellStyle name="Comma 3 2 4 2 4" xfId="3914"/>
    <cellStyle name="Comma 3 2 4 2 4 2" xfId="11535"/>
    <cellStyle name="Comma 3 2 4 2 4 2 2" xfId="18074"/>
    <cellStyle name="Comma 3 2 4 2 4 3" xfId="15222"/>
    <cellStyle name="Comma 3 2 4 2 5" xfId="6186"/>
    <cellStyle name="Comma 3 2 4 2 5 2" xfId="12106"/>
    <cellStyle name="Comma 3 2 4 2 5 2 2" xfId="18645"/>
    <cellStyle name="Comma 3 2 4 2 5 3" xfId="15793"/>
    <cellStyle name="Comma 3 2 4 2 6" xfId="8458"/>
    <cellStyle name="Comma 3 2 4 2 6 2" xfId="12677"/>
    <cellStyle name="Comma 3 2 4 2 6 2 2" xfId="19216"/>
    <cellStyle name="Comma 3 2 4 2 6 3" xfId="16364"/>
    <cellStyle name="Comma 3 2 4 2 7" xfId="3007"/>
    <cellStyle name="Comma 3 2 4 2 7 2" xfId="10964"/>
    <cellStyle name="Comma 3 2 4 2 7 2 2" xfId="17503"/>
    <cellStyle name="Comma 3 2 4 2 7 3" xfId="14651"/>
    <cellStyle name="Comma 3 2 4 2 8" xfId="2437"/>
    <cellStyle name="Comma 3 2 4 2 8 2" xfId="14085"/>
    <cellStyle name="Comma 3 2 4 2 9" xfId="10398"/>
    <cellStyle name="Comma 3 2 4 2 9 2" xfId="16937"/>
    <cellStyle name="Comma 3 2 4 3" xfId="1175"/>
    <cellStyle name="Comma 3 2 4 3 10" xfId="20072"/>
    <cellStyle name="Comma 3 2 4 3 2" xfId="2310"/>
    <cellStyle name="Comma 3 2 4 3 2 2" xfId="5730"/>
    <cellStyle name="Comma 3 2 4 3 2 2 2" xfId="11991"/>
    <cellStyle name="Comma 3 2 4 3 2 2 2 2" xfId="18530"/>
    <cellStyle name="Comma 3 2 4 3 2 2 3" xfId="15678"/>
    <cellStyle name="Comma 3 2 4 3 2 3" xfId="8002"/>
    <cellStyle name="Comma 3 2 4 3 2 3 2" xfId="12562"/>
    <cellStyle name="Comma 3 2 4 3 2 3 2 2" xfId="19101"/>
    <cellStyle name="Comma 3 2 4 3 2 3 3" xfId="16249"/>
    <cellStyle name="Comma 3 2 4 3 2 4" xfId="10274"/>
    <cellStyle name="Comma 3 2 4 3 2 4 2" xfId="13133"/>
    <cellStyle name="Comma 3 2 4 3 2 4 2 2" xfId="19672"/>
    <cellStyle name="Comma 3 2 4 3 2 4 3" xfId="16820"/>
    <cellStyle name="Comma 3 2 4 3 2 5" xfId="3463"/>
    <cellStyle name="Comma 3 2 4 3 2 5 2" xfId="11420"/>
    <cellStyle name="Comma 3 2 4 3 2 5 2 2" xfId="17959"/>
    <cellStyle name="Comma 3 2 4 3 2 5 3" xfId="15107"/>
    <cellStyle name="Comma 3 2 4 3 2 6" xfId="2885"/>
    <cellStyle name="Comma 3 2 4 3 2 6 2" xfId="14533"/>
    <cellStyle name="Comma 3 2 4 3 2 7" xfId="10846"/>
    <cellStyle name="Comma 3 2 4 3 2 7 2" xfId="17385"/>
    <cellStyle name="Comma 3 2 4 3 2 8" xfId="13967"/>
    <cellStyle name="Comma 3 2 4 3 2 9" xfId="20236"/>
    <cellStyle name="Comma 3 2 4 3 3" xfId="4595"/>
    <cellStyle name="Comma 3 2 4 3 3 2" xfId="11706"/>
    <cellStyle name="Comma 3 2 4 3 3 2 2" xfId="18245"/>
    <cellStyle name="Comma 3 2 4 3 3 3" xfId="15393"/>
    <cellStyle name="Comma 3 2 4 3 3 4" xfId="20309"/>
    <cellStyle name="Comma 3 2 4 3 4" xfId="6867"/>
    <cellStyle name="Comma 3 2 4 3 4 2" xfId="12277"/>
    <cellStyle name="Comma 3 2 4 3 4 2 2" xfId="18816"/>
    <cellStyle name="Comma 3 2 4 3 4 3" xfId="15964"/>
    <cellStyle name="Comma 3 2 4 3 5" xfId="9139"/>
    <cellStyle name="Comma 3 2 4 3 5 2" xfId="12848"/>
    <cellStyle name="Comma 3 2 4 3 5 2 2" xfId="19387"/>
    <cellStyle name="Comma 3 2 4 3 5 3" xfId="16535"/>
    <cellStyle name="Comma 3 2 4 3 6" xfId="3178"/>
    <cellStyle name="Comma 3 2 4 3 6 2" xfId="11135"/>
    <cellStyle name="Comma 3 2 4 3 6 2 2" xfId="17674"/>
    <cellStyle name="Comma 3 2 4 3 6 3" xfId="14822"/>
    <cellStyle name="Comma 3 2 4 3 7" xfId="2605"/>
    <cellStyle name="Comma 3 2 4 3 7 2" xfId="14253"/>
    <cellStyle name="Comma 3 2 4 3 8" xfId="10566"/>
    <cellStyle name="Comma 3 2 4 3 8 2" xfId="17105"/>
    <cellStyle name="Comma 3 2 4 3 9" xfId="13682"/>
    <cellStyle name="Comma 3 2 4 4" xfId="721"/>
    <cellStyle name="Comma 3 2 4 4 10" xfId="20234"/>
    <cellStyle name="Comma 3 2 4 4 2" xfId="1856"/>
    <cellStyle name="Comma 3 2 4 4 2 2" xfId="5276"/>
    <cellStyle name="Comma 3 2 4 4 2 2 2" xfId="11877"/>
    <cellStyle name="Comma 3 2 4 4 2 2 2 2" xfId="18416"/>
    <cellStyle name="Comma 3 2 4 4 2 2 3" xfId="15564"/>
    <cellStyle name="Comma 3 2 4 4 2 3" xfId="7548"/>
    <cellStyle name="Comma 3 2 4 4 2 3 2" xfId="12448"/>
    <cellStyle name="Comma 3 2 4 4 2 3 2 2" xfId="18987"/>
    <cellStyle name="Comma 3 2 4 4 2 3 3" xfId="16135"/>
    <cellStyle name="Comma 3 2 4 4 2 4" xfId="9820"/>
    <cellStyle name="Comma 3 2 4 4 2 4 2" xfId="13019"/>
    <cellStyle name="Comma 3 2 4 4 2 4 2 2" xfId="19558"/>
    <cellStyle name="Comma 3 2 4 4 2 4 3" xfId="16706"/>
    <cellStyle name="Comma 3 2 4 4 2 5" xfId="3349"/>
    <cellStyle name="Comma 3 2 4 4 2 5 2" xfId="11306"/>
    <cellStyle name="Comma 3 2 4 4 2 5 2 2" xfId="17845"/>
    <cellStyle name="Comma 3 2 4 4 2 5 3" xfId="14993"/>
    <cellStyle name="Comma 3 2 4 4 2 6" xfId="2773"/>
    <cellStyle name="Comma 3 2 4 4 2 6 2" xfId="14421"/>
    <cellStyle name="Comma 3 2 4 4 2 7" xfId="10734"/>
    <cellStyle name="Comma 3 2 4 4 2 7 2" xfId="17273"/>
    <cellStyle name="Comma 3 2 4 4 2 8" xfId="13853"/>
    <cellStyle name="Comma 3 2 4 4 3" xfId="4141"/>
    <cellStyle name="Comma 3 2 4 4 3 2" xfId="11592"/>
    <cellStyle name="Comma 3 2 4 4 3 2 2" xfId="18131"/>
    <cellStyle name="Comma 3 2 4 4 3 3" xfId="15279"/>
    <cellStyle name="Comma 3 2 4 4 4" xfId="6413"/>
    <cellStyle name="Comma 3 2 4 4 4 2" xfId="12163"/>
    <cellStyle name="Comma 3 2 4 4 4 2 2" xfId="18702"/>
    <cellStyle name="Comma 3 2 4 4 4 3" xfId="15850"/>
    <cellStyle name="Comma 3 2 4 4 5" xfId="8685"/>
    <cellStyle name="Comma 3 2 4 4 5 2" xfId="12734"/>
    <cellStyle name="Comma 3 2 4 4 5 2 2" xfId="19273"/>
    <cellStyle name="Comma 3 2 4 4 5 3" xfId="16421"/>
    <cellStyle name="Comma 3 2 4 4 6" xfId="3064"/>
    <cellStyle name="Comma 3 2 4 4 6 2" xfId="11021"/>
    <cellStyle name="Comma 3 2 4 4 6 2 2" xfId="17560"/>
    <cellStyle name="Comma 3 2 4 4 6 3" xfId="14708"/>
    <cellStyle name="Comma 3 2 4 4 7" xfId="2493"/>
    <cellStyle name="Comma 3 2 4 4 7 2" xfId="14141"/>
    <cellStyle name="Comma 3 2 4 4 8" xfId="10454"/>
    <cellStyle name="Comma 3 2 4 4 8 2" xfId="16993"/>
    <cellStyle name="Comma 3 2 4 4 9" xfId="13568"/>
    <cellStyle name="Comma 3 2 4 5" xfId="1402"/>
    <cellStyle name="Comma 3 2 4 5 2" xfId="4822"/>
    <cellStyle name="Comma 3 2 4 5 2 2" xfId="11763"/>
    <cellStyle name="Comma 3 2 4 5 2 2 2" xfId="18302"/>
    <cellStyle name="Comma 3 2 4 5 2 3" xfId="15450"/>
    <cellStyle name="Comma 3 2 4 5 3" xfId="7094"/>
    <cellStyle name="Comma 3 2 4 5 3 2" xfId="12334"/>
    <cellStyle name="Comma 3 2 4 5 3 2 2" xfId="18873"/>
    <cellStyle name="Comma 3 2 4 5 3 3" xfId="16021"/>
    <cellStyle name="Comma 3 2 4 5 4" xfId="9366"/>
    <cellStyle name="Comma 3 2 4 5 4 2" xfId="12905"/>
    <cellStyle name="Comma 3 2 4 5 4 2 2" xfId="19444"/>
    <cellStyle name="Comma 3 2 4 5 4 3" xfId="16592"/>
    <cellStyle name="Comma 3 2 4 5 5" xfId="3235"/>
    <cellStyle name="Comma 3 2 4 5 5 2" xfId="11192"/>
    <cellStyle name="Comma 3 2 4 5 5 2 2" xfId="17731"/>
    <cellStyle name="Comma 3 2 4 5 5 3" xfId="14879"/>
    <cellStyle name="Comma 3 2 4 5 6" xfId="2661"/>
    <cellStyle name="Comma 3 2 4 5 6 2" xfId="14309"/>
    <cellStyle name="Comma 3 2 4 5 7" xfId="10622"/>
    <cellStyle name="Comma 3 2 4 5 7 2" xfId="17161"/>
    <cellStyle name="Comma 3 2 4 5 8" xfId="13739"/>
    <cellStyle name="Comma 3 2 4 5 9" xfId="20307"/>
    <cellStyle name="Comma 3 2 4 6" xfId="3687"/>
    <cellStyle name="Comma 3 2 4 6 2" xfId="11478"/>
    <cellStyle name="Comma 3 2 4 6 2 2" xfId="18017"/>
    <cellStyle name="Comma 3 2 4 6 3" xfId="15165"/>
    <cellStyle name="Comma 3 2 4 7" xfId="5959"/>
    <cellStyle name="Comma 3 2 4 7 2" xfId="12049"/>
    <cellStyle name="Comma 3 2 4 7 2 2" xfId="18588"/>
    <cellStyle name="Comma 3 2 4 7 3" xfId="15736"/>
    <cellStyle name="Comma 3 2 4 8" xfId="8231"/>
    <cellStyle name="Comma 3 2 4 8 2" xfId="12620"/>
    <cellStyle name="Comma 3 2 4 8 2 2" xfId="19159"/>
    <cellStyle name="Comma 3 2 4 8 3" xfId="16307"/>
    <cellStyle name="Comma 3 2 4 9" xfId="2950"/>
    <cellStyle name="Comma 3 2 4 9 2" xfId="10907"/>
    <cellStyle name="Comma 3 2 4 9 2 2" xfId="17446"/>
    <cellStyle name="Comma 3 2 4 9 3" xfId="14594"/>
    <cellStyle name="Comma 3 2 5" xfId="323"/>
    <cellStyle name="Comma 3 2 5 10" xfId="13468"/>
    <cellStyle name="Comma 3 2 5 11" xfId="20230"/>
    <cellStyle name="Comma 3 2 5 2" xfId="777"/>
    <cellStyle name="Comma 3 2 5 2 2" xfId="1912"/>
    <cellStyle name="Comma 3 2 5 2 2 2" xfId="5332"/>
    <cellStyle name="Comma 3 2 5 2 2 2 2" xfId="11891"/>
    <cellStyle name="Comma 3 2 5 2 2 2 2 2" xfId="18430"/>
    <cellStyle name="Comma 3 2 5 2 2 2 3" xfId="15578"/>
    <cellStyle name="Comma 3 2 5 2 2 3" xfId="7604"/>
    <cellStyle name="Comma 3 2 5 2 2 3 2" xfId="12462"/>
    <cellStyle name="Comma 3 2 5 2 2 3 2 2" xfId="19001"/>
    <cellStyle name="Comma 3 2 5 2 2 3 3" xfId="16149"/>
    <cellStyle name="Comma 3 2 5 2 2 4" xfId="9876"/>
    <cellStyle name="Comma 3 2 5 2 2 4 2" xfId="13033"/>
    <cellStyle name="Comma 3 2 5 2 2 4 2 2" xfId="19572"/>
    <cellStyle name="Comma 3 2 5 2 2 4 3" xfId="16720"/>
    <cellStyle name="Comma 3 2 5 2 2 5" xfId="3363"/>
    <cellStyle name="Comma 3 2 5 2 2 5 2" xfId="11320"/>
    <cellStyle name="Comma 3 2 5 2 2 5 2 2" xfId="17859"/>
    <cellStyle name="Comma 3 2 5 2 2 5 3" xfId="15007"/>
    <cellStyle name="Comma 3 2 5 2 2 6" xfId="2787"/>
    <cellStyle name="Comma 3 2 5 2 2 6 2" xfId="14435"/>
    <cellStyle name="Comma 3 2 5 2 2 7" xfId="10748"/>
    <cellStyle name="Comma 3 2 5 2 2 7 2" xfId="17287"/>
    <cellStyle name="Comma 3 2 5 2 2 8" xfId="13867"/>
    <cellStyle name="Comma 3 2 5 2 3" xfId="4197"/>
    <cellStyle name="Comma 3 2 5 2 3 2" xfId="11606"/>
    <cellStyle name="Comma 3 2 5 2 3 2 2" xfId="18145"/>
    <cellStyle name="Comma 3 2 5 2 3 3" xfId="15293"/>
    <cellStyle name="Comma 3 2 5 2 4" xfId="6469"/>
    <cellStyle name="Comma 3 2 5 2 4 2" xfId="12177"/>
    <cellStyle name="Comma 3 2 5 2 4 2 2" xfId="18716"/>
    <cellStyle name="Comma 3 2 5 2 4 3" xfId="15864"/>
    <cellStyle name="Comma 3 2 5 2 5" xfId="8741"/>
    <cellStyle name="Comma 3 2 5 2 5 2" xfId="12748"/>
    <cellStyle name="Comma 3 2 5 2 5 2 2" xfId="19287"/>
    <cellStyle name="Comma 3 2 5 2 5 3" xfId="16435"/>
    <cellStyle name="Comma 3 2 5 2 6" xfId="3078"/>
    <cellStyle name="Comma 3 2 5 2 6 2" xfId="11035"/>
    <cellStyle name="Comma 3 2 5 2 6 2 2" xfId="17574"/>
    <cellStyle name="Comma 3 2 5 2 6 3" xfId="14722"/>
    <cellStyle name="Comma 3 2 5 2 7" xfId="2507"/>
    <cellStyle name="Comma 3 2 5 2 7 2" xfId="14155"/>
    <cellStyle name="Comma 3 2 5 2 8" xfId="10468"/>
    <cellStyle name="Comma 3 2 5 2 8 2" xfId="17007"/>
    <cellStyle name="Comma 3 2 5 2 9" xfId="13582"/>
    <cellStyle name="Comma 3 2 5 3" xfId="1458"/>
    <cellStyle name="Comma 3 2 5 3 2" xfId="4878"/>
    <cellStyle name="Comma 3 2 5 3 2 2" xfId="11777"/>
    <cellStyle name="Comma 3 2 5 3 2 2 2" xfId="18316"/>
    <cellStyle name="Comma 3 2 5 3 2 3" xfId="15464"/>
    <cellStyle name="Comma 3 2 5 3 3" xfId="7150"/>
    <cellStyle name="Comma 3 2 5 3 3 2" xfId="12348"/>
    <cellStyle name="Comma 3 2 5 3 3 2 2" xfId="18887"/>
    <cellStyle name="Comma 3 2 5 3 3 3" xfId="16035"/>
    <cellStyle name="Comma 3 2 5 3 4" xfId="9422"/>
    <cellStyle name="Comma 3 2 5 3 4 2" xfId="12919"/>
    <cellStyle name="Comma 3 2 5 3 4 2 2" xfId="19458"/>
    <cellStyle name="Comma 3 2 5 3 4 3" xfId="16606"/>
    <cellStyle name="Comma 3 2 5 3 5" xfId="3249"/>
    <cellStyle name="Comma 3 2 5 3 5 2" xfId="11206"/>
    <cellStyle name="Comma 3 2 5 3 5 2 2" xfId="17745"/>
    <cellStyle name="Comma 3 2 5 3 5 3" xfId="14893"/>
    <cellStyle name="Comma 3 2 5 3 6" xfId="2675"/>
    <cellStyle name="Comma 3 2 5 3 6 2" xfId="14323"/>
    <cellStyle name="Comma 3 2 5 3 7" xfId="10636"/>
    <cellStyle name="Comma 3 2 5 3 7 2" xfId="17175"/>
    <cellStyle name="Comma 3 2 5 3 8" xfId="13753"/>
    <cellStyle name="Comma 3 2 5 4" xfId="3743"/>
    <cellStyle name="Comma 3 2 5 4 2" xfId="11492"/>
    <cellStyle name="Comma 3 2 5 4 2 2" xfId="18031"/>
    <cellStyle name="Comma 3 2 5 4 3" xfId="15179"/>
    <cellStyle name="Comma 3 2 5 5" xfId="6015"/>
    <cellStyle name="Comma 3 2 5 5 2" xfId="12063"/>
    <cellStyle name="Comma 3 2 5 5 2 2" xfId="18602"/>
    <cellStyle name="Comma 3 2 5 5 3" xfId="15750"/>
    <cellStyle name="Comma 3 2 5 6" xfId="8287"/>
    <cellStyle name="Comma 3 2 5 6 2" xfId="12634"/>
    <cellStyle name="Comma 3 2 5 6 2 2" xfId="19173"/>
    <cellStyle name="Comma 3 2 5 6 3" xfId="16321"/>
    <cellStyle name="Comma 3 2 5 7" xfId="2964"/>
    <cellStyle name="Comma 3 2 5 7 2" xfId="10921"/>
    <cellStyle name="Comma 3 2 5 7 2 2" xfId="17460"/>
    <cellStyle name="Comma 3 2 5 7 3" xfId="14608"/>
    <cellStyle name="Comma 3 2 5 8" xfId="2395"/>
    <cellStyle name="Comma 3 2 5 8 2" xfId="14043"/>
    <cellStyle name="Comma 3 2 5 9" xfId="10356"/>
    <cellStyle name="Comma 3 2 5 9 2" xfId="16895"/>
    <cellStyle name="Comma 3 2 6" xfId="1004"/>
    <cellStyle name="Comma 3 2 6 10" xfId="20303"/>
    <cellStyle name="Comma 3 2 6 2" xfId="2139"/>
    <cellStyle name="Comma 3 2 6 2 2" xfId="5559"/>
    <cellStyle name="Comma 3 2 6 2 2 2" xfId="11948"/>
    <cellStyle name="Comma 3 2 6 2 2 2 2" xfId="18487"/>
    <cellStyle name="Comma 3 2 6 2 2 3" xfId="15635"/>
    <cellStyle name="Comma 3 2 6 2 3" xfId="7831"/>
    <cellStyle name="Comma 3 2 6 2 3 2" xfId="12519"/>
    <cellStyle name="Comma 3 2 6 2 3 2 2" xfId="19058"/>
    <cellStyle name="Comma 3 2 6 2 3 3" xfId="16206"/>
    <cellStyle name="Comma 3 2 6 2 4" xfId="10103"/>
    <cellStyle name="Comma 3 2 6 2 4 2" xfId="13090"/>
    <cellStyle name="Comma 3 2 6 2 4 2 2" xfId="19629"/>
    <cellStyle name="Comma 3 2 6 2 4 3" xfId="16777"/>
    <cellStyle name="Comma 3 2 6 2 5" xfId="3420"/>
    <cellStyle name="Comma 3 2 6 2 5 2" xfId="11377"/>
    <cellStyle name="Comma 3 2 6 2 5 2 2" xfId="17916"/>
    <cellStyle name="Comma 3 2 6 2 5 3" xfId="15064"/>
    <cellStyle name="Comma 3 2 6 2 6" xfId="2843"/>
    <cellStyle name="Comma 3 2 6 2 6 2" xfId="14491"/>
    <cellStyle name="Comma 3 2 6 2 7" xfId="10804"/>
    <cellStyle name="Comma 3 2 6 2 7 2" xfId="17343"/>
    <cellStyle name="Comma 3 2 6 2 8" xfId="13924"/>
    <cellStyle name="Comma 3 2 6 3" xfId="4424"/>
    <cellStyle name="Comma 3 2 6 3 2" xfId="11663"/>
    <cellStyle name="Comma 3 2 6 3 2 2" xfId="18202"/>
    <cellStyle name="Comma 3 2 6 3 3" xfId="15350"/>
    <cellStyle name="Comma 3 2 6 4" xfId="6696"/>
    <cellStyle name="Comma 3 2 6 4 2" xfId="12234"/>
    <cellStyle name="Comma 3 2 6 4 2 2" xfId="18773"/>
    <cellStyle name="Comma 3 2 6 4 3" xfId="15921"/>
    <cellStyle name="Comma 3 2 6 5" xfId="8968"/>
    <cellStyle name="Comma 3 2 6 5 2" xfId="12805"/>
    <cellStyle name="Comma 3 2 6 5 2 2" xfId="19344"/>
    <cellStyle name="Comma 3 2 6 5 3" xfId="16492"/>
    <cellStyle name="Comma 3 2 6 6" xfId="3135"/>
    <cellStyle name="Comma 3 2 6 6 2" xfId="11092"/>
    <cellStyle name="Comma 3 2 6 6 2 2" xfId="17631"/>
    <cellStyle name="Comma 3 2 6 6 3" xfId="14779"/>
    <cellStyle name="Comma 3 2 6 7" xfId="2563"/>
    <cellStyle name="Comma 3 2 6 7 2" xfId="14211"/>
    <cellStyle name="Comma 3 2 6 8" xfId="10524"/>
    <cellStyle name="Comma 3 2 6 8 2" xfId="17063"/>
    <cellStyle name="Comma 3 2 6 9" xfId="13639"/>
    <cellStyle name="Comma 3 2 7" xfId="550"/>
    <cellStyle name="Comma 3 2 7 2" xfId="1685"/>
    <cellStyle name="Comma 3 2 7 2 2" xfId="5105"/>
    <cellStyle name="Comma 3 2 7 2 2 2" xfId="11834"/>
    <cellStyle name="Comma 3 2 7 2 2 2 2" xfId="18373"/>
    <cellStyle name="Comma 3 2 7 2 2 3" xfId="15521"/>
    <cellStyle name="Comma 3 2 7 2 3" xfId="7377"/>
    <cellStyle name="Comma 3 2 7 2 3 2" xfId="12405"/>
    <cellStyle name="Comma 3 2 7 2 3 2 2" xfId="18944"/>
    <cellStyle name="Comma 3 2 7 2 3 3" xfId="16092"/>
    <cellStyle name="Comma 3 2 7 2 4" xfId="9649"/>
    <cellStyle name="Comma 3 2 7 2 4 2" xfId="12976"/>
    <cellStyle name="Comma 3 2 7 2 4 2 2" xfId="19515"/>
    <cellStyle name="Comma 3 2 7 2 4 3" xfId="16663"/>
    <cellStyle name="Comma 3 2 7 2 5" xfId="3306"/>
    <cellStyle name="Comma 3 2 7 2 5 2" xfId="11263"/>
    <cellStyle name="Comma 3 2 7 2 5 2 2" xfId="17802"/>
    <cellStyle name="Comma 3 2 7 2 5 3" xfId="14950"/>
    <cellStyle name="Comma 3 2 7 2 6" xfId="2731"/>
    <cellStyle name="Comma 3 2 7 2 6 2" xfId="14379"/>
    <cellStyle name="Comma 3 2 7 2 7" xfId="10692"/>
    <cellStyle name="Comma 3 2 7 2 7 2" xfId="17231"/>
    <cellStyle name="Comma 3 2 7 2 8" xfId="13810"/>
    <cellStyle name="Comma 3 2 7 3" xfId="3970"/>
    <cellStyle name="Comma 3 2 7 3 2" xfId="11549"/>
    <cellStyle name="Comma 3 2 7 3 2 2" xfId="18088"/>
    <cellStyle name="Comma 3 2 7 3 3" xfId="15236"/>
    <cellStyle name="Comma 3 2 7 4" xfId="6242"/>
    <cellStyle name="Comma 3 2 7 4 2" xfId="12120"/>
    <cellStyle name="Comma 3 2 7 4 2 2" xfId="18659"/>
    <cellStyle name="Comma 3 2 7 4 3" xfId="15807"/>
    <cellStyle name="Comma 3 2 7 5" xfId="8514"/>
    <cellStyle name="Comma 3 2 7 5 2" xfId="12691"/>
    <cellStyle name="Comma 3 2 7 5 2 2" xfId="19230"/>
    <cellStyle name="Comma 3 2 7 5 3" xfId="16378"/>
    <cellStyle name="Comma 3 2 7 6" xfId="3021"/>
    <cellStyle name="Comma 3 2 7 6 2" xfId="10978"/>
    <cellStyle name="Comma 3 2 7 6 2 2" xfId="17517"/>
    <cellStyle name="Comma 3 2 7 6 3" xfId="14665"/>
    <cellStyle name="Comma 3 2 7 7" xfId="2451"/>
    <cellStyle name="Comma 3 2 7 7 2" xfId="14099"/>
    <cellStyle name="Comma 3 2 7 8" xfId="10412"/>
    <cellStyle name="Comma 3 2 7 8 2" xfId="16951"/>
    <cellStyle name="Comma 3 2 7 9" xfId="13525"/>
    <cellStyle name="Comma 3 2 8" xfId="1231"/>
    <cellStyle name="Comma 3 2 8 2" xfId="4651"/>
    <cellStyle name="Comma 3 2 8 2 2" xfId="11720"/>
    <cellStyle name="Comma 3 2 8 2 2 2" xfId="18259"/>
    <cellStyle name="Comma 3 2 8 2 3" xfId="15407"/>
    <cellStyle name="Comma 3 2 8 3" xfId="6923"/>
    <cellStyle name="Comma 3 2 8 3 2" xfId="12291"/>
    <cellStyle name="Comma 3 2 8 3 2 2" xfId="18830"/>
    <cellStyle name="Comma 3 2 8 3 3" xfId="15978"/>
    <cellStyle name="Comma 3 2 8 4" xfId="9195"/>
    <cellStyle name="Comma 3 2 8 4 2" xfId="12862"/>
    <cellStyle name="Comma 3 2 8 4 2 2" xfId="19401"/>
    <cellStyle name="Comma 3 2 8 4 3" xfId="16549"/>
    <cellStyle name="Comma 3 2 8 5" xfId="3192"/>
    <cellStyle name="Comma 3 2 8 5 2" xfId="11149"/>
    <cellStyle name="Comma 3 2 8 5 2 2" xfId="17688"/>
    <cellStyle name="Comma 3 2 8 5 3" xfId="14836"/>
    <cellStyle name="Comma 3 2 8 6" xfId="2619"/>
    <cellStyle name="Comma 3 2 8 6 2" xfId="14267"/>
    <cellStyle name="Comma 3 2 8 7" xfId="10580"/>
    <cellStyle name="Comma 3 2 8 7 2" xfId="17119"/>
    <cellStyle name="Comma 3 2 8 8" xfId="13696"/>
    <cellStyle name="Comma 3 2 9" xfId="85"/>
    <cellStyle name="Comma 3 2 9 2" xfId="3516"/>
    <cellStyle name="Comma 3 2 9 2 2" xfId="15122"/>
    <cellStyle name="Comma 3 2 9 3" xfId="11435"/>
    <cellStyle name="Comma 3 2 9 3 2" xfId="17974"/>
    <cellStyle name="Comma 3 2 9 4" xfId="13410"/>
    <cellStyle name="Comma 3 20" xfId="19786"/>
    <cellStyle name="Comma 3 21" xfId="19819"/>
    <cellStyle name="Comma 3 22" xfId="19885"/>
    <cellStyle name="Comma 3 3" xfId="169"/>
    <cellStyle name="Comma 3 3 10" xfId="2359"/>
    <cellStyle name="Comma 3 3 10 2" xfId="14007"/>
    <cellStyle name="Comma 3 3 11" xfId="10320"/>
    <cellStyle name="Comma 3 3 11 2" xfId="16859"/>
    <cellStyle name="Comma 3 3 12" xfId="13431"/>
    <cellStyle name="Comma 3 3 13" xfId="20073"/>
    <cellStyle name="Comma 3 3 2" xfId="407"/>
    <cellStyle name="Comma 3 3 2 10" xfId="13489"/>
    <cellStyle name="Comma 3 3 2 11" xfId="20074"/>
    <cellStyle name="Comma 3 3 2 2" xfId="861"/>
    <cellStyle name="Comma 3 3 2 2 10" xfId="20238"/>
    <cellStyle name="Comma 3 3 2 2 2" xfId="1996"/>
    <cellStyle name="Comma 3 3 2 2 2 2" xfId="5416"/>
    <cellStyle name="Comma 3 3 2 2 2 2 2" xfId="11912"/>
    <cellStyle name="Comma 3 3 2 2 2 2 2 2" xfId="18451"/>
    <cellStyle name="Comma 3 3 2 2 2 2 3" xfId="15599"/>
    <cellStyle name="Comma 3 3 2 2 2 3" xfId="7688"/>
    <cellStyle name="Comma 3 3 2 2 2 3 2" xfId="12483"/>
    <cellStyle name="Comma 3 3 2 2 2 3 2 2" xfId="19022"/>
    <cellStyle name="Comma 3 3 2 2 2 3 3" xfId="16170"/>
    <cellStyle name="Comma 3 3 2 2 2 4" xfId="9960"/>
    <cellStyle name="Comma 3 3 2 2 2 4 2" xfId="13054"/>
    <cellStyle name="Comma 3 3 2 2 2 4 2 2" xfId="19593"/>
    <cellStyle name="Comma 3 3 2 2 2 4 3" xfId="16741"/>
    <cellStyle name="Comma 3 3 2 2 2 5" xfId="3384"/>
    <cellStyle name="Comma 3 3 2 2 2 5 2" xfId="11341"/>
    <cellStyle name="Comma 3 3 2 2 2 5 2 2" xfId="17880"/>
    <cellStyle name="Comma 3 3 2 2 2 5 3" xfId="15028"/>
    <cellStyle name="Comma 3 3 2 2 2 6" xfId="2808"/>
    <cellStyle name="Comma 3 3 2 2 2 6 2" xfId="14456"/>
    <cellStyle name="Comma 3 3 2 2 2 7" xfId="10769"/>
    <cellStyle name="Comma 3 3 2 2 2 7 2" xfId="17308"/>
    <cellStyle name="Comma 3 3 2 2 2 8" xfId="13888"/>
    <cellStyle name="Comma 3 3 2 2 3" xfId="4281"/>
    <cellStyle name="Comma 3 3 2 2 3 2" xfId="11627"/>
    <cellStyle name="Comma 3 3 2 2 3 2 2" xfId="18166"/>
    <cellStyle name="Comma 3 3 2 2 3 3" xfId="15314"/>
    <cellStyle name="Comma 3 3 2 2 4" xfId="6553"/>
    <cellStyle name="Comma 3 3 2 2 4 2" xfId="12198"/>
    <cellStyle name="Comma 3 3 2 2 4 2 2" xfId="18737"/>
    <cellStyle name="Comma 3 3 2 2 4 3" xfId="15885"/>
    <cellStyle name="Comma 3 3 2 2 5" xfId="8825"/>
    <cellStyle name="Comma 3 3 2 2 5 2" xfId="12769"/>
    <cellStyle name="Comma 3 3 2 2 5 2 2" xfId="19308"/>
    <cellStyle name="Comma 3 3 2 2 5 3" xfId="16456"/>
    <cellStyle name="Comma 3 3 2 2 6" xfId="3099"/>
    <cellStyle name="Comma 3 3 2 2 6 2" xfId="11056"/>
    <cellStyle name="Comma 3 3 2 2 6 2 2" xfId="17595"/>
    <cellStyle name="Comma 3 3 2 2 6 3" xfId="14743"/>
    <cellStyle name="Comma 3 3 2 2 7" xfId="2528"/>
    <cellStyle name="Comma 3 3 2 2 7 2" xfId="14176"/>
    <cellStyle name="Comma 3 3 2 2 8" xfId="10489"/>
    <cellStyle name="Comma 3 3 2 2 8 2" xfId="17028"/>
    <cellStyle name="Comma 3 3 2 2 9" xfId="13603"/>
    <cellStyle name="Comma 3 3 2 3" xfId="1542"/>
    <cellStyle name="Comma 3 3 2 3 2" xfId="4962"/>
    <cellStyle name="Comma 3 3 2 3 2 2" xfId="11798"/>
    <cellStyle name="Comma 3 3 2 3 2 2 2" xfId="18337"/>
    <cellStyle name="Comma 3 3 2 3 2 3" xfId="15485"/>
    <cellStyle name="Comma 3 3 2 3 3" xfId="7234"/>
    <cellStyle name="Comma 3 3 2 3 3 2" xfId="12369"/>
    <cellStyle name="Comma 3 3 2 3 3 2 2" xfId="18908"/>
    <cellStyle name="Comma 3 3 2 3 3 3" xfId="16056"/>
    <cellStyle name="Comma 3 3 2 3 4" xfId="9506"/>
    <cellStyle name="Comma 3 3 2 3 4 2" xfId="12940"/>
    <cellStyle name="Comma 3 3 2 3 4 2 2" xfId="19479"/>
    <cellStyle name="Comma 3 3 2 3 4 3" xfId="16627"/>
    <cellStyle name="Comma 3 3 2 3 5" xfId="3270"/>
    <cellStyle name="Comma 3 3 2 3 5 2" xfId="11227"/>
    <cellStyle name="Comma 3 3 2 3 5 2 2" xfId="17766"/>
    <cellStyle name="Comma 3 3 2 3 5 3" xfId="14914"/>
    <cellStyle name="Comma 3 3 2 3 6" xfId="2696"/>
    <cellStyle name="Comma 3 3 2 3 6 2" xfId="14344"/>
    <cellStyle name="Comma 3 3 2 3 7" xfId="10657"/>
    <cellStyle name="Comma 3 3 2 3 7 2" xfId="17196"/>
    <cellStyle name="Comma 3 3 2 3 8" xfId="13774"/>
    <cellStyle name="Comma 3 3 2 3 9" xfId="20311"/>
    <cellStyle name="Comma 3 3 2 4" xfId="3827"/>
    <cellStyle name="Comma 3 3 2 4 2" xfId="11513"/>
    <cellStyle name="Comma 3 3 2 4 2 2" xfId="18052"/>
    <cellStyle name="Comma 3 3 2 4 3" xfId="15200"/>
    <cellStyle name="Comma 3 3 2 5" xfId="6099"/>
    <cellStyle name="Comma 3 3 2 5 2" xfId="12084"/>
    <cellStyle name="Comma 3 3 2 5 2 2" xfId="18623"/>
    <cellStyle name="Comma 3 3 2 5 3" xfId="15771"/>
    <cellStyle name="Comma 3 3 2 6" xfId="8371"/>
    <cellStyle name="Comma 3 3 2 6 2" xfId="12655"/>
    <cellStyle name="Comma 3 3 2 6 2 2" xfId="19194"/>
    <cellStyle name="Comma 3 3 2 6 3" xfId="16342"/>
    <cellStyle name="Comma 3 3 2 7" xfId="2985"/>
    <cellStyle name="Comma 3 3 2 7 2" xfId="10942"/>
    <cellStyle name="Comma 3 3 2 7 2 2" xfId="17481"/>
    <cellStyle name="Comma 3 3 2 7 3" xfId="14629"/>
    <cellStyle name="Comma 3 3 2 8" xfId="2416"/>
    <cellStyle name="Comma 3 3 2 8 2" xfId="14064"/>
    <cellStyle name="Comma 3 3 2 9" xfId="10377"/>
    <cellStyle name="Comma 3 3 2 9 2" xfId="16916"/>
    <cellStyle name="Comma 3 3 3" xfId="1088"/>
    <cellStyle name="Comma 3 3 3 10" xfId="20075"/>
    <cellStyle name="Comma 3 3 3 2" xfId="2223"/>
    <cellStyle name="Comma 3 3 3 2 2" xfId="5643"/>
    <cellStyle name="Comma 3 3 3 2 2 2" xfId="11969"/>
    <cellStyle name="Comma 3 3 3 2 2 2 2" xfId="18508"/>
    <cellStyle name="Comma 3 3 3 2 2 3" xfId="15656"/>
    <cellStyle name="Comma 3 3 3 2 3" xfId="7915"/>
    <cellStyle name="Comma 3 3 3 2 3 2" xfId="12540"/>
    <cellStyle name="Comma 3 3 3 2 3 2 2" xfId="19079"/>
    <cellStyle name="Comma 3 3 3 2 3 3" xfId="16227"/>
    <cellStyle name="Comma 3 3 3 2 4" xfId="10187"/>
    <cellStyle name="Comma 3 3 3 2 4 2" xfId="13111"/>
    <cellStyle name="Comma 3 3 3 2 4 2 2" xfId="19650"/>
    <cellStyle name="Comma 3 3 3 2 4 3" xfId="16798"/>
    <cellStyle name="Comma 3 3 3 2 5" xfId="3441"/>
    <cellStyle name="Comma 3 3 3 2 5 2" xfId="11398"/>
    <cellStyle name="Comma 3 3 3 2 5 2 2" xfId="17937"/>
    <cellStyle name="Comma 3 3 3 2 5 3" xfId="15085"/>
    <cellStyle name="Comma 3 3 3 2 6" xfId="2864"/>
    <cellStyle name="Comma 3 3 3 2 6 2" xfId="14512"/>
    <cellStyle name="Comma 3 3 3 2 7" xfId="10825"/>
    <cellStyle name="Comma 3 3 3 2 7 2" xfId="17364"/>
    <cellStyle name="Comma 3 3 3 2 8" xfId="13945"/>
    <cellStyle name="Comma 3 3 3 2 9" xfId="20239"/>
    <cellStyle name="Comma 3 3 3 3" xfId="4508"/>
    <cellStyle name="Comma 3 3 3 3 2" xfId="11684"/>
    <cellStyle name="Comma 3 3 3 3 2 2" xfId="18223"/>
    <cellStyle name="Comma 3 3 3 3 3" xfId="15371"/>
    <cellStyle name="Comma 3 3 3 3 4" xfId="20312"/>
    <cellStyle name="Comma 3 3 3 4" xfId="6780"/>
    <cellStyle name="Comma 3 3 3 4 2" xfId="12255"/>
    <cellStyle name="Comma 3 3 3 4 2 2" xfId="18794"/>
    <cellStyle name="Comma 3 3 3 4 3" xfId="15942"/>
    <cellStyle name="Comma 3 3 3 5" xfId="9052"/>
    <cellStyle name="Comma 3 3 3 5 2" xfId="12826"/>
    <cellStyle name="Comma 3 3 3 5 2 2" xfId="19365"/>
    <cellStyle name="Comma 3 3 3 5 3" xfId="16513"/>
    <cellStyle name="Comma 3 3 3 6" xfId="3156"/>
    <cellStyle name="Comma 3 3 3 6 2" xfId="11113"/>
    <cellStyle name="Comma 3 3 3 6 2 2" xfId="17652"/>
    <cellStyle name="Comma 3 3 3 6 3" xfId="14800"/>
    <cellStyle name="Comma 3 3 3 7" xfId="2584"/>
    <cellStyle name="Comma 3 3 3 7 2" xfId="14232"/>
    <cellStyle name="Comma 3 3 3 8" xfId="10545"/>
    <cellStyle name="Comma 3 3 3 8 2" xfId="17084"/>
    <cellStyle name="Comma 3 3 3 9" xfId="13660"/>
    <cellStyle name="Comma 3 3 4" xfId="634"/>
    <cellStyle name="Comma 3 3 4 10" xfId="20237"/>
    <cellStyle name="Comma 3 3 4 2" xfId="1769"/>
    <cellStyle name="Comma 3 3 4 2 2" xfId="5189"/>
    <cellStyle name="Comma 3 3 4 2 2 2" xfId="11855"/>
    <cellStyle name="Comma 3 3 4 2 2 2 2" xfId="18394"/>
    <cellStyle name="Comma 3 3 4 2 2 3" xfId="15542"/>
    <cellStyle name="Comma 3 3 4 2 3" xfId="7461"/>
    <cellStyle name="Comma 3 3 4 2 3 2" xfId="12426"/>
    <cellStyle name="Comma 3 3 4 2 3 2 2" xfId="18965"/>
    <cellStyle name="Comma 3 3 4 2 3 3" xfId="16113"/>
    <cellStyle name="Comma 3 3 4 2 4" xfId="9733"/>
    <cellStyle name="Comma 3 3 4 2 4 2" xfId="12997"/>
    <cellStyle name="Comma 3 3 4 2 4 2 2" xfId="19536"/>
    <cellStyle name="Comma 3 3 4 2 4 3" xfId="16684"/>
    <cellStyle name="Comma 3 3 4 2 5" xfId="3327"/>
    <cellStyle name="Comma 3 3 4 2 5 2" xfId="11284"/>
    <cellStyle name="Comma 3 3 4 2 5 2 2" xfId="17823"/>
    <cellStyle name="Comma 3 3 4 2 5 3" xfId="14971"/>
    <cellStyle name="Comma 3 3 4 2 6" xfId="2752"/>
    <cellStyle name="Comma 3 3 4 2 6 2" xfId="14400"/>
    <cellStyle name="Comma 3 3 4 2 7" xfId="10713"/>
    <cellStyle name="Comma 3 3 4 2 7 2" xfId="17252"/>
    <cellStyle name="Comma 3 3 4 2 8" xfId="13831"/>
    <cellStyle name="Comma 3 3 4 3" xfId="4054"/>
    <cellStyle name="Comma 3 3 4 3 2" xfId="11570"/>
    <cellStyle name="Comma 3 3 4 3 2 2" xfId="18109"/>
    <cellStyle name="Comma 3 3 4 3 3" xfId="15257"/>
    <cellStyle name="Comma 3 3 4 4" xfId="6326"/>
    <cellStyle name="Comma 3 3 4 4 2" xfId="12141"/>
    <cellStyle name="Comma 3 3 4 4 2 2" xfId="18680"/>
    <cellStyle name="Comma 3 3 4 4 3" xfId="15828"/>
    <cellStyle name="Comma 3 3 4 5" xfId="8598"/>
    <cellStyle name="Comma 3 3 4 5 2" xfId="12712"/>
    <cellStyle name="Comma 3 3 4 5 2 2" xfId="19251"/>
    <cellStyle name="Comma 3 3 4 5 3" xfId="16399"/>
    <cellStyle name="Comma 3 3 4 6" xfId="3042"/>
    <cellStyle name="Comma 3 3 4 6 2" xfId="10999"/>
    <cellStyle name="Comma 3 3 4 6 2 2" xfId="17538"/>
    <cellStyle name="Comma 3 3 4 6 3" xfId="14686"/>
    <cellStyle name="Comma 3 3 4 7" xfId="2472"/>
    <cellStyle name="Comma 3 3 4 7 2" xfId="14120"/>
    <cellStyle name="Comma 3 3 4 8" xfId="10433"/>
    <cellStyle name="Comma 3 3 4 8 2" xfId="16972"/>
    <cellStyle name="Comma 3 3 4 9" xfId="13546"/>
    <cellStyle name="Comma 3 3 5" xfId="1315"/>
    <cellStyle name="Comma 3 3 5 2" xfId="4735"/>
    <cellStyle name="Comma 3 3 5 2 2" xfId="11741"/>
    <cellStyle name="Comma 3 3 5 2 2 2" xfId="18280"/>
    <cellStyle name="Comma 3 3 5 2 3" xfId="15428"/>
    <cellStyle name="Comma 3 3 5 3" xfId="7007"/>
    <cellStyle name="Comma 3 3 5 3 2" xfId="12312"/>
    <cellStyle name="Comma 3 3 5 3 2 2" xfId="18851"/>
    <cellStyle name="Comma 3 3 5 3 3" xfId="15999"/>
    <cellStyle name="Comma 3 3 5 4" xfId="9279"/>
    <cellStyle name="Comma 3 3 5 4 2" xfId="12883"/>
    <cellStyle name="Comma 3 3 5 4 2 2" xfId="19422"/>
    <cellStyle name="Comma 3 3 5 4 3" xfId="16570"/>
    <cellStyle name="Comma 3 3 5 5" xfId="3213"/>
    <cellStyle name="Comma 3 3 5 5 2" xfId="11170"/>
    <cellStyle name="Comma 3 3 5 5 2 2" xfId="17709"/>
    <cellStyle name="Comma 3 3 5 5 3" xfId="14857"/>
    <cellStyle name="Comma 3 3 5 6" xfId="2640"/>
    <cellStyle name="Comma 3 3 5 6 2" xfId="14288"/>
    <cellStyle name="Comma 3 3 5 7" xfId="10601"/>
    <cellStyle name="Comma 3 3 5 7 2" xfId="17140"/>
    <cellStyle name="Comma 3 3 5 8" xfId="13717"/>
    <cellStyle name="Comma 3 3 5 9" xfId="20310"/>
    <cellStyle name="Comma 3 3 6" xfId="3600"/>
    <cellStyle name="Comma 3 3 6 2" xfId="11456"/>
    <cellStyle name="Comma 3 3 6 2 2" xfId="17995"/>
    <cellStyle name="Comma 3 3 6 3" xfId="15143"/>
    <cellStyle name="Comma 3 3 7" xfId="5872"/>
    <cellStyle name="Comma 3 3 7 2" xfId="12027"/>
    <cellStyle name="Comma 3 3 7 2 2" xfId="18566"/>
    <cellStyle name="Comma 3 3 7 3" xfId="15714"/>
    <cellStyle name="Comma 3 3 8" xfId="8144"/>
    <cellStyle name="Comma 3 3 8 2" xfId="12598"/>
    <cellStyle name="Comma 3 3 8 2 2" xfId="19137"/>
    <cellStyle name="Comma 3 3 8 3" xfId="16285"/>
    <cellStyle name="Comma 3 3 9" xfId="2925"/>
    <cellStyle name="Comma 3 3 9 2" xfId="10884"/>
    <cellStyle name="Comma 3 3 9 2 2" xfId="17423"/>
    <cellStyle name="Comma 3 3 9 3" xfId="14571"/>
    <cellStyle name="Comma 3 4" xfId="113"/>
    <cellStyle name="Comma 3 4 10" xfId="2345"/>
    <cellStyle name="Comma 3 4 10 2" xfId="13993"/>
    <cellStyle name="Comma 3 4 11" xfId="10306"/>
    <cellStyle name="Comma 3 4 11 2" xfId="16845"/>
    <cellStyle name="Comma 3 4 12" xfId="13417"/>
    <cellStyle name="Comma 3 4 13" xfId="20076"/>
    <cellStyle name="Comma 3 4 2" xfId="351"/>
    <cellStyle name="Comma 3 4 2 10" xfId="13475"/>
    <cellStyle name="Comma 3 4 2 11" xfId="20077"/>
    <cellStyle name="Comma 3 4 2 2" xfId="805"/>
    <cellStyle name="Comma 3 4 2 2 10" xfId="20241"/>
    <cellStyle name="Comma 3 4 2 2 2" xfId="1940"/>
    <cellStyle name="Comma 3 4 2 2 2 2" xfId="5360"/>
    <cellStyle name="Comma 3 4 2 2 2 2 2" xfId="11898"/>
    <cellStyle name="Comma 3 4 2 2 2 2 2 2" xfId="18437"/>
    <cellStyle name="Comma 3 4 2 2 2 2 3" xfId="15585"/>
    <cellStyle name="Comma 3 4 2 2 2 3" xfId="7632"/>
    <cellStyle name="Comma 3 4 2 2 2 3 2" xfId="12469"/>
    <cellStyle name="Comma 3 4 2 2 2 3 2 2" xfId="19008"/>
    <cellStyle name="Comma 3 4 2 2 2 3 3" xfId="16156"/>
    <cellStyle name="Comma 3 4 2 2 2 4" xfId="9904"/>
    <cellStyle name="Comma 3 4 2 2 2 4 2" xfId="13040"/>
    <cellStyle name="Comma 3 4 2 2 2 4 2 2" xfId="19579"/>
    <cellStyle name="Comma 3 4 2 2 2 4 3" xfId="16727"/>
    <cellStyle name="Comma 3 4 2 2 2 5" xfId="3370"/>
    <cellStyle name="Comma 3 4 2 2 2 5 2" xfId="11327"/>
    <cellStyle name="Comma 3 4 2 2 2 5 2 2" xfId="17866"/>
    <cellStyle name="Comma 3 4 2 2 2 5 3" xfId="15014"/>
    <cellStyle name="Comma 3 4 2 2 2 6" xfId="2794"/>
    <cellStyle name="Comma 3 4 2 2 2 6 2" xfId="14442"/>
    <cellStyle name="Comma 3 4 2 2 2 7" xfId="10755"/>
    <cellStyle name="Comma 3 4 2 2 2 7 2" xfId="17294"/>
    <cellStyle name="Comma 3 4 2 2 2 8" xfId="13874"/>
    <cellStyle name="Comma 3 4 2 2 3" xfId="4225"/>
    <cellStyle name="Comma 3 4 2 2 3 2" xfId="11613"/>
    <cellStyle name="Comma 3 4 2 2 3 2 2" xfId="18152"/>
    <cellStyle name="Comma 3 4 2 2 3 3" xfId="15300"/>
    <cellStyle name="Comma 3 4 2 2 4" xfId="6497"/>
    <cellStyle name="Comma 3 4 2 2 4 2" xfId="12184"/>
    <cellStyle name="Comma 3 4 2 2 4 2 2" xfId="18723"/>
    <cellStyle name="Comma 3 4 2 2 4 3" xfId="15871"/>
    <cellStyle name="Comma 3 4 2 2 5" xfId="8769"/>
    <cellStyle name="Comma 3 4 2 2 5 2" xfId="12755"/>
    <cellStyle name="Comma 3 4 2 2 5 2 2" xfId="19294"/>
    <cellStyle name="Comma 3 4 2 2 5 3" xfId="16442"/>
    <cellStyle name="Comma 3 4 2 2 6" xfId="3085"/>
    <cellStyle name="Comma 3 4 2 2 6 2" xfId="11042"/>
    <cellStyle name="Comma 3 4 2 2 6 2 2" xfId="17581"/>
    <cellStyle name="Comma 3 4 2 2 6 3" xfId="14729"/>
    <cellStyle name="Comma 3 4 2 2 7" xfId="2514"/>
    <cellStyle name="Comma 3 4 2 2 7 2" xfId="14162"/>
    <cellStyle name="Comma 3 4 2 2 8" xfId="10475"/>
    <cellStyle name="Comma 3 4 2 2 8 2" xfId="17014"/>
    <cellStyle name="Comma 3 4 2 2 9" xfId="13589"/>
    <cellStyle name="Comma 3 4 2 3" xfId="1486"/>
    <cellStyle name="Comma 3 4 2 3 2" xfId="4906"/>
    <cellStyle name="Comma 3 4 2 3 2 2" xfId="11784"/>
    <cellStyle name="Comma 3 4 2 3 2 2 2" xfId="18323"/>
    <cellStyle name="Comma 3 4 2 3 2 3" xfId="15471"/>
    <cellStyle name="Comma 3 4 2 3 3" xfId="7178"/>
    <cellStyle name="Comma 3 4 2 3 3 2" xfId="12355"/>
    <cellStyle name="Comma 3 4 2 3 3 2 2" xfId="18894"/>
    <cellStyle name="Comma 3 4 2 3 3 3" xfId="16042"/>
    <cellStyle name="Comma 3 4 2 3 4" xfId="9450"/>
    <cellStyle name="Comma 3 4 2 3 4 2" xfId="12926"/>
    <cellStyle name="Comma 3 4 2 3 4 2 2" xfId="19465"/>
    <cellStyle name="Comma 3 4 2 3 4 3" xfId="16613"/>
    <cellStyle name="Comma 3 4 2 3 5" xfId="3256"/>
    <cellStyle name="Comma 3 4 2 3 5 2" xfId="11213"/>
    <cellStyle name="Comma 3 4 2 3 5 2 2" xfId="17752"/>
    <cellStyle name="Comma 3 4 2 3 5 3" xfId="14900"/>
    <cellStyle name="Comma 3 4 2 3 6" xfId="2682"/>
    <cellStyle name="Comma 3 4 2 3 6 2" xfId="14330"/>
    <cellStyle name="Comma 3 4 2 3 7" xfId="10643"/>
    <cellStyle name="Comma 3 4 2 3 7 2" xfId="17182"/>
    <cellStyle name="Comma 3 4 2 3 8" xfId="13760"/>
    <cellStyle name="Comma 3 4 2 3 9" xfId="20314"/>
    <cellStyle name="Comma 3 4 2 4" xfId="3771"/>
    <cellStyle name="Comma 3 4 2 4 2" xfId="11499"/>
    <cellStyle name="Comma 3 4 2 4 2 2" xfId="18038"/>
    <cellStyle name="Comma 3 4 2 4 3" xfId="15186"/>
    <cellStyle name="Comma 3 4 2 5" xfId="6043"/>
    <cellStyle name="Comma 3 4 2 5 2" xfId="12070"/>
    <cellStyle name="Comma 3 4 2 5 2 2" xfId="18609"/>
    <cellStyle name="Comma 3 4 2 5 3" xfId="15757"/>
    <cellStyle name="Comma 3 4 2 6" xfId="8315"/>
    <cellStyle name="Comma 3 4 2 6 2" xfId="12641"/>
    <cellStyle name="Comma 3 4 2 6 2 2" xfId="19180"/>
    <cellStyle name="Comma 3 4 2 6 3" xfId="16328"/>
    <cellStyle name="Comma 3 4 2 7" xfId="2971"/>
    <cellStyle name="Comma 3 4 2 7 2" xfId="10928"/>
    <cellStyle name="Comma 3 4 2 7 2 2" xfId="17467"/>
    <cellStyle name="Comma 3 4 2 7 3" xfId="14615"/>
    <cellStyle name="Comma 3 4 2 8" xfId="2402"/>
    <cellStyle name="Comma 3 4 2 8 2" xfId="14050"/>
    <cellStyle name="Comma 3 4 2 9" xfId="10363"/>
    <cellStyle name="Comma 3 4 2 9 2" xfId="16902"/>
    <cellStyle name="Comma 3 4 3" xfId="1032"/>
    <cellStyle name="Comma 3 4 3 10" xfId="20078"/>
    <cellStyle name="Comma 3 4 3 2" xfId="2167"/>
    <cellStyle name="Comma 3 4 3 2 2" xfId="5587"/>
    <cellStyle name="Comma 3 4 3 2 2 2" xfId="11955"/>
    <cellStyle name="Comma 3 4 3 2 2 2 2" xfId="18494"/>
    <cellStyle name="Comma 3 4 3 2 2 3" xfId="15642"/>
    <cellStyle name="Comma 3 4 3 2 3" xfId="7859"/>
    <cellStyle name="Comma 3 4 3 2 3 2" xfId="12526"/>
    <cellStyle name="Comma 3 4 3 2 3 2 2" xfId="19065"/>
    <cellStyle name="Comma 3 4 3 2 3 3" xfId="16213"/>
    <cellStyle name="Comma 3 4 3 2 4" xfId="10131"/>
    <cellStyle name="Comma 3 4 3 2 4 2" xfId="13097"/>
    <cellStyle name="Comma 3 4 3 2 4 2 2" xfId="19636"/>
    <cellStyle name="Comma 3 4 3 2 4 3" xfId="16784"/>
    <cellStyle name="Comma 3 4 3 2 5" xfId="3427"/>
    <cellStyle name="Comma 3 4 3 2 5 2" xfId="11384"/>
    <cellStyle name="Comma 3 4 3 2 5 2 2" xfId="17923"/>
    <cellStyle name="Comma 3 4 3 2 5 3" xfId="15071"/>
    <cellStyle name="Comma 3 4 3 2 6" xfId="2850"/>
    <cellStyle name="Comma 3 4 3 2 6 2" xfId="14498"/>
    <cellStyle name="Comma 3 4 3 2 7" xfId="10811"/>
    <cellStyle name="Comma 3 4 3 2 7 2" xfId="17350"/>
    <cellStyle name="Comma 3 4 3 2 8" xfId="13931"/>
    <cellStyle name="Comma 3 4 3 2 9" xfId="20242"/>
    <cellStyle name="Comma 3 4 3 3" xfId="4452"/>
    <cellStyle name="Comma 3 4 3 3 2" xfId="11670"/>
    <cellStyle name="Comma 3 4 3 3 2 2" xfId="18209"/>
    <cellStyle name="Comma 3 4 3 3 3" xfId="15357"/>
    <cellStyle name="Comma 3 4 3 3 4" xfId="20315"/>
    <cellStyle name="Comma 3 4 3 4" xfId="6724"/>
    <cellStyle name="Comma 3 4 3 4 2" xfId="12241"/>
    <cellStyle name="Comma 3 4 3 4 2 2" xfId="18780"/>
    <cellStyle name="Comma 3 4 3 4 3" xfId="15928"/>
    <cellStyle name="Comma 3 4 3 5" xfId="8996"/>
    <cellStyle name="Comma 3 4 3 5 2" xfId="12812"/>
    <cellStyle name="Comma 3 4 3 5 2 2" xfId="19351"/>
    <cellStyle name="Comma 3 4 3 5 3" xfId="16499"/>
    <cellStyle name="Comma 3 4 3 6" xfId="3142"/>
    <cellStyle name="Comma 3 4 3 6 2" xfId="11099"/>
    <cellStyle name="Comma 3 4 3 6 2 2" xfId="17638"/>
    <cellStyle name="Comma 3 4 3 6 3" xfId="14786"/>
    <cellStyle name="Comma 3 4 3 7" xfId="2570"/>
    <cellStyle name="Comma 3 4 3 7 2" xfId="14218"/>
    <cellStyle name="Comma 3 4 3 8" xfId="10531"/>
    <cellStyle name="Comma 3 4 3 8 2" xfId="17070"/>
    <cellStyle name="Comma 3 4 3 9" xfId="13646"/>
    <cellStyle name="Comma 3 4 4" xfId="578"/>
    <cellStyle name="Comma 3 4 4 10" xfId="20240"/>
    <cellStyle name="Comma 3 4 4 2" xfId="1713"/>
    <cellStyle name="Comma 3 4 4 2 2" xfId="5133"/>
    <cellStyle name="Comma 3 4 4 2 2 2" xfId="11841"/>
    <cellStyle name="Comma 3 4 4 2 2 2 2" xfId="18380"/>
    <cellStyle name="Comma 3 4 4 2 2 3" xfId="15528"/>
    <cellStyle name="Comma 3 4 4 2 3" xfId="7405"/>
    <cellStyle name="Comma 3 4 4 2 3 2" xfId="12412"/>
    <cellStyle name="Comma 3 4 4 2 3 2 2" xfId="18951"/>
    <cellStyle name="Comma 3 4 4 2 3 3" xfId="16099"/>
    <cellStyle name="Comma 3 4 4 2 4" xfId="9677"/>
    <cellStyle name="Comma 3 4 4 2 4 2" xfId="12983"/>
    <cellStyle name="Comma 3 4 4 2 4 2 2" xfId="19522"/>
    <cellStyle name="Comma 3 4 4 2 4 3" xfId="16670"/>
    <cellStyle name="Comma 3 4 4 2 5" xfId="3313"/>
    <cellStyle name="Comma 3 4 4 2 5 2" xfId="11270"/>
    <cellStyle name="Comma 3 4 4 2 5 2 2" xfId="17809"/>
    <cellStyle name="Comma 3 4 4 2 5 3" xfId="14957"/>
    <cellStyle name="Comma 3 4 4 2 6" xfId="2738"/>
    <cellStyle name="Comma 3 4 4 2 6 2" xfId="14386"/>
    <cellStyle name="Comma 3 4 4 2 7" xfId="10699"/>
    <cellStyle name="Comma 3 4 4 2 7 2" xfId="17238"/>
    <cellStyle name="Comma 3 4 4 2 8" xfId="13817"/>
    <cellStyle name="Comma 3 4 4 3" xfId="3998"/>
    <cellStyle name="Comma 3 4 4 3 2" xfId="11556"/>
    <cellStyle name="Comma 3 4 4 3 2 2" xfId="18095"/>
    <cellStyle name="Comma 3 4 4 3 3" xfId="15243"/>
    <cellStyle name="Comma 3 4 4 4" xfId="6270"/>
    <cellStyle name="Comma 3 4 4 4 2" xfId="12127"/>
    <cellStyle name="Comma 3 4 4 4 2 2" xfId="18666"/>
    <cellStyle name="Comma 3 4 4 4 3" xfId="15814"/>
    <cellStyle name="Comma 3 4 4 5" xfId="8542"/>
    <cellStyle name="Comma 3 4 4 5 2" xfId="12698"/>
    <cellStyle name="Comma 3 4 4 5 2 2" xfId="19237"/>
    <cellStyle name="Comma 3 4 4 5 3" xfId="16385"/>
    <cellStyle name="Comma 3 4 4 6" xfId="3028"/>
    <cellStyle name="Comma 3 4 4 6 2" xfId="10985"/>
    <cellStyle name="Comma 3 4 4 6 2 2" xfId="17524"/>
    <cellStyle name="Comma 3 4 4 6 3" xfId="14672"/>
    <cellStyle name="Comma 3 4 4 7" xfId="2458"/>
    <cellStyle name="Comma 3 4 4 7 2" xfId="14106"/>
    <cellStyle name="Comma 3 4 4 8" xfId="10419"/>
    <cellStyle name="Comma 3 4 4 8 2" xfId="16958"/>
    <cellStyle name="Comma 3 4 4 9" xfId="13532"/>
    <cellStyle name="Comma 3 4 5" xfId="1259"/>
    <cellStyle name="Comma 3 4 5 2" xfId="4679"/>
    <cellStyle name="Comma 3 4 5 2 2" xfId="11727"/>
    <cellStyle name="Comma 3 4 5 2 2 2" xfId="18266"/>
    <cellStyle name="Comma 3 4 5 2 3" xfId="15414"/>
    <cellStyle name="Comma 3 4 5 3" xfId="6951"/>
    <cellStyle name="Comma 3 4 5 3 2" xfId="12298"/>
    <cellStyle name="Comma 3 4 5 3 2 2" xfId="18837"/>
    <cellStyle name="Comma 3 4 5 3 3" xfId="15985"/>
    <cellStyle name="Comma 3 4 5 4" xfId="9223"/>
    <cellStyle name="Comma 3 4 5 4 2" xfId="12869"/>
    <cellStyle name="Comma 3 4 5 4 2 2" xfId="19408"/>
    <cellStyle name="Comma 3 4 5 4 3" xfId="16556"/>
    <cellStyle name="Comma 3 4 5 5" xfId="3199"/>
    <cellStyle name="Comma 3 4 5 5 2" xfId="11156"/>
    <cellStyle name="Comma 3 4 5 5 2 2" xfId="17695"/>
    <cellStyle name="Comma 3 4 5 5 3" xfId="14843"/>
    <cellStyle name="Comma 3 4 5 6" xfId="2626"/>
    <cellStyle name="Comma 3 4 5 6 2" xfId="14274"/>
    <cellStyle name="Comma 3 4 5 7" xfId="10587"/>
    <cellStyle name="Comma 3 4 5 7 2" xfId="17126"/>
    <cellStyle name="Comma 3 4 5 8" xfId="13703"/>
    <cellStyle name="Comma 3 4 5 9" xfId="20313"/>
    <cellStyle name="Comma 3 4 6" xfId="3544"/>
    <cellStyle name="Comma 3 4 6 2" xfId="11442"/>
    <cellStyle name="Comma 3 4 6 2 2" xfId="17981"/>
    <cellStyle name="Comma 3 4 6 3" xfId="15129"/>
    <cellStyle name="Comma 3 4 7" xfId="5816"/>
    <cellStyle name="Comma 3 4 7 2" xfId="12013"/>
    <cellStyle name="Comma 3 4 7 2 2" xfId="18552"/>
    <cellStyle name="Comma 3 4 7 3" xfId="15700"/>
    <cellStyle name="Comma 3 4 8" xfId="8088"/>
    <cellStyle name="Comma 3 4 8 2" xfId="12584"/>
    <cellStyle name="Comma 3 4 8 2 2" xfId="19123"/>
    <cellStyle name="Comma 3 4 8 3" xfId="16271"/>
    <cellStyle name="Comma 3 4 9" xfId="2911"/>
    <cellStyle name="Comma 3 4 9 2" xfId="10870"/>
    <cellStyle name="Comma 3 4 9 2 2" xfId="17409"/>
    <cellStyle name="Comma 3 4 9 3" xfId="14557"/>
    <cellStyle name="Comma 3 5" xfId="239"/>
    <cellStyle name="Comma 3 5 10" xfId="2374"/>
    <cellStyle name="Comma 3 5 10 2" xfId="14022"/>
    <cellStyle name="Comma 3 5 11" xfId="10335"/>
    <cellStyle name="Comma 3 5 11 2" xfId="16874"/>
    <cellStyle name="Comma 3 5 12" xfId="13447"/>
    <cellStyle name="Comma 3 5 13" xfId="20079"/>
    <cellStyle name="Comma 3 5 2" xfId="466"/>
    <cellStyle name="Comma 3 5 2 10" xfId="13504"/>
    <cellStyle name="Comma 3 5 2 11" xfId="20080"/>
    <cellStyle name="Comma 3 5 2 2" xfId="920"/>
    <cellStyle name="Comma 3 5 2 2 10" xfId="20244"/>
    <cellStyle name="Comma 3 5 2 2 2" xfId="2055"/>
    <cellStyle name="Comma 3 5 2 2 2 2" xfId="5475"/>
    <cellStyle name="Comma 3 5 2 2 2 2 2" xfId="11927"/>
    <cellStyle name="Comma 3 5 2 2 2 2 2 2" xfId="18466"/>
    <cellStyle name="Comma 3 5 2 2 2 2 3" xfId="15614"/>
    <cellStyle name="Comma 3 5 2 2 2 3" xfId="7747"/>
    <cellStyle name="Comma 3 5 2 2 2 3 2" xfId="12498"/>
    <cellStyle name="Comma 3 5 2 2 2 3 2 2" xfId="19037"/>
    <cellStyle name="Comma 3 5 2 2 2 3 3" xfId="16185"/>
    <cellStyle name="Comma 3 5 2 2 2 4" xfId="10019"/>
    <cellStyle name="Comma 3 5 2 2 2 4 2" xfId="13069"/>
    <cellStyle name="Comma 3 5 2 2 2 4 2 2" xfId="19608"/>
    <cellStyle name="Comma 3 5 2 2 2 4 3" xfId="16756"/>
    <cellStyle name="Comma 3 5 2 2 2 5" xfId="3399"/>
    <cellStyle name="Comma 3 5 2 2 2 5 2" xfId="11356"/>
    <cellStyle name="Comma 3 5 2 2 2 5 2 2" xfId="17895"/>
    <cellStyle name="Comma 3 5 2 2 2 5 3" xfId="15043"/>
    <cellStyle name="Comma 3 5 2 2 2 6" xfId="2822"/>
    <cellStyle name="Comma 3 5 2 2 2 6 2" xfId="14470"/>
    <cellStyle name="Comma 3 5 2 2 2 7" xfId="10783"/>
    <cellStyle name="Comma 3 5 2 2 2 7 2" xfId="17322"/>
    <cellStyle name="Comma 3 5 2 2 2 8" xfId="13903"/>
    <cellStyle name="Comma 3 5 2 2 3" xfId="4340"/>
    <cellStyle name="Comma 3 5 2 2 3 2" xfId="11642"/>
    <cellStyle name="Comma 3 5 2 2 3 2 2" xfId="18181"/>
    <cellStyle name="Comma 3 5 2 2 3 3" xfId="15329"/>
    <cellStyle name="Comma 3 5 2 2 4" xfId="6612"/>
    <cellStyle name="Comma 3 5 2 2 4 2" xfId="12213"/>
    <cellStyle name="Comma 3 5 2 2 4 2 2" xfId="18752"/>
    <cellStyle name="Comma 3 5 2 2 4 3" xfId="15900"/>
    <cellStyle name="Comma 3 5 2 2 5" xfId="8884"/>
    <cellStyle name="Comma 3 5 2 2 5 2" xfId="12784"/>
    <cellStyle name="Comma 3 5 2 2 5 2 2" xfId="19323"/>
    <cellStyle name="Comma 3 5 2 2 5 3" xfId="16471"/>
    <cellStyle name="Comma 3 5 2 2 6" xfId="3114"/>
    <cellStyle name="Comma 3 5 2 2 6 2" xfId="11071"/>
    <cellStyle name="Comma 3 5 2 2 6 2 2" xfId="17610"/>
    <cellStyle name="Comma 3 5 2 2 6 3" xfId="14758"/>
    <cellStyle name="Comma 3 5 2 2 7" xfId="2542"/>
    <cellStyle name="Comma 3 5 2 2 7 2" xfId="14190"/>
    <cellStyle name="Comma 3 5 2 2 8" xfId="10503"/>
    <cellStyle name="Comma 3 5 2 2 8 2" xfId="17042"/>
    <cellStyle name="Comma 3 5 2 2 9" xfId="13618"/>
    <cellStyle name="Comma 3 5 2 3" xfId="1601"/>
    <cellStyle name="Comma 3 5 2 3 2" xfId="5021"/>
    <cellStyle name="Comma 3 5 2 3 2 2" xfId="11813"/>
    <cellStyle name="Comma 3 5 2 3 2 2 2" xfId="18352"/>
    <cellStyle name="Comma 3 5 2 3 2 3" xfId="15500"/>
    <cellStyle name="Comma 3 5 2 3 3" xfId="7293"/>
    <cellStyle name="Comma 3 5 2 3 3 2" xfId="12384"/>
    <cellStyle name="Comma 3 5 2 3 3 2 2" xfId="18923"/>
    <cellStyle name="Comma 3 5 2 3 3 3" xfId="16071"/>
    <cellStyle name="Comma 3 5 2 3 4" xfId="9565"/>
    <cellStyle name="Comma 3 5 2 3 4 2" xfId="12955"/>
    <cellStyle name="Comma 3 5 2 3 4 2 2" xfId="19494"/>
    <cellStyle name="Comma 3 5 2 3 4 3" xfId="16642"/>
    <cellStyle name="Comma 3 5 2 3 5" xfId="3285"/>
    <cellStyle name="Comma 3 5 2 3 5 2" xfId="11242"/>
    <cellStyle name="Comma 3 5 2 3 5 2 2" xfId="17781"/>
    <cellStyle name="Comma 3 5 2 3 5 3" xfId="14929"/>
    <cellStyle name="Comma 3 5 2 3 6" xfId="2710"/>
    <cellStyle name="Comma 3 5 2 3 6 2" xfId="14358"/>
    <cellStyle name="Comma 3 5 2 3 7" xfId="10671"/>
    <cellStyle name="Comma 3 5 2 3 7 2" xfId="17210"/>
    <cellStyle name="Comma 3 5 2 3 8" xfId="13789"/>
    <cellStyle name="Comma 3 5 2 3 9" xfId="20317"/>
    <cellStyle name="Comma 3 5 2 4" xfId="3886"/>
    <cellStyle name="Comma 3 5 2 4 2" xfId="11528"/>
    <cellStyle name="Comma 3 5 2 4 2 2" xfId="18067"/>
    <cellStyle name="Comma 3 5 2 4 3" xfId="15215"/>
    <cellStyle name="Comma 3 5 2 5" xfId="6158"/>
    <cellStyle name="Comma 3 5 2 5 2" xfId="12099"/>
    <cellStyle name="Comma 3 5 2 5 2 2" xfId="18638"/>
    <cellStyle name="Comma 3 5 2 5 3" xfId="15786"/>
    <cellStyle name="Comma 3 5 2 6" xfId="8430"/>
    <cellStyle name="Comma 3 5 2 6 2" xfId="12670"/>
    <cellStyle name="Comma 3 5 2 6 2 2" xfId="19209"/>
    <cellStyle name="Comma 3 5 2 6 3" xfId="16357"/>
    <cellStyle name="Comma 3 5 2 7" xfId="3000"/>
    <cellStyle name="Comma 3 5 2 7 2" xfId="10957"/>
    <cellStyle name="Comma 3 5 2 7 2 2" xfId="17496"/>
    <cellStyle name="Comma 3 5 2 7 3" xfId="14644"/>
    <cellStyle name="Comma 3 5 2 8" xfId="2430"/>
    <cellStyle name="Comma 3 5 2 8 2" xfId="14078"/>
    <cellStyle name="Comma 3 5 2 9" xfId="10391"/>
    <cellStyle name="Comma 3 5 2 9 2" xfId="16930"/>
    <cellStyle name="Comma 3 5 3" xfId="1147"/>
    <cellStyle name="Comma 3 5 3 10" xfId="20081"/>
    <cellStyle name="Comma 3 5 3 2" xfId="2282"/>
    <cellStyle name="Comma 3 5 3 2 2" xfId="5702"/>
    <cellStyle name="Comma 3 5 3 2 2 2" xfId="11984"/>
    <cellStyle name="Comma 3 5 3 2 2 2 2" xfId="18523"/>
    <cellStyle name="Comma 3 5 3 2 2 3" xfId="15671"/>
    <cellStyle name="Comma 3 5 3 2 3" xfId="7974"/>
    <cellStyle name="Comma 3 5 3 2 3 2" xfId="12555"/>
    <cellStyle name="Comma 3 5 3 2 3 2 2" xfId="19094"/>
    <cellStyle name="Comma 3 5 3 2 3 3" xfId="16242"/>
    <cellStyle name="Comma 3 5 3 2 4" xfId="10246"/>
    <cellStyle name="Comma 3 5 3 2 4 2" xfId="13126"/>
    <cellStyle name="Comma 3 5 3 2 4 2 2" xfId="19665"/>
    <cellStyle name="Comma 3 5 3 2 4 3" xfId="16813"/>
    <cellStyle name="Comma 3 5 3 2 5" xfId="3456"/>
    <cellStyle name="Comma 3 5 3 2 5 2" xfId="11413"/>
    <cellStyle name="Comma 3 5 3 2 5 2 2" xfId="17952"/>
    <cellStyle name="Comma 3 5 3 2 5 3" xfId="15100"/>
    <cellStyle name="Comma 3 5 3 2 6" xfId="2878"/>
    <cellStyle name="Comma 3 5 3 2 6 2" xfId="14526"/>
    <cellStyle name="Comma 3 5 3 2 7" xfId="10839"/>
    <cellStyle name="Comma 3 5 3 2 7 2" xfId="17378"/>
    <cellStyle name="Comma 3 5 3 2 8" xfId="13960"/>
    <cellStyle name="Comma 3 5 3 2 9" xfId="20245"/>
    <cellStyle name="Comma 3 5 3 3" xfId="4567"/>
    <cellStyle name="Comma 3 5 3 3 2" xfId="11699"/>
    <cellStyle name="Comma 3 5 3 3 2 2" xfId="18238"/>
    <cellStyle name="Comma 3 5 3 3 3" xfId="15386"/>
    <cellStyle name="Comma 3 5 3 3 4" xfId="20318"/>
    <cellStyle name="Comma 3 5 3 4" xfId="6839"/>
    <cellStyle name="Comma 3 5 3 4 2" xfId="12270"/>
    <cellStyle name="Comma 3 5 3 4 2 2" xfId="18809"/>
    <cellStyle name="Comma 3 5 3 4 3" xfId="15957"/>
    <cellStyle name="Comma 3 5 3 5" xfId="9111"/>
    <cellStyle name="Comma 3 5 3 5 2" xfId="12841"/>
    <cellStyle name="Comma 3 5 3 5 2 2" xfId="19380"/>
    <cellStyle name="Comma 3 5 3 5 3" xfId="16528"/>
    <cellStyle name="Comma 3 5 3 6" xfId="3171"/>
    <cellStyle name="Comma 3 5 3 6 2" xfId="11128"/>
    <cellStyle name="Comma 3 5 3 6 2 2" xfId="17667"/>
    <cellStyle name="Comma 3 5 3 6 3" xfId="14815"/>
    <cellStyle name="Comma 3 5 3 7" xfId="2598"/>
    <cellStyle name="Comma 3 5 3 7 2" xfId="14246"/>
    <cellStyle name="Comma 3 5 3 8" xfId="10559"/>
    <cellStyle name="Comma 3 5 3 8 2" xfId="17098"/>
    <cellStyle name="Comma 3 5 3 9" xfId="13675"/>
    <cellStyle name="Comma 3 5 4" xfId="693"/>
    <cellStyle name="Comma 3 5 4 10" xfId="20243"/>
    <cellStyle name="Comma 3 5 4 2" xfId="1828"/>
    <cellStyle name="Comma 3 5 4 2 2" xfId="5248"/>
    <cellStyle name="Comma 3 5 4 2 2 2" xfId="11870"/>
    <cellStyle name="Comma 3 5 4 2 2 2 2" xfId="18409"/>
    <cellStyle name="Comma 3 5 4 2 2 3" xfId="15557"/>
    <cellStyle name="Comma 3 5 4 2 3" xfId="7520"/>
    <cellStyle name="Comma 3 5 4 2 3 2" xfId="12441"/>
    <cellStyle name="Comma 3 5 4 2 3 2 2" xfId="18980"/>
    <cellStyle name="Comma 3 5 4 2 3 3" xfId="16128"/>
    <cellStyle name="Comma 3 5 4 2 4" xfId="9792"/>
    <cellStyle name="Comma 3 5 4 2 4 2" xfId="13012"/>
    <cellStyle name="Comma 3 5 4 2 4 2 2" xfId="19551"/>
    <cellStyle name="Comma 3 5 4 2 4 3" xfId="16699"/>
    <cellStyle name="Comma 3 5 4 2 5" xfId="3342"/>
    <cellStyle name="Comma 3 5 4 2 5 2" xfId="11299"/>
    <cellStyle name="Comma 3 5 4 2 5 2 2" xfId="17838"/>
    <cellStyle name="Comma 3 5 4 2 5 3" xfId="14986"/>
    <cellStyle name="Comma 3 5 4 2 6" xfId="2766"/>
    <cellStyle name="Comma 3 5 4 2 6 2" xfId="14414"/>
    <cellStyle name="Comma 3 5 4 2 7" xfId="10727"/>
    <cellStyle name="Comma 3 5 4 2 7 2" xfId="17266"/>
    <cellStyle name="Comma 3 5 4 2 8" xfId="13846"/>
    <cellStyle name="Comma 3 5 4 3" xfId="4113"/>
    <cellStyle name="Comma 3 5 4 3 2" xfId="11585"/>
    <cellStyle name="Comma 3 5 4 3 2 2" xfId="18124"/>
    <cellStyle name="Comma 3 5 4 3 3" xfId="15272"/>
    <cellStyle name="Comma 3 5 4 4" xfId="6385"/>
    <cellStyle name="Comma 3 5 4 4 2" xfId="12156"/>
    <cellStyle name="Comma 3 5 4 4 2 2" xfId="18695"/>
    <cellStyle name="Comma 3 5 4 4 3" xfId="15843"/>
    <cellStyle name="Comma 3 5 4 5" xfId="8657"/>
    <cellStyle name="Comma 3 5 4 5 2" xfId="12727"/>
    <cellStyle name="Comma 3 5 4 5 2 2" xfId="19266"/>
    <cellStyle name="Comma 3 5 4 5 3" xfId="16414"/>
    <cellStyle name="Comma 3 5 4 6" xfId="3057"/>
    <cellStyle name="Comma 3 5 4 6 2" xfId="11014"/>
    <cellStyle name="Comma 3 5 4 6 2 2" xfId="17553"/>
    <cellStyle name="Comma 3 5 4 6 3" xfId="14701"/>
    <cellStyle name="Comma 3 5 4 7" xfId="2486"/>
    <cellStyle name="Comma 3 5 4 7 2" xfId="14134"/>
    <cellStyle name="Comma 3 5 4 8" xfId="10447"/>
    <cellStyle name="Comma 3 5 4 8 2" xfId="16986"/>
    <cellStyle name="Comma 3 5 4 9" xfId="13561"/>
    <cellStyle name="Comma 3 5 5" xfId="1374"/>
    <cellStyle name="Comma 3 5 5 2" xfId="4794"/>
    <cellStyle name="Comma 3 5 5 2 2" xfId="11756"/>
    <cellStyle name="Comma 3 5 5 2 2 2" xfId="18295"/>
    <cellStyle name="Comma 3 5 5 2 3" xfId="15443"/>
    <cellStyle name="Comma 3 5 5 3" xfId="7066"/>
    <cellStyle name="Comma 3 5 5 3 2" xfId="12327"/>
    <cellStyle name="Comma 3 5 5 3 2 2" xfId="18866"/>
    <cellStyle name="Comma 3 5 5 3 3" xfId="16014"/>
    <cellStyle name="Comma 3 5 5 4" xfId="9338"/>
    <cellStyle name="Comma 3 5 5 4 2" xfId="12898"/>
    <cellStyle name="Comma 3 5 5 4 2 2" xfId="19437"/>
    <cellStyle name="Comma 3 5 5 4 3" xfId="16585"/>
    <cellStyle name="Comma 3 5 5 5" xfId="3228"/>
    <cellStyle name="Comma 3 5 5 5 2" xfId="11185"/>
    <cellStyle name="Comma 3 5 5 5 2 2" xfId="17724"/>
    <cellStyle name="Comma 3 5 5 5 3" xfId="14872"/>
    <cellStyle name="Comma 3 5 5 6" xfId="2654"/>
    <cellStyle name="Comma 3 5 5 6 2" xfId="14302"/>
    <cellStyle name="Comma 3 5 5 7" xfId="10615"/>
    <cellStyle name="Comma 3 5 5 7 2" xfId="17154"/>
    <cellStyle name="Comma 3 5 5 8" xfId="13732"/>
    <cellStyle name="Comma 3 5 5 9" xfId="20316"/>
    <cellStyle name="Comma 3 5 6" xfId="3659"/>
    <cellStyle name="Comma 3 5 6 2" xfId="11471"/>
    <cellStyle name="Comma 3 5 6 2 2" xfId="18010"/>
    <cellStyle name="Comma 3 5 6 3" xfId="15158"/>
    <cellStyle name="Comma 3 5 7" xfId="5931"/>
    <cellStyle name="Comma 3 5 7 2" xfId="12042"/>
    <cellStyle name="Comma 3 5 7 2 2" xfId="18581"/>
    <cellStyle name="Comma 3 5 7 3" xfId="15729"/>
    <cellStyle name="Comma 3 5 8" xfId="8203"/>
    <cellStyle name="Comma 3 5 8 2" xfId="12613"/>
    <cellStyle name="Comma 3 5 8 2 2" xfId="19152"/>
    <cellStyle name="Comma 3 5 8 3" xfId="16300"/>
    <cellStyle name="Comma 3 5 9" xfId="2943"/>
    <cellStyle name="Comma 3 5 9 2" xfId="10900"/>
    <cellStyle name="Comma 3 5 9 2 2" xfId="17439"/>
    <cellStyle name="Comma 3 5 9 3" xfId="14587"/>
    <cellStyle name="Comma 3 6" xfId="295"/>
    <cellStyle name="Comma 3 6 10" xfId="13461"/>
    <cellStyle name="Comma 3 6 11" xfId="20082"/>
    <cellStyle name="Comma 3 6 2" xfId="749"/>
    <cellStyle name="Comma 3 6 2 10" xfId="20083"/>
    <cellStyle name="Comma 3 6 2 2" xfId="1884"/>
    <cellStyle name="Comma 3 6 2 2 2" xfId="5304"/>
    <cellStyle name="Comma 3 6 2 2 2 2" xfId="11884"/>
    <cellStyle name="Comma 3 6 2 2 2 2 2" xfId="18423"/>
    <cellStyle name="Comma 3 6 2 2 2 3" xfId="15571"/>
    <cellStyle name="Comma 3 6 2 2 3" xfId="7576"/>
    <cellStyle name="Comma 3 6 2 2 3 2" xfId="12455"/>
    <cellStyle name="Comma 3 6 2 2 3 2 2" xfId="18994"/>
    <cellStyle name="Comma 3 6 2 2 3 3" xfId="16142"/>
    <cellStyle name="Comma 3 6 2 2 4" xfId="9848"/>
    <cellStyle name="Comma 3 6 2 2 4 2" xfId="13026"/>
    <cellStyle name="Comma 3 6 2 2 4 2 2" xfId="19565"/>
    <cellStyle name="Comma 3 6 2 2 4 3" xfId="16713"/>
    <cellStyle name="Comma 3 6 2 2 5" xfId="3356"/>
    <cellStyle name="Comma 3 6 2 2 5 2" xfId="11313"/>
    <cellStyle name="Comma 3 6 2 2 5 2 2" xfId="17852"/>
    <cellStyle name="Comma 3 6 2 2 5 3" xfId="15000"/>
    <cellStyle name="Comma 3 6 2 2 6" xfId="2780"/>
    <cellStyle name="Comma 3 6 2 2 6 2" xfId="14428"/>
    <cellStyle name="Comma 3 6 2 2 7" xfId="10741"/>
    <cellStyle name="Comma 3 6 2 2 7 2" xfId="17280"/>
    <cellStyle name="Comma 3 6 2 2 8" xfId="13860"/>
    <cellStyle name="Comma 3 6 2 2 9" xfId="20247"/>
    <cellStyle name="Comma 3 6 2 3" xfId="4169"/>
    <cellStyle name="Comma 3 6 2 3 2" xfId="11599"/>
    <cellStyle name="Comma 3 6 2 3 2 2" xfId="18138"/>
    <cellStyle name="Comma 3 6 2 3 3" xfId="15286"/>
    <cellStyle name="Comma 3 6 2 3 4" xfId="20320"/>
    <cellStyle name="Comma 3 6 2 4" xfId="6441"/>
    <cellStyle name="Comma 3 6 2 4 2" xfId="12170"/>
    <cellStyle name="Comma 3 6 2 4 2 2" xfId="18709"/>
    <cellStyle name="Comma 3 6 2 4 3" xfId="15857"/>
    <cellStyle name="Comma 3 6 2 5" xfId="8713"/>
    <cellStyle name="Comma 3 6 2 5 2" xfId="12741"/>
    <cellStyle name="Comma 3 6 2 5 2 2" xfId="19280"/>
    <cellStyle name="Comma 3 6 2 5 3" xfId="16428"/>
    <cellStyle name="Comma 3 6 2 6" xfId="3071"/>
    <cellStyle name="Comma 3 6 2 6 2" xfId="11028"/>
    <cellStyle name="Comma 3 6 2 6 2 2" xfId="17567"/>
    <cellStyle name="Comma 3 6 2 6 3" xfId="14715"/>
    <cellStyle name="Comma 3 6 2 7" xfId="2500"/>
    <cellStyle name="Comma 3 6 2 7 2" xfId="14148"/>
    <cellStyle name="Comma 3 6 2 8" xfId="10461"/>
    <cellStyle name="Comma 3 6 2 8 2" xfId="17000"/>
    <cellStyle name="Comma 3 6 2 9" xfId="13575"/>
    <cellStyle name="Comma 3 6 3" xfId="1430"/>
    <cellStyle name="Comma 3 6 3 2" xfId="4850"/>
    <cellStyle name="Comma 3 6 3 2 2" xfId="11770"/>
    <cellStyle name="Comma 3 6 3 2 2 2" xfId="18309"/>
    <cellStyle name="Comma 3 6 3 2 3" xfId="15457"/>
    <cellStyle name="Comma 3 6 3 2 4" xfId="20248"/>
    <cellStyle name="Comma 3 6 3 3" xfId="7122"/>
    <cellStyle name="Comma 3 6 3 3 2" xfId="12341"/>
    <cellStyle name="Comma 3 6 3 3 2 2" xfId="18880"/>
    <cellStyle name="Comma 3 6 3 3 3" xfId="16028"/>
    <cellStyle name="Comma 3 6 3 3 4" xfId="20321"/>
    <cellStyle name="Comma 3 6 3 4" xfId="9394"/>
    <cellStyle name="Comma 3 6 3 4 2" xfId="12912"/>
    <cellStyle name="Comma 3 6 3 4 2 2" xfId="19451"/>
    <cellStyle name="Comma 3 6 3 4 3" xfId="16599"/>
    <cellStyle name="Comma 3 6 3 5" xfId="3242"/>
    <cellStyle name="Comma 3 6 3 5 2" xfId="11199"/>
    <cellStyle name="Comma 3 6 3 5 2 2" xfId="17738"/>
    <cellStyle name="Comma 3 6 3 5 3" xfId="14886"/>
    <cellStyle name="Comma 3 6 3 6" xfId="2668"/>
    <cellStyle name="Comma 3 6 3 6 2" xfId="14316"/>
    <cellStyle name="Comma 3 6 3 7" xfId="10629"/>
    <cellStyle name="Comma 3 6 3 7 2" xfId="17168"/>
    <cellStyle name="Comma 3 6 3 8" xfId="13746"/>
    <cellStyle name="Comma 3 6 3 9" xfId="20084"/>
    <cellStyle name="Comma 3 6 4" xfId="3715"/>
    <cellStyle name="Comma 3 6 4 2" xfId="11485"/>
    <cellStyle name="Comma 3 6 4 2 2" xfId="18024"/>
    <cellStyle name="Comma 3 6 4 3" xfId="15172"/>
    <cellStyle name="Comma 3 6 4 4" xfId="20246"/>
    <cellStyle name="Comma 3 6 5" xfId="5987"/>
    <cellStyle name="Comma 3 6 5 2" xfId="12056"/>
    <cellStyle name="Comma 3 6 5 2 2" xfId="18595"/>
    <cellStyle name="Comma 3 6 5 3" xfId="15743"/>
    <cellStyle name="Comma 3 6 5 4" xfId="20319"/>
    <cellStyle name="Comma 3 6 6" xfId="8259"/>
    <cellStyle name="Comma 3 6 6 2" xfId="12627"/>
    <cellStyle name="Comma 3 6 6 2 2" xfId="19166"/>
    <cellStyle name="Comma 3 6 6 3" xfId="16314"/>
    <cellStyle name="Comma 3 6 7" xfId="2957"/>
    <cellStyle name="Comma 3 6 7 2" xfId="10914"/>
    <cellStyle name="Comma 3 6 7 2 2" xfId="17453"/>
    <cellStyle name="Comma 3 6 7 3" xfId="14601"/>
    <cellStyle name="Comma 3 6 8" xfId="2388"/>
    <cellStyle name="Comma 3 6 8 2" xfId="14036"/>
    <cellStyle name="Comma 3 6 9" xfId="10349"/>
    <cellStyle name="Comma 3 6 9 2" xfId="16888"/>
    <cellStyle name="Comma 3 7" xfId="976"/>
    <cellStyle name="Comma 3 7 10" xfId="20085"/>
    <cellStyle name="Comma 3 7 2" xfId="2111"/>
    <cellStyle name="Comma 3 7 2 2" xfId="5531"/>
    <cellStyle name="Comma 3 7 2 2 2" xfId="11941"/>
    <cellStyle name="Comma 3 7 2 2 2 2" xfId="18480"/>
    <cellStyle name="Comma 3 7 2 2 3" xfId="15628"/>
    <cellStyle name="Comma 3 7 2 2 4" xfId="20250"/>
    <cellStyle name="Comma 3 7 2 3" xfId="7803"/>
    <cellStyle name="Comma 3 7 2 3 2" xfId="12512"/>
    <cellStyle name="Comma 3 7 2 3 2 2" xfId="19051"/>
    <cellStyle name="Comma 3 7 2 3 3" xfId="16199"/>
    <cellStyle name="Comma 3 7 2 3 4" xfId="20323"/>
    <cellStyle name="Comma 3 7 2 4" xfId="10075"/>
    <cellStyle name="Comma 3 7 2 4 2" xfId="13083"/>
    <cellStyle name="Comma 3 7 2 4 2 2" xfId="19622"/>
    <cellStyle name="Comma 3 7 2 4 3" xfId="16770"/>
    <cellStyle name="Comma 3 7 2 5" xfId="3413"/>
    <cellStyle name="Comma 3 7 2 5 2" xfId="11370"/>
    <cellStyle name="Comma 3 7 2 5 2 2" xfId="17909"/>
    <cellStyle name="Comma 3 7 2 5 3" xfId="15057"/>
    <cellStyle name="Comma 3 7 2 6" xfId="2836"/>
    <cellStyle name="Comma 3 7 2 6 2" xfId="14484"/>
    <cellStyle name="Comma 3 7 2 7" xfId="10797"/>
    <cellStyle name="Comma 3 7 2 7 2" xfId="17336"/>
    <cellStyle name="Comma 3 7 2 8" xfId="13917"/>
    <cellStyle name="Comma 3 7 2 9" xfId="20086"/>
    <cellStyle name="Comma 3 7 3" xfId="4396"/>
    <cellStyle name="Comma 3 7 3 2" xfId="11656"/>
    <cellStyle name="Comma 3 7 3 2 2" xfId="18195"/>
    <cellStyle name="Comma 3 7 3 2 3" xfId="20251"/>
    <cellStyle name="Comma 3 7 3 3" xfId="15343"/>
    <cellStyle name="Comma 3 7 3 3 2" xfId="20324"/>
    <cellStyle name="Comma 3 7 3 4" xfId="20087"/>
    <cellStyle name="Comma 3 7 4" xfId="6668"/>
    <cellStyle name="Comma 3 7 4 2" xfId="12227"/>
    <cellStyle name="Comma 3 7 4 2 2" xfId="18766"/>
    <cellStyle name="Comma 3 7 4 3" xfId="15914"/>
    <cellStyle name="Comma 3 7 4 4" xfId="20249"/>
    <cellStyle name="Comma 3 7 5" xfId="8940"/>
    <cellStyle name="Comma 3 7 5 2" xfId="12798"/>
    <cellStyle name="Comma 3 7 5 2 2" xfId="19337"/>
    <cellStyle name="Comma 3 7 5 3" xfId="16485"/>
    <cellStyle name="Comma 3 7 5 4" xfId="20322"/>
    <cellStyle name="Comma 3 7 6" xfId="3128"/>
    <cellStyle name="Comma 3 7 6 2" xfId="11085"/>
    <cellStyle name="Comma 3 7 6 2 2" xfId="17624"/>
    <cellStyle name="Comma 3 7 6 3" xfId="14772"/>
    <cellStyle name="Comma 3 7 7" xfId="2556"/>
    <cellStyle name="Comma 3 7 7 2" xfId="14204"/>
    <cellStyle name="Comma 3 7 8" xfId="10517"/>
    <cellStyle name="Comma 3 7 8 2" xfId="17056"/>
    <cellStyle name="Comma 3 7 9" xfId="13632"/>
    <cellStyle name="Comma 3 8" xfId="522"/>
    <cellStyle name="Comma 3 8 10" xfId="20088"/>
    <cellStyle name="Comma 3 8 2" xfId="1657"/>
    <cellStyle name="Comma 3 8 2 2" xfId="5077"/>
    <cellStyle name="Comma 3 8 2 2 2" xfId="11827"/>
    <cellStyle name="Comma 3 8 2 2 2 2" xfId="18366"/>
    <cellStyle name="Comma 3 8 2 2 3" xfId="15514"/>
    <cellStyle name="Comma 3 8 2 3" xfId="7349"/>
    <cellStyle name="Comma 3 8 2 3 2" xfId="12398"/>
    <cellStyle name="Comma 3 8 2 3 2 2" xfId="18937"/>
    <cellStyle name="Comma 3 8 2 3 3" xfId="16085"/>
    <cellStyle name="Comma 3 8 2 4" xfId="9621"/>
    <cellStyle name="Comma 3 8 2 4 2" xfId="12969"/>
    <cellStyle name="Comma 3 8 2 4 2 2" xfId="19508"/>
    <cellStyle name="Comma 3 8 2 4 3" xfId="16656"/>
    <cellStyle name="Comma 3 8 2 5" xfId="3299"/>
    <cellStyle name="Comma 3 8 2 5 2" xfId="11256"/>
    <cellStyle name="Comma 3 8 2 5 2 2" xfId="17795"/>
    <cellStyle name="Comma 3 8 2 5 3" xfId="14943"/>
    <cellStyle name="Comma 3 8 2 6" xfId="2724"/>
    <cellStyle name="Comma 3 8 2 6 2" xfId="14372"/>
    <cellStyle name="Comma 3 8 2 7" xfId="10685"/>
    <cellStyle name="Comma 3 8 2 7 2" xfId="17224"/>
    <cellStyle name="Comma 3 8 2 8" xfId="13803"/>
    <cellStyle name="Comma 3 8 2 9" xfId="20252"/>
    <cellStyle name="Comma 3 8 3" xfId="3942"/>
    <cellStyle name="Comma 3 8 3 2" xfId="11542"/>
    <cellStyle name="Comma 3 8 3 2 2" xfId="18081"/>
    <cellStyle name="Comma 3 8 3 3" xfId="15229"/>
    <cellStyle name="Comma 3 8 3 4" xfId="20325"/>
    <cellStyle name="Comma 3 8 4" xfId="6214"/>
    <cellStyle name="Comma 3 8 4 2" xfId="12113"/>
    <cellStyle name="Comma 3 8 4 2 2" xfId="18652"/>
    <cellStyle name="Comma 3 8 4 3" xfId="15800"/>
    <cellStyle name="Comma 3 8 5" xfId="8486"/>
    <cellStyle name="Comma 3 8 5 2" xfId="12684"/>
    <cellStyle name="Comma 3 8 5 2 2" xfId="19223"/>
    <cellStyle name="Comma 3 8 5 3" xfId="16371"/>
    <cellStyle name="Comma 3 8 6" xfId="3014"/>
    <cellStyle name="Comma 3 8 6 2" xfId="10971"/>
    <cellStyle name="Comma 3 8 6 2 2" xfId="17510"/>
    <cellStyle name="Comma 3 8 6 3" xfId="14658"/>
    <cellStyle name="Comma 3 8 7" xfId="2444"/>
    <cellStyle name="Comma 3 8 7 2" xfId="14092"/>
    <cellStyle name="Comma 3 8 8" xfId="10405"/>
    <cellStyle name="Comma 3 8 8 2" xfId="16944"/>
    <cellStyle name="Comma 3 8 9" xfId="13518"/>
    <cellStyle name="Comma 3 9" xfId="1203"/>
    <cellStyle name="Comma 3 9 2" xfId="4623"/>
    <cellStyle name="Comma 3 9 2 2" xfId="11713"/>
    <cellStyle name="Comma 3 9 2 2 2" xfId="18252"/>
    <cellStyle name="Comma 3 9 2 3" xfId="15400"/>
    <cellStyle name="Comma 3 9 2 4" xfId="20253"/>
    <cellStyle name="Comma 3 9 3" xfId="6895"/>
    <cellStyle name="Comma 3 9 3 2" xfId="12284"/>
    <cellStyle name="Comma 3 9 3 2 2" xfId="18823"/>
    <cellStyle name="Comma 3 9 3 3" xfId="15971"/>
    <cellStyle name="Comma 3 9 3 4" xfId="20326"/>
    <cellStyle name="Comma 3 9 4" xfId="9167"/>
    <cellStyle name="Comma 3 9 4 2" xfId="12855"/>
    <cellStyle name="Comma 3 9 4 2 2" xfId="19394"/>
    <cellStyle name="Comma 3 9 4 3" xfId="16542"/>
    <cellStyle name="Comma 3 9 5" xfId="3185"/>
    <cellStyle name="Comma 3 9 5 2" xfId="11142"/>
    <cellStyle name="Comma 3 9 5 2 2" xfId="17681"/>
    <cellStyle name="Comma 3 9 5 3" xfId="14829"/>
    <cellStyle name="Comma 3 9 6" xfId="2612"/>
    <cellStyle name="Comma 3 9 6 2" xfId="14260"/>
    <cellStyle name="Comma 3 9 7" xfId="10573"/>
    <cellStyle name="Comma 3 9 7 2" xfId="17112"/>
    <cellStyle name="Comma 3 9 8" xfId="13689"/>
    <cellStyle name="Comma 3 9 9" xfId="20089"/>
    <cellStyle name="Comma 30" xfId="13217"/>
    <cellStyle name="Comma 30 2" xfId="19726"/>
    <cellStyle name="Comma 30 3" xfId="19821"/>
    <cellStyle name="Comma 31" xfId="13218"/>
    <cellStyle name="Comma 31 2" xfId="19727"/>
    <cellStyle name="Comma 32" xfId="13219"/>
    <cellStyle name="Comma 32 2" xfId="19728"/>
    <cellStyle name="Comma 32 3" xfId="19822"/>
    <cellStyle name="Comma 33" xfId="13220"/>
    <cellStyle name="Comma 33 2" xfId="19729"/>
    <cellStyle name="Comma 33 3" xfId="19823"/>
    <cellStyle name="Comma 34" xfId="13221"/>
    <cellStyle name="Comma 34 2" xfId="19730"/>
    <cellStyle name="Comma 34 3" xfId="19824"/>
    <cellStyle name="Comma 35" xfId="13222"/>
    <cellStyle name="Comma 35 2" xfId="19731"/>
    <cellStyle name="Comma 35 3" xfId="19825"/>
    <cellStyle name="Comma 36" xfId="13223"/>
    <cellStyle name="Comma 36 2" xfId="19732"/>
    <cellStyle name="Comma 36 3" xfId="19826"/>
    <cellStyle name="Comma 37" xfId="13224"/>
    <cellStyle name="Comma 37 2" xfId="19733"/>
    <cellStyle name="Comma 37 3" xfId="19827"/>
    <cellStyle name="Comma 38" xfId="13225"/>
    <cellStyle name="Comma 38 2" xfId="19734"/>
    <cellStyle name="Comma 38 3" xfId="19828"/>
    <cellStyle name="Comma 39" xfId="13226"/>
    <cellStyle name="Comma 39 2" xfId="19735"/>
    <cellStyle name="Comma 39 3" xfId="19829"/>
    <cellStyle name="Comma 4" xfId="57"/>
    <cellStyle name="Comma 4 10" xfId="3490"/>
    <cellStyle name="Comma 4 10 2" xfId="11429"/>
    <cellStyle name="Comma 4 10 2 2" xfId="17968"/>
    <cellStyle name="Comma 4 10 3" xfId="15116"/>
    <cellStyle name="Comma 4 11" xfId="5762"/>
    <cellStyle name="Comma 4 11 2" xfId="12000"/>
    <cellStyle name="Comma 4 11 2 2" xfId="18539"/>
    <cellStyle name="Comma 4 11 3" xfId="15687"/>
    <cellStyle name="Comma 4 12" xfId="8034"/>
    <cellStyle name="Comma 4 12 2" xfId="12571"/>
    <cellStyle name="Comma 4 12 2 2" xfId="19110"/>
    <cellStyle name="Comma 4 12 3" xfId="16258"/>
    <cellStyle name="Comma 4 13" xfId="2896"/>
    <cellStyle name="Comma 4 13 2" xfId="10856"/>
    <cellStyle name="Comma 4 13 2 2" xfId="17395"/>
    <cellStyle name="Comma 4 13 3" xfId="14543"/>
    <cellStyle name="Comma 4 14" xfId="2331"/>
    <cellStyle name="Comma 4 14 2" xfId="13979"/>
    <cellStyle name="Comma 4 15" xfId="10292"/>
    <cellStyle name="Comma 4 15 2" xfId="16831"/>
    <cellStyle name="Comma 4 16" xfId="13155"/>
    <cellStyle name="Comma 4 16 2" xfId="19684"/>
    <cellStyle name="Comma 4 17" xfId="13176"/>
    <cellStyle name="Comma 4 17 2" xfId="19687"/>
    <cellStyle name="Comma 4 18" xfId="13227"/>
    <cellStyle name="Comma 4 18 2" xfId="19736"/>
    <cellStyle name="Comma 4 19" xfId="13403"/>
    <cellStyle name="Comma 4 2" xfId="87"/>
    <cellStyle name="Comma 4 2 10" xfId="5790"/>
    <cellStyle name="Comma 4 2 10 2" xfId="12007"/>
    <cellStyle name="Comma 4 2 10 2 2" xfId="18546"/>
    <cellStyle name="Comma 4 2 10 3" xfId="15694"/>
    <cellStyle name="Comma 4 2 11" xfId="8062"/>
    <cellStyle name="Comma 4 2 11 2" xfId="12578"/>
    <cellStyle name="Comma 4 2 11 2 2" xfId="19117"/>
    <cellStyle name="Comma 4 2 11 3" xfId="16265"/>
    <cellStyle name="Comma 4 2 12" xfId="2905"/>
    <cellStyle name="Comma 4 2 12 2" xfId="10864"/>
    <cellStyle name="Comma 4 2 12 2 2" xfId="17403"/>
    <cellStyle name="Comma 4 2 12 3" xfId="14551"/>
    <cellStyle name="Comma 4 2 13" xfId="2339"/>
    <cellStyle name="Comma 4 2 13 2" xfId="13987"/>
    <cellStyle name="Comma 4 2 14" xfId="10300"/>
    <cellStyle name="Comma 4 2 14 2" xfId="16839"/>
    <cellStyle name="Comma 4 2 15" xfId="13228"/>
    <cellStyle name="Comma 4 2 15 2" xfId="19737"/>
    <cellStyle name="Comma 4 2 16" xfId="13411"/>
    <cellStyle name="Comma 4 2 17" xfId="19831"/>
    <cellStyle name="Comma 4 2 18" xfId="20091"/>
    <cellStyle name="Comma 4 2 2" xfId="199"/>
    <cellStyle name="Comma 4 2 2 10" xfId="2367"/>
    <cellStyle name="Comma 4 2 2 10 2" xfId="14015"/>
    <cellStyle name="Comma 4 2 2 11" xfId="10328"/>
    <cellStyle name="Comma 4 2 2 11 2" xfId="16867"/>
    <cellStyle name="Comma 4 2 2 12" xfId="13439"/>
    <cellStyle name="Comma 4 2 2 13" xfId="20255"/>
    <cellStyle name="Comma 4 2 2 2" xfId="437"/>
    <cellStyle name="Comma 4 2 2 2 10" xfId="13497"/>
    <cellStyle name="Comma 4 2 2 2 2" xfId="891"/>
    <cellStyle name="Comma 4 2 2 2 2 2" xfId="2026"/>
    <cellStyle name="Comma 4 2 2 2 2 2 2" xfId="5446"/>
    <cellStyle name="Comma 4 2 2 2 2 2 2 2" xfId="11920"/>
    <cellStyle name="Comma 4 2 2 2 2 2 2 2 2" xfId="18459"/>
    <cellStyle name="Comma 4 2 2 2 2 2 2 3" xfId="15607"/>
    <cellStyle name="Comma 4 2 2 2 2 2 3" xfId="7718"/>
    <cellStyle name="Comma 4 2 2 2 2 2 3 2" xfId="12491"/>
    <cellStyle name="Comma 4 2 2 2 2 2 3 2 2" xfId="19030"/>
    <cellStyle name="Comma 4 2 2 2 2 2 3 3" xfId="16178"/>
    <cellStyle name="Comma 4 2 2 2 2 2 4" xfId="9990"/>
    <cellStyle name="Comma 4 2 2 2 2 2 4 2" xfId="13062"/>
    <cellStyle name="Comma 4 2 2 2 2 2 4 2 2" xfId="19601"/>
    <cellStyle name="Comma 4 2 2 2 2 2 4 3" xfId="16749"/>
    <cellStyle name="Comma 4 2 2 2 2 2 5" xfId="3392"/>
    <cellStyle name="Comma 4 2 2 2 2 2 5 2" xfId="11349"/>
    <cellStyle name="Comma 4 2 2 2 2 2 5 2 2" xfId="17888"/>
    <cellStyle name="Comma 4 2 2 2 2 2 5 3" xfId="15036"/>
    <cellStyle name="Comma 4 2 2 2 2 2 6" xfId="2816"/>
    <cellStyle name="Comma 4 2 2 2 2 2 6 2" xfId="14464"/>
    <cellStyle name="Comma 4 2 2 2 2 2 7" xfId="10777"/>
    <cellStyle name="Comma 4 2 2 2 2 2 7 2" xfId="17316"/>
    <cellStyle name="Comma 4 2 2 2 2 2 8" xfId="13896"/>
    <cellStyle name="Comma 4 2 2 2 2 3" xfId="4311"/>
    <cellStyle name="Comma 4 2 2 2 2 3 2" xfId="11635"/>
    <cellStyle name="Comma 4 2 2 2 2 3 2 2" xfId="18174"/>
    <cellStyle name="Comma 4 2 2 2 2 3 3" xfId="15322"/>
    <cellStyle name="Comma 4 2 2 2 2 4" xfId="6583"/>
    <cellStyle name="Comma 4 2 2 2 2 4 2" xfId="12206"/>
    <cellStyle name="Comma 4 2 2 2 2 4 2 2" xfId="18745"/>
    <cellStyle name="Comma 4 2 2 2 2 4 3" xfId="15893"/>
    <cellStyle name="Comma 4 2 2 2 2 5" xfId="8855"/>
    <cellStyle name="Comma 4 2 2 2 2 5 2" xfId="12777"/>
    <cellStyle name="Comma 4 2 2 2 2 5 2 2" xfId="19316"/>
    <cellStyle name="Comma 4 2 2 2 2 5 3" xfId="16464"/>
    <cellStyle name="Comma 4 2 2 2 2 6" xfId="3107"/>
    <cellStyle name="Comma 4 2 2 2 2 6 2" xfId="11064"/>
    <cellStyle name="Comma 4 2 2 2 2 6 2 2" xfId="17603"/>
    <cellStyle name="Comma 4 2 2 2 2 6 3" xfId="14751"/>
    <cellStyle name="Comma 4 2 2 2 2 7" xfId="2536"/>
    <cellStyle name="Comma 4 2 2 2 2 7 2" xfId="14184"/>
    <cellStyle name="Comma 4 2 2 2 2 8" xfId="10497"/>
    <cellStyle name="Comma 4 2 2 2 2 8 2" xfId="17036"/>
    <cellStyle name="Comma 4 2 2 2 2 9" xfId="13611"/>
    <cellStyle name="Comma 4 2 2 2 3" xfId="1572"/>
    <cellStyle name="Comma 4 2 2 2 3 2" xfId="4992"/>
    <cellStyle name="Comma 4 2 2 2 3 2 2" xfId="11806"/>
    <cellStyle name="Comma 4 2 2 2 3 2 2 2" xfId="18345"/>
    <cellStyle name="Comma 4 2 2 2 3 2 3" xfId="15493"/>
    <cellStyle name="Comma 4 2 2 2 3 3" xfId="7264"/>
    <cellStyle name="Comma 4 2 2 2 3 3 2" xfId="12377"/>
    <cellStyle name="Comma 4 2 2 2 3 3 2 2" xfId="18916"/>
    <cellStyle name="Comma 4 2 2 2 3 3 3" xfId="16064"/>
    <cellStyle name="Comma 4 2 2 2 3 4" xfId="9536"/>
    <cellStyle name="Comma 4 2 2 2 3 4 2" xfId="12948"/>
    <cellStyle name="Comma 4 2 2 2 3 4 2 2" xfId="19487"/>
    <cellStyle name="Comma 4 2 2 2 3 4 3" xfId="16635"/>
    <cellStyle name="Comma 4 2 2 2 3 5" xfId="3278"/>
    <cellStyle name="Comma 4 2 2 2 3 5 2" xfId="11235"/>
    <cellStyle name="Comma 4 2 2 2 3 5 2 2" xfId="17774"/>
    <cellStyle name="Comma 4 2 2 2 3 5 3" xfId="14922"/>
    <cellStyle name="Comma 4 2 2 2 3 6" xfId="2704"/>
    <cellStyle name="Comma 4 2 2 2 3 6 2" xfId="14352"/>
    <cellStyle name="Comma 4 2 2 2 3 7" xfId="10665"/>
    <cellStyle name="Comma 4 2 2 2 3 7 2" xfId="17204"/>
    <cellStyle name="Comma 4 2 2 2 3 8" xfId="13782"/>
    <cellStyle name="Comma 4 2 2 2 4" xfId="3857"/>
    <cellStyle name="Comma 4 2 2 2 4 2" xfId="11521"/>
    <cellStyle name="Comma 4 2 2 2 4 2 2" xfId="18060"/>
    <cellStyle name="Comma 4 2 2 2 4 3" xfId="15208"/>
    <cellStyle name="Comma 4 2 2 2 5" xfId="6129"/>
    <cellStyle name="Comma 4 2 2 2 5 2" xfId="12092"/>
    <cellStyle name="Comma 4 2 2 2 5 2 2" xfId="18631"/>
    <cellStyle name="Comma 4 2 2 2 5 3" xfId="15779"/>
    <cellStyle name="Comma 4 2 2 2 6" xfId="8401"/>
    <cellStyle name="Comma 4 2 2 2 6 2" xfId="12663"/>
    <cellStyle name="Comma 4 2 2 2 6 2 2" xfId="19202"/>
    <cellStyle name="Comma 4 2 2 2 6 3" xfId="16350"/>
    <cellStyle name="Comma 4 2 2 2 7" xfId="2993"/>
    <cellStyle name="Comma 4 2 2 2 7 2" xfId="10950"/>
    <cellStyle name="Comma 4 2 2 2 7 2 2" xfId="17489"/>
    <cellStyle name="Comma 4 2 2 2 7 3" xfId="14637"/>
    <cellStyle name="Comma 4 2 2 2 8" xfId="2424"/>
    <cellStyle name="Comma 4 2 2 2 8 2" xfId="14072"/>
    <cellStyle name="Comma 4 2 2 2 9" xfId="10385"/>
    <cellStyle name="Comma 4 2 2 2 9 2" xfId="16924"/>
    <cellStyle name="Comma 4 2 2 3" xfId="1118"/>
    <cellStyle name="Comma 4 2 2 3 2" xfId="2253"/>
    <cellStyle name="Comma 4 2 2 3 2 2" xfId="5673"/>
    <cellStyle name="Comma 4 2 2 3 2 2 2" xfId="11977"/>
    <cellStyle name="Comma 4 2 2 3 2 2 2 2" xfId="18516"/>
    <cellStyle name="Comma 4 2 2 3 2 2 3" xfId="15664"/>
    <cellStyle name="Comma 4 2 2 3 2 3" xfId="7945"/>
    <cellStyle name="Comma 4 2 2 3 2 3 2" xfId="12548"/>
    <cellStyle name="Comma 4 2 2 3 2 3 2 2" xfId="19087"/>
    <cellStyle name="Comma 4 2 2 3 2 3 3" xfId="16235"/>
    <cellStyle name="Comma 4 2 2 3 2 4" xfId="10217"/>
    <cellStyle name="Comma 4 2 2 3 2 4 2" xfId="13119"/>
    <cellStyle name="Comma 4 2 2 3 2 4 2 2" xfId="19658"/>
    <cellStyle name="Comma 4 2 2 3 2 4 3" xfId="16806"/>
    <cellStyle name="Comma 4 2 2 3 2 5" xfId="3449"/>
    <cellStyle name="Comma 4 2 2 3 2 5 2" xfId="11406"/>
    <cellStyle name="Comma 4 2 2 3 2 5 2 2" xfId="17945"/>
    <cellStyle name="Comma 4 2 2 3 2 5 3" xfId="15093"/>
    <cellStyle name="Comma 4 2 2 3 2 6" xfId="2872"/>
    <cellStyle name="Comma 4 2 2 3 2 6 2" xfId="14520"/>
    <cellStyle name="Comma 4 2 2 3 2 7" xfId="10833"/>
    <cellStyle name="Comma 4 2 2 3 2 7 2" xfId="17372"/>
    <cellStyle name="Comma 4 2 2 3 2 8" xfId="13953"/>
    <cellStyle name="Comma 4 2 2 3 3" xfId="4538"/>
    <cellStyle name="Comma 4 2 2 3 3 2" xfId="11692"/>
    <cellStyle name="Comma 4 2 2 3 3 2 2" xfId="18231"/>
    <cellStyle name="Comma 4 2 2 3 3 3" xfId="15379"/>
    <cellStyle name="Comma 4 2 2 3 4" xfId="6810"/>
    <cellStyle name="Comma 4 2 2 3 4 2" xfId="12263"/>
    <cellStyle name="Comma 4 2 2 3 4 2 2" xfId="18802"/>
    <cellStyle name="Comma 4 2 2 3 4 3" xfId="15950"/>
    <cellStyle name="Comma 4 2 2 3 5" xfId="9082"/>
    <cellStyle name="Comma 4 2 2 3 5 2" xfId="12834"/>
    <cellStyle name="Comma 4 2 2 3 5 2 2" xfId="19373"/>
    <cellStyle name="Comma 4 2 2 3 5 3" xfId="16521"/>
    <cellStyle name="Comma 4 2 2 3 6" xfId="3164"/>
    <cellStyle name="Comma 4 2 2 3 6 2" xfId="11121"/>
    <cellStyle name="Comma 4 2 2 3 6 2 2" xfId="17660"/>
    <cellStyle name="Comma 4 2 2 3 6 3" xfId="14808"/>
    <cellStyle name="Comma 4 2 2 3 7" xfId="2592"/>
    <cellStyle name="Comma 4 2 2 3 7 2" xfId="14240"/>
    <cellStyle name="Comma 4 2 2 3 8" xfId="10553"/>
    <cellStyle name="Comma 4 2 2 3 8 2" xfId="17092"/>
    <cellStyle name="Comma 4 2 2 3 9" xfId="13668"/>
    <cellStyle name="Comma 4 2 2 4" xfId="664"/>
    <cellStyle name="Comma 4 2 2 4 2" xfId="1799"/>
    <cellStyle name="Comma 4 2 2 4 2 2" xfId="5219"/>
    <cellStyle name="Comma 4 2 2 4 2 2 2" xfId="11863"/>
    <cellStyle name="Comma 4 2 2 4 2 2 2 2" xfId="18402"/>
    <cellStyle name="Comma 4 2 2 4 2 2 3" xfId="15550"/>
    <cellStyle name="Comma 4 2 2 4 2 3" xfId="7491"/>
    <cellStyle name="Comma 4 2 2 4 2 3 2" xfId="12434"/>
    <cellStyle name="Comma 4 2 2 4 2 3 2 2" xfId="18973"/>
    <cellStyle name="Comma 4 2 2 4 2 3 3" xfId="16121"/>
    <cellStyle name="Comma 4 2 2 4 2 4" xfId="9763"/>
    <cellStyle name="Comma 4 2 2 4 2 4 2" xfId="13005"/>
    <cellStyle name="Comma 4 2 2 4 2 4 2 2" xfId="19544"/>
    <cellStyle name="Comma 4 2 2 4 2 4 3" xfId="16692"/>
    <cellStyle name="Comma 4 2 2 4 2 5" xfId="3335"/>
    <cellStyle name="Comma 4 2 2 4 2 5 2" xfId="11292"/>
    <cellStyle name="Comma 4 2 2 4 2 5 2 2" xfId="17831"/>
    <cellStyle name="Comma 4 2 2 4 2 5 3" xfId="14979"/>
    <cellStyle name="Comma 4 2 2 4 2 6" xfId="2760"/>
    <cellStyle name="Comma 4 2 2 4 2 6 2" xfId="14408"/>
    <cellStyle name="Comma 4 2 2 4 2 7" xfId="10721"/>
    <cellStyle name="Comma 4 2 2 4 2 7 2" xfId="17260"/>
    <cellStyle name="Comma 4 2 2 4 2 8" xfId="13839"/>
    <cellStyle name="Comma 4 2 2 4 3" xfId="4084"/>
    <cellStyle name="Comma 4 2 2 4 3 2" xfId="11578"/>
    <cellStyle name="Comma 4 2 2 4 3 2 2" xfId="18117"/>
    <cellStyle name="Comma 4 2 2 4 3 3" xfId="15265"/>
    <cellStyle name="Comma 4 2 2 4 4" xfId="6356"/>
    <cellStyle name="Comma 4 2 2 4 4 2" xfId="12149"/>
    <cellStyle name="Comma 4 2 2 4 4 2 2" xfId="18688"/>
    <cellStyle name="Comma 4 2 2 4 4 3" xfId="15836"/>
    <cellStyle name="Comma 4 2 2 4 5" xfId="8628"/>
    <cellStyle name="Comma 4 2 2 4 5 2" xfId="12720"/>
    <cellStyle name="Comma 4 2 2 4 5 2 2" xfId="19259"/>
    <cellStyle name="Comma 4 2 2 4 5 3" xfId="16407"/>
    <cellStyle name="Comma 4 2 2 4 6" xfId="3050"/>
    <cellStyle name="Comma 4 2 2 4 6 2" xfId="11007"/>
    <cellStyle name="Comma 4 2 2 4 6 2 2" xfId="17546"/>
    <cellStyle name="Comma 4 2 2 4 6 3" xfId="14694"/>
    <cellStyle name="Comma 4 2 2 4 7" xfId="2480"/>
    <cellStyle name="Comma 4 2 2 4 7 2" xfId="14128"/>
    <cellStyle name="Comma 4 2 2 4 8" xfId="10441"/>
    <cellStyle name="Comma 4 2 2 4 8 2" xfId="16980"/>
    <cellStyle name="Comma 4 2 2 4 9" xfId="13554"/>
    <cellStyle name="Comma 4 2 2 5" xfId="1345"/>
    <cellStyle name="Comma 4 2 2 5 2" xfId="4765"/>
    <cellStyle name="Comma 4 2 2 5 2 2" xfId="11749"/>
    <cellStyle name="Comma 4 2 2 5 2 2 2" xfId="18288"/>
    <cellStyle name="Comma 4 2 2 5 2 3" xfId="15436"/>
    <cellStyle name="Comma 4 2 2 5 3" xfId="7037"/>
    <cellStyle name="Comma 4 2 2 5 3 2" xfId="12320"/>
    <cellStyle name="Comma 4 2 2 5 3 2 2" xfId="18859"/>
    <cellStyle name="Comma 4 2 2 5 3 3" xfId="16007"/>
    <cellStyle name="Comma 4 2 2 5 4" xfId="9309"/>
    <cellStyle name="Comma 4 2 2 5 4 2" xfId="12891"/>
    <cellStyle name="Comma 4 2 2 5 4 2 2" xfId="19430"/>
    <cellStyle name="Comma 4 2 2 5 4 3" xfId="16578"/>
    <cellStyle name="Comma 4 2 2 5 5" xfId="3221"/>
    <cellStyle name="Comma 4 2 2 5 5 2" xfId="11178"/>
    <cellStyle name="Comma 4 2 2 5 5 2 2" xfId="17717"/>
    <cellStyle name="Comma 4 2 2 5 5 3" xfId="14865"/>
    <cellStyle name="Comma 4 2 2 5 6" xfId="2648"/>
    <cellStyle name="Comma 4 2 2 5 6 2" xfId="14296"/>
    <cellStyle name="Comma 4 2 2 5 7" xfId="10609"/>
    <cellStyle name="Comma 4 2 2 5 7 2" xfId="17148"/>
    <cellStyle name="Comma 4 2 2 5 8" xfId="13725"/>
    <cellStyle name="Comma 4 2 2 6" xfId="3630"/>
    <cellStyle name="Comma 4 2 2 6 2" xfId="11464"/>
    <cellStyle name="Comma 4 2 2 6 2 2" xfId="18003"/>
    <cellStyle name="Comma 4 2 2 6 3" xfId="15151"/>
    <cellStyle name="Comma 4 2 2 7" xfId="5902"/>
    <cellStyle name="Comma 4 2 2 7 2" xfId="12035"/>
    <cellStyle name="Comma 4 2 2 7 2 2" xfId="18574"/>
    <cellStyle name="Comma 4 2 2 7 3" xfId="15722"/>
    <cellStyle name="Comma 4 2 2 8" xfId="8174"/>
    <cellStyle name="Comma 4 2 2 8 2" xfId="12606"/>
    <cellStyle name="Comma 4 2 2 8 2 2" xfId="19145"/>
    <cellStyle name="Comma 4 2 2 8 3" xfId="16293"/>
    <cellStyle name="Comma 4 2 2 9" xfId="2933"/>
    <cellStyle name="Comma 4 2 2 9 2" xfId="10892"/>
    <cellStyle name="Comma 4 2 2 9 2 2" xfId="17431"/>
    <cellStyle name="Comma 4 2 2 9 3" xfId="14579"/>
    <cellStyle name="Comma 4 2 3" xfId="143"/>
    <cellStyle name="Comma 4 2 3 10" xfId="2353"/>
    <cellStyle name="Comma 4 2 3 10 2" xfId="14001"/>
    <cellStyle name="Comma 4 2 3 11" xfId="10314"/>
    <cellStyle name="Comma 4 2 3 11 2" xfId="16853"/>
    <cellStyle name="Comma 4 2 3 12" xfId="13425"/>
    <cellStyle name="Comma 4 2 3 13" xfId="20328"/>
    <cellStyle name="Comma 4 2 3 2" xfId="381"/>
    <cellStyle name="Comma 4 2 3 2 10" xfId="13483"/>
    <cellStyle name="Comma 4 2 3 2 2" xfId="835"/>
    <cellStyle name="Comma 4 2 3 2 2 2" xfId="1970"/>
    <cellStyle name="Comma 4 2 3 2 2 2 2" xfId="5390"/>
    <cellStyle name="Comma 4 2 3 2 2 2 2 2" xfId="11906"/>
    <cellStyle name="Comma 4 2 3 2 2 2 2 2 2" xfId="18445"/>
    <cellStyle name="Comma 4 2 3 2 2 2 2 3" xfId="15593"/>
    <cellStyle name="Comma 4 2 3 2 2 2 3" xfId="7662"/>
    <cellStyle name="Comma 4 2 3 2 2 2 3 2" xfId="12477"/>
    <cellStyle name="Comma 4 2 3 2 2 2 3 2 2" xfId="19016"/>
    <cellStyle name="Comma 4 2 3 2 2 2 3 3" xfId="16164"/>
    <cellStyle name="Comma 4 2 3 2 2 2 4" xfId="9934"/>
    <cellStyle name="Comma 4 2 3 2 2 2 4 2" xfId="13048"/>
    <cellStyle name="Comma 4 2 3 2 2 2 4 2 2" xfId="19587"/>
    <cellStyle name="Comma 4 2 3 2 2 2 4 3" xfId="16735"/>
    <cellStyle name="Comma 4 2 3 2 2 2 5" xfId="3378"/>
    <cellStyle name="Comma 4 2 3 2 2 2 5 2" xfId="11335"/>
    <cellStyle name="Comma 4 2 3 2 2 2 5 2 2" xfId="17874"/>
    <cellStyle name="Comma 4 2 3 2 2 2 5 3" xfId="15022"/>
    <cellStyle name="Comma 4 2 3 2 2 2 6" xfId="2802"/>
    <cellStyle name="Comma 4 2 3 2 2 2 6 2" xfId="14450"/>
    <cellStyle name="Comma 4 2 3 2 2 2 7" xfId="10763"/>
    <cellStyle name="Comma 4 2 3 2 2 2 7 2" xfId="17302"/>
    <cellStyle name="Comma 4 2 3 2 2 2 8" xfId="13882"/>
    <cellStyle name="Comma 4 2 3 2 2 3" xfId="4255"/>
    <cellStyle name="Comma 4 2 3 2 2 3 2" xfId="11621"/>
    <cellStyle name="Comma 4 2 3 2 2 3 2 2" xfId="18160"/>
    <cellStyle name="Comma 4 2 3 2 2 3 3" xfId="15308"/>
    <cellStyle name="Comma 4 2 3 2 2 4" xfId="6527"/>
    <cellStyle name="Comma 4 2 3 2 2 4 2" xfId="12192"/>
    <cellStyle name="Comma 4 2 3 2 2 4 2 2" xfId="18731"/>
    <cellStyle name="Comma 4 2 3 2 2 4 3" xfId="15879"/>
    <cellStyle name="Comma 4 2 3 2 2 5" xfId="8799"/>
    <cellStyle name="Comma 4 2 3 2 2 5 2" xfId="12763"/>
    <cellStyle name="Comma 4 2 3 2 2 5 2 2" xfId="19302"/>
    <cellStyle name="Comma 4 2 3 2 2 5 3" xfId="16450"/>
    <cellStyle name="Comma 4 2 3 2 2 6" xfId="3093"/>
    <cellStyle name="Comma 4 2 3 2 2 6 2" xfId="11050"/>
    <cellStyle name="Comma 4 2 3 2 2 6 2 2" xfId="17589"/>
    <cellStyle name="Comma 4 2 3 2 2 6 3" xfId="14737"/>
    <cellStyle name="Comma 4 2 3 2 2 7" xfId="2522"/>
    <cellStyle name="Comma 4 2 3 2 2 7 2" xfId="14170"/>
    <cellStyle name="Comma 4 2 3 2 2 8" xfId="10483"/>
    <cellStyle name="Comma 4 2 3 2 2 8 2" xfId="17022"/>
    <cellStyle name="Comma 4 2 3 2 2 9" xfId="13597"/>
    <cellStyle name="Comma 4 2 3 2 3" xfId="1516"/>
    <cellStyle name="Comma 4 2 3 2 3 2" xfId="4936"/>
    <cellStyle name="Comma 4 2 3 2 3 2 2" xfId="11792"/>
    <cellStyle name="Comma 4 2 3 2 3 2 2 2" xfId="18331"/>
    <cellStyle name="Comma 4 2 3 2 3 2 3" xfId="15479"/>
    <cellStyle name="Comma 4 2 3 2 3 3" xfId="7208"/>
    <cellStyle name="Comma 4 2 3 2 3 3 2" xfId="12363"/>
    <cellStyle name="Comma 4 2 3 2 3 3 2 2" xfId="18902"/>
    <cellStyle name="Comma 4 2 3 2 3 3 3" xfId="16050"/>
    <cellStyle name="Comma 4 2 3 2 3 4" xfId="9480"/>
    <cellStyle name="Comma 4 2 3 2 3 4 2" xfId="12934"/>
    <cellStyle name="Comma 4 2 3 2 3 4 2 2" xfId="19473"/>
    <cellStyle name="Comma 4 2 3 2 3 4 3" xfId="16621"/>
    <cellStyle name="Comma 4 2 3 2 3 5" xfId="3264"/>
    <cellStyle name="Comma 4 2 3 2 3 5 2" xfId="11221"/>
    <cellStyle name="Comma 4 2 3 2 3 5 2 2" xfId="17760"/>
    <cellStyle name="Comma 4 2 3 2 3 5 3" xfId="14908"/>
    <cellStyle name="Comma 4 2 3 2 3 6" xfId="2690"/>
    <cellStyle name="Comma 4 2 3 2 3 6 2" xfId="14338"/>
    <cellStyle name="Comma 4 2 3 2 3 7" xfId="10651"/>
    <cellStyle name="Comma 4 2 3 2 3 7 2" xfId="17190"/>
    <cellStyle name="Comma 4 2 3 2 3 8" xfId="13768"/>
    <cellStyle name="Comma 4 2 3 2 4" xfId="3801"/>
    <cellStyle name="Comma 4 2 3 2 4 2" xfId="11507"/>
    <cellStyle name="Comma 4 2 3 2 4 2 2" xfId="18046"/>
    <cellStyle name="Comma 4 2 3 2 4 3" xfId="15194"/>
    <cellStyle name="Comma 4 2 3 2 5" xfId="6073"/>
    <cellStyle name="Comma 4 2 3 2 5 2" xfId="12078"/>
    <cellStyle name="Comma 4 2 3 2 5 2 2" xfId="18617"/>
    <cellStyle name="Comma 4 2 3 2 5 3" xfId="15765"/>
    <cellStyle name="Comma 4 2 3 2 6" xfId="8345"/>
    <cellStyle name="Comma 4 2 3 2 6 2" xfId="12649"/>
    <cellStyle name="Comma 4 2 3 2 6 2 2" xfId="19188"/>
    <cellStyle name="Comma 4 2 3 2 6 3" xfId="16336"/>
    <cellStyle name="Comma 4 2 3 2 7" xfId="2979"/>
    <cellStyle name="Comma 4 2 3 2 7 2" xfId="10936"/>
    <cellStyle name="Comma 4 2 3 2 7 2 2" xfId="17475"/>
    <cellStyle name="Comma 4 2 3 2 7 3" xfId="14623"/>
    <cellStyle name="Comma 4 2 3 2 8" xfId="2410"/>
    <cellStyle name="Comma 4 2 3 2 8 2" xfId="14058"/>
    <cellStyle name="Comma 4 2 3 2 9" xfId="10371"/>
    <cellStyle name="Comma 4 2 3 2 9 2" xfId="16910"/>
    <cellStyle name="Comma 4 2 3 3" xfId="1062"/>
    <cellStyle name="Comma 4 2 3 3 2" xfId="2197"/>
    <cellStyle name="Comma 4 2 3 3 2 2" xfId="5617"/>
    <cellStyle name="Comma 4 2 3 3 2 2 2" xfId="11963"/>
    <cellStyle name="Comma 4 2 3 3 2 2 2 2" xfId="18502"/>
    <cellStyle name="Comma 4 2 3 3 2 2 3" xfId="15650"/>
    <cellStyle name="Comma 4 2 3 3 2 3" xfId="7889"/>
    <cellStyle name="Comma 4 2 3 3 2 3 2" xfId="12534"/>
    <cellStyle name="Comma 4 2 3 3 2 3 2 2" xfId="19073"/>
    <cellStyle name="Comma 4 2 3 3 2 3 3" xfId="16221"/>
    <cellStyle name="Comma 4 2 3 3 2 4" xfId="10161"/>
    <cellStyle name="Comma 4 2 3 3 2 4 2" xfId="13105"/>
    <cellStyle name="Comma 4 2 3 3 2 4 2 2" xfId="19644"/>
    <cellStyle name="Comma 4 2 3 3 2 4 3" xfId="16792"/>
    <cellStyle name="Comma 4 2 3 3 2 5" xfId="3435"/>
    <cellStyle name="Comma 4 2 3 3 2 5 2" xfId="11392"/>
    <cellStyle name="Comma 4 2 3 3 2 5 2 2" xfId="17931"/>
    <cellStyle name="Comma 4 2 3 3 2 5 3" xfId="15079"/>
    <cellStyle name="Comma 4 2 3 3 2 6" xfId="2858"/>
    <cellStyle name="Comma 4 2 3 3 2 6 2" xfId="14506"/>
    <cellStyle name="Comma 4 2 3 3 2 7" xfId="10819"/>
    <cellStyle name="Comma 4 2 3 3 2 7 2" xfId="17358"/>
    <cellStyle name="Comma 4 2 3 3 2 8" xfId="13939"/>
    <cellStyle name="Comma 4 2 3 3 3" xfId="4482"/>
    <cellStyle name="Comma 4 2 3 3 3 2" xfId="11678"/>
    <cellStyle name="Comma 4 2 3 3 3 2 2" xfId="18217"/>
    <cellStyle name="Comma 4 2 3 3 3 3" xfId="15365"/>
    <cellStyle name="Comma 4 2 3 3 4" xfId="6754"/>
    <cellStyle name="Comma 4 2 3 3 4 2" xfId="12249"/>
    <cellStyle name="Comma 4 2 3 3 4 2 2" xfId="18788"/>
    <cellStyle name="Comma 4 2 3 3 4 3" xfId="15936"/>
    <cellStyle name="Comma 4 2 3 3 5" xfId="9026"/>
    <cellStyle name="Comma 4 2 3 3 5 2" xfId="12820"/>
    <cellStyle name="Comma 4 2 3 3 5 2 2" xfId="19359"/>
    <cellStyle name="Comma 4 2 3 3 5 3" xfId="16507"/>
    <cellStyle name="Comma 4 2 3 3 6" xfId="3150"/>
    <cellStyle name="Comma 4 2 3 3 6 2" xfId="11107"/>
    <cellStyle name="Comma 4 2 3 3 6 2 2" xfId="17646"/>
    <cellStyle name="Comma 4 2 3 3 6 3" xfId="14794"/>
    <cellStyle name="Comma 4 2 3 3 7" xfId="2578"/>
    <cellStyle name="Comma 4 2 3 3 7 2" xfId="14226"/>
    <cellStyle name="Comma 4 2 3 3 8" xfId="10539"/>
    <cellStyle name="Comma 4 2 3 3 8 2" xfId="17078"/>
    <cellStyle name="Comma 4 2 3 3 9" xfId="13654"/>
    <cellStyle name="Comma 4 2 3 4" xfId="608"/>
    <cellStyle name="Comma 4 2 3 4 2" xfId="1743"/>
    <cellStyle name="Comma 4 2 3 4 2 2" xfId="5163"/>
    <cellStyle name="Comma 4 2 3 4 2 2 2" xfId="11849"/>
    <cellStyle name="Comma 4 2 3 4 2 2 2 2" xfId="18388"/>
    <cellStyle name="Comma 4 2 3 4 2 2 3" xfId="15536"/>
    <cellStyle name="Comma 4 2 3 4 2 3" xfId="7435"/>
    <cellStyle name="Comma 4 2 3 4 2 3 2" xfId="12420"/>
    <cellStyle name="Comma 4 2 3 4 2 3 2 2" xfId="18959"/>
    <cellStyle name="Comma 4 2 3 4 2 3 3" xfId="16107"/>
    <cellStyle name="Comma 4 2 3 4 2 4" xfId="9707"/>
    <cellStyle name="Comma 4 2 3 4 2 4 2" xfId="12991"/>
    <cellStyle name="Comma 4 2 3 4 2 4 2 2" xfId="19530"/>
    <cellStyle name="Comma 4 2 3 4 2 4 3" xfId="16678"/>
    <cellStyle name="Comma 4 2 3 4 2 5" xfId="3321"/>
    <cellStyle name="Comma 4 2 3 4 2 5 2" xfId="11278"/>
    <cellStyle name="Comma 4 2 3 4 2 5 2 2" xfId="17817"/>
    <cellStyle name="Comma 4 2 3 4 2 5 3" xfId="14965"/>
    <cellStyle name="Comma 4 2 3 4 2 6" xfId="2746"/>
    <cellStyle name="Comma 4 2 3 4 2 6 2" xfId="14394"/>
    <cellStyle name="Comma 4 2 3 4 2 7" xfId="10707"/>
    <cellStyle name="Comma 4 2 3 4 2 7 2" xfId="17246"/>
    <cellStyle name="Comma 4 2 3 4 2 8" xfId="13825"/>
    <cellStyle name="Comma 4 2 3 4 3" xfId="4028"/>
    <cellStyle name="Comma 4 2 3 4 3 2" xfId="11564"/>
    <cellStyle name="Comma 4 2 3 4 3 2 2" xfId="18103"/>
    <cellStyle name="Comma 4 2 3 4 3 3" xfId="15251"/>
    <cellStyle name="Comma 4 2 3 4 4" xfId="6300"/>
    <cellStyle name="Comma 4 2 3 4 4 2" xfId="12135"/>
    <cellStyle name="Comma 4 2 3 4 4 2 2" xfId="18674"/>
    <cellStyle name="Comma 4 2 3 4 4 3" xfId="15822"/>
    <cellStyle name="Comma 4 2 3 4 5" xfId="8572"/>
    <cellStyle name="Comma 4 2 3 4 5 2" xfId="12706"/>
    <cellStyle name="Comma 4 2 3 4 5 2 2" xfId="19245"/>
    <cellStyle name="Comma 4 2 3 4 5 3" xfId="16393"/>
    <cellStyle name="Comma 4 2 3 4 6" xfId="3036"/>
    <cellStyle name="Comma 4 2 3 4 6 2" xfId="10993"/>
    <cellStyle name="Comma 4 2 3 4 6 2 2" xfId="17532"/>
    <cellStyle name="Comma 4 2 3 4 6 3" xfId="14680"/>
    <cellStyle name="Comma 4 2 3 4 7" xfId="2466"/>
    <cellStyle name="Comma 4 2 3 4 7 2" xfId="14114"/>
    <cellStyle name="Comma 4 2 3 4 8" xfId="10427"/>
    <cellStyle name="Comma 4 2 3 4 8 2" xfId="16966"/>
    <cellStyle name="Comma 4 2 3 4 9" xfId="13540"/>
    <cellStyle name="Comma 4 2 3 5" xfId="1289"/>
    <cellStyle name="Comma 4 2 3 5 2" xfId="4709"/>
    <cellStyle name="Comma 4 2 3 5 2 2" xfId="11735"/>
    <cellStyle name="Comma 4 2 3 5 2 2 2" xfId="18274"/>
    <cellStyle name="Comma 4 2 3 5 2 3" xfId="15422"/>
    <cellStyle name="Comma 4 2 3 5 3" xfId="6981"/>
    <cellStyle name="Comma 4 2 3 5 3 2" xfId="12306"/>
    <cellStyle name="Comma 4 2 3 5 3 2 2" xfId="18845"/>
    <cellStyle name="Comma 4 2 3 5 3 3" xfId="15993"/>
    <cellStyle name="Comma 4 2 3 5 4" xfId="9253"/>
    <cellStyle name="Comma 4 2 3 5 4 2" xfId="12877"/>
    <cellStyle name="Comma 4 2 3 5 4 2 2" xfId="19416"/>
    <cellStyle name="Comma 4 2 3 5 4 3" xfId="16564"/>
    <cellStyle name="Comma 4 2 3 5 5" xfId="3207"/>
    <cellStyle name="Comma 4 2 3 5 5 2" xfId="11164"/>
    <cellStyle name="Comma 4 2 3 5 5 2 2" xfId="17703"/>
    <cellStyle name="Comma 4 2 3 5 5 3" xfId="14851"/>
    <cellStyle name="Comma 4 2 3 5 6" xfId="2634"/>
    <cellStyle name="Comma 4 2 3 5 6 2" xfId="14282"/>
    <cellStyle name="Comma 4 2 3 5 7" xfId="10595"/>
    <cellStyle name="Comma 4 2 3 5 7 2" xfId="17134"/>
    <cellStyle name="Comma 4 2 3 5 8" xfId="13711"/>
    <cellStyle name="Comma 4 2 3 6" xfId="3574"/>
    <cellStyle name="Comma 4 2 3 6 2" xfId="11450"/>
    <cellStyle name="Comma 4 2 3 6 2 2" xfId="17989"/>
    <cellStyle name="Comma 4 2 3 6 3" xfId="15137"/>
    <cellStyle name="Comma 4 2 3 7" xfId="5846"/>
    <cellStyle name="Comma 4 2 3 7 2" xfId="12021"/>
    <cellStyle name="Comma 4 2 3 7 2 2" xfId="18560"/>
    <cellStyle name="Comma 4 2 3 7 3" xfId="15708"/>
    <cellStyle name="Comma 4 2 3 8" xfId="8118"/>
    <cellStyle name="Comma 4 2 3 8 2" xfId="12592"/>
    <cellStyle name="Comma 4 2 3 8 2 2" xfId="19131"/>
    <cellStyle name="Comma 4 2 3 8 3" xfId="16279"/>
    <cellStyle name="Comma 4 2 3 9" xfId="2919"/>
    <cellStyle name="Comma 4 2 3 9 2" xfId="10878"/>
    <cellStyle name="Comma 4 2 3 9 2 2" xfId="17417"/>
    <cellStyle name="Comma 4 2 3 9 3" xfId="14565"/>
    <cellStyle name="Comma 4 2 4" xfId="269"/>
    <cellStyle name="Comma 4 2 4 10" xfId="2382"/>
    <cellStyle name="Comma 4 2 4 10 2" xfId="14030"/>
    <cellStyle name="Comma 4 2 4 11" xfId="10343"/>
    <cellStyle name="Comma 4 2 4 11 2" xfId="16882"/>
    <cellStyle name="Comma 4 2 4 12" xfId="13455"/>
    <cellStyle name="Comma 4 2 4 2" xfId="496"/>
    <cellStyle name="Comma 4 2 4 2 10" xfId="13512"/>
    <cellStyle name="Comma 4 2 4 2 2" xfId="950"/>
    <cellStyle name="Comma 4 2 4 2 2 2" xfId="2085"/>
    <cellStyle name="Comma 4 2 4 2 2 2 2" xfId="5505"/>
    <cellStyle name="Comma 4 2 4 2 2 2 2 2" xfId="11935"/>
    <cellStyle name="Comma 4 2 4 2 2 2 2 2 2" xfId="18474"/>
    <cellStyle name="Comma 4 2 4 2 2 2 2 3" xfId="15622"/>
    <cellStyle name="Comma 4 2 4 2 2 2 3" xfId="7777"/>
    <cellStyle name="Comma 4 2 4 2 2 2 3 2" xfId="12506"/>
    <cellStyle name="Comma 4 2 4 2 2 2 3 2 2" xfId="19045"/>
    <cellStyle name="Comma 4 2 4 2 2 2 3 3" xfId="16193"/>
    <cellStyle name="Comma 4 2 4 2 2 2 4" xfId="10049"/>
    <cellStyle name="Comma 4 2 4 2 2 2 4 2" xfId="13077"/>
    <cellStyle name="Comma 4 2 4 2 2 2 4 2 2" xfId="19616"/>
    <cellStyle name="Comma 4 2 4 2 2 2 4 3" xfId="16764"/>
    <cellStyle name="Comma 4 2 4 2 2 2 5" xfId="3407"/>
    <cellStyle name="Comma 4 2 4 2 2 2 5 2" xfId="11364"/>
    <cellStyle name="Comma 4 2 4 2 2 2 5 2 2" xfId="17903"/>
    <cellStyle name="Comma 4 2 4 2 2 2 5 3" xfId="15051"/>
    <cellStyle name="Comma 4 2 4 2 2 2 6" xfId="2830"/>
    <cellStyle name="Comma 4 2 4 2 2 2 6 2" xfId="14478"/>
    <cellStyle name="Comma 4 2 4 2 2 2 7" xfId="10791"/>
    <cellStyle name="Comma 4 2 4 2 2 2 7 2" xfId="17330"/>
    <cellStyle name="Comma 4 2 4 2 2 2 8" xfId="13911"/>
    <cellStyle name="Comma 4 2 4 2 2 3" xfId="4370"/>
    <cellStyle name="Comma 4 2 4 2 2 3 2" xfId="11650"/>
    <cellStyle name="Comma 4 2 4 2 2 3 2 2" xfId="18189"/>
    <cellStyle name="Comma 4 2 4 2 2 3 3" xfId="15337"/>
    <cellStyle name="Comma 4 2 4 2 2 4" xfId="6642"/>
    <cellStyle name="Comma 4 2 4 2 2 4 2" xfId="12221"/>
    <cellStyle name="Comma 4 2 4 2 2 4 2 2" xfId="18760"/>
    <cellStyle name="Comma 4 2 4 2 2 4 3" xfId="15908"/>
    <cellStyle name="Comma 4 2 4 2 2 5" xfId="8914"/>
    <cellStyle name="Comma 4 2 4 2 2 5 2" xfId="12792"/>
    <cellStyle name="Comma 4 2 4 2 2 5 2 2" xfId="19331"/>
    <cellStyle name="Comma 4 2 4 2 2 5 3" xfId="16479"/>
    <cellStyle name="Comma 4 2 4 2 2 6" xfId="3122"/>
    <cellStyle name="Comma 4 2 4 2 2 6 2" xfId="11079"/>
    <cellStyle name="Comma 4 2 4 2 2 6 2 2" xfId="17618"/>
    <cellStyle name="Comma 4 2 4 2 2 6 3" xfId="14766"/>
    <cellStyle name="Comma 4 2 4 2 2 7" xfId="2550"/>
    <cellStyle name="Comma 4 2 4 2 2 7 2" xfId="14198"/>
    <cellStyle name="Comma 4 2 4 2 2 8" xfId="10511"/>
    <cellStyle name="Comma 4 2 4 2 2 8 2" xfId="17050"/>
    <cellStyle name="Comma 4 2 4 2 2 9" xfId="13626"/>
    <cellStyle name="Comma 4 2 4 2 3" xfId="1631"/>
    <cellStyle name="Comma 4 2 4 2 3 2" xfId="5051"/>
    <cellStyle name="Comma 4 2 4 2 3 2 2" xfId="11821"/>
    <cellStyle name="Comma 4 2 4 2 3 2 2 2" xfId="18360"/>
    <cellStyle name="Comma 4 2 4 2 3 2 3" xfId="15508"/>
    <cellStyle name="Comma 4 2 4 2 3 3" xfId="7323"/>
    <cellStyle name="Comma 4 2 4 2 3 3 2" xfId="12392"/>
    <cellStyle name="Comma 4 2 4 2 3 3 2 2" xfId="18931"/>
    <cellStyle name="Comma 4 2 4 2 3 3 3" xfId="16079"/>
    <cellStyle name="Comma 4 2 4 2 3 4" xfId="9595"/>
    <cellStyle name="Comma 4 2 4 2 3 4 2" xfId="12963"/>
    <cellStyle name="Comma 4 2 4 2 3 4 2 2" xfId="19502"/>
    <cellStyle name="Comma 4 2 4 2 3 4 3" xfId="16650"/>
    <cellStyle name="Comma 4 2 4 2 3 5" xfId="3293"/>
    <cellStyle name="Comma 4 2 4 2 3 5 2" xfId="11250"/>
    <cellStyle name="Comma 4 2 4 2 3 5 2 2" xfId="17789"/>
    <cellStyle name="Comma 4 2 4 2 3 5 3" xfId="14937"/>
    <cellStyle name="Comma 4 2 4 2 3 6" xfId="2718"/>
    <cellStyle name="Comma 4 2 4 2 3 6 2" xfId="14366"/>
    <cellStyle name="Comma 4 2 4 2 3 7" xfId="10679"/>
    <cellStyle name="Comma 4 2 4 2 3 7 2" xfId="17218"/>
    <cellStyle name="Comma 4 2 4 2 3 8" xfId="13797"/>
    <cellStyle name="Comma 4 2 4 2 4" xfId="3916"/>
    <cellStyle name="Comma 4 2 4 2 4 2" xfId="11536"/>
    <cellStyle name="Comma 4 2 4 2 4 2 2" xfId="18075"/>
    <cellStyle name="Comma 4 2 4 2 4 3" xfId="15223"/>
    <cellStyle name="Comma 4 2 4 2 5" xfId="6188"/>
    <cellStyle name="Comma 4 2 4 2 5 2" xfId="12107"/>
    <cellStyle name="Comma 4 2 4 2 5 2 2" xfId="18646"/>
    <cellStyle name="Comma 4 2 4 2 5 3" xfId="15794"/>
    <cellStyle name="Comma 4 2 4 2 6" xfId="8460"/>
    <cellStyle name="Comma 4 2 4 2 6 2" xfId="12678"/>
    <cellStyle name="Comma 4 2 4 2 6 2 2" xfId="19217"/>
    <cellStyle name="Comma 4 2 4 2 6 3" xfId="16365"/>
    <cellStyle name="Comma 4 2 4 2 7" xfId="3008"/>
    <cellStyle name="Comma 4 2 4 2 7 2" xfId="10965"/>
    <cellStyle name="Comma 4 2 4 2 7 2 2" xfId="17504"/>
    <cellStyle name="Comma 4 2 4 2 7 3" xfId="14652"/>
    <cellStyle name="Comma 4 2 4 2 8" xfId="2438"/>
    <cellStyle name="Comma 4 2 4 2 8 2" xfId="14086"/>
    <cellStyle name="Comma 4 2 4 2 9" xfId="10399"/>
    <cellStyle name="Comma 4 2 4 2 9 2" xfId="16938"/>
    <cellStyle name="Comma 4 2 4 3" xfId="1177"/>
    <cellStyle name="Comma 4 2 4 3 2" xfId="2312"/>
    <cellStyle name="Comma 4 2 4 3 2 2" xfId="5732"/>
    <cellStyle name="Comma 4 2 4 3 2 2 2" xfId="11992"/>
    <cellStyle name="Comma 4 2 4 3 2 2 2 2" xfId="18531"/>
    <cellStyle name="Comma 4 2 4 3 2 2 3" xfId="15679"/>
    <cellStyle name="Comma 4 2 4 3 2 3" xfId="8004"/>
    <cellStyle name="Comma 4 2 4 3 2 3 2" xfId="12563"/>
    <cellStyle name="Comma 4 2 4 3 2 3 2 2" xfId="19102"/>
    <cellStyle name="Comma 4 2 4 3 2 3 3" xfId="16250"/>
    <cellStyle name="Comma 4 2 4 3 2 4" xfId="10276"/>
    <cellStyle name="Comma 4 2 4 3 2 4 2" xfId="13134"/>
    <cellStyle name="Comma 4 2 4 3 2 4 2 2" xfId="19673"/>
    <cellStyle name="Comma 4 2 4 3 2 4 3" xfId="16821"/>
    <cellStyle name="Comma 4 2 4 3 2 5" xfId="3464"/>
    <cellStyle name="Comma 4 2 4 3 2 5 2" xfId="11421"/>
    <cellStyle name="Comma 4 2 4 3 2 5 2 2" xfId="17960"/>
    <cellStyle name="Comma 4 2 4 3 2 5 3" xfId="15108"/>
    <cellStyle name="Comma 4 2 4 3 2 6" xfId="2886"/>
    <cellStyle name="Comma 4 2 4 3 2 6 2" xfId="14534"/>
    <cellStyle name="Comma 4 2 4 3 2 7" xfId="10847"/>
    <cellStyle name="Comma 4 2 4 3 2 7 2" xfId="17386"/>
    <cellStyle name="Comma 4 2 4 3 2 8" xfId="13968"/>
    <cellStyle name="Comma 4 2 4 3 3" xfId="4597"/>
    <cellStyle name="Comma 4 2 4 3 3 2" xfId="11707"/>
    <cellStyle name="Comma 4 2 4 3 3 2 2" xfId="18246"/>
    <cellStyle name="Comma 4 2 4 3 3 3" xfId="15394"/>
    <cellStyle name="Comma 4 2 4 3 4" xfId="6869"/>
    <cellStyle name="Comma 4 2 4 3 4 2" xfId="12278"/>
    <cellStyle name="Comma 4 2 4 3 4 2 2" xfId="18817"/>
    <cellStyle name="Comma 4 2 4 3 4 3" xfId="15965"/>
    <cellStyle name="Comma 4 2 4 3 5" xfId="9141"/>
    <cellStyle name="Comma 4 2 4 3 5 2" xfId="12849"/>
    <cellStyle name="Comma 4 2 4 3 5 2 2" xfId="19388"/>
    <cellStyle name="Comma 4 2 4 3 5 3" xfId="16536"/>
    <cellStyle name="Comma 4 2 4 3 6" xfId="3179"/>
    <cellStyle name="Comma 4 2 4 3 6 2" xfId="11136"/>
    <cellStyle name="Comma 4 2 4 3 6 2 2" xfId="17675"/>
    <cellStyle name="Comma 4 2 4 3 6 3" xfId="14823"/>
    <cellStyle name="Comma 4 2 4 3 7" xfId="2606"/>
    <cellStyle name="Comma 4 2 4 3 7 2" xfId="14254"/>
    <cellStyle name="Comma 4 2 4 3 8" xfId="10567"/>
    <cellStyle name="Comma 4 2 4 3 8 2" xfId="17106"/>
    <cellStyle name="Comma 4 2 4 3 9" xfId="13683"/>
    <cellStyle name="Comma 4 2 4 4" xfId="723"/>
    <cellStyle name="Comma 4 2 4 4 2" xfId="1858"/>
    <cellStyle name="Comma 4 2 4 4 2 2" xfId="5278"/>
    <cellStyle name="Comma 4 2 4 4 2 2 2" xfId="11878"/>
    <cellStyle name="Comma 4 2 4 4 2 2 2 2" xfId="18417"/>
    <cellStyle name="Comma 4 2 4 4 2 2 3" xfId="15565"/>
    <cellStyle name="Comma 4 2 4 4 2 3" xfId="7550"/>
    <cellStyle name="Comma 4 2 4 4 2 3 2" xfId="12449"/>
    <cellStyle name="Comma 4 2 4 4 2 3 2 2" xfId="18988"/>
    <cellStyle name="Comma 4 2 4 4 2 3 3" xfId="16136"/>
    <cellStyle name="Comma 4 2 4 4 2 4" xfId="9822"/>
    <cellStyle name="Comma 4 2 4 4 2 4 2" xfId="13020"/>
    <cellStyle name="Comma 4 2 4 4 2 4 2 2" xfId="19559"/>
    <cellStyle name="Comma 4 2 4 4 2 4 3" xfId="16707"/>
    <cellStyle name="Comma 4 2 4 4 2 5" xfId="3350"/>
    <cellStyle name="Comma 4 2 4 4 2 5 2" xfId="11307"/>
    <cellStyle name="Comma 4 2 4 4 2 5 2 2" xfId="17846"/>
    <cellStyle name="Comma 4 2 4 4 2 5 3" xfId="14994"/>
    <cellStyle name="Comma 4 2 4 4 2 6" xfId="2774"/>
    <cellStyle name="Comma 4 2 4 4 2 6 2" xfId="14422"/>
    <cellStyle name="Comma 4 2 4 4 2 7" xfId="10735"/>
    <cellStyle name="Comma 4 2 4 4 2 7 2" xfId="17274"/>
    <cellStyle name="Comma 4 2 4 4 2 8" xfId="13854"/>
    <cellStyle name="Comma 4 2 4 4 3" xfId="4143"/>
    <cellStyle name="Comma 4 2 4 4 3 2" xfId="11593"/>
    <cellStyle name="Comma 4 2 4 4 3 2 2" xfId="18132"/>
    <cellStyle name="Comma 4 2 4 4 3 3" xfId="15280"/>
    <cellStyle name="Comma 4 2 4 4 4" xfId="6415"/>
    <cellStyle name="Comma 4 2 4 4 4 2" xfId="12164"/>
    <cellStyle name="Comma 4 2 4 4 4 2 2" xfId="18703"/>
    <cellStyle name="Comma 4 2 4 4 4 3" xfId="15851"/>
    <cellStyle name="Comma 4 2 4 4 5" xfId="8687"/>
    <cellStyle name="Comma 4 2 4 4 5 2" xfId="12735"/>
    <cellStyle name="Comma 4 2 4 4 5 2 2" xfId="19274"/>
    <cellStyle name="Comma 4 2 4 4 5 3" xfId="16422"/>
    <cellStyle name="Comma 4 2 4 4 6" xfId="3065"/>
    <cellStyle name="Comma 4 2 4 4 6 2" xfId="11022"/>
    <cellStyle name="Comma 4 2 4 4 6 2 2" xfId="17561"/>
    <cellStyle name="Comma 4 2 4 4 6 3" xfId="14709"/>
    <cellStyle name="Comma 4 2 4 4 7" xfId="2494"/>
    <cellStyle name="Comma 4 2 4 4 7 2" xfId="14142"/>
    <cellStyle name="Comma 4 2 4 4 8" xfId="10455"/>
    <cellStyle name="Comma 4 2 4 4 8 2" xfId="16994"/>
    <cellStyle name="Comma 4 2 4 4 9" xfId="13569"/>
    <cellStyle name="Comma 4 2 4 5" xfId="1404"/>
    <cellStyle name="Comma 4 2 4 5 2" xfId="4824"/>
    <cellStyle name="Comma 4 2 4 5 2 2" xfId="11764"/>
    <cellStyle name="Comma 4 2 4 5 2 2 2" xfId="18303"/>
    <cellStyle name="Comma 4 2 4 5 2 3" xfId="15451"/>
    <cellStyle name="Comma 4 2 4 5 3" xfId="7096"/>
    <cellStyle name="Comma 4 2 4 5 3 2" xfId="12335"/>
    <cellStyle name="Comma 4 2 4 5 3 2 2" xfId="18874"/>
    <cellStyle name="Comma 4 2 4 5 3 3" xfId="16022"/>
    <cellStyle name="Comma 4 2 4 5 4" xfId="9368"/>
    <cellStyle name="Comma 4 2 4 5 4 2" xfId="12906"/>
    <cellStyle name="Comma 4 2 4 5 4 2 2" xfId="19445"/>
    <cellStyle name="Comma 4 2 4 5 4 3" xfId="16593"/>
    <cellStyle name="Comma 4 2 4 5 5" xfId="3236"/>
    <cellStyle name="Comma 4 2 4 5 5 2" xfId="11193"/>
    <cellStyle name="Comma 4 2 4 5 5 2 2" xfId="17732"/>
    <cellStyle name="Comma 4 2 4 5 5 3" xfId="14880"/>
    <cellStyle name="Comma 4 2 4 5 6" xfId="2662"/>
    <cellStyle name="Comma 4 2 4 5 6 2" xfId="14310"/>
    <cellStyle name="Comma 4 2 4 5 7" xfId="10623"/>
    <cellStyle name="Comma 4 2 4 5 7 2" xfId="17162"/>
    <cellStyle name="Comma 4 2 4 5 8" xfId="13740"/>
    <cellStyle name="Comma 4 2 4 6" xfId="3689"/>
    <cellStyle name="Comma 4 2 4 6 2" xfId="11479"/>
    <cellStyle name="Comma 4 2 4 6 2 2" xfId="18018"/>
    <cellStyle name="Comma 4 2 4 6 3" xfId="15166"/>
    <cellStyle name="Comma 4 2 4 7" xfId="5961"/>
    <cellStyle name="Comma 4 2 4 7 2" xfId="12050"/>
    <cellStyle name="Comma 4 2 4 7 2 2" xfId="18589"/>
    <cellStyle name="Comma 4 2 4 7 3" xfId="15737"/>
    <cellStyle name="Comma 4 2 4 8" xfId="8233"/>
    <cellStyle name="Comma 4 2 4 8 2" xfId="12621"/>
    <cellStyle name="Comma 4 2 4 8 2 2" xfId="19160"/>
    <cellStyle name="Comma 4 2 4 8 3" xfId="16308"/>
    <cellStyle name="Comma 4 2 4 9" xfId="2951"/>
    <cellStyle name="Comma 4 2 4 9 2" xfId="10908"/>
    <cellStyle name="Comma 4 2 4 9 2 2" xfId="17447"/>
    <cellStyle name="Comma 4 2 4 9 3" xfId="14595"/>
    <cellStyle name="Comma 4 2 5" xfId="325"/>
    <cellStyle name="Comma 4 2 5 10" xfId="13469"/>
    <cellStyle name="Comma 4 2 5 2" xfId="779"/>
    <cellStyle name="Comma 4 2 5 2 2" xfId="1914"/>
    <cellStyle name="Comma 4 2 5 2 2 2" xfId="5334"/>
    <cellStyle name="Comma 4 2 5 2 2 2 2" xfId="11892"/>
    <cellStyle name="Comma 4 2 5 2 2 2 2 2" xfId="18431"/>
    <cellStyle name="Comma 4 2 5 2 2 2 3" xfId="15579"/>
    <cellStyle name="Comma 4 2 5 2 2 3" xfId="7606"/>
    <cellStyle name="Comma 4 2 5 2 2 3 2" xfId="12463"/>
    <cellStyle name="Comma 4 2 5 2 2 3 2 2" xfId="19002"/>
    <cellStyle name="Comma 4 2 5 2 2 3 3" xfId="16150"/>
    <cellStyle name="Comma 4 2 5 2 2 4" xfId="9878"/>
    <cellStyle name="Comma 4 2 5 2 2 4 2" xfId="13034"/>
    <cellStyle name="Comma 4 2 5 2 2 4 2 2" xfId="19573"/>
    <cellStyle name="Comma 4 2 5 2 2 4 3" xfId="16721"/>
    <cellStyle name="Comma 4 2 5 2 2 5" xfId="3364"/>
    <cellStyle name="Comma 4 2 5 2 2 5 2" xfId="11321"/>
    <cellStyle name="Comma 4 2 5 2 2 5 2 2" xfId="17860"/>
    <cellStyle name="Comma 4 2 5 2 2 5 3" xfId="15008"/>
    <cellStyle name="Comma 4 2 5 2 2 6" xfId="2788"/>
    <cellStyle name="Comma 4 2 5 2 2 6 2" xfId="14436"/>
    <cellStyle name="Comma 4 2 5 2 2 7" xfId="10749"/>
    <cellStyle name="Comma 4 2 5 2 2 7 2" xfId="17288"/>
    <cellStyle name="Comma 4 2 5 2 2 8" xfId="13868"/>
    <cellStyle name="Comma 4 2 5 2 3" xfId="4199"/>
    <cellStyle name="Comma 4 2 5 2 3 2" xfId="11607"/>
    <cellStyle name="Comma 4 2 5 2 3 2 2" xfId="18146"/>
    <cellStyle name="Comma 4 2 5 2 3 3" xfId="15294"/>
    <cellStyle name="Comma 4 2 5 2 4" xfId="6471"/>
    <cellStyle name="Comma 4 2 5 2 4 2" xfId="12178"/>
    <cellStyle name="Comma 4 2 5 2 4 2 2" xfId="18717"/>
    <cellStyle name="Comma 4 2 5 2 4 3" xfId="15865"/>
    <cellStyle name="Comma 4 2 5 2 5" xfId="8743"/>
    <cellStyle name="Comma 4 2 5 2 5 2" xfId="12749"/>
    <cellStyle name="Comma 4 2 5 2 5 2 2" xfId="19288"/>
    <cellStyle name="Comma 4 2 5 2 5 3" xfId="16436"/>
    <cellStyle name="Comma 4 2 5 2 6" xfId="3079"/>
    <cellStyle name="Comma 4 2 5 2 6 2" xfId="11036"/>
    <cellStyle name="Comma 4 2 5 2 6 2 2" xfId="17575"/>
    <cellStyle name="Comma 4 2 5 2 6 3" xfId="14723"/>
    <cellStyle name="Comma 4 2 5 2 7" xfId="2508"/>
    <cellStyle name="Comma 4 2 5 2 7 2" xfId="14156"/>
    <cellStyle name="Comma 4 2 5 2 8" xfId="10469"/>
    <cellStyle name="Comma 4 2 5 2 8 2" xfId="17008"/>
    <cellStyle name="Comma 4 2 5 2 9" xfId="13583"/>
    <cellStyle name="Comma 4 2 5 3" xfId="1460"/>
    <cellStyle name="Comma 4 2 5 3 2" xfId="4880"/>
    <cellStyle name="Comma 4 2 5 3 2 2" xfId="11778"/>
    <cellStyle name="Comma 4 2 5 3 2 2 2" xfId="18317"/>
    <cellStyle name="Comma 4 2 5 3 2 3" xfId="15465"/>
    <cellStyle name="Comma 4 2 5 3 3" xfId="7152"/>
    <cellStyle name="Comma 4 2 5 3 3 2" xfId="12349"/>
    <cellStyle name="Comma 4 2 5 3 3 2 2" xfId="18888"/>
    <cellStyle name="Comma 4 2 5 3 3 3" xfId="16036"/>
    <cellStyle name="Comma 4 2 5 3 4" xfId="9424"/>
    <cellStyle name="Comma 4 2 5 3 4 2" xfId="12920"/>
    <cellStyle name="Comma 4 2 5 3 4 2 2" xfId="19459"/>
    <cellStyle name="Comma 4 2 5 3 4 3" xfId="16607"/>
    <cellStyle name="Comma 4 2 5 3 5" xfId="3250"/>
    <cellStyle name="Comma 4 2 5 3 5 2" xfId="11207"/>
    <cellStyle name="Comma 4 2 5 3 5 2 2" xfId="17746"/>
    <cellStyle name="Comma 4 2 5 3 5 3" xfId="14894"/>
    <cellStyle name="Comma 4 2 5 3 6" xfId="2676"/>
    <cellStyle name="Comma 4 2 5 3 6 2" xfId="14324"/>
    <cellStyle name="Comma 4 2 5 3 7" xfId="10637"/>
    <cellStyle name="Comma 4 2 5 3 7 2" xfId="17176"/>
    <cellStyle name="Comma 4 2 5 3 8" xfId="13754"/>
    <cellStyle name="Comma 4 2 5 4" xfId="3745"/>
    <cellStyle name="Comma 4 2 5 4 2" xfId="11493"/>
    <cellStyle name="Comma 4 2 5 4 2 2" xfId="18032"/>
    <cellStyle name="Comma 4 2 5 4 3" xfId="15180"/>
    <cellStyle name="Comma 4 2 5 5" xfId="6017"/>
    <cellStyle name="Comma 4 2 5 5 2" xfId="12064"/>
    <cellStyle name="Comma 4 2 5 5 2 2" xfId="18603"/>
    <cellStyle name="Comma 4 2 5 5 3" xfId="15751"/>
    <cellStyle name="Comma 4 2 5 6" xfId="8289"/>
    <cellStyle name="Comma 4 2 5 6 2" xfId="12635"/>
    <cellStyle name="Comma 4 2 5 6 2 2" xfId="19174"/>
    <cellStyle name="Comma 4 2 5 6 3" xfId="16322"/>
    <cellStyle name="Comma 4 2 5 7" xfId="2965"/>
    <cellStyle name="Comma 4 2 5 7 2" xfId="10922"/>
    <cellStyle name="Comma 4 2 5 7 2 2" xfId="17461"/>
    <cellStyle name="Comma 4 2 5 7 3" xfId="14609"/>
    <cellStyle name="Comma 4 2 5 8" xfId="2396"/>
    <cellStyle name="Comma 4 2 5 8 2" xfId="14044"/>
    <cellStyle name="Comma 4 2 5 9" xfId="10357"/>
    <cellStyle name="Comma 4 2 5 9 2" xfId="16896"/>
    <cellStyle name="Comma 4 2 6" xfId="1006"/>
    <cellStyle name="Comma 4 2 6 2" xfId="2141"/>
    <cellStyle name="Comma 4 2 6 2 2" xfId="5561"/>
    <cellStyle name="Comma 4 2 6 2 2 2" xfId="11949"/>
    <cellStyle name="Comma 4 2 6 2 2 2 2" xfId="18488"/>
    <cellStyle name="Comma 4 2 6 2 2 3" xfId="15636"/>
    <cellStyle name="Comma 4 2 6 2 3" xfId="7833"/>
    <cellStyle name="Comma 4 2 6 2 3 2" xfId="12520"/>
    <cellStyle name="Comma 4 2 6 2 3 2 2" xfId="19059"/>
    <cellStyle name="Comma 4 2 6 2 3 3" xfId="16207"/>
    <cellStyle name="Comma 4 2 6 2 4" xfId="10105"/>
    <cellStyle name="Comma 4 2 6 2 4 2" xfId="13091"/>
    <cellStyle name="Comma 4 2 6 2 4 2 2" xfId="19630"/>
    <cellStyle name="Comma 4 2 6 2 4 3" xfId="16778"/>
    <cellStyle name="Comma 4 2 6 2 5" xfId="3421"/>
    <cellStyle name="Comma 4 2 6 2 5 2" xfId="11378"/>
    <cellStyle name="Comma 4 2 6 2 5 2 2" xfId="17917"/>
    <cellStyle name="Comma 4 2 6 2 5 3" xfId="15065"/>
    <cellStyle name="Comma 4 2 6 2 6" xfId="2844"/>
    <cellStyle name="Comma 4 2 6 2 6 2" xfId="14492"/>
    <cellStyle name="Comma 4 2 6 2 7" xfId="10805"/>
    <cellStyle name="Comma 4 2 6 2 7 2" xfId="17344"/>
    <cellStyle name="Comma 4 2 6 2 8" xfId="13925"/>
    <cellStyle name="Comma 4 2 6 3" xfId="4426"/>
    <cellStyle name="Comma 4 2 6 3 2" xfId="11664"/>
    <cellStyle name="Comma 4 2 6 3 2 2" xfId="18203"/>
    <cellStyle name="Comma 4 2 6 3 3" xfId="15351"/>
    <cellStyle name="Comma 4 2 6 4" xfId="6698"/>
    <cellStyle name="Comma 4 2 6 4 2" xfId="12235"/>
    <cellStyle name="Comma 4 2 6 4 2 2" xfId="18774"/>
    <cellStyle name="Comma 4 2 6 4 3" xfId="15922"/>
    <cellStyle name="Comma 4 2 6 5" xfId="8970"/>
    <cellStyle name="Comma 4 2 6 5 2" xfId="12806"/>
    <cellStyle name="Comma 4 2 6 5 2 2" xfId="19345"/>
    <cellStyle name="Comma 4 2 6 5 3" xfId="16493"/>
    <cellStyle name="Comma 4 2 6 6" xfId="3136"/>
    <cellStyle name="Comma 4 2 6 6 2" xfId="11093"/>
    <cellStyle name="Comma 4 2 6 6 2 2" xfId="17632"/>
    <cellStyle name="Comma 4 2 6 6 3" xfId="14780"/>
    <cellStyle name="Comma 4 2 6 7" xfId="2564"/>
    <cellStyle name="Comma 4 2 6 7 2" xfId="14212"/>
    <cellStyle name="Comma 4 2 6 8" xfId="10525"/>
    <cellStyle name="Comma 4 2 6 8 2" xfId="17064"/>
    <cellStyle name="Comma 4 2 6 9" xfId="13640"/>
    <cellStyle name="Comma 4 2 7" xfId="552"/>
    <cellStyle name="Comma 4 2 7 2" xfId="1687"/>
    <cellStyle name="Comma 4 2 7 2 2" xfId="5107"/>
    <cellStyle name="Comma 4 2 7 2 2 2" xfId="11835"/>
    <cellStyle name="Comma 4 2 7 2 2 2 2" xfId="18374"/>
    <cellStyle name="Comma 4 2 7 2 2 3" xfId="15522"/>
    <cellStyle name="Comma 4 2 7 2 3" xfId="7379"/>
    <cellStyle name="Comma 4 2 7 2 3 2" xfId="12406"/>
    <cellStyle name="Comma 4 2 7 2 3 2 2" xfId="18945"/>
    <cellStyle name="Comma 4 2 7 2 3 3" xfId="16093"/>
    <cellStyle name="Comma 4 2 7 2 4" xfId="9651"/>
    <cellStyle name="Comma 4 2 7 2 4 2" xfId="12977"/>
    <cellStyle name="Comma 4 2 7 2 4 2 2" xfId="19516"/>
    <cellStyle name="Comma 4 2 7 2 4 3" xfId="16664"/>
    <cellStyle name="Comma 4 2 7 2 5" xfId="3307"/>
    <cellStyle name="Comma 4 2 7 2 5 2" xfId="11264"/>
    <cellStyle name="Comma 4 2 7 2 5 2 2" xfId="17803"/>
    <cellStyle name="Comma 4 2 7 2 5 3" xfId="14951"/>
    <cellStyle name="Comma 4 2 7 2 6" xfId="2732"/>
    <cellStyle name="Comma 4 2 7 2 6 2" xfId="14380"/>
    <cellStyle name="Comma 4 2 7 2 7" xfId="10693"/>
    <cellStyle name="Comma 4 2 7 2 7 2" xfId="17232"/>
    <cellStyle name="Comma 4 2 7 2 8" xfId="13811"/>
    <cellStyle name="Comma 4 2 7 3" xfId="3972"/>
    <cellStyle name="Comma 4 2 7 3 2" xfId="11550"/>
    <cellStyle name="Comma 4 2 7 3 2 2" xfId="18089"/>
    <cellStyle name="Comma 4 2 7 3 3" xfId="15237"/>
    <cellStyle name="Comma 4 2 7 4" xfId="6244"/>
    <cellStyle name="Comma 4 2 7 4 2" xfId="12121"/>
    <cellStyle name="Comma 4 2 7 4 2 2" xfId="18660"/>
    <cellStyle name="Comma 4 2 7 4 3" xfId="15808"/>
    <cellStyle name="Comma 4 2 7 5" xfId="8516"/>
    <cellStyle name="Comma 4 2 7 5 2" xfId="12692"/>
    <cellStyle name="Comma 4 2 7 5 2 2" xfId="19231"/>
    <cellStyle name="Comma 4 2 7 5 3" xfId="16379"/>
    <cellStyle name="Comma 4 2 7 6" xfId="3022"/>
    <cellStyle name="Comma 4 2 7 6 2" xfId="10979"/>
    <cellStyle name="Comma 4 2 7 6 2 2" xfId="17518"/>
    <cellStyle name="Comma 4 2 7 6 3" xfId="14666"/>
    <cellStyle name="Comma 4 2 7 7" xfId="2452"/>
    <cellStyle name="Comma 4 2 7 7 2" xfId="14100"/>
    <cellStyle name="Comma 4 2 7 8" xfId="10413"/>
    <cellStyle name="Comma 4 2 7 8 2" xfId="16952"/>
    <cellStyle name="Comma 4 2 7 9" xfId="13526"/>
    <cellStyle name="Comma 4 2 8" xfId="1233"/>
    <cellStyle name="Comma 4 2 8 2" xfId="4653"/>
    <cellStyle name="Comma 4 2 8 2 2" xfId="11721"/>
    <cellStyle name="Comma 4 2 8 2 2 2" xfId="18260"/>
    <cellStyle name="Comma 4 2 8 2 3" xfId="15408"/>
    <cellStyle name="Comma 4 2 8 3" xfId="6925"/>
    <cellStyle name="Comma 4 2 8 3 2" xfId="12292"/>
    <cellStyle name="Comma 4 2 8 3 2 2" xfId="18831"/>
    <cellStyle name="Comma 4 2 8 3 3" xfId="15979"/>
    <cellStyle name="Comma 4 2 8 4" xfId="9197"/>
    <cellStyle name="Comma 4 2 8 4 2" xfId="12863"/>
    <cellStyle name="Comma 4 2 8 4 2 2" xfId="19402"/>
    <cellStyle name="Comma 4 2 8 4 3" xfId="16550"/>
    <cellStyle name="Comma 4 2 8 5" xfId="3193"/>
    <cellStyle name="Comma 4 2 8 5 2" xfId="11150"/>
    <cellStyle name="Comma 4 2 8 5 2 2" xfId="17689"/>
    <cellStyle name="Comma 4 2 8 5 3" xfId="14837"/>
    <cellStyle name="Comma 4 2 8 6" xfId="2620"/>
    <cellStyle name="Comma 4 2 8 6 2" xfId="14268"/>
    <cellStyle name="Comma 4 2 8 7" xfId="10581"/>
    <cellStyle name="Comma 4 2 8 7 2" xfId="17120"/>
    <cellStyle name="Comma 4 2 8 8" xfId="13697"/>
    <cellStyle name="Comma 4 2 9" xfId="3518"/>
    <cellStyle name="Comma 4 2 9 2" xfId="11436"/>
    <cellStyle name="Comma 4 2 9 2 2" xfId="17975"/>
    <cellStyle name="Comma 4 2 9 3" xfId="15123"/>
    <cellStyle name="Comma 4 20" xfId="19779"/>
    <cellStyle name="Comma 4 21" xfId="19830"/>
    <cellStyle name="Comma 4 22" xfId="19886"/>
    <cellStyle name="Comma 4 3" xfId="171"/>
    <cellStyle name="Comma 4 3 10" xfId="2360"/>
    <cellStyle name="Comma 4 3 10 2" xfId="14008"/>
    <cellStyle name="Comma 4 3 11" xfId="10321"/>
    <cellStyle name="Comma 4 3 11 2" xfId="16860"/>
    <cellStyle name="Comma 4 3 12" xfId="13432"/>
    <cellStyle name="Comma 4 3 13" xfId="20092"/>
    <cellStyle name="Comma 4 3 2" xfId="409"/>
    <cellStyle name="Comma 4 3 2 10" xfId="13490"/>
    <cellStyle name="Comma 4 3 2 11" xfId="20256"/>
    <cellStyle name="Comma 4 3 2 2" xfId="863"/>
    <cellStyle name="Comma 4 3 2 2 2" xfId="1998"/>
    <cellStyle name="Comma 4 3 2 2 2 2" xfId="5418"/>
    <cellStyle name="Comma 4 3 2 2 2 2 2" xfId="11913"/>
    <cellStyle name="Comma 4 3 2 2 2 2 2 2" xfId="18452"/>
    <cellStyle name="Comma 4 3 2 2 2 2 3" xfId="15600"/>
    <cellStyle name="Comma 4 3 2 2 2 3" xfId="7690"/>
    <cellStyle name="Comma 4 3 2 2 2 3 2" xfId="12484"/>
    <cellStyle name="Comma 4 3 2 2 2 3 2 2" xfId="19023"/>
    <cellStyle name="Comma 4 3 2 2 2 3 3" xfId="16171"/>
    <cellStyle name="Comma 4 3 2 2 2 4" xfId="9962"/>
    <cellStyle name="Comma 4 3 2 2 2 4 2" xfId="13055"/>
    <cellStyle name="Comma 4 3 2 2 2 4 2 2" xfId="19594"/>
    <cellStyle name="Comma 4 3 2 2 2 4 3" xfId="16742"/>
    <cellStyle name="Comma 4 3 2 2 2 5" xfId="3385"/>
    <cellStyle name="Comma 4 3 2 2 2 5 2" xfId="11342"/>
    <cellStyle name="Comma 4 3 2 2 2 5 2 2" xfId="17881"/>
    <cellStyle name="Comma 4 3 2 2 2 5 3" xfId="15029"/>
    <cellStyle name="Comma 4 3 2 2 2 6" xfId="2809"/>
    <cellStyle name="Comma 4 3 2 2 2 6 2" xfId="14457"/>
    <cellStyle name="Comma 4 3 2 2 2 7" xfId="10770"/>
    <cellStyle name="Comma 4 3 2 2 2 7 2" xfId="17309"/>
    <cellStyle name="Comma 4 3 2 2 2 8" xfId="13889"/>
    <cellStyle name="Comma 4 3 2 2 3" xfId="4283"/>
    <cellStyle name="Comma 4 3 2 2 3 2" xfId="11628"/>
    <cellStyle name="Comma 4 3 2 2 3 2 2" xfId="18167"/>
    <cellStyle name="Comma 4 3 2 2 3 3" xfId="15315"/>
    <cellStyle name="Comma 4 3 2 2 4" xfId="6555"/>
    <cellStyle name="Comma 4 3 2 2 4 2" xfId="12199"/>
    <cellStyle name="Comma 4 3 2 2 4 2 2" xfId="18738"/>
    <cellStyle name="Comma 4 3 2 2 4 3" xfId="15886"/>
    <cellStyle name="Comma 4 3 2 2 5" xfId="8827"/>
    <cellStyle name="Comma 4 3 2 2 5 2" xfId="12770"/>
    <cellStyle name="Comma 4 3 2 2 5 2 2" xfId="19309"/>
    <cellStyle name="Comma 4 3 2 2 5 3" xfId="16457"/>
    <cellStyle name="Comma 4 3 2 2 6" xfId="3100"/>
    <cellStyle name="Comma 4 3 2 2 6 2" xfId="11057"/>
    <cellStyle name="Comma 4 3 2 2 6 2 2" xfId="17596"/>
    <cellStyle name="Comma 4 3 2 2 6 3" xfId="14744"/>
    <cellStyle name="Comma 4 3 2 2 7" xfId="2529"/>
    <cellStyle name="Comma 4 3 2 2 7 2" xfId="14177"/>
    <cellStyle name="Comma 4 3 2 2 8" xfId="10490"/>
    <cellStyle name="Comma 4 3 2 2 8 2" xfId="17029"/>
    <cellStyle name="Comma 4 3 2 2 9" xfId="13604"/>
    <cellStyle name="Comma 4 3 2 3" xfId="1544"/>
    <cellStyle name="Comma 4 3 2 3 2" xfId="4964"/>
    <cellStyle name="Comma 4 3 2 3 2 2" xfId="11799"/>
    <cellStyle name="Comma 4 3 2 3 2 2 2" xfId="18338"/>
    <cellStyle name="Comma 4 3 2 3 2 3" xfId="15486"/>
    <cellStyle name="Comma 4 3 2 3 3" xfId="7236"/>
    <cellStyle name="Comma 4 3 2 3 3 2" xfId="12370"/>
    <cellStyle name="Comma 4 3 2 3 3 2 2" xfId="18909"/>
    <cellStyle name="Comma 4 3 2 3 3 3" xfId="16057"/>
    <cellStyle name="Comma 4 3 2 3 4" xfId="9508"/>
    <cellStyle name="Comma 4 3 2 3 4 2" xfId="12941"/>
    <cellStyle name="Comma 4 3 2 3 4 2 2" xfId="19480"/>
    <cellStyle name="Comma 4 3 2 3 4 3" xfId="16628"/>
    <cellStyle name="Comma 4 3 2 3 5" xfId="3271"/>
    <cellStyle name="Comma 4 3 2 3 5 2" xfId="11228"/>
    <cellStyle name="Comma 4 3 2 3 5 2 2" xfId="17767"/>
    <cellStyle name="Comma 4 3 2 3 5 3" xfId="14915"/>
    <cellStyle name="Comma 4 3 2 3 6" xfId="2697"/>
    <cellStyle name="Comma 4 3 2 3 6 2" xfId="14345"/>
    <cellStyle name="Comma 4 3 2 3 7" xfId="10658"/>
    <cellStyle name="Comma 4 3 2 3 7 2" xfId="17197"/>
    <cellStyle name="Comma 4 3 2 3 8" xfId="13775"/>
    <cellStyle name="Comma 4 3 2 4" xfId="3829"/>
    <cellStyle name="Comma 4 3 2 4 2" xfId="11514"/>
    <cellStyle name="Comma 4 3 2 4 2 2" xfId="18053"/>
    <cellStyle name="Comma 4 3 2 4 3" xfId="15201"/>
    <cellStyle name="Comma 4 3 2 5" xfId="6101"/>
    <cellStyle name="Comma 4 3 2 5 2" xfId="12085"/>
    <cellStyle name="Comma 4 3 2 5 2 2" xfId="18624"/>
    <cellStyle name="Comma 4 3 2 5 3" xfId="15772"/>
    <cellStyle name="Comma 4 3 2 6" xfId="8373"/>
    <cellStyle name="Comma 4 3 2 6 2" xfId="12656"/>
    <cellStyle name="Comma 4 3 2 6 2 2" xfId="19195"/>
    <cellStyle name="Comma 4 3 2 6 3" xfId="16343"/>
    <cellStyle name="Comma 4 3 2 7" xfId="2986"/>
    <cellStyle name="Comma 4 3 2 7 2" xfId="10943"/>
    <cellStyle name="Comma 4 3 2 7 2 2" xfId="17482"/>
    <cellStyle name="Comma 4 3 2 7 3" xfId="14630"/>
    <cellStyle name="Comma 4 3 2 8" xfId="2417"/>
    <cellStyle name="Comma 4 3 2 8 2" xfId="14065"/>
    <cellStyle name="Comma 4 3 2 9" xfId="10378"/>
    <cellStyle name="Comma 4 3 2 9 2" xfId="16917"/>
    <cellStyle name="Comma 4 3 3" xfId="1090"/>
    <cellStyle name="Comma 4 3 3 10" xfId="20329"/>
    <cellStyle name="Comma 4 3 3 2" xfId="2225"/>
    <cellStyle name="Comma 4 3 3 2 2" xfId="5645"/>
    <cellStyle name="Comma 4 3 3 2 2 2" xfId="11970"/>
    <cellStyle name="Comma 4 3 3 2 2 2 2" xfId="18509"/>
    <cellStyle name="Comma 4 3 3 2 2 3" xfId="15657"/>
    <cellStyle name="Comma 4 3 3 2 3" xfId="7917"/>
    <cellStyle name="Comma 4 3 3 2 3 2" xfId="12541"/>
    <cellStyle name="Comma 4 3 3 2 3 2 2" xfId="19080"/>
    <cellStyle name="Comma 4 3 3 2 3 3" xfId="16228"/>
    <cellStyle name="Comma 4 3 3 2 4" xfId="10189"/>
    <cellStyle name="Comma 4 3 3 2 4 2" xfId="13112"/>
    <cellStyle name="Comma 4 3 3 2 4 2 2" xfId="19651"/>
    <cellStyle name="Comma 4 3 3 2 4 3" xfId="16799"/>
    <cellStyle name="Comma 4 3 3 2 5" xfId="3442"/>
    <cellStyle name="Comma 4 3 3 2 5 2" xfId="11399"/>
    <cellStyle name="Comma 4 3 3 2 5 2 2" xfId="17938"/>
    <cellStyle name="Comma 4 3 3 2 5 3" xfId="15086"/>
    <cellStyle name="Comma 4 3 3 2 6" xfId="2865"/>
    <cellStyle name="Comma 4 3 3 2 6 2" xfId="14513"/>
    <cellStyle name="Comma 4 3 3 2 7" xfId="10826"/>
    <cellStyle name="Comma 4 3 3 2 7 2" xfId="17365"/>
    <cellStyle name="Comma 4 3 3 2 8" xfId="13946"/>
    <cellStyle name="Comma 4 3 3 3" xfId="4510"/>
    <cellStyle name="Comma 4 3 3 3 2" xfId="11685"/>
    <cellStyle name="Comma 4 3 3 3 2 2" xfId="18224"/>
    <cellStyle name="Comma 4 3 3 3 3" xfId="15372"/>
    <cellStyle name="Comma 4 3 3 4" xfId="6782"/>
    <cellStyle name="Comma 4 3 3 4 2" xfId="12256"/>
    <cellStyle name="Comma 4 3 3 4 2 2" xfId="18795"/>
    <cellStyle name="Comma 4 3 3 4 3" xfId="15943"/>
    <cellStyle name="Comma 4 3 3 5" xfId="9054"/>
    <cellStyle name="Comma 4 3 3 5 2" xfId="12827"/>
    <cellStyle name="Comma 4 3 3 5 2 2" xfId="19366"/>
    <cellStyle name="Comma 4 3 3 5 3" xfId="16514"/>
    <cellStyle name="Comma 4 3 3 6" xfId="3157"/>
    <cellStyle name="Comma 4 3 3 6 2" xfId="11114"/>
    <cellStyle name="Comma 4 3 3 6 2 2" xfId="17653"/>
    <cellStyle name="Comma 4 3 3 6 3" xfId="14801"/>
    <cellStyle name="Comma 4 3 3 7" xfId="2585"/>
    <cellStyle name="Comma 4 3 3 7 2" xfId="14233"/>
    <cellStyle name="Comma 4 3 3 8" xfId="10546"/>
    <cellStyle name="Comma 4 3 3 8 2" xfId="17085"/>
    <cellStyle name="Comma 4 3 3 9" xfId="13661"/>
    <cellStyle name="Comma 4 3 4" xfId="636"/>
    <cellStyle name="Comma 4 3 4 2" xfId="1771"/>
    <cellStyle name="Comma 4 3 4 2 2" xfId="5191"/>
    <cellStyle name="Comma 4 3 4 2 2 2" xfId="11856"/>
    <cellStyle name="Comma 4 3 4 2 2 2 2" xfId="18395"/>
    <cellStyle name="Comma 4 3 4 2 2 3" xfId="15543"/>
    <cellStyle name="Comma 4 3 4 2 3" xfId="7463"/>
    <cellStyle name="Comma 4 3 4 2 3 2" xfId="12427"/>
    <cellStyle name="Comma 4 3 4 2 3 2 2" xfId="18966"/>
    <cellStyle name="Comma 4 3 4 2 3 3" xfId="16114"/>
    <cellStyle name="Comma 4 3 4 2 4" xfId="9735"/>
    <cellStyle name="Comma 4 3 4 2 4 2" xfId="12998"/>
    <cellStyle name="Comma 4 3 4 2 4 2 2" xfId="19537"/>
    <cellStyle name="Comma 4 3 4 2 4 3" xfId="16685"/>
    <cellStyle name="Comma 4 3 4 2 5" xfId="3328"/>
    <cellStyle name="Comma 4 3 4 2 5 2" xfId="11285"/>
    <cellStyle name="Comma 4 3 4 2 5 2 2" xfId="17824"/>
    <cellStyle name="Comma 4 3 4 2 5 3" xfId="14972"/>
    <cellStyle name="Comma 4 3 4 2 6" xfId="2753"/>
    <cellStyle name="Comma 4 3 4 2 6 2" xfId="14401"/>
    <cellStyle name="Comma 4 3 4 2 7" xfId="10714"/>
    <cellStyle name="Comma 4 3 4 2 7 2" xfId="17253"/>
    <cellStyle name="Comma 4 3 4 2 8" xfId="13832"/>
    <cellStyle name="Comma 4 3 4 3" xfId="4056"/>
    <cellStyle name="Comma 4 3 4 3 2" xfId="11571"/>
    <cellStyle name="Comma 4 3 4 3 2 2" xfId="18110"/>
    <cellStyle name="Comma 4 3 4 3 3" xfId="15258"/>
    <cellStyle name="Comma 4 3 4 4" xfId="6328"/>
    <cellStyle name="Comma 4 3 4 4 2" xfId="12142"/>
    <cellStyle name="Comma 4 3 4 4 2 2" xfId="18681"/>
    <cellStyle name="Comma 4 3 4 4 3" xfId="15829"/>
    <cellStyle name="Comma 4 3 4 5" xfId="8600"/>
    <cellStyle name="Comma 4 3 4 5 2" xfId="12713"/>
    <cellStyle name="Comma 4 3 4 5 2 2" xfId="19252"/>
    <cellStyle name="Comma 4 3 4 5 3" xfId="16400"/>
    <cellStyle name="Comma 4 3 4 6" xfId="3043"/>
    <cellStyle name="Comma 4 3 4 6 2" xfId="11000"/>
    <cellStyle name="Comma 4 3 4 6 2 2" xfId="17539"/>
    <cellStyle name="Comma 4 3 4 6 3" xfId="14687"/>
    <cellStyle name="Comma 4 3 4 7" xfId="2473"/>
    <cellStyle name="Comma 4 3 4 7 2" xfId="14121"/>
    <cellStyle name="Comma 4 3 4 8" xfId="10434"/>
    <cellStyle name="Comma 4 3 4 8 2" xfId="16973"/>
    <cellStyle name="Comma 4 3 4 9" xfId="13547"/>
    <cellStyle name="Comma 4 3 5" xfId="1317"/>
    <cellStyle name="Comma 4 3 5 2" xfId="4737"/>
    <cellStyle name="Comma 4 3 5 2 2" xfId="11742"/>
    <cellStyle name="Comma 4 3 5 2 2 2" xfId="18281"/>
    <cellStyle name="Comma 4 3 5 2 3" xfId="15429"/>
    <cellStyle name="Comma 4 3 5 3" xfId="7009"/>
    <cellStyle name="Comma 4 3 5 3 2" xfId="12313"/>
    <cellStyle name="Comma 4 3 5 3 2 2" xfId="18852"/>
    <cellStyle name="Comma 4 3 5 3 3" xfId="16000"/>
    <cellStyle name="Comma 4 3 5 4" xfId="9281"/>
    <cellStyle name="Comma 4 3 5 4 2" xfId="12884"/>
    <cellStyle name="Comma 4 3 5 4 2 2" xfId="19423"/>
    <cellStyle name="Comma 4 3 5 4 3" xfId="16571"/>
    <cellStyle name="Comma 4 3 5 5" xfId="3214"/>
    <cellStyle name="Comma 4 3 5 5 2" xfId="11171"/>
    <cellStyle name="Comma 4 3 5 5 2 2" xfId="17710"/>
    <cellStyle name="Comma 4 3 5 5 3" xfId="14858"/>
    <cellStyle name="Comma 4 3 5 6" xfId="2641"/>
    <cellStyle name="Comma 4 3 5 6 2" xfId="14289"/>
    <cellStyle name="Comma 4 3 5 7" xfId="10602"/>
    <cellStyle name="Comma 4 3 5 7 2" xfId="17141"/>
    <cellStyle name="Comma 4 3 5 8" xfId="13718"/>
    <cellStyle name="Comma 4 3 6" xfId="3602"/>
    <cellStyle name="Comma 4 3 6 2" xfId="11457"/>
    <cellStyle name="Comma 4 3 6 2 2" xfId="17996"/>
    <cellStyle name="Comma 4 3 6 3" xfId="15144"/>
    <cellStyle name="Comma 4 3 7" xfId="5874"/>
    <cellStyle name="Comma 4 3 7 2" xfId="12028"/>
    <cellStyle name="Comma 4 3 7 2 2" xfId="18567"/>
    <cellStyle name="Comma 4 3 7 3" xfId="15715"/>
    <cellStyle name="Comma 4 3 8" xfId="8146"/>
    <cellStyle name="Comma 4 3 8 2" xfId="12599"/>
    <cellStyle name="Comma 4 3 8 2 2" xfId="19138"/>
    <cellStyle name="Comma 4 3 8 3" xfId="16286"/>
    <cellStyle name="Comma 4 3 9" xfId="2926"/>
    <cellStyle name="Comma 4 3 9 2" xfId="10885"/>
    <cellStyle name="Comma 4 3 9 2 2" xfId="17424"/>
    <cellStyle name="Comma 4 3 9 3" xfId="14572"/>
    <cellStyle name="Comma 4 4" xfId="115"/>
    <cellStyle name="Comma 4 4 10" xfId="2346"/>
    <cellStyle name="Comma 4 4 10 2" xfId="13994"/>
    <cellStyle name="Comma 4 4 11" xfId="10307"/>
    <cellStyle name="Comma 4 4 11 2" xfId="16846"/>
    <cellStyle name="Comma 4 4 12" xfId="13418"/>
    <cellStyle name="Comma 4 4 13" xfId="20093"/>
    <cellStyle name="Comma 4 4 2" xfId="353"/>
    <cellStyle name="Comma 4 4 2 10" xfId="13476"/>
    <cellStyle name="Comma 4 4 2 11" xfId="20257"/>
    <cellStyle name="Comma 4 4 2 2" xfId="807"/>
    <cellStyle name="Comma 4 4 2 2 2" xfId="1942"/>
    <cellStyle name="Comma 4 4 2 2 2 2" xfId="5362"/>
    <cellStyle name="Comma 4 4 2 2 2 2 2" xfId="11899"/>
    <cellStyle name="Comma 4 4 2 2 2 2 2 2" xfId="18438"/>
    <cellStyle name="Comma 4 4 2 2 2 2 3" xfId="15586"/>
    <cellStyle name="Comma 4 4 2 2 2 3" xfId="7634"/>
    <cellStyle name="Comma 4 4 2 2 2 3 2" xfId="12470"/>
    <cellStyle name="Comma 4 4 2 2 2 3 2 2" xfId="19009"/>
    <cellStyle name="Comma 4 4 2 2 2 3 3" xfId="16157"/>
    <cellStyle name="Comma 4 4 2 2 2 4" xfId="9906"/>
    <cellStyle name="Comma 4 4 2 2 2 4 2" xfId="13041"/>
    <cellStyle name="Comma 4 4 2 2 2 4 2 2" xfId="19580"/>
    <cellStyle name="Comma 4 4 2 2 2 4 3" xfId="16728"/>
    <cellStyle name="Comma 4 4 2 2 2 5" xfId="3371"/>
    <cellStyle name="Comma 4 4 2 2 2 5 2" xfId="11328"/>
    <cellStyle name="Comma 4 4 2 2 2 5 2 2" xfId="17867"/>
    <cellStyle name="Comma 4 4 2 2 2 5 3" xfId="15015"/>
    <cellStyle name="Comma 4 4 2 2 2 6" xfId="2795"/>
    <cellStyle name="Comma 4 4 2 2 2 6 2" xfId="14443"/>
    <cellStyle name="Comma 4 4 2 2 2 7" xfId="10756"/>
    <cellStyle name="Comma 4 4 2 2 2 7 2" xfId="17295"/>
    <cellStyle name="Comma 4 4 2 2 2 8" xfId="13875"/>
    <cellStyle name="Comma 4 4 2 2 3" xfId="4227"/>
    <cellStyle name="Comma 4 4 2 2 3 2" xfId="11614"/>
    <cellStyle name="Comma 4 4 2 2 3 2 2" xfId="18153"/>
    <cellStyle name="Comma 4 4 2 2 3 3" xfId="15301"/>
    <cellStyle name="Comma 4 4 2 2 4" xfId="6499"/>
    <cellStyle name="Comma 4 4 2 2 4 2" xfId="12185"/>
    <cellStyle name="Comma 4 4 2 2 4 2 2" xfId="18724"/>
    <cellStyle name="Comma 4 4 2 2 4 3" xfId="15872"/>
    <cellStyle name="Comma 4 4 2 2 5" xfId="8771"/>
    <cellStyle name="Comma 4 4 2 2 5 2" xfId="12756"/>
    <cellStyle name="Comma 4 4 2 2 5 2 2" xfId="19295"/>
    <cellStyle name="Comma 4 4 2 2 5 3" xfId="16443"/>
    <cellStyle name="Comma 4 4 2 2 6" xfId="3086"/>
    <cellStyle name="Comma 4 4 2 2 6 2" xfId="11043"/>
    <cellStyle name="Comma 4 4 2 2 6 2 2" xfId="17582"/>
    <cellStyle name="Comma 4 4 2 2 6 3" xfId="14730"/>
    <cellStyle name="Comma 4 4 2 2 7" xfId="2515"/>
    <cellStyle name="Comma 4 4 2 2 7 2" xfId="14163"/>
    <cellStyle name="Comma 4 4 2 2 8" xfId="10476"/>
    <cellStyle name="Comma 4 4 2 2 8 2" xfId="17015"/>
    <cellStyle name="Comma 4 4 2 2 9" xfId="13590"/>
    <cellStyle name="Comma 4 4 2 3" xfId="1488"/>
    <cellStyle name="Comma 4 4 2 3 2" xfId="4908"/>
    <cellStyle name="Comma 4 4 2 3 2 2" xfId="11785"/>
    <cellStyle name="Comma 4 4 2 3 2 2 2" xfId="18324"/>
    <cellStyle name="Comma 4 4 2 3 2 3" xfId="15472"/>
    <cellStyle name="Comma 4 4 2 3 3" xfId="7180"/>
    <cellStyle name="Comma 4 4 2 3 3 2" xfId="12356"/>
    <cellStyle name="Comma 4 4 2 3 3 2 2" xfId="18895"/>
    <cellStyle name="Comma 4 4 2 3 3 3" xfId="16043"/>
    <cellStyle name="Comma 4 4 2 3 4" xfId="9452"/>
    <cellStyle name="Comma 4 4 2 3 4 2" xfId="12927"/>
    <cellStyle name="Comma 4 4 2 3 4 2 2" xfId="19466"/>
    <cellStyle name="Comma 4 4 2 3 4 3" xfId="16614"/>
    <cellStyle name="Comma 4 4 2 3 5" xfId="3257"/>
    <cellStyle name="Comma 4 4 2 3 5 2" xfId="11214"/>
    <cellStyle name="Comma 4 4 2 3 5 2 2" xfId="17753"/>
    <cellStyle name="Comma 4 4 2 3 5 3" xfId="14901"/>
    <cellStyle name="Comma 4 4 2 3 6" xfId="2683"/>
    <cellStyle name="Comma 4 4 2 3 6 2" xfId="14331"/>
    <cellStyle name="Comma 4 4 2 3 7" xfId="10644"/>
    <cellStyle name="Comma 4 4 2 3 7 2" xfId="17183"/>
    <cellStyle name="Comma 4 4 2 3 8" xfId="13761"/>
    <cellStyle name="Comma 4 4 2 4" xfId="3773"/>
    <cellStyle name="Comma 4 4 2 4 2" xfId="11500"/>
    <cellStyle name="Comma 4 4 2 4 2 2" xfId="18039"/>
    <cellStyle name="Comma 4 4 2 4 3" xfId="15187"/>
    <cellStyle name="Comma 4 4 2 5" xfId="6045"/>
    <cellStyle name="Comma 4 4 2 5 2" xfId="12071"/>
    <cellStyle name="Comma 4 4 2 5 2 2" xfId="18610"/>
    <cellStyle name="Comma 4 4 2 5 3" xfId="15758"/>
    <cellStyle name="Comma 4 4 2 6" xfId="8317"/>
    <cellStyle name="Comma 4 4 2 6 2" xfId="12642"/>
    <cellStyle name="Comma 4 4 2 6 2 2" xfId="19181"/>
    <cellStyle name="Comma 4 4 2 6 3" xfId="16329"/>
    <cellStyle name="Comma 4 4 2 7" xfId="2972"/>
    <cellStyle name="Comma 4 4 2 7 2" xfId="10929"/>
    <cellStyle name="Comma 4 4 2 7 2 2" xfId="17468"/>
    <cellStyle name="Comma 4 4 2 7 3" xfId="14616"/>
    <cellStyle name="Comma 4 4 2 8" xfId="2403"/>
    <cellStyle name="Comma 4 4 2 8 2" xfId="14051"/>
    <cellStyle name="Comma 4 4 2 9" xfId="10364"/>
    <cellStyle name="Comma 4 4 2 9 2" xfId="16903"/>
    <cellStyle name="Comma 4 4 3" xfId="1034"/>
    <cellStyle name="Comma 4 4 3 10" xfId="20330"/>
    <cellStyle name="Comma 4 4 3 2" xfId="2169"/>
    <cellStyle name="Comma 4 4 3 2 2" xfId="5589"/>
    <cellStyle name="Comma 4 4 3 2 2 2" xfId="11956"/>
    <cellStyle name="Comma 4 4 3 2 2 2 2" xfId="18495"/>
    <cellStyle name="Comma 4 4 3 2 2 3" xfId="15643"/>
    <cellStyle name="Comma 4 4 3 2 3" xfId="7861"/>
    <cellStyle name="Comma 4 4 3 2 3 2" xfId="12527"/>
    <cellStyle name="Comma 4 4 3 2 3 2 2" xfId="19066"/>
    <cellStyle name="Comma 4 4 3 2 3 3" xfId="16214"/>
    <cellStyle name="Comma 4 4 3 2 4" xfId="10133"/>
    <cellStyle name="Comma 4 4 3 2 4 2" xfId="13098"/>
    <cellStyle name="Comma 4 4 3 2 4 2 2" xfId="19637"/>
    <cellStyle name="Comma 4 4 3 2 4 3" xfId="16785"/>
    <cellStyle name="Comma 4 4 3 2 5" xfId="3428"/>
    <cellStyle name="Comma 4 4 3 2 5 2" xfId="11385"/>
    <cellStyle name="Comma 4 4 3 2 5 2 2" xfId="17924"/>
    <cellStyle name="Comma 4 4 3 2 5 3" xfId="15072"/>
    <cellStyle name="Comma 4 4 3 2 6" xfId="2851"/>
    <cellStyle name="Comma 4 4 3 2 6 2" xfId="14499"/>
    <cellStyle name="Comma 4 4 3 2 7" xfId="10812"/>
    <cellStyle name="Comma 4 4 3 2 7 2" xfId="17351"/>
    <cellStyle name="Comma 4 4 3 2 8" xfId="13932"/>
    <cellStyle name="Comma 4 4 3 3" xfId="4454"/>
    <cellStyle name="Comma 4 4 3 3 2" xfId="11671"/>
    <cellStyle name="Comma 4 4 3 3 2 2" xfId="18210"/>
    <cellStyle name="Comma 4 4 3 3 3" xfId="15358"/>
    <cellStyle name="Comma 4 4 3 4" xfId="6726"/>
    <cellStyle name="Comma 4 4 3 4 2" xfId="12242"/>
    <cellStyle name="Comma 4 4 3 4 2 2" xfId="18781"/>
    <cellStyle name="Comma 4 4 3 4 3" xfId="15929"/>
    <cellStyle name="Comma 4 4 3 5" xfId="8998"/>
    <cellStyle name="Comma 4 4 3 5 2" xfId="12813"/>
    <cellStyle name="Comma 4 4 3 5 2 2" xfId="19352"/>
    <cellStyle name="Comma 4 4 3 5 3" xfId="16500"/>
    <cellStyle name="Comma 4 4 3 6" xfId="3143"/>
    <cellStyle name="Comma 4 4 3 6 2" xfId="11100"/>
    <cellStyle name="Comma 4 4 3 6 2 2" xfId="17639"/>
    <cellStyle name="Comma 4 4 3 6 3" xfId="14787"/>
    <cellStyle name="Comma 4 4 3 7" xfId="2571"/>
    <cellStyle name="Comma 4 4 3 7 2" xfId="14219"/>
    <cellStyle name="Comma 4 4 3 8" xfId="10532"/>
    <cellStyle name="Comma 4 4 3 8 2" xfId="17071"/>
    <cellStyle name="Comma 4 4 3 9" xfId="13647"/>
    <cellStyle name="Comma 4 4 4" xfId="580"/>
    <cellStyle name="Comma 4 4 4 2" xfId="1715"/>
    <cellStyle name="Comma 4 4 4 2 2" xfId="5135"/>
    <cellStyle name="Comma 4 4 4 2 2 2" xfId="11842"/>
    <cellStyle name="Comma 4 4 4 2 2 2 2" xfId="18381"/>
    <cellStyle name="Comma 4 4 4 2 2 3" xfId="15529"/>
    <cellStyle name="Comma 4 4 4 2 3" xfId="7407"/>
    <cellStyle name="Comma 4 4 4 2 3 2" xfId="12413"/>
    <cellStyle name="Comma 4 4 4 2 3 2 2" xfId="18952"/>
    <cellStyle name="Comma 4 4 4 2 3 3" xfId="16100"/>
    <cellStyle name="Comma 4 4 4 2 4" xfId="9679"/>
    <cellStyle name="Comma 4 4 4 2 4 2" xfId="12984"/>
    <cellStyle name="Comma 4 4 4 2 4 2 2" xfId="19523"/>
    <cellStyle name="Comma 4 4 4 2 4 3" xfId="16671"/>
    <cellStyle name="Comma 4 4 4 2 5" xfId="3314"/>
    <cellStyle name="Comma 4 4 4 2 5 2" xfId="11271"/>
    <cellStyle name="Comma 4 4 4 2 5 2 2" xfId="17810"/>
    <cellStyle name="Comma 4 4 4 2 5 3" xfId="14958"/>
    <cellStyle name="Comma 4 4 4 2 6" xfId="2739"/>
    <cellStyle name="Comma 4 4 4 2 6 2" xfId="14387"/>
    <cellStyle name="Comma 4 4 4 2 7" xfId="10700"/>
    <cellStyle name="Comma 4 4 4 2 7 2" xfId="17239"/>
    <cellStyle name="Comma 4 4 4 2 8" xfId="13818"/>
    <cellStyle name="Comma 4 4 4 3" xfId="4000"/>
    <cellStyle name="Comma 4 4 4 3 2" xfId="11557"/>
    <cellStyle name="Comma 4 4 4 3 2 2" xfId="18096"/>
    <cellStyle name="Comma 4 4 4 3 3" xfId="15244"/>
    <cellStyle name="Comma 4 4 4 4" xfId="6272"/>
    <cellStyle name="Comma 4 4 4 4 2" xfId="12128"/>
    <cellStyle name="Comma 4 4 4 4 2 2" xfId="18667"/>
    <cellStyle name="Comma 4 4 4 4 3" xfId="15815"/>
    <cellStyle name="Comma 4 4 4 5" xfId="8544"/>
    <cellStyle name="Comma 4 4 4 5 2" xfId="12699"/>
    <cellStyle name="Comma 4 4 4 5 2 2" xfId="19238"/>
    <cellStyle name="Comma 4 4 4 5 3" xfId="16386"/>
    <cellStyle name="Comma 4 4 4 6" xfId="3029"/>
    <cellStyle name="Comma 4 4 4 6 2" xfId="10986"/>
    <cellStyle name="Comma 4 4 4 6 2 2" xfId="17525"/>
    <cellStyle name="Comma 4 4 4 6 3" xfId="14673"/>
    <cellStyle name="Comma 4 4 4 7" xfId="2459"/>
    <cellStyle name="Comma 4 4 4 7 2" xfId="14107"/>
    <cellStyle name="Comma 4 4 4 8" xfId="10420"/>
    <cellStyle name="Comma 4 4 4 8 2" xfId="16959"/>
    <cellStyle name="Comma 4 4 4 9" xfId="13533"/>
    <cellStyle name="Comma 4 4 5" xfId="1261"/>
    <cellStyle name="Comma 4 4 5 2" xfId="4681"/>
    <cellStyle name="Comma 4 4 5 2 2" xfId="11728"/>
    <cellStyle name="Comma 4 4 5 2 2 2" xfId="18267"/>
    <cellStyle name="Comma 4 4 5 2 3" xfId="15415"/>
    <cellStyle name="Comma 4 4 5 3" xfId="6953"/>
    <cellStyle name="Comma 4 4 5 3 2" xfId="12299"/>
    <cellStyle name="Comma 4 4 5 3 2 2" xfId="18838"/>
    <cellStyle name="Comma 4 4 5 3 3" xfId="15986"/>
    <cellStyle name="Comma 4 4 5 4" xfId="9225"/>
    <cellStyle name="Comma 4 4 5 4 2" xfId="12870"/>
    <cellStyle name="Comma 4 4 5 4 2 2" xfId="19409"/>
    <cellStyle name="Comma 4 4 5 4 3" xfId="16557"/>
    <cellStyle name="Comma 4 4 5 5" xfId="3200"/>
    <cellStyle name="Comma 4 4 5 5 2" xfId="11157"/>
    <cellStyle name="Comma 4 4 5 5 2 2" xfId="17696"/>
    <cellStyle name="Comma 4 4 5 5 3" xfId="14844"/>
    <cellStyle name="Comma 4 4 5 6" xfId="2627"/>
    <cellStyle name="Comma 4 4 5 6 2" xfId="14275"/>
    <cellStyle name="Comma 4 4 5 7" xfId="10588"/>
    <cellStyle name="Comma 4 4 5 7 2" xfId="17127"/>
    <cellStyle name="Comma 4 4 5 8" xfId="13704"/>
    <cellStyle name="Comma 4 4 6" xfId="3546"/>
    <cellStyle name="Comma 4 4 6 2" xfId="11443"/>
    <cellStyle name="Comma 4 4 6 2 2" xfId="17982"/>
    <cellStyle name="Comma 4 4 6 3" xfId="15130"/>
    <cellStyle name="Comma 4 4 7" xfId="5818"/>
    <cellStyle name="Comma 4 4 7 2" xfId="12014"/>
    <cellStyle name="Comma 4 4 7 2 2" xfId="18553"/>
    <cellStyle name="Comma 4 4 7 3" xfId="15701"/>
    <cellStyle name="Comma 4 4 8" xfId="8090"/>
    <cellStyle name="Comma 4 4 8 2" xfId="12585"/>
    <cellStyle name="Comma 4 4 8 2 2" xfId="19124"/>
    <cellStyle name="Comma 4 4 8 3" xfId="16272"/>
    <cellStyle name="Comma 4 4 9" xfId="2912"/>
    <cellStyle name="Comma 4 4 9 2" xfId="10871"/>
    <cellStyle name="Comma 4 4 9 2 2" xfId="17410"/>
    <cellStyle name="Comma 4 4 9 3" xfId="14558"/>
    <cellStyle name="Comma 4 5" xfId="241"/>
    <cellStyle name="Comma 4 5 10" xfId="2375"/>
    <cellStyle name="Comma 4 5 10 2" xfId="14023"/>
    <cellStyle name="Comma 4 5 11" xfId="10336"/>
    <cellStyle name="Comma 4 5 11 2" xfId="16875"/>
    <cellStyle name="Comma 4 5 12" xfId="13448"/>
    <cellStyle name="Comma 4 5 13" xfId="20090"/>
    <cellStyle name="Comma 4 5 2" xfId="468"/>
    <cellStyle name="Comma 4 5 2 10" xfId="13505"/>
    <cellStyle name="Comma 4 5 2 11" xfId="20254"/>
    <cellStyle name="Comma 4 5 2 2" xfId="922"/>
    <cellStyle name="Comma 4 5 2 2 2" xfId="2057"/>
    <cellStyle name="Comma 4 5 2 2 2 2" xfId="5477"/>
    <cellStyle name="Comma 4 5 2 2 2 2 2" xfId="11928"/>
    <cellStyle name="Comma 4 5 2 2 2 2 2 2" xfId="18467"/>
    <cellStyle name="Comma 4 5 2 2 2 2 3" xfId="15615"/>
    <cellStyle name="Comma 4 5 2 2 2 3" xfId="7749"/>
    <cellStyle name="Comma 4 5 2 2 2 3 2" xfId="12499"/>
    <cellStyle name="Comma 4 5 2 2 2 3 2 2" xfId="19038"/>
    <cellStyle name="Comma 4 5 2 2 2 3 3" xfId="16186"/>
    <cellStyle name="Comma 4 5 2 2 2 4" xfId="10021"/>
    <cellStyle name="Comma 4 5 2 2 2 4 2" xfId="13070"/>
    <cellStyle name="Comma 4 5 2 2 2 4 2 2" xfId="19609"/>
    <cellStyle name="Comma 4 5 2 2 2 4 3" xfId="16757"/>
    <cellStyle name="Comma 4 5 2 2 2 5" xfId="3400"/>
    <cellStyle name="Comma 4 5 2 2 2 5 2" xfId="11357"/>
    <cellStyle name="Comma 4 5 2 2 2 5 2 2" xfId="17896"/>
    <cellStyle name="Comma 4 5 2 2 2 5 3" xfId="15044"/>
    <cellStyle name="Comma 4 5 2 2 2 6" xfId="2823"/>
    <cellStyle name="Comma 4 5 2 2 2 6 2" xfId="14471"/>
    <cellStyle name="Comma 4 5 2 2 2 7" xfId="10784"/>
    <cellStyle name="Comma 4 5 2 2 2 7 2" xfId="17323"/>
    <cellStyle name="Comma 4 5 2 2 2 8" xfId="13904"/>
    <cellStyle name="Comma 4 5 2 2 3" xfId="4342"/>
    <cellStyle name="Comma 4 5 2 2 3 2" xfId="11643"/>
    <cellStyle name="Comma 4 5 2 2 3 2 2" xfId="18182"/>
    <cellStyle name="Comma 4 5 2 2 3 3" xfId="15330"/>
    <cellStyle name="Comma 4 5 2 2 4" xfId="6614"/>
    <cellStyle name="Comma 4 5 2 2 4 2" xfId="12214"/>
    <cellStyle name="Comma 4 5 2 2 4 2 2" xfId="18753"/>
    <cellStyle name="Comma 4 5 2 2 4 3" xfId="15901"/>
    <cellStyle name="Comma 4 5 2 2 5" xfId="8886"/>
    <cellStyle name="Comma 4 5 2 2 5 2" xfId="12785"/>
    <cellStyle name="Comma 4 5 2 2 5 2 2" xfId="19324"/>
    <cellStyle name="Comma 4 5 2 2 5 3" xfId="16472"/>
    <cellStyle name="Comma 4 5 2 2 6" xfId="3115"/>
    <cellStyle name="Comma 4 5 2 2 6 2" xfId="11072"/>
    <cellStyle name="Comma 4 5 2 2 6 2 2" xfId="17611"/>
    <cellStyle name="Comma 4 5 2 2 6 3" xfId="14759"/>
    <cellStyle name="Comma 4 5 2 2 7" xfId="2543"/>
    <cellStyle name="Comma 4 5 2 2 7 2" xfId="14191"/>
    <cellStyle name="Comma 4 5 2 2 8" xfId="10504"/>
    <cellStyle name="Comma 4 5 2 2 8 2" xfId="17043"/>
    <cellStyle name="Comma 4 5 2 2 9" xfId="13619"/>
    <cellStyle name="Comma 4 5 2 3" xfId="1603"/>
    <cellStyle name="Comma 4 5 2 3 2" xfId="5023"/>
    <cellStyle name="Comma 4 5 2 3 2 2" xfId="11814"/>
    <cellStyle name="Comma 4 5 2 3 2 2 2" xfId="18353"/>
    <cellStyle name="Comma 4 5 2 3 2 3" xfId="15501"/>
    <cellStyle name="Comma 4 5 2 3 3" xfId="7295"/>
    <cellStyle name="Comma 4 5 2 3 3 2" xfId="12385"/>
    <cellStyle name="Comma 4 5 2 3 3 2 2" xfId="18924"/>
    <cellStyle name="Comma 4 5 2 3 3 3" xfId="16072"/>
    <cellStyle name="Comma 4 5 2 3 4" xfId="9567"/>
    <cellStyle name="Comma 4 5 2 3 4 2" xfId="12956"/>
    <cellStyle name="Comma 4 5 2 3 4 2 2" xfId="19495"/>
    <cellStyle name="Comma 4 5 2 3 4 3" xfId="16643"/>
    <cellStyle name="Comma 4 5 2 3 5" xfId="3286"/>
    <cellStyle name="Comma 4 5 2 3 5 2" xfId="11243"/>
    <cellStyle name="Comma 4 5 2 3 5 2 2" xfId="17782"/>
    <cellStyle name="Comma 4 5 2 3 5 3" xfId="14930"/>
    <cellStyle name="Comma 4 5 2 3 6" xfId="2711"/>
    <cellStyle name="Comma 4 5 2 3 6 2" xfId="14359"/>
    <cellStyle name="Comma 4 5 2 3 7" xfId="10672"/>
    <cellStyle name="Comma 4 5 2 3 7 2" xfId="17211"/>
    <cellStyle name="Comma 4 5 2 3 8" xfId="13790"/>
    <cellStyle name="Comma 4 5 2 4" xfId="3888"/>
    <cellStyle name="Comma 4 5 2 4 2" xfId="11529"/>
    <cellStyle name="Comma 4 5 2 4 2 2" xfId="18068"/>
    <cellStyle name="Comma 4 5 2 4 3" xfId="15216"/>
    <cellStyle name="Comma 4 5 2 5" xfId="6160"/>
    <cellStyle name="Comma 4 5 2 5 2" xfId="12100"/>
    <cellStyle name="Comma 4 5 2 5 2 2" xfId="18639"/>
    <cellStyle name="Comma 4 5 2 5 3" xfId="15787"/>
    <cellStyle name="Comma 4 5 2 6" xfId="8432"/>
    <cellStyle name="Comma 4 5 2 6 2" xfId="12671"/>
    <cellStyle name="Comma 4 5 2 6 2 2" xfId="19210"/>
    <cellStyle name="Comma 4 5 2 6 3" xfId="16358"/>
    <cellStyle name="Comma 4 5 2 7" xfId="3001"/>
    <cellStyle name="Comma 4 5 2 7 2" xfId="10958"/>
    <cellStyle name="Comma 4 5 2 7 2 2" xfId="17497"/>
    <cellStyle name="Comma 4 5 2 7 3" xfId="14645"/>
    <cellStyle name="Comma 4 5 2 8" xfId="2431"/>
    <cellStyle name="Comma 4 5 2 8 2" xfId="14079"/>
    <cellStyle name="Comma 4 5 2 9" xfId="10392"/>
    <cellStyle name="Comma 4 5 2 9 2" xfId="16931"/>
    <cellStyle name="Comma 4 5 3" xfId="1149"/>
    <cellStyle name="Comma 4 5 3 10" xfId="20327"/>
    <cellStyle name="Comma 4 5 3 2" xfId="2284"/>
    <cellStyle name="Comma 4 5 3 2 2" xfId="5704"/>
    <cellStyle name="Comma 4 5 3 2 2 2" xfId="11985"/>
    <cellStyle name="Comma 4 5 3 2 2 2 2" xfId="18524"/>
    <cellStyle name="Comma 4 5 3 2 2 3" xfId="15672"/>
    <cellStyle name="Comma 4 5 3 2 3" xfId="7976"/>
    <cellStyle name="Comma 4 5 3 2 3 2" xfId="12556"/>
    <cellStyle name="Comma 4 5 3 2 3 2 2" xfId="19095"/>
    <cellStyle name="Comma 4 5 3 2 3 3" xfId="16243"/>
    <cellStyle name="Comma 4 5 3 2 4" xfId="10248"/>
    <cellStyle name="Comma 4 5 3 2 4 2" xfId="13127"/>
    <cellStyle name="Comma 4 5 3 2 4 2 2" xfId="19666"/>
    <cellStyle name="Comma 4 5 3 2 4 3" xfId="16814"/>
    <cellStyle name="Comma 4 5 3 2 5" xfId="3457"/>
    <cellStyle name="Comma 4 5 3 2 5 2" xfId="11414"/>
    <cellStyle name="Comma 4 5 3 2 5 2 2" xfId="17953"/>
    <cellStyle name="Comma 4 5 3 2 5 3" xfId="15101"/>
    <cellStyle name="Comma 4 5 3 2 6" xfId="2879"/>
    <cellStyle name="Comma 4 5 3 2 6 2" xfId="14527"/>
    <cellStyle name="Comma 4 5 3 2 7" xfId="10840"/>
    <cellStyle name="Comma 4 5 3 2 7 2" xfId="17379"/>
    <cellStyle name="Comma 4 5 3 2 8" xfId="13961"/>
    <cellStyle name="Comma 4 5 3 3" xfId="4569"/>
    <cellStyle name="Comma 4 5 3 3 2" xfId="11700"/>
    <cellStyle name="Comma 4 5 3 3 2 2" xfId="18239"/>
    <cellStyle name="Comma 4 5 3 3 3" xfId="15387"/>
    <cellStyle name="Comma 4 5 3 4" xfId="6841"/>
    <cellStyle name="Comma 4 5 3 4 2" xfId="12271"/>
    <cellStyle name="Comma 4 5 3 4 2 2" xfId="18810"/>
    <cellStyle name="Comma 4 5 3 4 3" xfId="15958"/>
    <cellStyle name="Comma 4 5 3 5" xfId="9113"/>
    <cellStyle name="Comma 4 5 3 5 2" xfId="12842"/>
    <cellStyle name="Comma 4 5 3 5 2 2" xfId="19381"/>
    <cellStyle name="Comma 4 5 3 5 3" xfId="16529"/>
    <cellStyle name="Comma 4 5 3 6" xfId="3172"/>
    <cellStyle name="Comma 4 5 3 6 2" xfId="11129"/>
    <cellStyle name="Comma 4 5 3 6 2 2" xfId="17668"/>
    <cellStyle name="Comma 4 5 3 6 3" xfId="14816"/>
    <cellStyle name="Comma 4 5 3 7" xfId="2599"/>
    <cellStyle name="Comma 4 5 3 7 2" xfId="14247"/>
    <cellStyle name="Comma 4 5 3 8" xfId="10560"/>
    <cellStyle name="Comma 4 5 3 8 2" xfId="17099"/>
    <cellStyle name="Comma 4 5 3 9" xfId="13676"/>
    <cellStyle name="Comma 4 5 4" xfId="695"/>
    <cellStyle name="Comma 4 5 4 2" xfId="1830"/>
    <cellStyle name="Comma 4 5 4 2 2" xfId="5250"/>
    <cellStyle name="Comma 4 5 4 2 2 2" xfId="11871"/>
    <cellStyle name="Comma 4 5 4 2 2 2 2" xfId="18410"/>
    <cellStyle name="Comma 4 5 4 2 2 3" xfId="15558"/>
    <cellStyle name="Comma 4 5 4 2 3" xfId="7522"/>
    <cellStyle name="Comma 4 5 4 2 3 2" xfId="12442"/>
    <cellStyle name="Comma 4 5 4 2 3 2 2" xfId="18981"/>
    <cellStyle name="Comma 4 5 4 2 3 3" xfId="16129"/>
    <cellStyle name="Comma 4 5 4 2 4" xfId="9794"/>
    <cellStyle name="Comma 4 5 4 2 4 2" xfId="13013"/>
    <cellStyle name="Comma 4 5 4 2 4 2 2" xfId="19552"/>
    <cellStyle name="Comma 4 5 4 2 4 3" xfId="16700"/>
    <cellStyle name="Comma 4 5 4 2 5" xfId="3343"/>
    <cellStyle name="Comma 4 5 4 2 5 2" xfId="11300"/>
    <cellStyle name="Comma 4 5 4 2 5 2 2" xfId="17839"/>
    <cellStyle name="Comma 4 5 4 2 5 3" xfId="14987"/>
    <cellStyle name="Comma 4 5 4 2 6" xfId="2767"/>
    <cellStyle name="Comma 4 5 4 2 6 2" xfId="14415"/>
    <cellStyle name="Comma 4 5 4 2 7" xfId="10728"/>
    <cellStyle name="Comma 4 5 4 2 7 2" xfId="17267"/>
    <cellStyle name="Comma 4 5 4 2 8" xfId="13847"/>
    <cellStyle name="Comma 4 5 4 3" xfId="4115"/>
    <cellStyle name="Comma 4 5 4 3 2" xfId="11586"/>
    <cellStyle name="Comma 4 5 4 3 2 2" xfId="18125"/>
    <cellStyle name="Comma 4 5 4 3 3" xfId="15273"/>
    <cellStyle name="Comma 4 5 4 4" xfId="6387"/>
    <cellStyle name="Comma 4 5 4 4 2" xfId="12157"/>
    <cellStyle name="Comma 4 5 4 4 2 2" xfId="18696"/>
    <cellStyle name="Comma 4 5 4 4 3" xfId="15844"/>
    <cellStyle name="Comma 4 5 4 5" xfId="8659"/>
    <cellStyle name="Comma 4 5 4 5 2" xfId="12728"/>
    <cellStyle name="Comma 4 5 4 5 2 2" xfId="19267"/>
    <cellStyle name="Comma 4 5 4 5 3" xfId="16415"/>
    <cellStyle name="Comma 4 5 4 6" xfId="3058"/>
    <cellStyle name="Comma 4 5 4 6 2" xfId="11015"/>
    <cellStyle name="Comma 4 5 4 6 2 2" xfId="17554"/>
    <cellStyle name="Comma 4 5 4 6 3" xfId="14702"/>
    <cellStyle name="Comma 4 5 4 7" xfId="2487"/>
    <cellStyle name="Comma 4 5 4 7 2" xfId="14135"/>
    <cellStyle name="Comma 4 5 4 8" xfId="10448"/>
    <cellStyle name="Comma 4 5 4 8 2" xfId="16987"/>
    <cellStyle name="Comma 4 5 4 9" xfId="13562"/>
    <cellStyle name="Comma 4 5 5" xfId="1376"/>
    <cellStyle name="Comma 4 5 5 2" xfId="4796"/>
    <cellStyle name="Comma 4 5 5 2 2" xfId="11757"/>
    <cellStyle name="Comma 4 5 5 2 2 2" xfId="18296"/>
    <cellStyle name="Comma 4 5 5 2 3" xfId="15444"/>
    <cellStyle name="Comma 4 5 5 3" xfId="7068"/>
    <cellStyle name="Comma 4 5 5 3 2" xfId="12328"/>
    <cellStyle name="Comma 4 5 5 3 2 2" xfId="18867"/>
    <cellStyle name="Comma 4 5 5 3 3" xfId="16015"/>
    <cellStyle name="Comma 4 5 5 4" xfId="9340"/>
    <cellStyle name="Comma 4 5 5 4 2" xfId="12899"/>
    <cellStyle name="Comma 4 5 5 4 2 2" xfId="19438"/>
    <cellStyle name="Comma 4 5 5 4 3" xfId="16586"/>
    <cellStyle name="Comma 4 5 5 5" xfId="3229"/>
    <cellStyle name="Comma 4 5 5 5 2" xfId="11186"/>
    <cellStyle name="Comma 4 5 5 5 2 2" xfId="17725"/>
    <cellStyle name="Comma 4 5 5 5 3" xfId="14873"/>
    <cellStyle name="Comma 4 5 5 6" xfId="2655"/>
    <cellStyle name="Comma 4 5 5 6 2" xfId="14303"/>
    <cellStyle name="Comma 4 5 5 7" xfId="10616"/>
    <cellStyle name="Comma 4 5 5 7 2" xfId="17155"/>
    <cellStyle name="Comma 4 5 5 8" xfId="13733"/>
    <cellStyle name="Comma 4 5 6" xfId="3661"/>
    <cellStyle name="Comma 4 5 6 2" xfId="11472"/>
    <cellStyle name="Comma 4 5 6 2 2" xfId="18011"/>
    <cellStyle name="Comma 4 5 6 3" xfId="15159"/>
    <cellStyle name="Comma 4 5 7" xfId="5933"/>
    <cellStyle name="Comma 4 5 7 2" xfId="12043"/>
    <cellStyle name="Comma 4 5 7 2 2" xfId="18582"/>
    <cellStyle name="Comma 4 5 7 3" xfId="15730"/>
    <cellStyle name="Comma 4 5 8" xfId="8205"/>
    <cellStyle name="Comma 4 5 8 2" xfId="12614"/>
    <cellStyle name="Comma 4 5 8 2 2" xfId="19153"/>
    <cellStyle name="Comma 4 5 8 3" xfId="16301"/>
    <cellStyle name="Comma 4 5 9" xfId="2944"/>
    <cellStyle name="Comma 4 5 9 2" xfId="10901"/>
    <cellStyle name="Comma 4 5 9 2 2" xfId="17440"/>
    <cellStyle name="Comma 4 5 9 3" xfId="14588"/>
    <cellStyle name="Comma 4 6" xfId="297"/>
    <cellStyle name="Comma 4 6 10" xfId="13462"/>
    <cellStyle name="Comma 4 6 11" xfId="20208"/>
    <cellStyle name="Comma 4 6 2" xfId="751"/>
    <cellStyle name="Comma 4 6 2 2" xfId="1886"/>
    <cellStyle name="Comma 4 6 2 2 2" xfId="5306"/>
    <cellStyle name="Comma 4 6 2 2 2 2" xfId="11885"/>
    <cellStyle name="Comma 4 6 2 2 2 2 2" xfId="18424"/>
    <cellStyle name="Comma 4 6 2 2 2 3" xfId="15572"/>
    <cellStyle name="Comma 4 6 2 2 3" xfId="7578"/>
    <cellStyle name="Comma 4 6 2 2 3 2" xfId="12456"/>
    <cellStyle name="Comma 4 6 2 2 3 2 2" xfId="18995"/>
    <cellStyle name="Comma 4 6 2 2 3 3" xfId="16143"/>
    <cellStyle name="Comma 4 6 2 2 4" xfId="9850"/>
    <cellStyle name="Comma 4 6 2 2 4 2" xfId="13027"/>
    <cellStyle name="Comma 4 6 2 2 4 2 2" xfId="19566"/>
    <cellStyle name="Comma 4 6 2 2 4 3" xfId="16714"/>
    <cellStyle name="Comma 4 6 2 2 5" xfId="3357"/>
    <cellStyle name="Comma 4 6 2 2 5 2" xfId="11314"/>
    <cellStyle name="Comma 4 6 2 2 5 2 2" xfId="17853"/>
    <cellStyle name="Comma 4 6 2 2 5 3" xfId="15001"/>
    <cellStyle name="Comma 4 6 2 2 6" xfId="2781"/>
    <cellStyle name="Comma 4 6 2 2 6 2" xfId="14429"/>
    <cellStyle name="Comma 4 6 2 2 7" xfId="10742"/>
    <cellStyle name="Comma 4 6 2 2 7 2" xfId="17281"/>
    <cellStyle name="Comma 4 6 2 2 8" xfId="13861"/>
    <cellStyle name="Comma 4 6 2 3" xfId="4171"/>
    <cellStyle name="Comma 4 6 2 3 2" xfId="11600"/>
    <cellStyle name="Comma 4 6 2 3 2 2" xfId="18139"/>
    <cellStyle name="Comma 4 6 2 3 3" xfId="15287"/>
    <cellStyle name="Comma 4 6 2 4" xfId="6443"/>
    <cellStyle name="Comma 4 6 2 4 2" xfId="12171"/>
    <cellStyle name="Comma 4 6 2 4 2 2" xfId="18710"/>
    <cellStyle name="Comma 4 6 2 4 3" xfId="15858"/>
    <cellStyle name="Comma 4 6 2 5" xfId="8715"/>
    <cellStyle name="Comma 4 6 2 5 2" xfId="12742"/>
    <cellStyle name="Comma 4 6 2 5 2 2" xfId="19281"/>
    <cellStyle name="Comma 4 6 2 5 3" xfId="16429"/>
    <cellStyle name="Comma 4 6 2 6" xfId="3072"/>
    <cellStyle name="Comma 4 6 2 6 2" xfId="11029"/>
    <cellStyle name="Comma 4 6 2 6 2 2" xfId="17568"/>
    <cellStyle name="Comma 4 6 2 6 3" xfId="14716"/>
    <cellStyle name="Comma 4 6 2 7" xfId="2501"/>
    <cellStyle name="Comma 4 6 2 7 2" xfId="14149"/>
    <cellStyle name="Comma 4 6 2 8" xfId="10462"/>
    <cellStyle name="Comma 4 6 2 8 2" xfId="17001"/>
    <cellStyle name="Comma 4 6 2 9" xfId="13576"/>
    <cellStyle name="Comma 4 6 3" xfId="1432"/>
    <cellStyle name="Comma 4 6 3 2" xfId="4852"/>
    <cellStyle name="Comma 4 6 3 2 2" xfId="11771"/>
    <cellStyle name="Comma 4 6 3 2 2 2" xfId="18310"/>
    <cellStyle name="Comma 4 6 3 2 3" xfId="15458"/>
    <cellStyle name="Comma 4 6 3 3" xfId="7124"/>
    <cellStyle name="Comma 4 6 3 3 2" xfId="12342"/>
    <cellStyle name="Comma 4 6 3 3 2 2" xfId="18881"/>
    <cellStyle name="Comma 4 6 3 3 3" xfId="16029"/>
    <cellStyle name="Comma 4 6 3 4" xfId="9396"/>
    <cellStyle name="Comma 4 6 3 4 2" xfId="12913"/>
    <cellStyle name="Comma 4 6 3 4 2 2" xfId="19452"/>
    <cellStyle name="Comma 4 6 3 4 3" xfId="16600"/>
    <cellStyle name="Comma 4 6 3 5" xfId="3243"/>
    <cellStyle name="Comma 4 6 3 5 2" xfId="11200"/>
    <cellStyle name="Comma 4 6 3 5 2 2" xfId="17739"/>
    <cellStyle name="Comma 4 6 3 5 3" xfId="14887"/>
    <cellStyle name="Comma 4 6 3 6" xfId="2669"/>
    <cellStyle name="Comma 4 6 3 6 2" xfId="14317"/>
    <cellStyle name="Comma 4 6 3 7" xfId="10630"/>
    <cellStyle name="Comma 4 6 3 7 2" xfId="17169"/>
    <cellStyle name="Comma 4 6 3 8" xfId="13747"/>
    <cellStyle name="Comma 4 6 4" xfId="3717"/>
    <cellStyle name="Comma 4 6 4 2" xfId="11486"/>
    <cellStyle name="Comma 4 6 4 2 2" xfId="18025"/>
    <cellStyle name="Comma 4 6 4 3" xfId="15173"/>
    <cellStyle name="Comma 4 6 5" xfId="5989"/>
    <cellStyle name="Comma 4 6 5 2" xfId="12057"/>
    <cellStyle name="Comma 4 6 5 2 2" xfId="18596"/>
    <cellStyle name="Comma 4 6 5 3" xfId="15744"/>
    <cellStyle name="Comma 4 6 6" xfId="8261"/>
    <cellStyle name="Comma 4 6 6 2" xfId="12628"/>
    <cellStyle name="Comma 4 6 6 2 2" xfId="19167"/>
    <cellStyle name="Comma 4 6 6 3" xfId="16315"/>
    <cellStyle name="Comma 4 6 7" xfId="2958"/>
    <cellStyle name="Comma 4 6 7 2" xfId="10915"/>
    <cellStyle name="Comma 4 6 7 2 2" xfId="17454"/>
    <cellStyle name="Comma 4 6 7 3" xfId="14602"/>
    <cellStyle name="Comma 4 6 8" xfId="2389"/>
    <cellStyle name="Comma 4 6 8 2" xfId="14037"/>
    <cellStyle name="Comma 4 6 9" xfId="10350"/>
    <cellStyle name="Comma 4 6 9 2" xfId="16889"/>
    <cellStyle name="Comma 4 7" xfId="978"/>
    <cellStyle name="Comma 4 7 10" xfId="20281"/>
    <cellStyle name="Comma 4 7 2" xfId="2113"/>
    <cellStyle name="Comma 4 7 2 2" xfId="5533"/>
    <cellStyle name="Comma 4 7 2 2 2" xfId="11942"/>
    <cellStyle name="Comma 4 7 2 2 2 2" xfId="18481"/>
    <cellStyle name="Comma 4 7 2 2 3" xfId="15629"/>
    <cellStyle name="Comma 4 7 2 3" xfId="7805"/>
    <cellStyle name="Comma 4 7 2 3 2" xfId="12513"/>
    <cellStyle name="Comma 4 7 2 3 2 2" xfId="19052"/>
    <cellStyle name="Comma 4 7 2 3 3" xfId="16200"/>
    <cellStyle name="Comma 4 7 2 4" xfId="10077"/>
    <cellStyle name="Comma 4 7 2 4 2" xfId="13084"/>
    <cellStyle name="Comma 4 7 2 4 2 2" xfId="19623"/>
    <cellStyle name="Comma 4 7 2 4 3" xfId="16771"/>
    <cellStyle name="Comma 4 7 2 5" xfId="3414"/>
    <cellStyle name="Comma 4 7 2 5 2" xfId="11371"/>
    <cellStyle name="Comma 4 7 2 5 2 2" xfId="17910"/>
    <cellStyle name="Comma 4 7 2 5 3" xfId="15058"/>
    <cellStyle name="Comma 4 7 2 6" xfId="2837"/>
    <cellStyle name="Comma 4 7 2 6 2" xfId="14485"/>
    <cellStyle name="Comma 4 7 2 7" xfId="10798"/>
    <cellStyle name="Comma 4 7 2 7 2" xfId="17337"/>
    <cellStyle name="Comma 4 7 2 8" xfId="13918"/>
    <cellStyle name="Comma 4 7 3" xfId="4398"/>
    <cellStyle name="Comma 4 7 3 2" xfId="11657"/>
    <cellStyle name="Comma 4 7 3 2 2" xfId="18196"/>
    <cellStyle name="Comma 4 7 3 3" xfId="15344"/>
    <cellStyle name="Comma 4 7 4" xfId="6670"/>
    <cellStyle name="Comma 4 7 4 2" xfId="12228"/>
    <cellStyle name="Comma 4 7 4 2 2" xfId="18767"/>
    <cellStyle name="Comma 4 7 4 3" xfId="15915"/>
    <cellStyle name="Comma 4 7 5" xfId="8942"/>
    <cellStyle name="Comma 4 7 5 2" xfId="12799"/>
    <cellStyle name="Comma 4 7 5 2 2" xfId="19338"/>
    <cellStyle name="Comma 4 7 5 3" xfId="16486"/>
    <cellStyle name="Comma 4 7 6" xfId="3129"/>
    <cellStyle name="Comma 4 7 6 2" xfId="11086"/>
    <cellStyle name="Comma 4 7 6 2 2" xfId="17625"/>
    <cellStyle name="Comma 4 7 6 3" xfId="14773"/>
    <cellStyle name="Comma 4 7 7" xfId="2557"/>
    <cellStyle name="Comma 4 7 7 2" xfId="14205"/>
    <cellStyle name="Comma 4 7 8" xfId="10518"/>
    <cellStyle name="Comma 4 7 8 2" xfId="17057"/>
    <cellStyle name="Comma 4 7 9" xfId="13633"/>
    <cellStyle name="Comma 4 8" xfId="524"/>
    <cellStyle name="Comma 4 8 2" xfId="1659"/>
    <cellStyle name="Comma 4 8 2 2" xfId="5079"/>
    <cellStyle name="Comma 4 8 2 2 2" xfId="11828"/>
    <cellStyle name="Comma 4 8 2 2 2 2" xfId="18367"/>
    <cellStyle name="Comma 4 8 2 2 3" xfId="15515"/>
    <cellStyle name="Comma 4 8 2 3" xfId="7351"/>
    <cellStyle name="Comma 4 8 2 3 2" xfId="12399"/>
    <cellStyle name="Comma 4 8 2 3 2 2" xfId="18938"/>
    <cellStyle name="Comma 4 8 2 3 3" xfId="16086"/>
    <cellStyle name="Comma 4 8 2 4" xfId="9623"/>
    <cellStyle name="Comma 4 8 2 4 2" xfId="12970"/>
    <cellStyle name="Comma 4 8 2 4 2 2" xfId="19509"/>
    <cellStyle name="Comma 4 8 2 4 3" xfId="16657"/>
    <cellStyle name="Comma 4 8 2 5" xfId="3300"/>
    <cellStyle name="Comma 4 8 2 5 2" xfId="11257"/>
    <cellStyle name="Comma 4 8 2 5 2 2" xfId="17796"/>
    <cellStyle name="Comma 4 8 2 5 3" xfId="14944"/>
    <cellStyle name="Comma 4 8 2 6" xfId="2725"/>
    <cellStyle name="Comma 4 8 2 6 2" xfId="14373"/>
    <cellStyle name="Comma 4 8 2 7" xfId="10686"/>
    <cellStyle name="Comma 4 8 2 7 2" xfId="17225"/>
    <cellStyle name="Comma 4 8 2 8" xfId="13804"/>
    <cellStyle name="Comma 4 8 3" xfId="3944"/>
    <cellStyle name="Comma 4 8 3 2" xfId="11543"/>
    <cellStyle name="Comma 4 8 3 2 2" xfId="18082"/>
    <cellStyle name="Comma 4 8 3 3" xfId="15230"/>
    <cellStyle name="Comma 4 8 4" xfId="6216"/>
    <cellStyle name="Comma 4 8 4 2" xfId="12114"/>
    <cellStyle name="Comma 4 8 4 2 2" xfId="18653"/>
    <cellStyle name="Comma 4 8 4 3" xfId="15801"/>
    <cellStyle name="Comma 4 8 5" xfId="8488"/>
    <cellStyle name="Comma 4 8 5 2" xfId="12685"/>
    <cellStyle name="Comma 4 8 5 2 2" xfId="19224"/>
    <cellStyle name="Comma 4 8 5 3" xfId="16372"/>
    <cellStyle name="Comma 4 8 6" xfId="3015"/>
    <cellStyle name="Comma 4 8 6 2" xfId="10972"/>
    <cellStyle name="Comma 4 8 6 2 2" xfId="17511"/>
    <cellStyle name="Comma 4 8 6 3" xfId="14659"/>
    <cellStyle name="Comma 4 8 7" xfId="2445"/>
    <cellStyle name="Comma 4 8 7 2" xfId="14093"/>
    <cellStyle name="Comma 4 8 8" xfId="10406"/>
    <cellStyle name="Comma 4 8 8 2" xfId="16945"/>
    <cellStyle name="Comma 4 8 9" xfId="13519"/>
    <cellStyle name="Comma 4 9" xfId="1205"/>
    <cellStyle name="Comma 4 9 2" xfId="4625"/>
    <cellStyle name="Comma 4 9 2 2" xfId="11714"/>
    <cellStyle name="Comma 4 9 2 2 2" xfId="18253"/>
    <cellStyle name="Comma 4 9 2 3" xfId="15401"/>
    <cellStyle name="Comma 4 9 3" xfId="6897"/>
    <cellStyle name="Comma 4 9 3 2" xfId="12285"/>
    <cellStyle name="Comma 4 9 3 2 2" xfId="18824"/>
    <cellStyle name="Comma 4 9 3 3" xfId="15972"/>
    <cellStyle name="Comma 4 9 4" xfId="9169"/>
    <cellStyle name="Comma 4 9 4 2" xfId="12856"/>
    <cellStyle name="Comma 4 9 4 2 2" xfId="19395"/>
    <cellStyle name="Comma 4 9 4 3" xfId="16543"/>
    <cellStyle name="Comma 4 9 5" xfId="3186"/>
    <cellStyle name="Comma 4 9 5 2" xfId="11143"/>
    <cellStyle name="Comma 4 9 5 2 2" xfId="17682"/>
    <cellStyle name="Comma 4 9 5 3" xfId="14830"/>
    <cellStyle name="Comma 4 9 6" xfId="2613"/>
    <cellStyle name="Comma 4 9 6 2" xfId="14261"/>
    <cellStyle name="Comma 4 9 7" xfId="10574"/>
    <cellStyle name="Comma 4 9 7 2" xfId="17113"/>
    <cellStyle name="Comma 4 9 8" xfId="13690"/>
    <cellStyle name="Comma 40" xfId="13229"/>
    <cellStyle name="Comma 40 2" xfId="19738"/>
    <cellStyle name="Comma 40 3" xfId="19832"/>
    <cellStyle name="Comma 41" xfId="13230"/>
    <cellStyle name="Comma 41 2" xfId="19739"/>
    <cellStyle name="Comma 41 3" xfId="19833"/>
    <cellStyle name="Comma 42" xfId="13231"/>
    <cellStyle name="Comma 42 10" xfId="13232"/>
    <cellStyle name="Comma 42 10 2" xfId="19741"/>
    <cellStyle name="Comma 42 10 3" xfId="19835"/>
    <cellStyle name="Comma 42 11" xfId="19740"/>
    <cellStyle name="Comma 42 12" xfId="19834"/>
    <cellStyle name="Comma 42 2" xfId="13233"/>
    <cellStyle name="Comma 42 2 2" xfId="19742"/>
    <cellStyle name="Comma 42 2 3" xfId="19836"/>
    <cellStyle name="Comma 42 3" xfId="13234"/>
    <cellStyle name="Comma 42 3 2" xfId="19743"/>
    <cellStyle name="Comma 42 3 3" xfId="19837"/>
    <cellStyle name="Comma 42 4" xfId="13235"/>
    <cellStyle name="Comma 42 4 2" xfId="19744"/>
    <cellStyle name="Comma 42 4 3" xfId="19838"/>
    <cellStyle name="Comma 42 5" xfId="13236"/>
    <cellStyle name="Comma 42 5 2" xfId="19745"/>
    <cellStyle name="Comma 42 5 3" xfId="19839"/>
    <cellStyle name="Comma 42 6" xfId="13237"/>
    <cellStyle name="Comma 42 6 2" xfId="19746"/>
    <cellStyle name="Comma 42 6 3" xfId="19840"/>
    <cellStyle name="Comma 42 7" xfId="13238"/>
    <cellStyle name="Comma 42 7 2" xfId="19747"/>
    <cellStyle name="Comma 42 7 3" xfId="19841"/>
    <cellStyle name="Comma 42 8" xfId="13239"/>
    <cellStyle name="Comma 42 8 2" xfId="19748"/>
    <cellStyle name="Comma 42 8 3" xfId="19842"/>
    <cellStyle name="Comma 42 9" xfId="13240"/>
    <cellStyle name="Comma 42 9 2" xfId="19749"/>
    <cellStyle name="Comma 42 9 3" xfId="19843"/>
    <cellStyle name="Comma 43" xfId="13241"/>
    <cellStyle name="Comma 43 2" xfId="19750"/>
    <cellStyle name="Comma 43 3" xfId="19844"/>
    <cellStyle name="Comma 44" xfId="13242"/>
    <cellStyle name="Comma 44 2" xfId="19751"/>
    <cellStyle name="Comma 44 3" xfId="19845"/>
    <cellStyle name="Comma 45" xfId="13188"/>
    <cellStyle name="Comma 45 2" xfId="13189"/>
    <cellStyle name="Comma 45 2 2" xfId="19698"/>
    <cellStyle name="Comma 45 3" xfId="19697"/>
    <cellStyle name="Comma 46" xfId="13243"/>
    <cellStyle name="Comma 46 2" xfId="19752"/>
    <cellStyle name="Comma 46 3" xfId="19846"/>
    <cellStyle name="Comma 47" xfId="13244"/>
    <cellStyle name="Comma 47 2" xfId="19753"/>
    <cellStyle name="Comma 47 3" xfId="19847"/>
    <cellStyle name="Comma 48" xfId="13245"/>
    <cellStyle name="Comma 48 2" xfId="19754"/>
    <cellStyle name="Comma 48 3" xfId="19848"/>
    <cellStyle name="Comma 49" xfId="13246"/>
    <cellStyle name="Comma 49 2" xfId="19755"/>
    <cellStyle name="Comma 49 3" xfId="19849"/>
    <cellStyle name="Comma 5" xfId="59"/>
    <cellStyle name="Comma 5 10" xfId="3492"/>
    <cellStyle name="Comma 5 10 2" xfId="11430"/>
    <cellStyle name="Comma 5 10 2 2" xfId="17969"/>
    <cellStyle name="Comma 5 10 3" xfId="15117"/>
    <cellStyle name="Comma 5 11" xfId="5764"/>
    <cellStyle name="Comma 5 11 2" xfId="12001"/>
    <cellStyle name="Comma 5 11 2 2" xfId="18540"/>
    <cellStyle name="Comma 5 11 3" xfId="15688"/>
    <cellStyle name="Comma 5 12" xfId="8036"/>
    <cellStyle name="Comma 5 12 2" xfId="12572"/>
    <cellStyle name="Comma 5 12 2 2" xfId="19111"/>
    <cellStyle name="Comma 5 12 3" xfId="16259"/>
    <cellStyle name="Comma 5 13" xfId="2897"/>
    <cellStyle name="Comma 5 13 2" xfId="10857"/>
    <cellStyle name="Comma 5 13 2 2" xfId="17396"/>
    <cellStyle name="Comma 5 13 3" xfId="14544"/>
    <cellStyle name="Comma 5 14" xfId="2332"/>
    <cellStyle name="Comma 5 14 2" xfId="13980"/>
    <cellStyle name="Comma 5 15" xfId="10293"/>
    <cellStyle name="Comma 5 15 2" xfId="16832"/>
    <cellStyle name="Comma 5 16" xfId="13178"/>
    <cellStyle name="Comma 5 16 2" xfId="19689"/>
    <cellStyle name="Comma 5 17" xfId="13247"/>
    <cellStyle name="Comma 5 17 2" xfId="19756"/>
    <cellStyle name="Comma 5 18" xfId="13404"/>
    <cellStyle name="Comma 5 19" xfId="19781"/>
    <cellStyle name="Comma 5 2" xfId="89"/>
    <cellStyle name="Comma 5 2 10" xfId="5792"/>
    <cellStyle name="Comma 5 2 10 2" xfId="12008"/>
    <cellStyle name="Comma 5 2 10 2 2" xfId="18547"/>
    <cellStyle name="Comma 5 2 10 3" xfId="15695"/>
    <cellStyle name="Comma 5 2 11" xfId="8064"/>
    <cellStyle name="Comma 5 2 11 2" xfId="12579"/>
    <cellStyle name="Comma 5 2 11 2 2" xfId="19118"/>
    <cellStyle name="Comma 5 2 11 3" xfId="16266"/>
    <cellStyle name="Comma 5 2 12" xfId="2906"/>
    <cellStyle name="Comma 5 2 12 2" xfId="10865"/>
    <cellStyle name="Comma 5 2 12 2 2" xfId="17404"/>
    <cellStyle name="Comma 5 2 12 3" xfId="14552"/>
    <cellStyle name="Comma 5 2 13" xfId="2340"/>
    <cellStyle name="Comma 5 2 13 2" xfId="13988"/>
    <cellStyle name="Comma 5 2 14" xfId="10301"/>
    <cellStyle name="Comma 5 2 14 2" xfId="16840"/>
    <cellStyle name="Comma 5 2 15" xfId="13248"/>
    <cellStyle name="Comma 5 2 15 2" xfId="19757"/>
    <cellStyle name="Comma 5 2 16" xfId="13412"/>
    <cellStyle name="Comma 5 2 17" xfId="19851"/>
    <cellStyle name="Comma 5 2 18" xfId="20095"/>
    <cellStyle name="Comma 5 2 2" xfId="201"/>
    <cellStyle name="Comma 5 2 2 10" xfId="2368"/>
    <cellStyle name="Comma 5 2 2 10 2" xfId="14016"/>
    <cellStyle name="Comma 5 2 2 11" xfId="10329"/>
    <cellStyle name="Comma 5 2 2 11 2" xfId="16868"/>
    <cellStyle name="Comma 5 2 2 12" xfId="13440"/>
    <cellStyle name="Comma 5 2 2 13" xfId="20259"/>
    <cellStyle name="Comma 5 2 2 2" xfId="439"/>
    <cellStyle name="Comma 5 2 2 2 10" xfId="13498"/>
    <cellStyle name="Comma 5 2 2 2 2" xfId="893"/>
    <cellStyle name="Comma 5 2 2 2 2 2" xfId="2028"/>
    <cellStyle name="Comma 5 2 2 2 2 2 2" xfId="5448"/>
    <cellStyle name="Comma 5 2 2 2 2 2 2 2" xfId="11921"/>
    <cellStyle name="Comma 5 2 2 2 2 2 2 2 2" xfId="18460"/>
    <cellStyle name="Comma 5 2 2 2 2 2 2 3" xfId="15608"/>
    <cellStyle name="Comma 5 2 2 2 2 2 3" xfId="7720"/>
    <cellStyle name="Comma 5 2 2 2 2 2 3 2" xfId="12492"/>
    <cellStyle name="Comma 5 2 2 2 2 2 3 2 2" xfId="19031"/>
    <cellStyle name="Comma 5 2 2 2 2 2 3 3" xfId="16179"/>
    <cellStyle name="Comma 5 2 2 2 2 2 4" xfId="9992"/>
    <cellStyle name="Comma 5 2 2 2 2 2 4 2" xfId="13063"/>
    <cellStyle name="Comma 5 2 2 2 2 2 4 2 2" xfId="19602"/>
    <cellStyle name="Comma 5 2 2 2 2 2 4 3" xfId="16750"/>
    <cellStyle name="Comma 5 2 2 2 2 2 5" xfId="3393"/>
    <cellStyle name="Comma 5 2 2 2 2 2 5 2" xfId="11350"/>
    <cellStyle name="Comma 5 2 2 2 2 2 5 2 2" xfId="17889"/>
    <cellStyle name="Comma 5 2 2 2 2 2 5 3" xfId="15037"/>
    <cellStyle name="Comma 5 2 2 2 2 2 6" xfId="2817"/>
    <cellStyle name="Comma 5 2 2 2 2 2 6 2" xfId="14465"/>
    <cellStyle name="Comma 5 2 2 2 2 2 7" xfId="10778"/>
    <cellStyle name="Comma 5 2 2 2 2 2 7 2" xfId="17317"/>
    <cellStyle name="Comma 5 2 2 2 2 2 8" xfId="13897"/>
    <cellStyle name="Comma 5 2 2 2 2 3" xfId="4313"/>
    <cellStyle name="Comma 5 2 2 2 2 3 2" xfId="11636"/>
    <cellStyle name="Comma 5 2 2 2 2 3 2 2" xfId="18175"/>
    <cellStyle name="Comma 5 2 2 2 2 3 3" xfId="15323"/>
    <cellStyle name="Comma 5 2 2 2 2 4" xfId="6585"/>
    <cellStyle name="Comma 5 2 2 2 2 4 2" xfId="12207"/>
    <cellStyle name="Comma 5 2 2 2 2 4 2 2" xfId="18746"/>
    <cellStyle name="Comma 5 2 2 2 2 4 3" xfId="15894"/>
    <cellStyle name="Comma 5 2 2 2 2 5" xfId="8857"/>
    <cellStyle name="Comma 5 2 2 2 2 5 2" xfId="12778"/>
    <cellStyle name="Comma 5 2 2 2 2 5 2 2" xfId="19317"/>
    <cellStyle name="Comma 5 2 2 2 2 5 3" xfId="16465"/>
    <cellStyle name="Comma 5 2 2 2 2 6" xfId="3108"/>
    <cellStyle name="Comma 5 2 2 2 2 6 2" xfId="11065"/>
    <cellStyle name="Comma 5 2 2 2 2 6 2 2" xfId="17604"/>
    <cellStyle name="Comma 5 2 2 2 2 6 3" xfId="14752"/>
    <cellStyle name="Comma 5 2 2 2 2 7" xfId="2537"/>
    <cellStyle name="Comma 5 2 2 2 2 7 2" xfId="14185"/>
    <cellStyle name="Comma 5 2 2 2 2 8" xfId="10498"/>
    <cellStyle name="Comma 5 2 2 2 2 8 2" xfId="17037"/>
    <cellStyle name="Comma 5 2 2 2 2 9" xfId="13612"/>
    <cellStyle name="Comma 5 2 2 2 3" xfId="1574"/>
    <cellStyle name="Comma 5 2 2 2 3 2" xfId="4994"/>
    <cellStyle name="Comma 5 2 2 2 3 2 2" xfId="11807"/>
    <cellStyle name="Comma 5 2 2 2 3 2 2 2" xfId="18346"/>
    <cellStyle name="Comma 5 2 2 2 3 2 3" xfId="15494"/>
    <cellStyle name="Comma 5 2 2 2 3 3" xfId="7266"/>
    <cellStyle name="Comma 5 2 2 2 3 3 2" xfId="12378"/>
    <cellStyle name="Comma 5 2 2 2 3 3 2 2" xfId="18917"/>
    <cellStyle name="Comma 5 2 2 2 3 3 3" xfId="16065"/>
    <cellStyle name="Comma 5 2 2 2 3 4" xfId="9538"/>
    <cellStyle name="Comma 5 2 2 2 3 4 2" xfId="12949"/>
    <cellStyle name="Comma 5 2 2 2 3 4 2 2" xfId="19488"/>
    <cellStyle name="Comma 5 2 2 2 3 4 3" xfId="16636"/>
    <cellStyle name="Comma 5 2 2 2 3 5" xfId="3279"/>
    <cellStyle name="Comma 5 2 2 2 3 5 2" xfId="11236"/>
    <cellStyle name="Comma 5 2 2 2 3 5 2 2" xfId="17775"/>
    <cellStyle name="Comma 5 2 2 2 3 5 3" xfId="14923"/>
    <cellStyle name="Comma 5 2 2 2 3 6" xfId="2705"/>
    <cellStyle name="Comma 5 2 2 2 3 6 2" xfId="14353"/>
    <cellStyle name="Comma 5 2 2 2 3 7" xfId="10666"/>
    <cellStyle name="Comma 5 2 2 2 3 7 2" xfId="17205"/>
    <cellStyle name="Comma 5 2 2 2 3 8" xfId="13783"/>
    <cellStyle name="Comma 5 2 2 2 4" xfId="3859"/>
    <cellStyle name="Comma 5 2 2 2 4 2" xfId="11522"/>
    <cellStyle name="Comma 5 2 2 2 4 2 2" xfId="18061"/>
    <cellStyle name="Comma 5 2 2 2 4 3" xfId="15209"/>
    <cellStyle name="Comma 5 2 2 2 5" xfId="6131"/>
    <cellStyle name="Comma 5 2 2 2 5 2" xfId="12093"/>
    <cellStyle name="Comma 5 2 2 2 5 2 2" xfId="18632"/>
    <cellStyle name="Comma 5 2 2 2 5 3" xfId="15780"/>
    <cellStyle name="Comma 5 2 2 2 6" xfId="8403"/>
    <cellStyle name="Comma 5 2 2 2 6 2" xfId="12664"/>
    <cellStyle name="Comma 5 2 2 2 6 2 2" xfId="19203"/>
    <cellStyle name="Comma 5 2 2 2 6 3" xfId="16351"/>
    <cellStyle name="Comma 5 2 2 2 7" xfId="2994"/>
    <cellStyle name="Comma 5 2 2 2 7 2" xfId="10951"/>
    <cellStyle name="Comma 5 2 2 2 7 2 2" xfId="17490"/>
    <cellStyle name="Comma 5 2 2 2 7 3" xfId="14638"/>
    <cellStyle name="Comma 5 2 2 2 8" xfId="2425"/>
    <cellStyle name="Comma 5 2 2 2 8 2" xfId="14073"/>
    <cellStyle name="Comma 5 2 2 2 9" xfId="10386"/>
    <cellStyle name="Comma 5 2 2 2 9 2" xfId="16925"/>
    <cellStyle name="Comma 5 2 2 3" xfId="1120"/>
    <cellStyle name="Comma 5 2 2 3 2" xfId="2255"/>
    <cellStyle name="Comma 5 2 2 3 2 2" xfId="5675"/>
    <cellStyle name="Comma 5 2 2 3 2 2 2" xfId="11978"/>
    <cellStyle name="Comma 5 2 2 3 2 2 2 2" xfId="18517"/>
    <cellStyle name="Comma 5 2 2 3 2 2 3" xfId="15665"/>
    <cellStyle name="Comma 5 2 2 3 2 3" xfId="7947"/>
    <cellStyle name="Comma 5 2 2 3 2 3 2" xfId="12549"/>
    <cellStyle name="Comma 5 2 2 3 2 3 2 2" xfId="19088"/>
    <cellStyle name="Comma 5 2 2 3 2 3 3" xfId="16236"/>
    <cellStyle name="Comma 5 2 2 3 2 4" xfId="10219"/>
    <cellStyle name="Comma 5 2 2 3 2 4 2" xfId="13120"/>
    <cellStyle name="Comma 5 2 2 3 2 4 2 2" xfId="19659"/>
    <cellStyle name="Comma 5 2 2 3 2 4 3" xfId="16807"/>
    <cellStyle name="Comma 5 2 2 3 2 5" xfId="3450"/>
    <cellStyle name="Comma 5 2 2 3 2 5 2" xfId="11407"/>
    <cellStyle name="Comma 5 2 2 3 2 5 2 2" xfId="17946"/>
    <cellStyle name="Comma 5 2 2 3 2 5 3" xfId="15094"/>
    <cellStyle name="Comma 5 2 2 3 2 6" xfId="2873"/>
    <cellStyle name="Comma 5 2 2 3 2 6 2" xfId="14521"/>
    <cellStyle name="Comma 5 2 2 3 2 7" xfId="10834"/>
    <cellStyle name="Comma 5 2 2 3 2 7 2" xfId="17373"/>
    <cellStyle name="Comma 5 2 2 3 2 8" xfId="13954"/>
    <cellStyle name="Comma 5 2 2 3 3" xfId="4540"/>
    <cellStyle name="Comma 5 2 2 3 3 2" xfId="11693"/>
    <cellStyle name="Comma 5 2 2 3 3 2 2" xfId="18232"/>
    <cellStyle name="Comma 5 2 2 3 3 3" xfId="15380"/>
    <cellStyle name="Comma 5 2 2 3 4" xfId="6812"/>
    <cellStyle name="Comma 5 2 2 3 4 2" xfId="12264"/>
    <cellStyle name="Comma 5 2 2 3 4 2 2" xfId="18803"/>
    <cellStyle name="Comma 5 2 2 3 4 3" xfId="15951"/>
    <cellStyle name="Comma 5 2 2 3 5" xfId="9084"/>
    <cellStyle name="Comma 5 2 2 3 5 2" xfId="12835"/>
    <cellStyle name="Comma 5 2 2 3 5 2 2" xfId="19374"/>
    <cellStyle name="Comma 5 2 2 3 5 3" xfId="16522"/>
    <cellStyle name="Comma 5 2 2 3 6" xfId="3165"/>
    <cellStyle name="Comma 5 2 2 3 6 2" xfId="11122"/>
    <cellStyle name="Comma 5 2 2 3 6 2 2" xfId="17661"/>
    <cellStyle name="Comma 5 2 2 3 6 3" xfId="14809"/>
    <cellStyle name="Comma 5 2 2 3 7" xfId="2593"/>
    <cellStyle name="Comma 5 2 2 3 7 2" xfId="14241"/>
    <cellStyle name="Comma 5 2 2 3 8" xfId="10554"/>
    <cellStyle name="Comma 5 2 2 3 8 2" xfId="17093"/>
    <cellStyle name="Comma 5 2 2 3 9" xfId="13669"/>
    <cellStyle name="Comma 5 2 2 4" xfId="666"/>
    <cellStyle name="Comma 5 2 2 4 2" xfId="1801"/>
    <cellStyle name="Comma 5 2 2 4 2 2" xfId="5221"/>
    <cellStyle name="Comma 5 2 2 4 2 2 2" xfId="11864"/>
    <cellStyle name="Comma 5 2 2 4 2 2 2 2" xfId="18403"/>
    <cellStyle name="Comma 5 2 2 4 2 2 3" xfId="15551"/>
    <cellStyle name="Comma 5 2 2 4 2 3" xfId="7493"/>
    <cellStyle name="Comma 5 2 2 4 2 3 2" xfId="12435"/>
    <cellStyle name="Comma 5 2 2 4 2 3 2 2" xfId="18974"/>
    <cellStyle name="Comma 5 2 2 4 2 3 3" xfId="16122"/>
    <cellStyle name="Comma 5 2 2 4 2 4" xfId="9765"/>
    <cellStyle name="Comma 5 2 2 4 2 4 2" xfId="13006"/>
    <cellStyle name="Comma 5 2 2 4 2 4 2 2" xfId="19545"/>
    <cellStyle name="Comma 5 2 2 4 2 4 3" xfId="16693"/>
    <cellStyle name="Comma 5 2 2 4 2 5" xfId="3336"/>
    <cellStyle name="Comma 5 2 2 4 2 5 2" xfId="11293"/>
    <cellStyle name="Comma 5 2 2 4 2 5 2 2" xfId="17832"/>
    <cellStyle name="Comma 5 2 2 4 2 5 3" xfId="14980"/>
    <cellStyle name="Comma 5 2 2 4 2 6" xfId="2761"/>
    <cellStyle name="Comma 5 2 2 4 2 6 2" xfId="14409"/>
    <cellStyle name="Comma 5 2 2 4 2 7" xfId="10722"/>
    <cellStyle name="Comma 5 2 2 4 2 7 2" xfId="17261"/>
    <cellStyle name="Comma 5 2 2 4 2 8" xfId="13840"/>
    <cellStyle name="Comma 5 2 2 4 3" xfId="4086"/>
    <cellStyle name="Comma 5 2 2 4 3 2" xfId="11579"/>
    <cellStyle name="Comma 5 2 2 4 3 2 2" xfId="18118"/>
    <cellStyle name="Comma 5 2 2 4 3 3" xfId="15266"/>
    <cellStyle name="Comma 5 2 2 4 4" xfId="6358"/>
    <cellStyle name="Comma 5 2 2 4 4 2" xfId="12150"/>
    <cellStyle name="Comma 5 2 2 4 4 2 2" xfId="18689"/>
    <cellStyle name="Comma 5 2 2 4 4 3" xfId="15837"/>
    <cellStyle name="Comma 5 2 2 4 5" xfId="8630"/>
    <cellStyle name="Comma 5 2 2 4 5 2" xfId="12721"/>
    <cellStyle name="Comma 5 2 2 4 5 2 2" xfId="19260"/>
    <cellStyle name="Comma 5 2 2 4 5 3" xfId="16408"/>
    <cellStyle name="Comma 5 2 2 4 6" xfId="3051"/>
    <cellStyle name="Comma 5 2 2 4 6 2" xfId="11008"/>
    <cellStyle name="Comma 5 2 2 4 6 2 2" xfId="17547"/>
    <cellStyle name="Comma 5 2 2 4 6 3" xfId="14695"/>
    <cellStyle name="Comma 5 2 2 4 7" xfId="2481"/>
    <cellStyle name="Comma 5 2 2 4 7 2" xfId="14129"/>
    <cellStyle name="Comma 5 2 2 4 8" xfId="10442"/>
    <cellStyle name="Comma 5 2 2 4 8 2" xfId="16981"/>
    <cellStyle name="Comma 5 2 2 4 9" xfId="13555"/>
    <cellStyle name="Comma 5 2 2 5" xfId="1347"/>
    <cellStyle name="Comma 5 2 2 5 2" xfId="4767"/>
    <cellStyle name="Comma 5 2 2 5 2 2" xfId="11750"/>
    <cellStyle name="Comma 5 2 2 5 2 2 2" xfId="18289"/>
    <cellStyle name="Comma 5 2 2 5 2 3" xfId="15437"/>
    <cellStyle name="Comma 5 2 2 5 3" xfId="7039"/>
    <cellStyle name="Comma 5 2 2 5 3 2" xfId="12321"/>
    <cellStyle name="Comma 5 2 2 5 3 2 2" xfId="18860"/>
    <cellStyle name="Comma 5 2 2 5 3 3" xfId="16008"/>
    <cellStyle name="Comma 5 2 2 5 4" xfId="9311"/>
    <cellStyle name="Comma 5 2 2 5 4 2" xfId="12892"/>
    <cellStyle name="Comma 5 2 2 5 4 2 2" xfId="19431"/>
    <cellStyle name="Comma 5 2 2 5 4 3" xfId="16579"/>
    <cellStyle name="Comma 5 2 2 5 5" xfId="3222"/>
    <cellStyle name="Comma 5 2 2 5 5 2" xfId="11179"/>
    <cellStyle name="Comma 5 2 2 5 5 2 2" xfId="17718"/>
    <cellStyle name="Comma 5 2 2 5 5 3" xfId="14866"/>
    <cellStyle name="Comma 5 2 2 5 6" xfId="2649"/>
    <cellStyle name="Comma 5 2 2 5 6 2" xfId="14297"/>
    <cellStyle name="Comma 5 2 2 5 7" xfId="10610"/>
    <cellStyle name="Comma 5 2 2 5 7 2" xfId="17149"/>
    <cellStyle name="Comma 5 2 2 5 8" xfId="13726"/>
    <cellStyle name="Comma 5 2 2 6" xfId="3632"/>
    <cellStyle name="Comma 5 2 2 6 2" xfId="11465"/>
    <cellStyle name="Comma 5 2 2 6 2 2" xfId="18004"/>
    <cellStyle name="Comma 5 2 2 6 3" xfId="15152"/>
    <cellStyle name="Comma 5 2 2 7" xfId="5904"/>
    <cellStyle name="Comma 5 2 2 7 2" xfId="12036"/>
    <cellStyle name="Comma 5 2 2 7 2 2" xfId="18575"/>
    <cellStyle name="Comma 5 2 2 7 3" xfId="15723"/>
    <cellStyle name="Comma 5 2 2 8" xfId="8176"/>
    <cellStyle name="Comma 5 2 2 8 2" xfId="12607"/>
    <cellStyle name="Comma 5 2 2 8 2 2" xfId="19146"/>
    <cellStyle name="Comma 5 2 2 8 3" xfId="16294"/>
    <cellStyle name="Comma 5 2 2 9" xfId="2934"/>
    <cellStyle name="Comma 5 2 2 9 2" xfId="10893"/>
    <cellStyle name="Comma 5 2 2 9 2 2" xfId="17432"/>
    <cellStyle name="Comma 5 2 2 9 3" xfId="14580"/>
    <cellStyle name="Comma 5 2 3" xfId="145"/>
    <cellStyle name="Comma 5 2 3 10" xfId="2354"/>
    <cellStyle name="Comma 5 2 3 10 2" xfId="14002"/>
    <cellStyle name="Comma 5 2 3 11" xfId="10315"/>
    <cellStyle name="Comma 5 2 3 11 2" xfId="16854"/>
    <cellStyle name="Comma 5 2 3 12" xfId="13426"/>
    <cellStyle name="Comma 5 2 3 13" xfId="20332"/>
    <cellStyle name="Comma 5 2 3 2" xfId="383"/>
    <cellStyle name="Comma 5 2 3 2 10" xfId="13484"/>
    <cellStyle name="Comma 5 2 3 2 2" xfId="837"/>
    <cellStyle name="Comma 5 2 3 2 2 2" xfId="1972"/>
    <cellStyle name="Comma 5 2 3 2 2 2 2" xfId="5392"/>
    <cellStyle name="Comma 5 2 3 2 2 2 2 2" xfId="11907"/>
    <cellStyle name="Comma 5 2 3 2 2 2 2 2 2" xfId="18446"/>
    <cellStyle name="Comma 5 2 3 2 2 2 2 3" xfId="15594"/>
    <cellStyle name="Comma 5 2 3 2 2 2 3" xfId="7664"/>
    <cellStyle name="Comma 5 2 3 2 2 2 3 2" xfId="12478"/>
    <cellStyle name="Comma 5 2 3 2 2 2 3 2 2" xfId="19017"/>
    <cellStyle name="Comma 5 2 3 2 2 2 3 3" xfId="16165"/>
    <cellStyle name="Comma 5 2 3 2 2 2 4" xfId="9936"/>
    <cellStyle name="Comma 5 2 3 2 2 2 4 2" xfId="13049"/>
    <cellStyle name="Comma 5 2 3 2 2 2 4 2 2" xfId="19588"/>
    <cellStyle name="Comma 5 2 3 2 2 2 4 3" xfId="16736"/>
    <cellStyle name="Comma 5 2 3 2 2 2 5" xfId="3379"/>
    <cellStyle name="Comma 5 2 3 2 2 2 5 2" xfId="11336"/>
    <cellStyle name="Comma 5 2 3 2 2 2 5 2 2" xfId="17875"/>
    <cellStyle name="Comma 5 2 3 2 2 2 5 3" xfId="15023"/>
    <cellStyle name="Comma 5 2 3 2 2 2 6" xfId="2803"/>
    <cellStyle name="Comma 5 2 3 2 2 2 6 2" xfId="14451"/>
    <cellStyle name="Comma 5 2 3 2 2 2 7" xfId="10764"/>
    <cellStyle name="Comma 5 2 3 2 2 2 7 2" xfId="17303"/>
    <cellStyle name="Comma 5 2 3 2 2 2 8" xfId="13883"/>
    <cellStyle name="Comma 5 2 3 2 2 3" xfId="4257"/>
    <cellStyle name="Comma 5 2 3 2 2 3 2" xfId="11622"/>
    <cellStyle name="Comma 5 2 3 2 2 3 2 2" xfId="18161"/>
    <cellStyle name="Comma 5 2 3 2 2 3 3" xfId="15309"/>
    <cellStyle name="Comma 5 2 3 2 2 4" xfId="6529"/>
    <cellStyle name="Comma 5 2 3 2 2 4 2" xfId="12193"/>
    <cellStyle name="Comma 5 2 3 2 2 4 2 2" xfId="18732"/>
    <cellStyle name="Comma 5 2 3 2 2 4 3" xfId="15880"/>
    <cellStyle name="Comma 5 2 3 2 2 5" xfId="8801"/>
    <cellStyle name="Comma 5 2 3 2 2 5 2" xfId="12764"/>
    <cellStyle name="Comma 5 2 3 2 2 5 2 2" xfId="19303"/>
    <cellStyle name="Comma 5 2 3 2 2 5 3" xfId="16451"/>
    <cellStyle name="Comma 5 2 3 2 2 6" xfId="3094"/>
    <cellStyle name="Comma 5 2 3 2 2 6 2" xfId="11051"/>
    <cellStyle name="Comma 5 2 3 2 2 6 2 2" xfId="17590"/>
    <cellStyle name="Comma 5 2 3 2 2 6 3" xfId="14738"/>
    <cellStyle name="Comma 5 2 3 2 2 7" xfId="2523"/>
    <cellStyle name="Comma 5 2 3 2 2 7 2" xfId="14171"/>
    <cellStyle name="Comma 5 2 3 2 2 8" xfId="10484"/>
    <cellStyle name="Comma 5 2 3 2 2 8 2" xfId="17023"/>
    <cellStyle name="Comma 5 2 3 2 2 9" xfId="13598"/>
    <cellStyle name="Comma 5 2 3 2 3" xfId="1518"/>
    <cellStyle name="Comma 5 2 3 2 3 2" xfId="4938"/>
    <cellStyle name="Comma 5 2 3 2 3 2 2" xfId="11793"/>
    <cellStyle name="Comma 5 2 3 2 3 2 2 2" xfId="18332"/>
    <cellStyle name="Comma 5 2 3 2 3 2 3" xfId="15480"/>
    <cellStyle name="Comma 5 2 3 2 3 3" xfId="7210"/>
    <cellStyle name="Comma 5 2 3 2 3 3 2" xfId="12364"/>
    <cellStyle name="Comma 5 2 3 2 3 3 2 2" xfId="18903"/>
    <cellStyle name="Comma 5 2 3 2 3 3 3" xfId="16051"/>
    <cellStyle name="Comma 5 2 3 2 3 4" xfId="9482"/>
    <cellStyle name="Comma 5 2 3 2 3 4 2" xfId="12935"/>
    <cellStyle name="Comma 5 2 3 2 3 4 2 2" xfId="19474"/>
    <cellStyle name="Comma 5 2 3 2 3 4 3" xfId="16622"/>
    <cellStyle name="Comma 5 2 3 2 3 5" xfId="3265"/>
    <cellStyle name="Comma 5 2 3 2 3 5 2" xfId="11222"/>
    <cellStyle name="Comma 5 2 3 2 3 5 2 2" xfId="17761"/>
    <cellStyle name="Comma 5 2 3 2 3 5 3" xfId="14909"/>
    <cellStyle name="Comma 5 2 3 2 3 6" xfId="2691"/>
    <cellStyle name="Comma 5 2 3 2 3 6 2" xfId="14339"/>
    <cellStyle name="Comma 5 2 3 2 3 7" xfId="10652"/>
    <cellStyle name="Comma 5 2 3 2 3 7 2" xfId="17191"/>
    <cellStyle name="Comma 5 2 3 2 3 8" xfId="13769"/>
    <cellStyle name="Comma 5 2 3 2 4" xfId="3803"/>
    <cellStyle name="Comma 5 2 3 2 4 2" xfId="11508"/>
    <cellStyle name="Comma 5 2 3 2 4 2 2" xfId="18047"/>
    <cellStyle name="Comma 5 2 3 2 4 3" xfId="15195"/>
    <cellStyle name="Comma 5 2 3 2 5" xfId="6075"/>
    <cellStyle name="Comma 5 2 3 2 5 2" xfId="12079"/>
    <cellStyle name="Comma 5 2 3 2 5 2 2" xfId="18618"/>
    <cellStyle name="Comma 5 2 3 2 5 3" xfId="15766"/>
    <cellStyle name="Comma 5 2 3 2 6" xfId="8347"/>
    <cellStyle name="Comma 5 2 3 2 6 2" xfId="12650"/>
    <cellStyle name="Comma 5 2 3 2 6 2 2" xfId="19189"/>
    <cellStyle name="Comma 5 2 3 2 6 3" xfId="16337"/>
    <cellStyle name="Comma 5 2 3 2 7" xfId="2980"/>
    <cellStyle name="Comma 5 2 3 2 7 2" xfId="10937"/>
    <cellStyle name="Comma 5 2 3 2 7 2 2" xfId="17476"/>
    <cellStyle name="Comma 5 2 3 2 7 3" xfId="14624"/>
    <cellStyle name="Comma 5 2 3 2 8" xfId="2411"/>
    <cellStyle name="Comma 5 2 3 2 8 2" xfId="14059"/>
    <cellStyle name="Comma 5 2 3 2 9" xfId="10372"/>
    <cellStyle name="Comma 5 2 3 2 9 2" xfId="16911"/>
    <cellStyle name="Comma 5 2 3 3" xfId="1064"/>
    <cellStyle name="Comma 5 2 3 3 2" xfId="2199"/>
    <cellStyle name="Comma 5 2 3 3 2 2" xfId="5619"/>
    <cellStyle name="Comma 5 2 3 3 2 2 2" xfId="11964"/>
    <cellStyle name="Comma 5 2 3 3 2 2 2 2" xfId="18503"/>
    <cellStyle name="Comma 5 2 3 3 2 2 3" xfId="15651"/>
    <cellStyle name="Comma 5 2 3 3 2 3" xfId="7891"/>
    <cellStyle name="Comma 5 2 3 3 2 3 2" xfId="12535"/>
    <cellStyle name="Comma 5 2 3 3 2 3 2 2" xfId="19074"/>
    <cellStyle name="Comma 5 2 3 3 2 3 3" xfId="16222"/>
    <cellStyle name="Comma 5 2 3 3 2 4" xfId="10163"/>
    <cellStyle name="Comma 5 2 3 3 2 4 2" xfId="13106"/>
    <cellStyle name="Comma 5 2 3 3 2 4 2 2" xfId="19645"/>
    <cellStyle name="Comma 5 2 3 3 2 4 3" xfId="16793"/>
    <cellStyle name="Comma 5 2 3 3 2 5" xfId="3436"/>
    <cellStyle name="Comma 5 2 3 3 2 5 2" xfId="11393"/>
    <cellStyle name="Comma 5 2 3 3 2 5 2 2" xfId="17932"/>
    <cellStyle name="Comma 5 2 3 3 2 5 3" xfId="15080"/>
    <cellStyle name="Comma 5 2 3 3 2 6" xfId="2859"/>
    <cellStyle name="Comma 5 2 3 3 2 6 2" xfId="14507"/>
    <cellStyle name="Comma 5 2 3 3 2 7" xfId="10820"/>
    <cellStyle name="Comma 5 2 3 3 2 7 2" xfId="17359"/>
    <cellStyle name="Comma 5 2 3 3 2 8" xfId="13940"/>
    <cellStyle name="Comma 5 2 3 3 3" xfId="4484"/>
    <cellStyle name="Comma 5 2 3 3 3 2" xfId="11679"/>
    <cellStyle name="Comma 5 2 3 3 3 2 2" xfId="18218"/>
    <cellStyle name="Comma 5 2 3 3 3 3" xfId="15366"/>
    <cellStyle name="Comma 5 2 3 3 4" xfId="6756"/>
    <cellStyle name="Comma 5 2 3 3 4 2" xfId="12250"/>
    <cellStyle name="Comma 5 2 3 3 4 2 2" xfId="18789"/>
    <cellStyle name="Comma 5 2 3 3 4 3" xfId="15937"/>
    <cellStyle name="Comma 5 2 3 3 5" xfId="9028"/>
    <cellStyle name="Comma 5 2 3 3 5 2" xfId="12821"/>
    <cellStyle name="Comma 5 2 3 3 5 2 2" xfId="19360"/>
    <cellStyle name="Comma 5 2 3 3 5 3" xfId="16508"/>
    <cellStyle name="Comma 5 2 3 3 6" xfId="3151"/>
    <cellStyle name="Comma 5 2 3 3 6 2" xfId="11108"/>
    <cellStyle name="Comma 5 2 3 3 6 2 2" xfId="17647"/>
    <cellStyle name="Comma 5 2 3 3 6 3" xfId="14795"/>
    <cellStyle name="Comma 5 2 3 3 7" xfId="2579"/>
    <cellStyle name="Comma 5 2 3 3 7 2" xfId="14227"/>
    <cellStyle name="Comma 5 2 3 3 8" xfId="10540"/>
    <cellStyle name="Comma 5 2 3 3 8 2" xfId="17079"/>
    <cellStyle name="Comma 5 2 3 3 9" xfId="13655"/>
    <cellStyle name="Comma 5 2 3 4" xfId="610"/>
    <cellStyle name="Comma 5 2 3 4 2" xfId="1745"/>
    <cellStyle name="Comma 5 2 3 4 2 2" xfId="5165"/>
    <cellStyle name="Comma 5 2 3 4 2 2 2" xfId="11850"/>
    <cellStyle name="Comma 5 2 3 4 2 2 2 2" xfId="18389"/>
    <cellStyle name="Comma 5 2 3 4 2 2 3" xfId="15537"/>
    <cellStyle name="Comma 5 2 3 4 2 3" xfId="7437"/>
    <cellStyle name="Comma 5 2 3 4 2 3 2" xfId="12421"/>
    <cellStyle name="Comma 5 2 3 4 2 3 2 2" xfId="18960"/>
    <cellStyle name="Comma 5 2 3 4 2 3 3" xfId="16108"/>
    <cellStyle name="Comma 5 2 3 4 2 4" xfId="9709"/>
    <cellStyle name="Comma 5 2 3 4 2 4 2" xfId="12992"/>
    <cellStyle name="Comma 5 2 3 4 2 4 2 2" xfId="19531"/>
    <cellStyle name="Comma 5 2 3 4 2 4 3" xfId="16679"/>
    <cellStyle name="Comma 5 2 3 4 2 5" xfId="3322"/>
    <cellStyle name="Comma 5 2 3 4 2 5 2" xfId="11279"/>
    <cellStyle name="Comma 5 2 3 4 2 5 2 2" xfId="17818"/>
    <cellStyle name="Comma 5 2 3 4 2 5 3" xfId="14966"/>
    <cellStyle name="Comma 5 2 3 4 2 6" xfId="2747"/>
    <cellStyle name="Comma 5 2 3 4 2 6 2" xfId="14395"/>
    <cellStyle name="Comma 5 2 3 4 2 7" xfId="10708"/>
    <cellStyle name="Comma 5 2 3 4 2 7 2" xfId="17247"/>
    <cellStyle name="Comma 5 2 3 4 2 8" xfId="13826"/>
    <cellStyle name="Comma 5 2 3 4 3" xfId="4030"/>
    <cellStyle name="Comma 5 2 3 4 3 2" xfId="11565"/>
    <cellStyle name="Comma 5 2 3 4 3 2 2" xfId="18104"/>
    <cellStyle name="Comma 5 2 3 4 3 3" xfId="15252"/>
    <cellStyle name="Comma 5 2 3 4 4" xfId="6302"/>
    <cellStyle name="Comma 5 2 3 4 4 2" xfId="12136"/>
    <cellStyle name="Comma 5 2 3 4 4 2 2" xfId="18675"/>
    <cellStyle name="Comma 5 2 3 4 4 3" xfId="15823"/>
    <cellStyle name="Comma 5 2 3 4 5" xfId="8574"/>
    <cellStyle name="Comma 5 2 3 4 5 2" xfId="12707"/>
    <cellStyle name="Comma 5 2 3 4 5 2 2" xfId="19246"/>
    <cellStyle name="Comma 5 2 3 4 5 3" xfId="16394"/>
    <cellStyle name="Comma 5 2 3 4 6" xfId="3037"/>
    <cellStyle name="Comma 5 2 3 4 6 2" xfId="10994"/>
    <cellStyle name="Comma 5 2 3 4 6 2 2" xfId="17533"/>
    <cellStyle name="Comma 5 2 3 4 6 3" xfId="14681"/>
    <cellStyle name="Comma 5 2 3 4 7" xfId="2467"/>
    <cellStyle name="Comma 5 2 3 4 7 2" xfId="14115"/>
    <cellStyle name="Comma 5 2 3 4 8" xfId="10428"/>
    <cellStyle name="Comma 5 2 3 4 8 2" xfId="16967"/>
    <cellStyle name="Comma 5 2 3 4 9" xfId="13541"/>
    <cellStyle name="Comma 5 2 3 5" xfId="1291"/>
    <cellStyle name="Comma 5 2 3 5 2" xfId="4711"/>
    <cellStyle name="Comma 5 2 3 5 2 2" xfId="11736"/>
    <cellStyle name="Comma 5 2 3 5 2 2 2" xfId="18275"/>
    <cellStyle name="Comma 5 2 3 5 2 3" xfId="15423"/>
    <cellStyle name="Comma 5 2 3 5 3" xfId="6983"/>
    <cellStyle name="Comma 5 2 3 5 3 2" xfId="12307"/>
    <cellStyle name="Comma 5 2 3 5 3 2 2" xfId="18846"/>
    <cellStyle name="Comma 5 2 3 5 3 3" xfId="15994"/>
    <cellStyle name="Comma 5 2 3 5 4" xfId="9255"/>
    <cellStyle name="Comma 5 2 3 5 4 2" xfId="12878"/>
    <cellStyle name="Comma 5 2 3 5 4 2 2" xfId="19417"/>
    <cellStyle name="Comma 5 2 3 5 4 3" xfId="16565"/>
    <cellStyle name="Comma 5 2 3 5 5" xfId="3208"/>
    <cellStyle name="Comma 5 2 3 5 5 2" xfId="11165"/>
    <cellStyle name="Comma 5 2 3 5 5 2 2" xfId="17704"/>
    <cellStyle name="Comma 5 2 3 5 5 3" xfId="14852"/>
    <cellStyle name="Comma 5 2 3 5 6" xfId="2635"/>
    <cellStyle name="Comma 5 2 3 5 6 2" xfId="14283"/>
    <cellStyle name="Comma 5 2 3 5 7" xfId="10596"/>
    <cellStyle name="Comma 5 2 3 5 7 2" xfId="17135"/>
    <cellStyle name="Comma 5 2 3 5 8" xfId="13712"/>
    <cellStyle name="Comma 5 2 3 6" xfId="3576"/>
    <cellStyle name="Comma 5 2 3 6 2" xfId="11451"/>
    <cellStyle name="Comma 5 2 3 6 2 2" xfId="17990"/>
    <cellStyle name="Comma 5 2 3 6 3" xfId="15138"/>
    <cellStyle name="Comma 5 2 3 7" xfId="5848"/>
    <cellStyle name="Comma 5 2 3 7 2" xfId="12022"/>
    <cellStyle name="Comma 5 2 3 7 2 2" xfId="18561"/>
    <cellStyle name="Comma 5 2 3 7 3" xfId="15709"/>
    <cellStyle name="Comma 5 2 3 8" xfId="8120"/>
    <cellStyle name="Comma 5 2 3 8 2" xfId="12593"/>
    <cellStyle name="Comma 5 2 3 8 2 2" xfId="19132"/>
    <cellStyle name="Comma 5 2 3 8 3" xfId="16280"/>
    <cellStyle name="Comma 5 2 3 9" xfId="2920"/>
    <cellStyle name="Comma 5 2 3 9 2" xfId="10879"/>
    <cellStyle name="Comma 5 2 3 9 2 2" xfId="17418"/>
    <cellStyle name="Comma 5 2 3 9 3" xfId="14566"/>
    <cellStyle name="Comma 5 2 4" xfId="271"/>
    <cellStyle name="Comma 5 2 4 10" xfId="2383"/>
    <cellStyle name="Comma 5 2 4 10 2" xfId="14031"/>
    <cellStyle name="Comma 5 2 4 11" xfId="10344"/>
    <cellStyle name="Comma 5 2 4 11 2" xfId="16883"/>
    <cellStyle name="Comma 5 2 4 12" xfId="13456"/>
    <cellStyle name="Comma 5 2 4 2" xfId="498"/>
    <cellStyle name="Comma 5 2 4 2 10" xfId="13513"/>
    <cellStyle name="Comma 5 2 4 2 2" xfId="952"/>
    <cellStyle name="Comma 5 2 4 2 2 2" xfId="2087"/>
    <cellStyle name="Comma 5 2 4 2 2 2 2" xfId="5507"/>
    <cellStyle name="Comma 5 2 4 2 2 2 2 2" xfId="11936"/>
    <cellStyle name="Comma 5 2 4 2 2 2 2 2 2" xfId="18475"/>
    <cellStyle name="Comma 5 2 4 2 2 2 2 3" xfId="15623"/>
    <cellStyle name="Comma 5 2 4 2 2 2 3" xfId="7779"/>
    <cellStyle name="Comma 5 2 4 2 2 2 3 2" xfId="12507"/>
    <cellStyle name="Comma 5 2 4 2 2 2 3 2 2" xfId="19046"/>
    <cellStyle name="Comma 5 2 4 2 2 2 3 3" xfId="16194"/>
    <cellStyle name="Comma 5 2 4 2 2 2 4" xfId="10051"/>
    <cellStyle name="Comma 5 2 4 2 2 2 4 2" xfId="13078"/>
    <cellStyle name="Comma 5 2 4 2 2 2 4 2 2" xfId="19617"/>
    <cellStyle name="Comma 5 2 4 2 2 2 4 3" xfId="16765"/>
    <cellStyle name="Comma 5 2 4 2 2 2 5" xfId="3408"/>
    <cellStyle name="Comma 5 2 4 2 2 2 5 2" xfId="11365"/>
    <cellStyle name="Comma 5 2 4 2 2 2 5 2 2" xfId="17904"/>
    <cellStyle name="Comma 5 2 4 2 2 2 5 3" xfId="15052"/>
    <cellStyle name="Comma 5 2 4 2 2 2 6" xfId="2831"/>
    <cellStyle name="Comma 5 2 4 2 2 2 6 2" xfId="14479"/>
    <cellStyle name="Comma 5 2 4 2 2 2 7" xfId="10792"/>
    <cellStyle name="Comma 5 2 4 2 2 2 7 2" xfId="17331"/>
    <cellStyle name="Comma 5 2 4 2 2 2 8" xfId="13912"/>
    <cellStyle name="Comma 5 2 4 2 2 3" xfId="4372"/>
    <cellStyle name="Comma 5 2 4 2 2 3 2" xfId="11651"/>
    <cellStyle name="Comma 5 2 4 2 2 3 2 2" xfId="18190"/>
    <cellStyle name="Comma 5 2 4 2 2 3 3" xfId="15338"/>
    <cellStyle name="Comma 5 2 4 2 2 4" xfId="6644"/>
    <cellStyle name="Comma 5 2 4 2 2 4 2" xfId="12222"/>
    <cellStyle name="Comma 5 2 4 2 2 4 2 2" xfId="18761"/>
    <cellStyle name="Comma 5 2 4 2 2 4 3" xfId="15909"/>
    <cellStyle name="Comma 5 2 4 2 2 5" xfId="8916"/>
    <cellStyle name="Comma 5 2 4 2 2 5 2" xfId="12793"/>
    <cellStyle name="Comma 5 2 4 2 2 5 2 2" xfId="19332"/>
    <cellStyle name="Comma 5 2 4 2 2 5 3" xfId="16480"/>
    <cellStyle name="Comma 5 2 4 2 2 6" xfId="3123"/>
    <cellStyle name="Comma 5 2 4 2 2 6 2" xfId="11080"/>
    <cellStyle name="Comma 5 2 4 2 2 6 2 2" xfId="17619"/>
    <cellStyle name="Comma 5 2 4 2 2 6 3" xfId="14767"/>
    <cellStyle name="Comma 5 2 4 2 2 7" xfId="2551"/>
    <cellStyle name="Comma 5 2 4 2 2 7 2" xfId="14199"/>
    <cellStyle name="Comma 5 2 4 2 2 8" xfId="10512"/>
    <cellStyle name="Comma 5 2 4 2 2 8 2" xfId="17051"/>
    <cellStyle name="Comma 5 2 4 2 2 9" xfId="13627"/>
    <cellStyle name="Comma 5 2 4 2 3" xfId="1633"/>
    <cellStyle name="Comma 5 2 4 2 3 2" xfId="5053"/>
    <cellStyle name="Comma 5 2 4 2 3 2 2" xfId="11822"/>
    <cellStyle name="Comma 5 2 4 2 3 2 2 2" xfId="18361"/>
    <cellStyle name="Comma 5 2 4 2 3 2 3" xfId="15509"/>
    <cellStyle name="Comma 5 2 4 2 3 3" xfId="7325"/>
    <cellStyle name="Comma 5 2 4 2 3 3 2" xfId="12393"/>
    <cellStyle name="Comma 5 2 4 2 3 3 2 2" xfId="18932"/>
    <cellStyle name="Comma 5 2 4 2 3 3 3" xfId="16080"/>
    <cellStyle name="Comma 5 2 4 2 3 4" xfId="9597"/>
    <cellStyle name="Comma 5 2 4 2 3 4 2" xfId="12964"/>
    <cellStyle name="Comma 5 2 4 2 3 4 2 2" xfId="19503"/>
    <cellStyle name="Comma 5 2 4 2 3 4 3" xfId="16651"/>
    <cellStyle name="Comma 5 2 4 2 3 5" xfId="3294"/>
    <cellStyle name="Comma 5 2 4 2 3 5 2" xfId="11251"/>
    <cellStyle name="Comma 5 2 4 2 3 5 2 2" xfId="17790"/>
    <cellStyle name="Comma 5 2 4 2 3 5 3" xfId="14938"/>
    <cellStyle name="Comma 5 2 4 2 3 6" xfId="2719"/>
    <cellStyle name="Comma 5 2 4 2 3 6 2" xfId="14367"/>
    <cellStyle name="Comma 5 2 4 2 3 7" xfId="10680"/>
    <cellStyle name="Comma 5 2 4 2 3 7 2" xfId="17219"/>
    <cellStyle name="Comma 5 2 4 2 3 8" xfId="13798"/>
    <cellStyle name="Comma 5 2 4 2 4" xfId="3918"/>
    <cellStyle name="Comma 5 2 4 2 4 2" xfId="11537"/>
    <cellStyle name="Comma 5 2 4 2 4 2 2" xfId="18076"/>
    <cellStyle name="Comma 5 2 4 2 4 3" xfId="15224"/>
    <cellStyle name="Comma 5 2 4 2 5" xfId="6190"/>
    <cellStyle name="Comma 5 2 4 2 5 2" xfId="12108"/>
    <cellStyle name="Comma 5 2 4 2 5 2 2" xfId="18647"/>
    <cellStyle name="Comma 5 2 4 2 5 3" xfId="15795"/>
    <cellStyle name="Comma 5 2 4 2 6" xfId="8462"/>
    <cellStyle name="Comma 5 2 4 2 6 2" xfId="12679"/>
    <cellStyle name="Comma 5 2 4 2 6 2 2" xfId="19218"/>
    <cellStyle name="Comma 5 2 4 2 6 3" xfId="16366"/>
    <cellStyle name="Comma 5 2 4 2 7" xfId="3009"/>
    <cellStyle name="Comma 5 2 4 2 7 2" xfId="10966"/>
    <cellStyle name="Comma 5 2 4 2 7 2 2" xfId="17505"/>
    <cellStyle name="Comma 5 2 4 2 7 3" xfId="14653"/>
    <cellStyle name="Comma 5 2 4 2 8" xfId="2439"/>
    <cellStyle name="Comma 5 2 4 2 8 2" xfId="14087"/>
    <cellStyle name="Comma 5 2 4 2 9" xfId="10400"/>
    <cellStyle name="Comma 5 2 4 2 9 2" xfId="16939"/>
    <cellStyle name="Comma 5 2 4 3" xfId="1179"/>
    <cellStyle name="Comma 5 2 4 3 2" xfId="2314"/>
    <cellStyle name="Comma 5 2 4 3 2 2" xfId="5734"/>
    <cellStyle name="Comma 5 2 4 3 2 2 2" xfId="11993"/>
    <cellStyle name="Comma 5 2 4 3 2 2 2 2" xfId="18532"/>
    <cellStyle name="Comma 5 2 4 3 2 2 3" xfId="15680"/>
    <cellStyle name="Comma 5 2 4 3 2 3" xfId="8006"/>
    <cellStyle name="Comma 5 2 4 3 2 3 2" xfId="12564"/>
    <cellStyle name="Comma 5 2 4 3 2 3 2 2" xfId="19103"/>
    <cellStyle name="Comma 5 2 4 3 2 3 3" xfId="16251"/>
    <cellStyle name="Comma 5 2 4 3 2 4" xfId="10278"/>
    <cellStyle name="Comma 5 2 4 3 2 4 2" xfId="13135"/>
    <cellStyle name="Comma 5 2 4 3 2 4 2 2" xfId="19674"/>
    <cellStyle name="Comma 5 2 4 3 2 4 3" xfId="16822"/>
    <cellStyle name="Comma 5 2 4 3 2 5" xfId="3465"/>
    <cellStyle name="Comma 5 2 4 3 2 5 2" xfId="11422"/>
    <cellStyle name="Comma 5 2 4 3 2 5 2 2" xfId="17961"/>
    <cellStyle name="Comma 5 2 4 3 2 5 3" xfId="15109"/>
    <cellStyle name="Comma 5 2 4 3 2 6" xfId="2887"/>
    <cellStyle name="Comma 5 2 4 3 2 6 2" xfId="14535"/>
    <cellStyle name="Comma 5 2 4 3 2 7" xfId="10848"/>
    <cellStyle name="Comma 5 2 4 3 2 7 2" xfId="17387"/>
    <cellStyle name="Comma 5 2 4 3 2 8" xfId="13969"/>
    <cellStyle name="Comma 5 2 4 3 3" xfId="4599"/>
    <cellStyle name="Comma 5 2 4 3 3 2" xfId="11708"/>
    <cellStyle name="Comma 5 2 4 3 3 2 2" xfId="18247"/>
    <cellStyle name="Comma 5 2 4 3 3 3" xfId="15395"/>
    <cellStyle name="Comma 5 2 4 3 4" xfId="6871"/>
    <cellStyle name="Comma 5 2 4 3 4 2" xfId="12279"/>
    <cellStyle name="Comma 5 2 4 3 4 2 2" xfId="18818"/>
    <cellStyle name="Comma 5 2 4 3 4 3" xfId="15966"/>
    <cellStyle name="Comma 5 2 4 3 5" xfId="9143"/>
    <cellStyle name="Comma 5 2 4 3 5 2" xfId="12850"/>
    <cellStyle name="Comma 5 2 4 3 5 2 2" xfId="19389"/>
    <cellStyle name="Comma 5 2 4 3 5 3" xfId="16537"/>
    <cellStyle name="Comma 5 2 4 3 6" xfId="3180"/>
    <cellStyle name="Comma 5 2 4 3 6 2" xfId="11137"/>
    <cellStyle name="Comma 5 2 4 3 6 2 2" xfId="17676"/>
    <cellStyle name="Comma 5 2 4 3 6 3" xfId="14824"/>
    <cellStyle name="Comma 5 2 4 3 7" xfId="2607"/>
    <cellStyle name="Comma 5 2 4 3 7 2" xfId="14255"/>
    <cellStyle name="Comma 5 2 4 3 8" xfId="10568"/>
    <cellStyle name="Comma 5 2 4 3 8 2" xfId="17107"/>
    <cellStyle name="Comma 5 2 4 3 9" xfId="13684"/>
    <cellStyle name="Comma 5 2 4 4" xfId="725"/>
    <cellStyle name="Comma 5 2 4 4 2" xfId="1860"/>
    <cellStyle name="Comma 5 2 4 4 2 2" xfId="5280"/>
    <cellStyle name="Comma 5 2 4 4 2 2 2" xfId="11879"/>
    <cellStyle name="Comma 5 2 4 4 2 2 2 2" xfId="18418"/>
    <cellStyle name="Comma 5 2 4 4 2 2 3" xfId="15566"/>
    <cellStyle name="Comma 5 2 4 4 2 3" xfId="7552"/>
    <cellStyle name="Comma 5 2 4 4 2 3 2" xfId="12450"/>
    <cellStyle name="Comma 5 2 4 4 2 3 2 2" xfId="18989"/>
    <cellStyle name="Comma 5 2 4 4 2 3 3" xfId="16137"/>
    <cellStyle name="Comma 5 2 4 4 2 4" xfId="9824"/>
    <cellStyle name="Comma 5 2 4 4 2 4 2" xfId="13021"/>
    <cellStyle name="Comma 5 2 4 4 2 4 2 2" xfId="19560"/>
    <cellStyle name="Comma 5 2 4 4 2 4 3" xfId="16708"/>
    <cellStyle name="Comma 5 2 4 4 2 5" xfId="3351"/>
    <cellStyle name="Comma 5 2 4 4 2 5 2" xfId="11308"/>
    <cellStyle name="Comma 5 2 4 4 2 5 2 2" xfId="17847"/>
    <cellStyle name="Comma 5 2 4 4 2 5 3" xfId="14995"/>
    <cellStyle name="Comma 5 2 4 4 2 6" xfId="2775"/>
    <cellStyle name="Comma 5 2 4 4 2 6 2" xfId="14423"/>
    <cellStyle name="Comma 5 2 4 4 2 7" xfId="10736"/>
    <cellStyle name="Comma 5 2 4 4 2 7 2" xfId="17275"/>
    <cellStyle name="Comma 5 2 4 4 2 8" xfId="13855"/>
    <cellStyle name="Comma 5 2 4 4 3" xfId="4145"/>
    <cellStyle name="Comma 5 2 4 4 3 2" xfId="11594"/>
    <cellStyle name="Comma 5 2 4 4 3 2 2" xfId="18133"/>
    <cellStyle name="Comma 5 2 4 4 3 3" xfId="15281"/>
    <cellStyle name="Comma 5 2 4 4 4" xfId="6417"/>
    <cellStyle name="Comma 5 2 4 4 4 2" xfId="12165"/>
    <cellStyle name="Comma 5 2 4 4 4 2 2" xfId="18704"/>
    <cellStyle name="Comma 5 2 4 4 4 3" xfId="15852"/>
    <cellStyle name="Comma 5 2 4 4 5" xfId="8689"/>
    <cellStyle name="Comma 5 2 4 4 5 2" xfId="12736"/>
    <cellStyle name="Comma 5 2 4 4 5 2 2" xfId="19275"/>
    <cellStyle name="Comma 5 2 4 4 5 3" xfId="16423"/>
    <cellStyle name="Comma 5 2 4 4 6" xfId="3066"/>
    <cellStyle name="Comma 5 2 4 4 6 2" xfId="11023"/>
    <cellStyle name="Comma 5 2 4 4 6 2 2" xfId="17562"/>
    <cellStyle name="Comma 5 2 4 4 6 3" xfId="14710"/>
    <cellStyle name="Comma 5 2 4 4 7" xfId="2495"/>
    <cellStyle name="Comma 5 2 4 4 7 2" xfId="14143"/>
    <cellStyle name="Comma 5 2 4 4 8" xfId="10456"/>
    <cellStyle name="Comma 5 2 4 4 8 2" xfId="16995"/>
    <cellStyle name="Comma 5 2 4 4 9" xfId="13570"/>
    <cellStyle name="Comma 5 2 4 5" xfId="1406"/>
    <cellStyle name="Comma 5 2 4 5 2" xfId="4826"/>
    <cellStyle name="Comma 5 2 4 5 2 2" xfId="11765"/>
    <cellStyle name="Comma 5 2 4 5 2 2 2" xfId="18304"/>
    <cellStyle name="Comma 5 2 4 5 2 3" xfId="15452"/>
    <cellStyle name="Comma 5 2 4 5 3" xfId="7098"/>
    <cellStyle name="Comma 5 2 4 5 3 2" xfId="12336"/>
    <cellStyle name="Comma 5 2 4 5 3 2 2" xfId="18875"/>
    <cellStyle name="Comma 5 2 4 5 3 3" xfId="16023"/>
    <cellStyle name="Comma 5 2 4 5 4" xfId="9370"/>
    <cellStyle name="Comma 5 2 4 5 4 2" xfId="12907"/>
    <cellStyle name="Comma 5 2 4 5 4 2 2" xfId="19446"/>
    <cellStyle name="Comma 5 2 4 5 4 3" xfId="16594"/>
    <cellStyle name="Comma 5 2 4 5 5" xfId="3237"/>
    <cellStyle name="Comma 5 2 4 5 5 2" xfId="11194"/>
    <cellStyle name="Comma 5 2 4 5 5 2 2" xfId="17733"/>
    <cellStyle name="Comma 5 2 4 5 5 3" xfId="14881"/>
    <cellStyle name="Comma 5 2 4 5 6" xfId="2663"/>
    <cellStyle name="Comma 5 2 4 5 6 2" xfId="14311"/>
    <cellStyle name="Comma 5 2 4 5 7" xfId="10624"/>
    <cellStyle name="Comma 5 2 4 5 7 2" xfId="17163"/>
    <cellStyle name="Comma 5 2 4 5 8" xfId="13741"/>
    <cellStyle name="Comma 5 2 4 6" xfId="3691"/>
    <cellStyle name="Comma 5 2 4 6 2" xfId="11480"/>
    <cellStyle name="Comma 5 2 4 6 2 2" xfId="18019"/>
    <cellStyle name="Comma 5 2 4 6 3" xfId="15167"/>
    <cellStyle name="Comma 5 2 4 7" xfId="5963"/>
    <cellStyle name="Comma 5 2 4 7 2" xfId="12051"/>
    <cellStyle name="Comma 5 2 4 7 2 2" xfId="18590"/>
    <cellStyle name="Comma 5 2 4 7 3" xfId="15738"/>
    <cellStyle name="Comma 5 2 4 8" xfId="8235"/>
    <cellStyle name="Comma 5 2 4 8 2" xfId="12622"/>
    <cellStyle name="Comma 5 2 4 8 2 2" xfId="19161"/>
    <cellStyle name="Comma 5 2 4 8 3" xfId="16309"/>
    <cellStyle name="Comma 5 2 4 9" xfId="2952"/>
    <cellStyle name="Comma 5 2 4 9 2" xfId="10909"/>
    <cellStyle name="Comma 5 2 4 9 2 2" xfId="17448"/>
    <cellStyle name="Comma 5 2 4 9 3" xfId="14596"/>
    <cellStyle name="Comma 5 2 5" xfId="327"/>
    <cellStyle name="Comma 5 2 5 10" xfId="13470"/>
    <cellStyle name="Comma 5 2 5 2" xfId="781"/>
    <cellStyle name="Comma 5 2 5 2 2" xfId="1916"/>
    <cellStyle name="Comma 5 2 5 2 2 2" xfId="5336"/>
    <cellStyle name="Comma 5 2 5 2 2 2 2" xfId="11893"/>
    <cellStyle name="Comma 5 2 5 2 2 2 2 2" xfId="18432"/>
    <cellStyle name="Comma 5 2 5 2 2 2 3" xfId="15580"/>
    <cellStyle name="Comma 5 2 5 2 2 3" xfId="7608"/>
    <cellStyle name="Comma 5 2 5 2 2 3 2" xfId="12464"/>
    <cellStyle name="Comma 5 2 5 2 2 3 2 2" xfId="19003"/>
    <cellStyle name="Comma 5 2 5 2 2 3 3" xfId="16151"/>
    <cellStyle name="Comma 5 2 5 2 2 4" xfId="9880"/>
    <cellStyle name="Comma 5 2 5 2 2 4 2" xfId="13035"/>
    <cellStyle name="Comma 5 2 5 2 2 4 2 2" xfId="19574"/>
    <cellStyle name="Comma 5 2 5 2 2 4 3" xfId="16722"/>
    <cellStyle name="Comma 5 2 5 2 2 5" xfId="3365"/>
    <cellStyle name="Comma 5 2 5 2 2 5 2" xfId="11322"/>
    <cellStyle name="Comma 5 2 5 2 2 5 2 2" xfId="17861"/>
    <cellStyle name="Comma 5 2 5 2 2 5 3" xfId="15009"/>
    <cellStyle name="Comma 5 2 5 2 2 6" xfId="2789"/>
    <cellStyle name="Comma 5 2 5 2 2 6 2" xfId="14437"/>
    <cellStyle name="Comma 5 2 5 2 2 7" xfId="10750"/>
    <cellStyle name="Comma 5 2 5 2 2 7 2" xfId="17289"/>
    <cellStyle name="Comma 5 2 5 2 2 8" xfId="13869"/>
    <cellStyle name="Comma 5 2 5 2 3" xfId="4201"/>
    <cellStyle name="Comma 5 2 5 2 3 2" xfId="11608"/>
    <cellStyle name="Comma 5 2 5 2 3 2 2" xfId="18147"/>
    <cellStyle name="Comma 5 2 5 2 3 3" xfId="15295"/>
    <cellStyle name="Comma 5 2 5 2 4" xfId="6473"/>
    <cellStyle name="Comma 5 2 5 2 4 2" xfId="12179"/>
    <cellStyle name="Comma 5 2 5 2 4 2 2" xfId="18718"/>
    <cellStyle name="Comma 5 2 5 2 4 3" xfId="15866"/>
    <cellStyle name="Comma 5 2 5 2 5" xfId="8745"/>
    <cellStyle name="Comma 5 2 5 2 5 2" xfId="12750"/>
    <cellStyle name="Comma 5 2 5 2 5 2 2" xfId="19289"/>
    <cellStyle name="Comma 5 2 5 2 5 3" xfId="16437"/>
    <cellStyle name="Comma 5 2 5 2 6" xfId="3080"/>
    <cellStyle name="Comma 5 2 5 2 6 2" xfId="11037"/>
    <cellStyle name="Comma 5 2 5 2 6 2 2" xfId="17576"/>
    <cellStyle name="Comma 5 2 5 2 6 3" xfId="14724"/>
    <cellStyle name="Comma 5 2 5 2 7" xfId="2509"/>
    <cellStyle name="Comma 5 2 5 2 7 2" xfId="14157"/>
    <cellStyle name="Comma 5 2 5 2 8" xfId="10470"/>
    <cellStyle name="Comma 5 2 5 2 8 2" xfId="17009"/>
    <cellStyle name="Comma 5 2 5 2 9" xfId="13584"/>
    <cellStyle name="Comma 5 2 5 3" xfId="1462"/>
    <cellStyle name="Comma 5 2 5 3 2" xfId="4882"/>
    <cellStyle name="Comma 5 2 5 3 2 2" xfId="11779"/>
    <cellStyle name="Comma 5 2 5 3 2 2 2" xfId="18318"/>
    <cellStyle name="Comma 5 2 5 3 2 3" xfId="15466"/>
    <cellStyle name="Comma 5 2 5 3 3" xfId="7154"/>
    <cellStyle name="Comma 5 2 5 3 3 2" xfId="12350"/>
    <cellStyle name="Comma 5 2 5 3 3 2 2" xfId="18889"/>
    <cellStyle name="Comma 5 2 5 3 3 3" xfId="16037"/>
    <cellStyle name="Comma 5 2 5 3 4" xfId="9426"/>
    <cellStyle name="Comma 5 2 5 3 4 2" xfId="12921"/>
    <cellStyle name="Comma 5 2 5 3 4 2 2" xfId="19460"/>
    <cellStyle name="Comma 5 2 5 3 4 3" xfId="16608"/>
    <cellStyle name="Comma 5 2 5 3 5" xfId="3251"/>
    <cellStyle name="Comma 5 2 5 3 5 2" xfId="11208"/>
    <cellStyle name="Comma 5 2 5 3 5 2 2" xfId="17747"/>
    <cellStyle name="Comma 5 2 5 3 5 3" xfId="14895"/>
    <cellStyle name="Comma 5 2 5 3 6" xfId="2677"/>
    <cellStyle name="Comma 5 2 5 3 6 2" xfId="14325"/>
    <cellStyle name="Comma 5 2 5 3 7" xfId="10638"/>
    <cellStyle name="Comma 5 2 5 3 7 2" xfId="17177"/>
    <cellStyle name="Comma 5 2 5 3 8" xfId="13755"/>
    <cellStyle name="Comma 5 2 5 4" xfId="3747"/>
    <cellStyle name="Comma 5 2 5 4 2" xfId="11494"/>
    <cellStyle name="Comma 5 2 5 4 2 2" xfId="18033"/>
    <cellStyle name="Comma 5 2 5 4 3" xfId="15181"/>
    <cellStyle name="Comma 5 2 5 5" xfId="6019"/>
    <cellStyle name="Comma 5 2 5 5 2" xfId="12065"/>
    <cellStyle name="Comma 5 2 5 5 2 2" xfId="18604"/>
    <cellStyle name="Comma 5 2 5 5 3" xfId="15752"/>
    <cellStyle name="Comma 5 2 5 6" xfId="8291"/>
    <cellStyle name="Comma 5 2 5 6 2" xfId="12636"/>
    <cellStyle name="Comma 5 2 5 6 2 2" xfId="19175"/>
    <cellStyle name="Comma 5 2 5 6 3" xfId="16323"/>
    <cellStyle name="Comma 5 2 5 7" xfId="2966"/>
    <cellStyle name="Comma 5 2 5 7 2" xfId="10923"/>
    <cellStyle name="Comma 5 2 5 7 2 2" xfId="17462"/>
    <cellStyle name="Comma 5 2 5 7 3" xfId="14610"/>
    <cellStyle name="Comma 5 2 5 8" xfId="2397"/>
    <cellStyle name="Comma 5 2 5 8 2" xfId="14045"/>
    <cellStyle name="Comma 5 2 5 9" xfId="10358"/>
    <cellStyle name="Comma 5 2 5 9 2" xfId="16897"/>
    <cellStyle name="Comma 5 2 6" xfId="1008"/>
    <cellStyle name="Comma 5 2 6 2" xfId="2143"/>
    <cellStyle name="Comma 5 2 6 2 2" xfId="5563"/>
    <cellStyle name="Comma 5 2 6 2 2 2" xfId="11950"/>
    <cellStyle name="Comma 5 2 6 2 2 2 2" xfId="18489"/>
    <cellStyle name="Comma 5 2 6 2 2 3" xfId="15637"/>
    <cellStyle name="Comma 5 2 6 2 3" xfId="7835"/>
    <cellStyle name="Comma 5 2 6 2 3 2" xfId="12521"/>
    <cellStyle name="Comma 5 2 6 2 3 2 2" xfId="19060"/>
    <cellStyle name="Comma 5 2 6 2 3 3" xfId="16208"/>
    <cellStyle name="Comma 5 2 6 2 4" xfId="10107"/>
    <cellStyle name="Comma 5 2 6 2 4 2" xfId="13092"/>
    <cellStyle name="Comma 5 2 6 2 4 2 2" xfId="19631"/>
    <cellStyle name="Comma 5 2 6 2 4 3" xfId="16779"/>
    <cellStyle name="Comma 5 2 6 2 5" xfId="3422"/>
    <cellStyle name="Comma 5 2 6 2 5 2" xfId="11379"/>
    <cellStyle name="Comma 5 2 6 2 5 2 2" xfId="17918"/>
    <cellStyle name="Comma 5 2 6 2 5 3" xfId="15066"/>
    <cellStyle name="Comma 5 2 6 2 6" xfId="2845"/>
    <cellStyle name="Comma 5 2 6 2 6 2" xfId="14493"/>
    <cellStyle name="Comma 5 2 6 2 7" xfId="10806"/>
    <cellStyle name="Comma 5 2 6 2 7 2" xfId="17345"/>
    <cellStyle name="Comma 5 2 6 2 8" xfId="13926"/>
    <cellStyle name="Comma 5 2 6 3" xfId="4428"/>
    <cellStyle name="Comma 5 2 6 3 2" xfId="11665"/>
    <cellStyle name="Comma 5 2 6 3 2 2" xfId="18204"/>
    <cellStyle name="Comma 5 2 6 3 3" xfId="15352"/>
    <cellStyle name="Comma 5 2 6 4" xfId="6700"/>
    <cellStyle name="Comma 5 2 6 4 2" xfId="12236"/>
    <cellStyle name="Comma 5 2 6 4 2 2" xfId="18775"/>
    <cellStyle name="Comma 5 2 6 4 3" xfId="15923"/>
    <cellStyle name="Comma 5 2 6 5" xfId="8972"/>
    <cellStyle name="Comma 5 2 6 5 2" xfId="12807"/>
    <cellStyle name="Comma 5 2 6 5 2 2" xfId="19346"/>
    <cellStyle name="Comma 5 2 6 5 3" xfId="16494"/>
    <cellStyle name="Comma 5 2 6 6" xfId="3137"/>
    <cellStyle name="Comma 5 2 6 6 2" xfId="11094"/>
    <cellStyle name="Comma 5 2 6 6 2 2" xfId="17633"/>
    <cellStyle name="Comma 5 2 6 6 3" xfId="14781"/>
    <cellStyle name="Comma 5 2 6 7" xfId="2565"/>
    <cellStyle name="Comma 5 2 6 7 2" xfId="14213"/>
    <cellStyle name="Comma 5 2 6 8" xfId="10526"/>
    <cellStyle name="Comma 5 2 6 8 2" xfId="17065"/>
    <cellStyle name="Comma 5 2 6 9" xfId="13641"/>
    <cellStyle name="Comma 5 2 7" xfId="554"/>
    <cellStyle name="Comma 5 2 7 2" xfId="1689"/>
    <cellStyle name="Comma 5 2 7 2 2" xfId="5109"/>
    <cellStyle name="Comma 5 2 7 2 2 2" xfId="11836"/>
    <cellStyle name="Comma 5 2 7 2 2 2 2" xfId="18375"/>
    <cellStyle name="Comma 5 2 7 2 2 3" xfId="15523"/>
    <cellStyle name="Comma 5 2 7 2 3" xfId="7381"/>
    <cellStyle name="Comma 5 2 7 2 3 2" xfId="12407"/>
    <cellStyle name="Comma 5 2 7 2 3 2 2" xfId="18946"/>
    <cellStyle name="Comma 5 2 7 2 3 3" xfId="16094"/>
    <cellStyle name="Comma 5 2 7 2 4" xfId="9653"/>
    <cellStyle name="Comma 5 2 7 2 4 2" xfId="12978"/>
    <cellStyle name="Comma 5 2 7 2 4 2 2" xfId="19517"/>
    <cellStyle name="Comma 5 2 7 2 4 3" xfId="16665"/>
    <cellStyle name="Comma 5 2 7 2 5" xfId="3308"/>
    <cellStyle name="Comma 5 2 7 2 5 2" xfId="11265"/>
    <cellStyle name="Comma 5 2 7 2 5 2 2" xfId="17804"/>
    <cellStyle name="Comma 5 2 7 2 5 3" xfId="14952"/>
    <cellStyle name="Comma 5 2 7 2 6" xfId="2733"/>
    <cellStyle name="Comma 5 2 7 2 6 2" xfId="14381"/>
    <cellStyle name="Comma 5 2 7 2 7" xfId="10694"/>
    <cellStyle name="Comma 5 2 7 2 7 2" xfId="17233"/>
    <cellStyle name="Comma 5 2 7 2 8" xfId="13812"/>
    <cellStyle name="Comma 5 2 7 3" xfId="3974"/>
    <cellStyle name="Comma 5 2 7 3 2" xfId="11551"/>
    <cellStyle name="Comma 5 2 7 3 2 2" xfId="18090"/>
    <cellStyle name="Comma 5 2 7 3 3" xfId="15238"/>
    <cellStyle name="Comma 5 2 7 4" xfId="6246"/>
    <cellStyle name="Comma 5 2 7 4 2" xfId="12122"/>
    <cellStyle name="Comma 5 2 7 4 2 2" xfId="18661"/>
    <cellStyle name="Comma 5 2 7 4 3" xfId="15809"/>
    <cellStyle name="Comma 5 2 7 5" xfId="8518"/>
    <cellStyle name="Comma 5 2 7 5 2" xfId="12693"/>
    <cellStyle name="Comma 5 2 7 5 2 2" xfId="19232"/>
    <cellStyle name="Comma 5 2 7 5 3" xfId="16380"/>
    <cellStyle name="Comma 5 2 7 6" xfId="3023"/>
    <cellStyle name="Comma 5 2 7 6 2" xfId="10980"/>
    <cellStyle name="Comma 5 2 7 6 2 2" xfId="17519"/>
    <cellStyle name="Comma 5 2 7 6 3" xfId="14667"/>
    <cellStyle name="Comma 5 2 7 7" xfId="2453"/>
    <cellStyle name="Comma 5 2 7 7 2" xfId="14101"/>
    <cellStyle name="Comma 5 2 7 8" xfId="10414"/>
    <cellStyle name="Comma 5 2 7 8 2" xfId="16953"/>
    <cellStyle name="Comma 5 2 7 9" xfId="13527"/>
    <cellStyle name="Comma 5 2 8" xfId="1235"/>
    <cellStyle name="Comma 5 2 8 2" xfId="4655"/>
    <cellStyle name="Comma 5 2 8 2 2" xfId="11722"/>
    <cellStyle name="Comma 5 2 8 2 2 2" xfId="18261"/>
    <cellStyle name="Comma 5 2 8 2 3" xfId="15409"/>
    <cellStyle name="Comma 5 2 8 3" xfId="6927"/>
    <cellStyle name="Comma 5 2 8 3 2" xfId="12293"/>
    <cellStyle name="Comma 5 2 8 3 2 2" xfId="18832"/>
    <cellStyle name="Comma 5 2 8 3 3" xfId="15980"/>
    <cellStyle name="Comma 5 2 8 4" xfId="9199"/>
    <cellStyle name="Comma 5 2 8 4 2" xfId="12864"/>
    <cellStyle name="Comma 5 2 8 4 2 2" xfId="19403"/>
    <cellStyle name="Comma 5 2 8 4 3" xfId="16551"/>
    <cellStyle name="Comma 5 2 8 5" xfId="3194"/>
    <cellStyle name="Comma 5 2 8 5 2" xfId="11151"/>
    <cellStyle name="Comma 5 2 8 5 2 2" xfId="17690"/>
    <cellStyle name="Comma 5 2 8 5 3" xfId="14838"/>
    <cellStyle name="Comma 5 2 8 6" xfId="2621"/>
    <cellStyle name="Comma 5 2 8 6 2" xfId="14269"/>
    <cellStyle name="Comma 5 2 8 7" xfId="10582"/>
    <cellStyle name="Comma 5 2 8 7 2" xfId="17121"/>
    <cellStyle name="Comma 5 2 8 8" xfId="13698"/>
    <cellStyle name="Comma 5 2 9" xfId="3520"/>
    <cellStyle name="Comma 5 2 9 2" xfId="11437"/>
    <cellStyle name="Comma 5 2 9 2 2" xfId="17976"/>
    <cellStyle name="Comma 5 2 9 3" xfId="15124"/>
    <cellStyle name="Comma 5 20" xfId="19850"/>
    <cellStyle name="Comma 5 21" xfId="19887"/>
    <cellStyle name="Comma 5 3" xfId="173"/>
    <cellStyle name="Comma 5 3 10" xfId="2361"/>
    <cellStyle name="Comma 5 3 10 2" xfId="14009"/>
    <cellStyle name="Comma 5 3 11" xfId="10322"/>
    <cellStyle name="Comma 5 3 11 2" xfId="16861"/>
    <cellStyle name="Comma 5 3 12" xfId="13433"/>
    <cellStyle name="Comma 5 3 13" xfId="20094"/>
    <cellStyle name="Comma 5 3 2" xfId="411"/>
    <cellStyle name="Comma 5 3 2 10" xfId="13491"/>
    <cellStyle name="Comma 5 3 2 11" xfId="20258"/>
    <cellStyle name="Comma 5 3 2 2" xfId="865"/>
    <cellStyle name="Comma 5 3 2 2 2" xfId="2000"/>
    <cellStyle name="Comma 5 3 2 2 2 2" xfId="5420"/>
    <cellStyle name="Comma 5 3 2 2 2 2 2" xfId="11914"/>
    <cellStyle name="Comma 5 3 2 2 2 2 2 2" xfId="18453"/>
    <cellStyle name="Comma 5 3 2 2 2 2 3" xfId="15601"/>
    <cellStyle name="Comma 5 3 2 2 2 3" xfId="7692"/>
    <cellStyle name="Comma 5 3 2 2 2 3 2" xfId="12485"/>
    <cellStyle name="Comma 5 3 2 2 2 3 2 2" xfId="19024"/>
    <cellStyle name="Comma 5 3 2 2 2 3 3" xfId="16172"/>
    <cellStyle name="Comma 5 3 2 2 2 4" xfId="9964"/>
    <cellStyle name="Comma 5 3 2 2 2 4 2" xfId="13056"/>
    <cellStyle name="Comma 5 3 2 2 2 4 2 2" xfId="19595"/>
    <cellStyle name="Comma 5 3 2 2 2 4 3" xfId="16743"/>
    <cellStyle name="Comma 5 3 2 2 2 5" xfId="3386"/>
    <cellStyle name="Comma 5 3 2 2 2 5 2" xfId="11343"/>
    <cellStyle name="Comma 5 3 2 2 2 5 2 2" xfId="17882"/>
    <cellStyle name="Comma 5 3 2 2 2 5 3" xfId="15030"/>
    <cellStyle name="Comma 5 3 2 2 2 6" xfId="2810"/>
    <cellStyle name="Comma 5 3 2 2 2 6 2" xfId="14458"/>
    <cellStyle name="Comma 5 3 2 2 2 7" xfId="10771"/>
    <cellStyle name="Comma 5 3 2 2 2 7 2" xfId="17310"/>
    <cellStyle name="Comma 5 3 2 2 2 8" xfId="13890"/>
    <cellStyle name="Comma 5 3 2 2 3" xfId="4285"/>
    <cellStyle name="Comma 5 3 2 2 3 2" xfId="11629"/>
    <cellStyle name="Comma 5 3 2 2 3 2 2" xfId="18168"/>
    <cellStyle name="Comma 5 3 2 2 3 3" xfId="15316"/>
    <cellStyle name="Comma 5 3 2 2 4" xfId="6557"/>
    <cellStyle name="Comma 5 3 2 2 4 2" xfId="12200"/>
    <cellStyle name="Comma 5 3 2 2 4 2 2" xfId="18739"/>
    <cellStyle name="Comma 5 3 2 2 4 3" xfId="15887"/>
    <cellStyle name="Comma 5 3 2 2 5" xfId="8829"/>
    <cellStyle name="Comma 5 3 2 2 5 2" xfId="12771"/>
    <cellStyle name="Comma 5 3 2 2 5 2 2" xfId="19310"/>
    <cellStyle name="Comma 5 3 2 2 5 3" xfId="16458"/>
    <cellStyle name="Comma 5 3 2 2 6" xfId="3101"/>
    <cellStyle name="Comma 5 3 2 2 6 2" xfId="11058"/>
    <cellStyle name="Comma 5 3 2 2 6 2 2" xfId="17597"/>
    <cellStyle name="Comma 5 3 2 2 6 3" xfId="14745"/>
    <cellStyle name="Comma 5 3 2 2 7" xfId="2530"/>
    <cellStyle name="Comma 5 3 2 2 7 2" xfId="14178"/>
    <cellStyle name="Comma 5 3 2 2 8" xfId="10491"/>
    <cellStyle name="Comma 5 3 2 2 8 2" xfId="17030"/>
    <cellStyle name="Comma 5 3 2 2 9" xfId="13605"/>
    <cellStyle name="Comma 5 3 2 3" xfId="1546"/>
    <cellStyle name="Comma 5 3 2 3 2" xfId="4966"/>
    <cellStyle name="Comma 5 3 2 3 2 2" xfId="11800"/>
    <cellStyle name="Comma 5 3 2 3 2 2 2" xfId="18339"/>
    <cellStyle name="Comma 5 3 2 3 2 3" xfId="15487"/>
    <cellStyle name="Comma 5 3 2 3 3" xfId="7238"/>
    <cellStyle name="Comma 5 3 2 3 3 2" xfId="12371"/>
    <cellStyle name="Comma 5 3 2 3 3 2 2" xfId="18910"/>
    <cellStyle name="Comma 5 3 2 3 3 3" xfId="16058"/>
    <cellStyle name="Comma 5 3 2 3 4" xfId="9510"/>
    <cellStyle name="Comma 5 3 2 3 4 2" xfId="12942"/>
    <cellStyle name="Comma 5 3 2 3 4 2 2" xfId="19481"/>
    <cellStyle name="Comma 5 3 2 3 4 3" xfId="16629"/>
    <cellStyle name="Comma 5 3 2 3 5" xfId="3272"/>
    <cellStyle name="Comma 5 3 2 3 5 2" xfId="11229"/>
    <cellStyle name="Comma 5 3 2 3 5 2 2" xfId="17768"/>
    <cellStyle name="Comma 5 3 2 3 5 3" xfId="14916"/>
    <cellStyle name="Comma 5 3 2 3 6" xfId="2698"/>
    <cellStyle name="Comma 5 3 2 3 6 2" xfId="14346"/>
    <cellStyle name="Comma 5 3 2 3 7" xfId="10659"/>
    <cellStyle name="Comma 5 3 2 3 7 2" xfId="17198"/>
    <cellStyle name="Comma 5 3 2 3 8" xfId="13776"/>
    <cellStyle name="Comma 5 3 2 4" xfId="3831"/>
    <cellStyle name="Comma 5 3 2 4 2" xfId="11515"/>
    <cellStyle name="Comma 5 3 2 4 2 2" xfId="18054"/>
    <cellStyle name="Comma 5 3 2 4 3" xfId="15202"/>
    <cellStyle name="Comma 5 3 2 5" xfId="6103"/>
    <cellStyle name="Comma 5 3 2 5 2" xfId="12086"/>
    <cellStyle name="Comma 5 3 2 5 2 2" xfId="18625"/>
    <cellStyle name="Comma 5 3 2 5 3" xfId="15773"/>
    <cellStyle name="Comma 5 3 2 6" xfId="8375"/>
    <cellStyle name="Comma 5 3 2 6 2" xfId="12657"/>
    <cellStyle name="Comma 5 3 2 6 2 2" xfId="19196"/>
    <cellStyle name="Comma 5 3 2 6 3" xfId="16344"/>
    <cellStyle name="Comma 5 3 2 7" xfId="2987"/>
    <cellStyle name="Comma 5 3 2 7 2" xfId="10944"/>
    <cellStyle name="Comma 5 3 2 7 2 2" xfId="17483"/>
    <cellStyle name="Comma 5 3 2 7 3" xfId="14631"/>
    <cellStyle name="Comma 5 3 2 8" xfId="2418"/>
    <cellStyle name="Comma 5 3 2 8 2" xfId="14066"/>
    <cellStyle name="Comma 5 3 2 9" xfId="10379"/>
    <cellStyle name="Comma 5 3 2 9 2" xfId="16918"/>
    <cellStyle name="Comma 5 3 3" xfId="1092"/>
    <cellStyle name="Comma 5 3 3 10" xfId="20331"/>
    <cellStyle name="Comma 5 3 3 2" xfId="2227"/>
    <cellStyle name="Comma 5 3 3 2 2" xfId="5647"/>
    <cellStyle name="Comma 5 3 3 2 2 2" xfId="11971"/>
    <cellStyle name="Comma 5 3 3 2 2 2 2" xfId="18510"/>
    <cellStyle name="Comma 5 3 3 2 2 3" xfId="15658"/>
    <cellStyle name="Comma 5 3 3 2 3" xfId="7919"/>
    <cellStyle name="Comma 5 3 3 2 3 2" xfId="12542"/>
    <cellStyle name="Comma 5 3 3 2 3 2 2" xfId="19081"/>
    <cellStyle name="Comma 5 3 3 2 3 3" xfId="16229"/>
    <cellStyle name="Comma 5 3 3 2 4" xfId="10191"/>
    <cellStyle name="Comma 5 3 3 2 4 2" xfId="13113"/>
    <cellStyle name="Comma 5 3 3 2 4 2 2" xfId="19652"/>
    <cellStyle name="Comma 5 3 3 2 4 3" xfId="16800"/>
    <cellStyle name="Comma 5 3 3 2 5" xfId="3443"/>
    <cellStyle name="Comma 5 3 3 2 5 2" xfId="11400"/>
    <cellStyle name="Comma 5 3 3 2 5 2 2" xfId="17939"/>
    <cellStyle name="Comma 5 3 3 2 5 3" xfId="15087"/>
    <cellStyle name="Comma 5 3 3 2 6" xfId="2866"/>
    <cellStyle name="Comma 5 3 3 2 6 2" xfId="14514"/>
    <cellStyle name="Comma 5 3 3 2 7" xfId="10827"/>
    <cellStyle name="Comma 5 3 3 2 7 2" xfId="17366"/>
    <cellStyle name="Comma 5 3 3 2 8" xfId="13947"/>
    <cellStyle name="Comma 5 3 3 3" xfId="4512"/>
    <cellStyle name="Comma 5 3 3 3 2" xfId="11686"/>
    <cellStyle name="Comma 5 3 3 3 2 2" xfId="18225"/>
    <cellStyle name="Comma 5 3 3 3 3" xfId="15373"/>
    <cellStyle name="Comma 5 3 3 4" xfId="6784"/>
    <cellStyle name="Comma 5 3 3 4 2" xfId="12257"/>
    <cellStyle name="Comma 5 3 3 4 2 2" xfId="18796"/>
    <cellStyle name="Comma 5 3 3 4 3" xfId="15944"/>
    <cellStyle name="Comma 5 3 3 5" xfId="9056"/>
    <cellStyle name="Comma 5 3 3 5 2" xfId="12828"/>
    <cellStyle name="Comma 5 3 3 5 2 2" xfId="19367"/>
    <cellStyle name="Comma 5 3 3 5 3" xfId="16515"/>
    <cellStyle name="Comma 5 3 3 6" xfId="3158"/>
    <cellStyle name="Comma 5 3 3 6 2" xfId="11115"/>
    <cellStyle name="Comma 5 3 3 6 2 2" xfId="17654"/>
    <cellStyle name="Comma 5 3 3 6 3" xfId="14802"/>
    <cellStyle name="Comma 5 3 3 7" xfId="2586"/>
    <cellStyle name="Comma 5 3 3 7 2" xfId="14234"/>
    <cellStyle name="Comma 5 3 3 8" xfId="10547"/>
    <cellStyle name="Comma 5 3 3 8 2" xfId="17086"/>
    <cellStyle name="Comma 5 3 3 9" xfId="13662"/>
    <cellStyle name="Comma 5 3 4" xfId="638"/>
    <cellStyle name="Comma 5 3 4 2" xfId="1773"/>
    <cellStyle name="Comma 5 3 4 2 2" xfId="5193"/>
    <cellStyle name="Comma 5 3 4 2 2 2" xfId="11857"/>
    <cellStyle name="Comma 5 3 4 2 2 2 2" xfId="18396"/>
    <cellStyle name="Comma 5 3 4 2 2 3" xfId="15544"/>
    <cellStyle name="Comma 5 3 4 2 3" xfId="7465"/>
    <cellStyle name="Comma 5 3 4 2 3 2" xfId="12428"/>
    <cellStyle name="Comma 5 3 4 2 3 2 2" xfId="18967"/>
    <cellStyle name="Comma 5 3 4 2 3 3" xfId="16115"/>
    <cellStyle name="Comma 5 3 4 2 4" xfId="9737"/>
    <cellStyle name="Comma 5 3 4 2 4 2" xfId="12999"/>
    <cellStyle name="Comma 5 3 4 2 4 2 2" xfId="19538"/>
    <cellStyle name="Comma 5 3 4 2 4 3" xfId="16686"/>
    <cellStyle name="Comma 5 3 4 2 5" xfId="3329"/>
    <cellStyle name="Comma 5 3 4 2 5 2" xfId="11286"/>
    <cellStyle name="Comma 5 3 4 2 5 2 2" xfId="17825"/>
    <cellStyle name="Comma 5 3 4 2 5 3" xfId="14973"/>
    <cellStyle name="Comma 5 3 4 2 6" xfId="2754"/>
    <cellStyle name="Comma 5 3 4 2 6 2" xfId="14402"/>
    <cellStyle name="Comma 5 3 4 2 7" xfId="10715"/>
    <cellStyle name="Comma 5 3 4 2 7 2" xfId="17254"/>
    <cellStyle name="Comma 5 3 4 2 8" xfId="13833"/>
    <cellStyle name="Comma 5 3 4 3" xfId="4058"/>
    <cellStyle name="Comma 5 3 4 3 2" xfId="11572"/>
    <cellStyle name="Comma 5 3 4 3 2 2" xfId="18111"/>
    <cellStyle name="Comma 5 3 4 3 3" xfId="15259"/>
    <cellStyle name="Comma 5 3 4 4" xfId="6330"/>
    <cellStyle name="Comma 5 3 4 4 2" xfId="12143"/>
    <cellStyle name="Comma 5 3 4 4 2 2" xfId="18682"/>
    <cellStyle name="Comma 5 3 4 4 3" xfId="15830"/>
    <cellStyle name="Comma 5 3 4 5" xfId="8602"/>
    <cellStyle name="Comma 5 3 4 5 2" xfId="12714"/>
    <cellStyle name="Comma 5 3 4 5 2 2" xfId="19253"/>
    <cellStyle name="Comma 5 3 4 5 3" xfId="16401"/>
    <cellStyle name="Comma 5 3 4 6" xfId="3044"/>
    <cellStyle name="Comma 5 3 4 6 2" xfId="11001"/>
    <cellStyle name="Comma 5 3 4 6 2 2" xfId="17540"/>
    <cellStyle name="Comma 5 3 4 6 3" xfId="14688"/>
    <cellStyle name="Comma 5 3 4 7" xfId="2474"/>
    <cellStyle name="Comma 5 3 4 7 2" xfId="14122"/>
    <cellStyle name="Comma 5 3 4 8" xfId="10435"/>
    <cellStyle name="Comma 5 3 4 8 2" xfId="16974"/>
    <cellStyle name="Comma 5 3 4 9" xfId="13548"/>
    <cellStyle name="Comma 5 3 5" xfId="1319"/>
    <cellStyle name="Comma 5 3 5 2" xfId="4739"/>
    <cellStyle name="Comma 5 3 5 2 2" xfId="11743"/>
    <cellStyle name="Comma 5 3 5 2 2 2" xfId="18282"/>
    <cellStyle name="Comma 5 3 5 2 3" xfId="15430"/>
    <cellStyle name="Comma 5 3 5 3" xfId="7011"/>
    <cellStyle name="Comma 5 3 5 3 2" xfId="12314"/>
    <cellStyle name="Comma 5 3 5 3 2 2" xfId="18853"/>
    <cellStyle name="Comma 5 3 5 3 3" xfId="16001"/>
    <cellStyle name="Comma 5 3 5 4" xfId="9283"/>
    <cellStyle name="Comma 5 3 5 4 2" xfId="12885"/>
    <cellStyle name="Comma 5 3 5 4 2 2" xfId="19424"/>
    <cellStyle name="Comma 5 3 5 4 3" xfId="16572"/>
    <cellStyle name="Comma 5 3 5 5" xfId="3215"/>
    <cellStyle name="Comma 5 3 5 5 2" xfId="11172"/>
    <cellStyle name="Comma 5 3 5 5 2 2" xfId="17711"/>
    <cellStyle name="Comma 5 3 5 5 3" xfId="14859"/>
    <cellStyle name="Comma 5 3 5 6" xfId="2642"/>
    <cellStyle name="Comma 5 3 5 6 2" xfId="14290"/>
    <cellStyle name="Comma 5 3 5 7" xfId="10603"/>
    <cellStyle name="Comma 5 3 5 7 2" xfId="17142"/>
    <cellStyle name="Comma 5 3 5 8" xfId="13719"/>
    <cellStyle name="Comma 5 3 6" xfId="3604"/>
    <cellStyle name="Comma 5 3 6 2" xfId="11458"/>
    <cellStyle name="Comma 5 3 6 2 2" xfId="17997"/>
    <cellStyle name="Comma 5 3 6 3" xfId="15145"/>
    <cellStyle name="Comma 5 3 7" xfId="5876"/>
    <cellStyle name="Comma 5 3 7 2" xfId="12029"/>
    <cellStyle name="Comma 5 3 7 2 2" xfId="18568"/>
    <cellStyle name="Comma 5 3 7 3" xfId="15716"/>
    <cellStyle name="Comma 5 3 8" xfId="8148"/>
    <cellStyle name="Comma 5 3 8 2" xfId="12600"/>
    <cellStyle name="Comma 5 3 8 2 2" xfId="19139"/>
    <cellStyle name="Comma 5 3 8 3" xfId="16287"/>
    <cellStyle name="Comma 5 3 9" xfId="2927"/>
    <cellStyle name="Comma 5 3 9 2" xfId="10886"/>
    <cellStyle name="Comma 5 3 9 2 2" xfId="17425"/>
    <cellStyle name="Comma 5 3 9 3" xfId="14573"/>
    <cellStyle name="Comma 5 4" xfId="117"/>
    <cellStyle name="Comma 5 4 10" xfId="2347"/>
    <cellStyle name="Comma 5 4 10 2" xfId="13995"/>
    <cellStyle name="Comma 5 4 11" xfId="10308"/>
    <cellStyle name="Comma 5 4 11 2" xfId="16847"/>
    <cellStyle name="Comma 5 4 12" xfId="13419"/>
    <cellStyle name="Comma 5 4 2" xfId="355"/>
    <cellStyle name="Comma 5 4 2 10" xfId="13477"/>
    <cellStyle name="Comma 5 4 2 2" xfId="809"/>
    <cellStyle name="Comma 5 4 2 2 2" xfId="1944"/>
    <cellStyle name="Comma 5 4 2 2 2 2" xfId="5364"/>
    <cellStyle name="Comma 5 4 2 2 2 2 2" xfId="11900"/>
    <cellStyle name="Comma 5 4 2 2 2 2 2 2" xfId="18439"/>
    <cellStyle name="Comma 5 4 2 2 2 2 3" xfId="15587"/>
    <cellStyle name="Comma 5 4 2 2 2 3" xfId="7636"/>
    <cellStyle name="Comma 5 4 2 2 2 3 2" xfId="12471"/>
    <cellStyle name="Comma 5 4 2 2 2 3 2 2" xfId="19010"/>
    <cellStyle name="Comma 5 4 2 2 2 3 3" xfId="16158"/>
    <cellStyle name="Comma 5 4 2 2 2 4" xfId="9908"/>
    <cellStyle name="Comma 5 4 2 2 2 4 2" xfId="13042"/>
    <cellStyle name="Comma 5 4 2 2 2 4 2 2" xfId="19581"/>
    <cellStyle name="Comma 5 4 2 2 2 4 3" xfId="16729"/>
    <cellStyle name="Comma 5 4 2 2 2 5" xfId="3372"/>
    <cellStyle name="Comma 5 4 2 2 2 5 2" xfId="11329"/>
    <cellStyle name="Comma 5 4 2 2 2 5 2 2" xfId="17868"/>
    <cellStyle name="Comma 5 4 2 2 2 5 3" xfId="15016"/>
    <cellStyle name="Comma 5 4 2 2 2 6" xfId="2796"/>
    <cellStyle name="Comma 5 4 2 2 2 6 2" xfId="14444"/>
    <cellStyle name="Comma 5 4 2 2 2 7" xfId="10757"/>
    <cellStyle name="Comma 5 4 2 2 2 7 2" xfId="17296"/>
    <cellStyle name="Comma 5 4 2 2 2 8" xfId="13876"/>
    <cellStyle name="Comma 5 4 2 2 3" xfId="4229"/>
    <cellStyle name="Comma 5 4 2 2 3 2" xfId="11615"/>
    <cellStyle name="Comma 5 4 2 2 3 2 2" xfId="18154"/>
    <cellStyle name="Comma 5 4 2 2 3 3" xfId="15302"/>
    <cellStyle name="Comma 5 4 2 2 4" xfId="6501"/>
    <cellStyle name="Comma 5 4 2 2 4 2" xfId="12186"/>
    <cellStyle name="Comma 5 4 2 2 4 2 2" xfId="18725"/>
    <cellStyle name="Comma 5 4 2 2 4 3" xfId="15873"/>
    <cellStyle name="Comma 5 4 2 2 5" xfId="8773"/>
    <cellStyle name="Comma 5 4 2 2 5 2" xfId="12757"/>
    <cellStyle name="Comma 5 4 2 2 5 2 2" xfId="19296"/>
    <cellStyle name="Comma 5 4 2 2 5 3" xfId="16444"/>
    <cellStyle name="Comma 5 4 2 2 6" xfId="3087"/>
    <cellStyle name="Comma 5 4 2 2 6 2" xfId="11044"/>
    <cellStyle name="Comma 5 4 2 2 6 2 2" xfId="17583"/>
    <cellStyle name="Comma 5 4 2 2 6 3" xfId="14731"/>
    <cellStyle name="Comma 5 4 2 2 7" xfId="2516"/>
    <cellStyle name="Comma 5 4 2 2 7 2" xfId="14164"/>
    <cellStyle name="Comma 5 4 2 2 8" xfId="10477"/>
    <cellStyle name="Comma 5 4 2 2 8 2" xfId="17016"/>
    <cellStyle name="Comma 5 4 2 2 9" xfId="13591"/>
    <cellStyle name="Comma 5 4 2 3" xfId="1490"/>
    <cellStyle name="Comma 5 4 2 3 2" xfId="4910"/>
    <cellStyle name="Comma 5 4 2 3 2 2" xfId="11786"/>
    <cellStyle name="Comma 5 4 2 3 2 2 2" xfId="18325"/>
    <cellStyle name="Comma 5 4 2 3 2 3" xfId="15473"/>
    <cellStyle name="Comma 5 4 2 3 3" xfId="7182"/>
    <cellStyle name="Comma 5 4 2 3 3 2" xfId="12357"/>
    <cellStyle name="Comma 5 4 2 3 3 2 2" xfId="18896"/>
    <cellStyle name="Comma 5 4 2 3 3 3" xfId="16044"/>
    <cellStyle name="Comma 5 4 2 3 4" xfId="9454"/>
    <cellStyle name="Comma 5 4 2 3 4 2" xfId="12928"/>
    <cellStyle name="Comma 5 4 2 3 4 2 2" xfId="19467"/>
    <cellStyle name="Comma 5 4 2 3 4 3" xfId="16615"/>
    <cellStyle name="Comma 5 4 2 3 5" xfId="3258"/>
    <cellStyle name="Comma 5 4 2 3 5 2" xfId="11215"/>
    <cellStyle name="Comma 5 4 2 3 5 2 2" xfId="17754"/>
    <cellStyle name="Comma 5 4 2 3 5 3" xfId="14902"/>
    <cellStyle name="Comma 5 4 2 3 6" xfId="2684"/>
    <cellStyle name="Comma 5 4 2 3 6 2" xfId="14332"/>
    <cellStyle name="Comma 5 4 2 3 7" xfId="10645"/>
    <cellStyle name="Comma 5 4 2 3 7 2" xfId="17184"/>
    <cellStyle name="Comma 5 4 2 3 8" xfId="13762"/>
    <cellStyle name="Comma 5 4 2 4" xfId="3775"/>
    <cellStyle name="Comma 5 4 2 4 2" xfId="11501"/>
    <cellStyle name="Comma 5 4 2 4 2 2" xfId="18040"/>
    <cellStyle name="Comma 5 4 2 4 3" xfId="15188"/>
    <cellStyle name="Comma 5 4 2 5" xfId="6047"/>
    <cellStyle name="Comma 5 4 2 5 2" xfId="12072"/>
    <cellStyle name="Comma 5 4 2 5 2 2" xfId="18611"/>
    <cellStyle name="Comma 5 4 2 5 3" xfId="15759"/>
    <cellStyle name="Comma 5 4 2 6" xfId="8319"/>
    <cellStyle name="Comma 5 4 2 6 2" xfId="12643"/>
    <cellStyle name="Comma 5 4 2 6 2 2" xfId="19182"/>
    <cellStyle name="Comma 5 4 2 6 3" xfId="16330"/>
    <cellStyle name="Comma 5 4 2 7" xfId="2973"/>
    <cellStyle name="Comma 5 4 2 7 2" xfId="10930"/>
    <cellStyle name="Comma 5 4 2 7 2 2" xfId="17469"/>
    <cellStyle name="Comma 5 4 2 7 3" xfId="14617"/>
    <cellStyle name="Comma 5 4 2 8" xfId="2404"/>
    <cellStyle name="Comma 5 4 2 8 2" xfId="14052"/>
    <cellStyle name="Comma 5 4 2 9" xfId="10365"/>
    <cellStyle name="Comma 5 4 2 9 2" xfId="16904"/>
    <cellStyle name="Comma 5 4 3" xfId="1036"/>
    <cellStyle name="Comma 5 4 3 2" xfId="2171"/>
    <cellStyle name="Comma 5 4 3 2 2" xfId="5591"/>
    <cellStyle name="Comma 5 4 3 2 2 2" xfId="11957"/>
    <cellStyle name="Comma 5 4 3 2 2 2 2" xfId="18496"/>
    <cellStyle name="Comma 5 4 3 2 2 3" xfId="15644"/>
    <cellStyle name="Comma 5 4 3 2 3" xfId="7863"/>
    <cellStyle name="Comma 5 4 3 2 3 2" xfId="12528"/>
    <cellStyle name="Comma 5 4 3 2 3 2 2" xfId="19067"/>
    <cellStyle name="Comma 5 4 3 2 3 3" xfId="16215"/>
    <cellStyle name="Comma 5 4 3 2 4" xfId="10135"/>
    <cellStyle name="Comma 5 4 3 2 4 2" xfId="13099"/>
    <cellStyle name="Comma 5 4 3 2 4 2 2" xfId="19638"/>
    <cellStyle name="Comma 5 4 3 2 4 3" xfId="16786"/>
    <cellStyle name="Comma 5 4 3 2 5" xfId="3429"/>
    <cellStyle name="Comma 5 4 3 2 5 2" xfId="11386"/>
    <cellStyle name="Comma 5 4 3 2 5 2 2" xfId="17925"/>
    <cellStyle name="Comma 5 4 3 2 5 3" xfId="15073"/>
    <cellStyle name="Comma 5 4 3 2 6" xfId="2852"/>
    <cellStyle name="Comma 5 4 3 2 6 2" xfId="14500"/>
    <cellStyle name="Comma 5 4 3 2 7" xfId="10813"/>
    <cellStyle name="Comma 5 4 3 2 7 2" xfId="17352"/>
    <cellStyle name="Comma 5 4 3 2 8" xfId="13933"/>
    <cellStyle name="Comma 5 4 3 3" xfId="4456"/>
    <cellStyle name="Comma 5 4 3 3 2" xfId="11672"/>
    <cellStyle name="Comma 5 4 3 3 2 2" xfId="18211"/>
    <cellStyle name="Comma 5 4 3 3 3" xfId="15359"/>
    <cellStyle name="Comma 5 4 3 4" xfId="6728"/>
    <cellStyle name="Comma 5 4 3 4 2" xfId="12243"/>
    <cellStyle name="Comma 5 4 3 4 2 2" xfId="18782"/>
    <cellStyle name="Comma 5 4 3 4 3" xfId="15930"/>
    <cellStyle name="Comma 5 4 3 5" xfId="9000"/>
    <cellStyle name="Comma 5 4 3 5 2" xfId="12814"/>
    <cellStyle name="Comma 5 4 3 5 2 2" xfId="19353"/>
    <cellStyle name="Comma 5 4 3 5 3" xfId="16501"/>
    <cellStyle name="Comma 5 4 3 6" xfId="3144"/>
    <cellStyle name="Comma 5 4 3 6 2" xfId="11101"/>
    <cellStyle name="Comma 5 4 3 6 2 2" xfId="17640"/>
    <cellStyle name="Comma 5 4 3 6 3" xfId="14788"/>
    <cellStyle name="Comma 5 4 3 7" xfId="2572"/>
    <cellStyle name="Comma 5 4 3 7 2" xfId="14220"/>
    <cellStyle name="Comma 5 4 3 8" xfId="10533"/>
    <cellStyle name="Comma 5 4 3 8 2" xfId="17072"/>
    <cellStyle name="Comma 5 4 3 9" xfId="13648"/>
    <cellStyle name="Comma 5 4 4" xfId="582"/>
    <cellStyle name="Comma 5 4 4 2" xfId="1717"/>
    <cellStyle name="Comma 5 4 4 2 2" xfId="5137"/>
    <cellStyle name="Comma 5 4 4 2 2 2" xfId="11843"/>
    <cellStyle name="Comma 5 4 4 2 2 2 2" xfId="18382"/>
    <cellStyle name="Comma 5 4 4 2 2 3" xfId="15530"/>
    <cellStyle name="Comma 5 4 4 2 3" xfId="7409"/>
    <cellStyle name="Comma 5 4 4 2 3 2" xfId="12414"/>
    <cellStyle name="Comma 5 4 4 2 3 2 2" xfId="18953"/>
    <cellStyle name="Comma 5 4 4 2 3 3" xfId="16101"/>
    <cellStyle name="Comma 5 4 4 2 4" xfId="9681"/>
    <cellStyle name="Comma 5 4 4 2 4 2" xfId="12985"/>
    <cellStyle name="Comma 5 4 4 2 4 2 2" xfId="19524"/>
    <cellStyle name="Comma 5 4 4 2 4 3" xfId="16672"/>
    <cellStyle name="Comma 5 4 4 2 5" xfId="3315"/>
    <cellStyle name="Comma 5 4 4 2 5 2" xfId="11272"/>
    <cellStyle name="Comma 5 4 4 2 5 2 2" xfId="17811"/>
    <cellStyle name="Comma 5 4 4 2 5 3" xfId="14959"/>
    <cellStyle name="Comma 5 4 4 2 6" xfId="2740"/>
    <cellStyle name="Comma 5 4 4 2 6 2" xfId="14388"/>
    <cellStyle name="Comma 5 4 4 2 7" xfId="10701"/>
    <cellStyle name="Comma 5 4 4 2 7 2" xfId="17240"/>
    <cellStyle name="Comma 5 4 4 2 8" xfId="13819"/>
    <cellStyle name="Comma 5 4 4 3" xfId="4002"/>
    <cellStyle name="Comma 5 4 4 3 2" xfId="11558"/>
    <cellStyle name="Comma 5 4 4 3 2 2" xfId="18097"/>
    <cellStyle name="Comma 5 4 4 3 3" xfId="15245"/>
    <cellStyle name="Comma 5 4 4 4" xfId="6274"/>
    <cellStyle name="Comma 5 4 4 4 2" xfId="12129"/>
    <cellStyle name="Comma 5 4 4 4 2 2" xfId="18668"/>
    <cellStyle name="Comma 5 4 4 4 3" xfId="15816"/>
    <cellStyle name="Comma 5 4 4 5" xfId="8546"/>
    <cellStyle name="Comma 5 4 4 5 2" xfId="12700"/>
    <cellStyle name="Comma 5 4 4 5 2 2" xfId="19239"/>
    <cellStyle name="Comma 5 4 4 5 3" xfId="16387"/>
    <cellStyle name="Comma 5 4 4 6" xfId="3030"/>
    <cellStyle name="Comma 5 4 4 6 2" xfId="10987"/>
    <cellStyle name="Comma 5 4 4 6 2 2" xfId="17526"/>
    <cellStyle name="Comma 5 4 4 6 3" xfId="14674"/>
    <cellStyle name="Comma 5 4 4 7" xfId="2460"/>
    <cellStyle name="Comma 5 4 4 7 2" xfId="14108"/>
    <cellStyle name="Comma 5 4 4 8" xfId="10421"/>
    <cellStyle name="Comma 5 4 4 8 2" xfId="16960"/>
    <cellStyle name="Comma 5 4 4 9" xfId="13534"/>
    <cellStyle name="Comma 5 4 5" xfId="1263"/>
    <cellStyle name="Comma 5 4 5 2" xfId="4683"/>
    <cellStyle name="Comma 5 4 5 2 2" xfId="11729"/>
    <cellStyle name="Comma 5 4 5 2 2 2" xfId="18268"/>
    <cellStyle name="Comma 5 4 5 2 3" xfId="15416"/>
    <cellStyle name="Comma 5 4 5 3" xfId="6955"/>
    <cellStyle name="Comma 5 4 5 3 2" xfId="12300"/>
    <cellStyle name="Comma 5 4 5 3 2 2" xfId="18839"/>
    <cellStyle name="Comma 5 4 5 3 3" xfId="15987"/>
    <cellStyle name="Comma 5 4 5 4" xfId="9227"/>
    <cellStyle name="Comma 5 4 5 4 2" xfId="12871"/>
    <cellStyle name="Comma 5 4 5 4 2 2" xfId="19410"/>
    <cellStyle name="Comma 5 4 5 4 3" xfId="16558"/>
    <cellStyle name="Comma 5 4 5 5" xfId="3201"/>
    <cellStyle name="Comma 5 4 5 5 2" xfId="11158"/>
    <cellStyle name="Comma 5 4 5 5 2 2" xfId="17697"/>
    <cellStyle name="Comma 5 4 5 5 3" xfId="14845"/>
    <cellStyle name="Comma 5 4 5 6" xfId="2628"/>
    <cellStyle name="Comma 5 4 5 6 2" xfId="14276"/>
    <cellStyle name="Comma 5 4 5 7" xfId="10589"/>
    <cellStyle name="Comma 5 4 5 7 2" xfId="17128"/>
    <cellStyle name="Comma 5 4 5 8" xfId="13705"/>
    <cellStyle name="Comma 5 4 6" xfId="3548"/>
    <cellStyle name="Comma 5 4 6 2" xfId="11444"/>
    <cellStyle name="Comma 5 4 6 2 2" xfId="17983"/>
    <cellStyle name="Comma 5 4 6 3" xfId="15131"/>
    <cellStyle name="Comma 5 4 7" xfId="5820"/>
    <cellStyle name="Comma 5 4 7 2" xfId="12015"/>
    <cellStyle name="Comma 5 4 7 2 2" xfId="18554"/>
    <cellStyle name="Comma 5 4 7 3" xfId="15702"/>
    <cellStyle name="Comma 5 4 8" xfId="8092"/>
    <cellStyle name="Comma 5 4 8 2" xfId="12586"/>
    <cellStyle name="Comma 5 4 8 2 2" xfId="19125"/>
    <cellStyle name="Comma 5 4 8 3" xfId="16273"/>
    <cellStyle name="Comma 5 4 9" xfId="2913"/>
    <cellStyle name="Comma 5 4 9 2" xfId="10872"/>
    <cellStyle name="Comma 5 4 9 2 2" xfId="17411"/>
    <cellStyle name="Comma 5 4 9 3" xfId="14559"/>
    <cellStyle name="Comma 5 5" xfId="243"/>
    <cellStyle name="Comma 5 5 10" xfId="2376"/>
    <cellStyle name="Comma 5 5 10 2" xfId="14024"/>
    <cellStyle name="Comma 5 5 11" xfId="10337"/>
    <cellStyle name="Comma 5 5 11 2" xfId="16876"/>
    <cellStyle name="Comma 5 5 12" xfId="13449"/>
    <cellStyle name="Comma 5 5 2" xfId="470"/>
    <cellStyle name="Comma 5 5 2 10" xfId="13506"/>
    <cellStyle name="Comma 5 5 2 2" xfId="924"/>
    <cellStyle name="Comma 5 5 2 2 2" xfId="2059"/>
    <cellStyle name="Comma 5 5 2 2 2 2" xfId="5479"/>
    <cellStyle name="Comma 5 5 2 2 2 2 2" xfId="11929"/>
    <cellStyle name="Comma 5 5 2 2 2 2 2 2" xfId="18468"/>
    <cellStyle name="Comma 5 5 2 2 2 2 3" xfId="15616"/>
    <cellStyle name="Comma 5 5 2 2 2 3" xfId="7751"/>
    <cellStyle name="Comma 5 5 2 2 2 3 2" xfId="12500"/>
    <cellStyle name="Comma 5 5 2 2 2 3 2 2" xfId="19039"/>
    <cellStyle name="Comma 5 5 2 2 2 3 3" xfId="16187"/>
    <cellStyle name="Comma 5 5 2 2 2 4" xfId="10023"/>
    <cellStyle name="Comma 5 5 2 2 2 4 2" xfId="13071"/>
    <cellStyle name="Comma 5 5 2 2 2 4 2 2" xfId="19610"/>
    <cellStyle name="Comma 5 5 2 2 2 4 3" xfId="16758"/>
    <cellStyle name="Comma 5 5 2 2 2 5" xfId="3401"/>
    <cellStyle name="Comma 5 5 2 2 2 5 2" xfId="11358"/>
    <cellStyle name="Comma 5 5 2 2 2 5 2 2" xfId="17897"/>
    <cellStyle name="Comma 5 5 2 2 2 5 3" xfId="15045"/>
    <cellStyle name="Comma 5 5 2 2 2 6" xfId="2824"/>
    <cellStyle name="Comma 5 5 2 2 2 6 2" xfId="14472"/>
    <cellStyle name="Comma 5 5 2 2 2 7" xfId="10785"/>
    <cellStyle name="Comma 5 5 2 2 2 7 2" xfId="17324"/>
    <cellStyle name="Comma 5 5 2 2 2 8" xfId="13905"/>
    <cellStyle name="Comma 5 5 2 2 3" xfId="4344"/>
    <cellStyle name="Comma 5 5 2 2 3 2" xfId="11644"/>
    <cellStyle name="Comma 5 5 2 2 3 2 2" xfId="18183"/>
    <cellStyle name="Comma 5 5 2 2 3 3" xfId="15331"/>
    <cellStyle name="Comma 5 5 2 2 4" xfId="6616"/>
    <cellStyle name="Comma 5 5 2 2 4 2" xfId="12215"/>
    <cellStyle name="Comma 5 5 2 2 4 2 2" xfId="18754"/>
    <cellStyle name="Comma 5 5 2 2 4 3" xfId="15902"/>
    <cellStyle name="Comma 5 5 2 2 5" xfId="8888"/>
    <cellStyle name="Comma 5 5 2 2 5 2" xfId="12786"/>
    <cellStyle name="Comma 5 5 2 2 5 2 2" xfId="19325"/>
    <cellStyle name="Comma 5 5 2 2 5 3" xfId="16473"/>
    <cellStyle name="Comma 5 5 2 2 6" xfId="3116"/>
    <cellStyle name="Comma 5 5 2 2 6 2" xfId="11073"/>
    <cellStyle name="Comma 5 5 2 2 6 2 2" xfId="17612"/>
    <cellStyle name="Comma 5 5 2 2 6 3" xfId="14760"/>
    <cellStyle name="Comma 5 5 2 2 7" xfId="2544"/>
    <cellStyle name="Comma 5 5 2 2 7 2" xfId="14192"/>
    <cellStyle name="Comma 5 5 2 2 8" xfId="10505"/>
    <cellStyle name="Comma 5 5 2 2 8 2" xfId="17044"/>
    <cellStyle name="Comma 5 5 2 2 9" xfId="13620"/>
    <cellStyle name="Comma 5 5 2 3" xfId="1605"/>
    <cellStyle name="Comma 5 5 2 3 2" xfId="5025"/>
    <cellStyle name="Comma 5 5 2 3 2 2" xfId="11815"/>
    <cellStyle name="Comma 5 5 2 3 2 2 2" xfId="18354"/>
    <cellStyle name="Comma 5 5 2 3 2 3" xfId="15502"/>
    <cellStyle name="Comma 5 5 2 3 3" xfId="7297"/>
    <cellStyle name="Comma 5 5 2 3 3 2" xfId="12386"/>
    <cellStyle name="Comma 5 5 2 3 3 2 2" xfId="18925"/>
    <cellStyle name="Comma 5 5 2 3 3 3" xfId="16073"/>
    <cellStyle name="Comma 5 5 2 3 4" xfId="9569"/>
    <cellStyle name="Comma 5 5 2 3 4 2" xfId="12957"/>
    <cellStyle name="Comma 5 5 2 3 4 2 2" xfId="19496"/>
    <cellStyle name="Comma 5 5 2 3 4 3" xfId="16644"/>
    <cellStyle name="Comma 5 5 2 3 5" xfId="3287"/>
    <cellStyle name="Comma 5 5 2 3 5 2" xfId="11244"/>
    <cellStyle name="Comma 5 5 2 3 5 2 2" xfId="17783"/>
    <cellStyle name="Comma 5 5 2 3 5 3" xfId="14931"/>
    <cellStyle name="Comma 5 5 2 3 6" xfId="2712"/>
    <cellStyle name="Comma 5 5 2 3 6 2" xfId="14360"/>
    <cellStyle name="Comma 5 5 2 3 7" xfId="10673"/>
    <cellStyle name="Comma 5 5 2 3 7 2" xfId="17212"/>
    <cellStyle name="Comma 5 5 2 3 8" xfId="13791"/>
    <cellStyle name="Comma 5 5 2 4" xfId="3890"/>
    <cellStyle name="Comma 5 5 2 4 2" xfId="11530"/>
    <cellStyle name="Comma 5 5 2 4 2 2" xfId="18069"/>
    <cellStyle name="Comma 5 5 2 4 3" xfId="15217"/>
    <cellStyle name="Comma 5 5 2 5" xfId="6162"/>
    <cellStyle name="Comma 5 5 2 5 2" xfId="12101"/>
    <cellStyle name="Comma 5 5 2 5 2 2" xfId="18640"/>
    <cellStyle name="Comma 5 5 2 5 3" xfId="15788"/>
    <cellStyle name="Comma 5 5 2 6" xfId="8434"/>
    <cellStyle name="Comma 5 5 2 6 2" xfId="12672"/>
    <cellStyle name="Comma 5 5 2 6 2 2" xfId="19211"/>
    <cellStyle name="Comma 5 5 2 6 3" xfId="16359"/>
    <cellStyle name="Comma 5 5 2 7" xfId="3002"/>
    <cellStyle name="Comma 5 5 2 7 2" xfId="10959"/>
    <cellStyle name="Comma 5 5 2 7 2 2" xfId="17498"/>
    <cellStyle name="Comma 5 5 2 7 3" xfId="14646"/>
    <cellStyle name="Comma 5 5 2 8" xfId="2432"/>
    <cellStyle name="Comma 5 5 2 8 2" xfId="14080"/>
    <cellStyle name="Comma 5 5 2 9" xfId="10393"/>
    <cellStyle name="Comma 5 5 2 9 2" xfId="16932"/>
    <cellStyle name="Comma 5 5 3" xfId="1151"/>
    <cellStyle name="Comma 5 5 3 2" xfId="2286"/>
    <cellStyle name="Comma 5 5 3 2 2" xfId="5706"/>
    <cellStyle name="Comma 5 5 3 2 2 2" xfId="11986"/>
    <cellStyle name="Comma 5 5 3 2 2 2 2" xfId="18525"/>
    <cellStyle name="Comma 5 5 3 2 2 3" xfId="15673"/>
    <cellStyle name="Comma 5 5 3 2 3" xfId="7978"/>
    <cellStyle name="Comma 5 5 3 2 3 2" xfId="12557"/>
    <cellStyle name="Comma 5 5 3 2 3 2 2" xfId="19096"/>
    <cellStyle name="Comma 5 5 3 2 3 3" xfId="16244"/>
    <cellStyle name="Comma 5 5 3 2 4" xfId="10250"/>
    <cellStyle name="Comma 5 5 3 2 4 2" xfId="13128"/>
    <cellStyle name="Comma 5 5 3 2 4 2 2" xfId="19667"/>
    <cellStyle name="Comma 5 5 3 2 4 3" xfId="16815"/>
    <cellStyle name="Comma 5 5 3 2 5" xfId="3458"/>
    <cellStyle name="Comma 5 5 3 2 5 2" xfId="11415"/>
    <cellStyle name="Comma 5 5 3 2 5 2 2" xfId="17954"/>
    <cellStyle name="Comma 5 5 3 2 5 3" xfId="15102"/>
    <cellStyle name="Comma 5 5 3 2 6" xfId="2880"/>
    <cellStyle name="Comma 5 5 3 2 6 2" xfId="14528"/>
    <cellStyle name="Comma 5 5 3 2 7" xfId="10841"/>
    <cellStyle name="Comma 5 5 3 2 7 2" xfId="17380"/>
    <cellStyle name="Comma 5 5 3 2 8" xfId="13962"/>
    <cellStyle name="Comma 5 5 3 3" xfId="4571"/>
    <cellStyle name="Comma 5 5 3 3 2" xfId="11701"/>
    <cellStyle name="Comma 5 5 3 3 2 2" xfId="18240"/>
    <cellStyle name="Comma 5 5 3 3 3" xfId="15388"/>
    <cellStyle name="Comma 5 5 3 4" xfId="6843"/>
    <cellStyle name="Comma 5 5 3 4 2" xfId="12272"/>
    <cellStyle name="Comma 5 5 3 4 2 2" xfId="18811"/>
    <cellStyle name="Comma 5 5 3 4 3" xfId="15959"/>
    <cellStyle name="Comma 5 5 3 5" xfId="9115"/>
    <cellStyle name="Comma 5 5 3 5 2" xfId="12843"/>
    <cellStyle name="Comma 5 5 3 5 2 2" xfId="19382"/>
    <cellStyle name="Comma 5 5 3 5 3" xfId="16530"/>
    <cellStyle name="Comma 5 5 3 6" xfId="3173"/>
    <cellStyle name="Comma 5 5 3 6 2" xfId="11130"/>
    <cellStyle name="Comma 5 5 3 6 2 2" xfId="17669"/>
    <cellStyle name="Comma 5 5 3 6 3" xfId="14817"/>
    <cellStyle name="Comma 5 5 3 7" xfId="2600"/>
    <cellStyle name="Comma 5 5 3 7 2" xfId="14248"/>
    <cellStyle name="Comma 5 5 3 8" xfId="10561"/>
    <cellStyle name="Comma 5 5 3 8 2" xfId="17100"/>
    <cellStyle name="Comma 5 5 3 9" xfId="13677"/>
    <cellStyle name="Comma 5 5 4" xfId="697"/>
    <cellStyle name="Comma 5 5 4 2" xfId="1832"/>
    <cellStyle name="Comma 5 5 4 2 2" xfId="5252"/>
    <cellStyle name="Comma 5 5 4 2 2 2" xfId="11872"/>
    <cellStyle name="Comma 5 5 4 2 2 2 2" xfId="18411"/>
    <cellStyle name="Comma 5 5 4 2 2 3" xfId="15559"/>
    <cellStyle name="Comma 5 5 4 2 3" xfId="7524"/>
    <cellStyle name="Comma 5 5 4 2 3 2" xfId="12443"/>
    <cellStyle name="Comma 5 5 4 2 3 2 2" xfId="18982"/>
    <cellStyle name="Comma 5 5 4 2 3 3" xfId="16130"/>
    <cellStyle name="Comma 5 5 4 2 4" xfId="9796"/>
    <cellStyle name="Comma 5 5 4 2 4 2" xfId="13014"/>
    <cellStyle name="Comma 5 5 4 2 4 2 2" xfId="19553"/>
    <cellStyle name="Comma 5 5 4 2 4 3" xfId="16701"/>
    <cellStyle name="Comma 5 5 4 2 5" xfId="3344"/>
    <cellStyle name="Comma 5 5 4 2 5 2" xfId="11301"/>
    <cellStyle name="Comma 5 5 4 2 5 2 2" xfId="17840"/>
    <cellStyle name="Comma 5 5 4 2 5 3" xfId="14988"/>
    <cellStyle name="Comma 5 5 4 2 6" xfId="2768"/>
    <cellStyle name="Comma 5 5 4 2 6 2" xfId="14416"/>
    <cellStyle name="Comma 5 5 4 2 7" xfId="10729"/>
    <cellStyle name="Comma 5 5 4 2 7 2" xfId="17268"/>
    <cellStyle name="Comma 5 5 4 2 8" xfId="13848"/>
    <cellStyle name="Comma 5 5 4 3" xfId="4117"/>
    <cellStyle name="Comma 5 5 4 3 2" xfId="11587"/>
    <cellStyle name="Comma 5 5 4 3 2 2" xfId="18126"/>
    <cellStyle name="Comma 5 5 4 3 3" xfId="15274"/>
    <cellStyle name="Comma 5 5 4 4" xfId="6389"/>
    <cellStyle name="Comma 5 5 4 4 2" xfId="12158"/>
    <cellStyle name="Comma 5 5 4 4 2 2" xfId="18697"/>
    <cellStyle name="Comma 5 5 4 4 3" xfId="15845"/>
    <cellStyle name="Comma 5 5 4 5" xfId="8661"/>
    <cellStyle name="Comma 5 5 4 5 2" xfId="12729"/>
    <cellStyle name="Comma 5 5 4 5 2 2" xfId="19268"/>
    <cellStyle name="Comma 5 5 4 5 3" xfId="16416"/>
    <cellStyle name="Comma 5 5 4 6" xfId="3059"/>
    <cellStyle name="Comma 5 5 4 6 2" xfId="11016"/>
    <cellStyle name="Comma 5 5 4 6 2 2" xfId="17555"/>
    <cellStyle name="Comma 5 5 4 6 3" xfId="14703"/>
    <cellStyle name="Comma 5 5 4 7" xfId="2488"/>
    <cellStyle name="Comma 5 5 4 7 2" xfId="14136"/>
    <cellStyle name="Comma 5 5 4 8" xfId="10449"/>
    <cellStyle name="Comma 5 5 4 8 2" xfId="16988"/>
    <cellStyle name="Comma 5 5 4 9" xfId="13563"/>
    <cellStyle name="Comma 5 5 5" xfId="1378"/>
    <cellStyle name="Comma 5 5 5 2" xfId="4798"/>
    <cellStyle name="Comma 5 5 5 2 2" xfId="11758"/>
    <cellStyle name="Comma 5 5 5 2 2 2" xfId="18297"/>
    <cellStyle name="Comma 5 5 5 2 3" xfId="15445"/>
    <cellStyle name="Comma 5 5 5 3" xfId="7070"/>
    <cellStyle name="Comma 5 5 5 3 2" xfId="12329"/>
    <cellStyle name="Comma 5 5 5 3 2 2" xfId="18868"/>
    <cellStyle name="Comma 5 5 5 3 3" xfId="16016"/>
    <cellStyle name="Comma 5 5 5 4" xfId="9342"/>
    <cellStyle name="Comma 5 5 5 4 2" xfId="12900"/>
    <cellStyle name="Comma 5 5 5 4 2 2" xfId="19439"/>
    <cellStyle name="Comma 5 5 5 4 3" xfId="16587"/>
    <cellStyle name="Comma 5 5 5 5" xfId="3230"/>
    <cellStyle name="Comma 5 5 5 5 2" xfId="11187"/>
    <cellStyle name="Comma 5 5 5 5 2 2" xfId="17726"/>
    <cellStyle name="Comma 5 5 5 5 3" xfId="14874"/>
    <cellStyle name="Comma 5 5 5 6" xfId="2656"/>
    <cellStyle name="Comma 5 5 5 6 2" xfId="14304"/>
    <cellStyle name="Comma 5 5 5 7" xfId="10617"/>
    <cellStyle name="Comma 5 5 5 7 2" xfId="17156"/>
    <cellStyle name="Comma 5 5 5 8" xfId="13734"/>
    <cellStyle name="Comma 5 5 6" xfId="3663"/>
    <cellStyle name="Comma 5 5 6 2" xfId="11473"/>
    <cellStyle name="Comma 5 5 6 2 2" xfId="18012"/>
    <cellStyle name="Comma 5 5 6 3" xfId="15160"/>
    <cellStyle name="Comma 5 5 7" xfId="5935"/>
    <cellStyle name="Comma 5 5 7 2" xfId="12044"/>
    <cellStyle name="Comma 5 5 7 2 2" xfId="18583"/>
    <cellStyle name="Comma 5 5 7 3" xfId="15731"/>
    <cellStyle name="Comma 5 5 8" xfId="8207"/>
    <cellStyle name="Comma 5 5 8 2" xfId="12615"/>
    <cellStyle name="Comma 5 5 8 2 2" xfId="19154"/>
    <cellStyle name="Comma 5 5 8 3" xfId="16302"/>
    <cellStyle name="Comma 5 5 9" xfId="2945"/>
    <cellStyle name="Comma 5 5 9 2" xfId="10902"/>
    <cellStyle name="Comma 5 5 9 2 2" xfId="17441"/>
    <cellStyle name="Comma 5 5 9 3" xfId="14589"/>
    <cellStyle name="Comma 5 6" xfId="299"/>
    <cellStyle name="Comma 5 6 10" xfId="13463"/>
    <cellStyle name="Comma 5 6 2" xfId="753"/>
    <cellStyle name="Comma 5 6 2 2" xfId="1888"/>
    <cellStyle name="Comma 5 6 2 2 2" xfId="5308"/>
    <cellStyle name="Comma 5 6 2 2 2 2" xfId="11886"/>
    <cellStyle name="Comma 5 6 2 2 2 2 2" xfId="18425"/>
    <cellStyle name="Comma 5 6 2 2 2 3" xfId="15573"/>
    <cellStyle name="Comma 5 6 2 2 3" xfId="7580"/>
    <cellStyle name="Comma 5 6 2 2 3 2" xfId="12457"/>
    <cellStyle name="Comma 5 6 2 2 3 2 2" xfId="18996"/>
    <cellStyle name="Comma 5 6 2 2 3 3" xfId="16144"/>
    <cellStyle name="Comma 5 6 2 2 4" xfId="9852"/>
    <cellStyle name="Comma 5 6 2 2 4 2" xfId="13028"/>
    <cellStyle name="Comma 5 6 2 2 4 2 2" xfId="19567"/>
    <cellStyle name="Comma 5 6 2 2 4 3" xfId="16715"/>
    <cellStyle name="Comma 5 6 2 2 5" xfId="3358"/>
    <cellStyle name="Comma 5 6 2 2 5 2" xfId="11315"/>
    <cellStyle name="Comma 5 6 2 2 5 2 2" xfId="17854"/>
    <cellStyle name="Comma 5 6 2 2 5 3" xfId="15002"/>
    <cellStyle name="Comma 5 6 2 2 6" xfId="2782"/>
    <cellStyle name="Comma 5 6 2 2 6 2" xfId="14430"/>
    <cellStyle name="Comma 5 6 2 2 7" xfId="10743"/>
    <cellStyle name="Comma 5 6 2 2 7 2" xfId="17282"/>
    <cellStyle name="Comma 5 6 2 2 8" xfId="13862"/>
    <cellStyle name="Comma 5 6 2 3" xfId="4173"/>
    <cellStyle name="Comma 5 6 2 3 2" xfId="11601"/>
    <cellStyle name="Comma 5 6 2 3 2 2" xfId="18140"/>
    <cellStyle name="Comma 5 6 2 3 3" xfId="15288"/>
    <cellStyle name="Comma 5 6 2 4" xfId="6445"/>
    <cellStyle name="Comma 5 6 2 4 2" xfId="12172"/>
    <cellStyle name="Comma 5 6 2 4 2 2" xfId="18711"/>
    <cellStyle name="Comma 5 6 2 4 3" xfId="15859"/>
    <cellStyle name="Comma 5 6 2 5" xfId="8717"/>
    <cellStyle name="Comma 5 6 2 5 2" xfId="12743"/>
    <cellStyle name="Comma 5 6 2 5 2 2" xfId="19282"/>
    <cellStyle name="Comma 5 6 2 5 3" xfId="16430"/>
    <cellStyle name="Comma 5 6 2 6" xfId="3073"/>
    <cellStyle name="Comma 5 6 2 6 2" xfId="11030"/>
    <cellStyle name="Comma 5 6 2 6 2 2" xfId="17569"/>
    <cellStyle name="Comma 5 6 2 6 3" xfId="14717"/>
    <cellStyle name="Comma 5 6 2 7" xfId="2502"/>
    <cellStyle name="Comma 5 6 2 7 2" xfId="14150"/>
    <cellStyle name="Comma 5 6 2 8" xfId="10463"/>
    <cellStyle name="Comma 5 6 2 8 2" xfId="17002"/>
    <cellStyle name="Comma 5 6 2 9" xfId="13577"/>
    <cellStyle name="Comma 5 6 3" xfId="1434"/>
    <cellStyle name="Comma 5 6 3 2" xfId="4854"/>
    <cellStyle name="Comma 5 6 3 2 2" xfId="11772"/>
    <cellStyle name="Comma 5 6 3 2 2 2" xfId="18311"/>
    <cellStyle name="Comma 5 6 3 2 3" xfId="15459"/>
    <cellStyle name="Comma 5 6 3 3" xfId="7126"/>
    <cellStyle name="Comma 5 6 3 3 2" xfId="12343"/>
    <cellStyle name="Comma 5 6 3 3 2 2" xfId="18882"/>
    <cellStyle name="Comma 5 6 3 3 3" xfId="16030"/>
    <cellStyle name="Comma 5 6 3 4" xfId="9398"/>
    <cellStyle name="Comma 5 6 3 4 2" xfId="12914"/>
    <cellStyle name="Comma 5 6 3 4 2 2" xfId="19453"/>
    <cellStyle name="Comma 5 6 3 4 3" xfId="16601"/>
    <cellStyle name="Comma 5 6 3 5" xfId="3244"/>
    <cellStyle name="Comma 5 6 3 5 2" xfId="11201"/>
    <cellStyle name="Comma 5 6 3 5 2 2" xfId="17740"/>
    <cellStyle name="Comma 5 6 3 5 3" xfId="14888"/>
    <cellStyle name="Comma 5 6 3 6" xfId="2670"/>
    <cellStyle name="Comma 5 6 3 6 2" xfId="14318"/>
    <cellStyle name="Comma 5 6 3 7" xfId="10631"/>
    <cellStyle name="Comma 5 6 3 7 2" xfId="17170"/>
    <cellStyle name="Comma 5 6 3 8" xfId="13748"/>
    <cellStyle name="Comma 5 6 4" xfId="3719"/>
    <cellStyle name="Comma 5 6 4 2" xfId="11487"/>
    <cellStyle name="Comma 5 6 4 2 2" xfId="18026"/>
    <cellStyle name="Comma 5 6 4 3" xfId="15174"/>
    <cellStyle name="Comma 5 6 5" xfId="5991"/>
    <cellStyle name="Comma 5 6 5 2" xfId="12058"/>
    <cellStyle name="Comma 5 6 5 2 2" xfId="18597"/>
    <cellStyle name="Comma 5 6 5 3" xfId="15745"/>
    <cellStyle name="Comma 5 6 6" xfId="8263"/>
    <cellStyle name="Comma 5 6 6 2" xfId="12629"/>
    <cellStyle name="Comma 5 6 6 2 2" xfId="19168"/>
    <cellStyle name="Comma 5 6 6 3" xfId="16316"/>
    <cellStyle name="Comma 5 6 7" xfId="2959"/>
    <cellStyle name="Comma 5 6 7 2" xfId="10916"/>
    <cellStyle name="Comma 5 6 7 2 2" xfId="17455"/>
    <cellStyle name="Comma 5 6 7 3" xfId="14603"/>
    <cellStyle name="Comma 5 6 8" xfId="2390"/>
    <cellStyle name="Comma 5 6 8 2" xfId="14038"/>
    <cellStyle name="Comma 5 6 9" xfId="10351"/>
    <cellStyle name="Comma 5 6 9 2" xfId="16890"/>
    <cellStyle name="Comma 5 7" xfId="980"/>
    <cellStyle name="Comma 5 7 2" xfId="2115"/>
    <cellStyle name="Comma 5 7 2 2" xfId="5535"/>
    <cellStyle name="Comma 5 7 2 2 2" xfId="11943"/>
    <cellStyle name="Comma 5 7 2 2 2 2" xfId="18482"/>
    <cellStyle name="Comma 5 7 2 2 3" xfId="15630"/>
    <cellStyle name="Comma 5 7 2 3" xfId="7807"/>
    <cellStyle name="Comma 5 7 2 3 2" xfId="12514"/>
    <cellStyle name="Comma 5 7 2 3 2 2" xfId="19053"/>
    <cellStyle name="Comma 5 7 2 3 3" xfId="16201"/>
    <cellStyle name="Comma 5 7 2 4" xfId="10079"/>
    <cellStyle name="Comma 5 7 2 4 2" xfId="13085"/>
    <cellStyle name="Comma 5 7 2 4 2 2" xfId="19624"/>
    <cellStyle name="Comma 5 7 2 4 3" xfId="16772"/>
    <cellStyle name="Comma 5 7 2 5" xfId="3415"/>
    <cellStyle name="Comma 5 7 2 5 2" xfId="11372"/>
    <cellStyle name="Comma 5 7 2 5 2 2" xfId="17911"/>
    <cellStyle name="Comma 5 7 2 5 3" xfId="15059"/>
    <cellStyle name="Comma 5 7 2 6" xfId="2838"/>
    <cellStyle name="Comma 5 7 2 6 2" xfId="14486"/>
    <cellStyle name="Comma 5 7 2 7" xfId="10799"/>
    <cellStyle name="Comma 5 7 2 7 2" xfId="17338"/>
    <cellStyle name="Comma 5 7 2 8" xfId="13919"/>
    <cellStyle name="Comma 5 7 3" xfId="4400"/>
    <cellStyle name="Comma 5 7 3 2" xfId="11658"/>
    <cellStyle name="Comma 5 7 3 2 2" xfId="18197"/>
    <cellStyle name="Comma 5 7 3 3" xfId="15345"/>
    <cellStyle name="Comma 5 7 4" xfId="6672"/>
    <cellStyle name="Comma 5 7 4 2" xfId="12229"/>
    <cellStyle name="Comma 5 7 4 2 2" xfId="18768"/>
    <cellStyle name="Comma 5 7 4 3" xfId="15916"/>
    <cellStyle name="Comma 5 7 5" xfId="8944"/>
    <cellStyle name="Comma 5 7 5 2" xfId="12800"/>
    <cellStyle name="Comma 5 7 5 2 2" xfId="19339"/>
    <cellStyle name="Comma 5 7 5 3" xfId="16487"/>
    <cellStyle name="Comma 5 7 6" xfId="3130"/>
    <cellStyle name="Comma 5 7 6 2" xfId="11087"/>
    <cellStyle name="Comma 5 7 6 2 2" xfId="17626"/>
    <cellStyle name="Comma 5 7 6 3" xfId="14774"/>
    <cellStyle name="Comma 5 7 7" xfId="2558"/>
    <cellStyle name="Comma 5 7 7 2" xfId="14206"/>
    <cellStyle name="Comma 5 7 8" xfId="10519"/>
    <cellStyle name="Comma 5 7 8 2" xfId="17058"/>
    <cellStyle name="Comma 5 7 9" xfId="13634"/>
    <cellStyle name="Comma 5 8" xfId="526"/>
    <cellStyle name="Comma 5 8 2" xfId="1661"/>
    <cellStyle name="Comma 5 8 2 2" xfId="5081"/>
    <cellStyle name="Comma 5 8 2 2 2" xfId="11829"/>
    <cellStyle name="Comma 5 8 2 2 2 2" xfId="18368"/>
    <cellStyle name="Comma 5 8 2 2 3" xfId="15516"/>
    <cellStyle name="Comma 5 8 2 3" xfId="7353"/>
    <cellStyle name="Comma 5 8 2 3 2" xfId="12400"/>
    <cellStyle name="Comma 5 8 2 3 2 2" xfId="18939"/>
    <cellStyle name="Comma 5 8 2 3 3" xfId="16087"/>
    <cellStyle name="Comma 5 8 2 4" xfId="9625"/>
    <cellStyle name="Comma 5 8 2 4 2" xfId="12971"/>
    <cellStyle name="Comma 5 8 2 4 2 2" xfId="19510"/>
    <cellStyle name="Comma 5 8 2 4 3" xfId="16658"/>
    <cellStyle name="Comma 5 8 2 5" xfId="3301"/>
    <cellStyle name="Comma 5 8 2 5 2" xfId="11258"/>
    <cellStyle name="Comma 5 8 2 5 2 2" xfId="17797"/>
    <cellStyle name="Comma 5 8 2 5 3" xfId="14945"/>
    <cellStyle name="Comma 5 8 2 6" xfId="2726"/>
    <cellStyle name="Comma 5 8 2 6 2" xfId="14374"/>
    <cellStyle name="Comma 5 8 2 7" xfId="10687"/>
    <cellStyle name="Comma 5 8 2 7 2" xfId="17226"/>
    <cellStyle name="Comma 5 8 2 8" xfId="13805"/>
    <cellStyle name="Comma 5 8 3" xfId="3946"/>
    <cellStyle name="Comma 5 8 3 2" xfId="11544"/>
    <cellStyle name="Comma 5 8 3 2 2" xfId="18083"/>
    <cellStyle name="Comma 5 8 3 3" xfId="15231"/>
    <cellStyle name="Comma 5 8 4" xfId="6218"/>
    <cellStyle name="Comma 5 8 4 2" xfId="12115"/>
    <cellStyle name="Comma 5 8 4 2 2" xfId="18654"/>
    <cellStyle name="Comma 5 8 4 3" xfId="15802"/>
    <cellStyle name="Comma 5 8 5" xfId="8490"/>
    <cellStyle name="Comma 5 8 5 2" xfId="12686"/>
    <cellStyle name="Comma 5 8 5 2 2" xfId="19225"/>
    <cellStyle name="Comma 5 8 5 3" xfId="16373"/>
    <cellStyle name="Comma 5 8 6" xfId="3016"/>
    <cellStyle name="Comma 5 8 6 2" xfId="10973"/>
    <cellStyle name="Comma 5 8 6 2 2" xfId="17512"/>
    <cellStyle name="Comma 5 8 6 3" xfId="14660"/>
    <cellStyle name="Comma 5 8 7" xfId="2446"/>
    <cellStyle name="Comma 5 8 7 2" xfId="14094"/>
    <cellStyle name="Comma 5 8 8" xfId="10407"/>
    <cellStyle name="Comma 5 8 8 2" xfId="16946"/>
    <cellStyle name="Comma 5 8 9" xfId="13520"/>
    <cellStyle name="Comma 5 9" xfId="1207"/>
    <cellStyle name="Comma 5 9 2" xfId="4627"/>
    <cellStyle name="Comma 5 9 2 2" xfId="11715"/>
    <cellStyle name="Comma 5 9 2 2 2" xfId="18254"/>
    <cellStyle name="Comma 5 9 2 3" xfId="15402"/>
    <cellStyle name="Comma 5 9 3" xfId="6899"/>
    <cellStyle name="Comma 5 9 3 2" xfId="12286"/>
    <cellStyle name="Comma 5 9 3 2 2" xfId="18825"/>
    <cellStyle name="Comma 5 9 3 3" xfId="15973"/>
    <cellStyle name="Comma 5 9 4" xfId="9171"/>
    <cellStyle name="Comma 5 9 4 2" xfId="12857"/>
    <cellStyle name="Comma 5 9 4 2 2" xfId="19396"/>
    <cellStyle name="Comma 5 9 4 3" xfId="16544"/>
    <cellStyle name="Comma 5 9 5" xfId="3187"/>
    <cellStyle name="Comma 5 9 5 2" xfId="11144"/>
    <cellStyle name="Comma 5 9 5 2 2" xfId="17683"/>
    <cellStyle name="Comma 5 9 5 3" xfId="14831"/>
    <cellStyle name="Comma 5 9 6" xfId="2614"/>
    <cellStyle name="Comma 5 9 6 2" xfId="14262"/>
    <cellStyle name="Comma 5 9 7" xfId="10575"/>
    <cellStyle name="Comma 5 9 7 2" xfId="17114"/>
    <cellStyle name="Comma 5 9 8" xfId="13691"/>
    <cellStyle name="Comma 50" xfId="13249"/>
    <cellStyle name="Comma 50 2" xfId="19758"/>
    <cellStyle name="Comma 50 3" xfId="19852"/>
    <cellStyle name="Comma 51" xfId="13250"/>
    <cellStyle name="Comma 51 2" xfId="19759"/>
    <cellStyle name="Comma 51 3" xfId="19853"/>
    <cellStyle name="Comma 52" xfId="13251"/>
    <cellStyle name="Comma 52 2" xfId="19760"/>
    <cellStyle name="Comma 52 3" xfId="19854"/>
    <cellStyle name="Comma 53" xfId="13252"/>
    <cellStyle name="Comma 53 2" xfId="19761"/>
    <cellStyle name="Comma 53 3" xfId="19855"/>
    <cellStyle name="Comma 54" xfId="13253"/>
    <cellStyle name="Comma 54 2" xfId="19762"/>
    <cellStyle name="Comma 54 3" xfId="19856"/>
    <cellStyle name="Comma 55" xfId="13254"/>
    <cellStyle name="Comma 55 2" xfId="19763"/>
    <cellStyle name="Comma 55 3" xfId="19857"/>
    <cellStyle name="Comma 56" xfId="13255"/>
    <cellStyle name="Comma 56 2" xfId="19764"/>
    <cellStyle name="Comma 56 3" xfId="19858"/>
    <cellStyle name="Comma 57" xfId="13256"/>
    <cellStyle name="Comma 57 2" xfId="19765"/>
    <cellStyle name="Comma 57 3" xfId="19859"/>
    <cellStyle name="Comma 58" xfId="13257"/>
    <cellStyle name="Comma 58 2" xfId="19766"/>
    <cellStyle name="Comma 58 3" xfId="19860"/>
    <cellStyle name="Comma 59" xfId="13258"/>
    <cellStyle name="Comma 59 2" xfId="19767"/>
    <cellStyle name="Comma 59 3" xfId="19861"/>
    <cellStyle name="Comma 6" xfId="61"/>
    <cellStyle name="Comma 6 10" xfId="3494"/>
    <cellStyle name="Comma 6 10 2" xfId="11431"/>
    <cellStyle name="Comma 6 10 2 2" xfId="17970"/>
    <cellStyle name="Comma 6 10 3" xfId="15118"/>
    <cellStyle name="Comma 6 11" xfId="5766"/>
    <cellStyle name="Comma 6 11 2" xfId="12002"/>
    <cellStyle name="Comma 6 11 2 2" xfId="18541"/>
    <cellStyle name="Comma 6 11 3" xfId="15689"/>
    <cellStyle name="Comma 6 12" xfId="8038"/>
    <cellStyle name="Comma 6 12 2" xfId="12573"/>
    <cellStyle name="Comma 6 12 2 2" xfId="19112"/>
    <cellStyle name="Comma 6 12 3" xfId="16260"/>
    <cellStyle name="Comma 6 13" xfId="2898"/>
    <cellStyle name="Comma 6 13 2" xfId="10858"/>
    <cellStyle name="Comma 6 13 2 2" xfId="17397"/>
    <cellStyle name="Comma 6 13 3" xfId="14545"/>
    <cellStyle name="Comma 6 14" xfId="2333"/>
    <cellStyle name="Comma 6 14 2" xfId="13981"/>
    <cellStyle name="Comma 6 15" xfId="10294"/>
    <cellStyle name="Comma 6 15 2" xfId="16833"/>
    <cellStyle name="Comma 6 16" xfId="13259"/>
    <cellStyle name="Comma 6 16 2" xfId="19768"/>
    <cellStyle name="Comma 6 17" xfId="13405"/>
    <cellStyle name="Comma 6 18" xfId="19862"/>
    <cellStyle name="Comma 6 19" xfId="19874"/>
    <cellStyle name="Comma 6 2" xfId="91"/>
    <cellStyle name="Comma 6 2 10" xfId="5794"/>
    <cellStyle name="Comma 6 2 10 2" xfId="12009"/>
    <cellStyle name="Comma 6 2 10 2 2" xfId="18548"/>
    <cellStyle name="Comma 6 2 10 3" xfId="15696"/>
    <cellStyle name="Comma 6 2 11" xfId="8066"/>
    <cellStyle name="Comma 6 2 11 2" xfId="12580"/>
    <cellStyle name="Comma 6 2 11 2 2" xfId="19119"/>
    <cellStyle name="Comma 6 2 11 3" xfId="16267"/>
    <cellStyle name="Comma 6 2 12" xfId="2907"/>
    <cellStyle name="Comma 6 2 12 2" xfId="10866"/>
    <cellStyle name="Comma 6 2 12 2 2" xfId="17405"/>
    <cellStyle name="Comma 6 2 12 3" xfId="14553"/>
    <cellStyle name="Comma 6 2 13" xfId="2341"/>
    <cellStyle name="Comma 6 2 13 2" xfId="13989"/>
    <cellStyle name="Comma 6 2 14" xfId="10302"/>
    <cellStyle name="Comma 6 2 14 2" xfId="16841"/>
    <cellStyle name="Comma 6 2 15" xfId="13260"/>
    <cellStyle name="Comma 6 2 15 2" xfId="19769"/>
    <cellStyle name="Comma 6 2 16" xfId="13413"/>
    <cellStyle name="Comma 6 2 17" xfId="19863"/>
    <cellStyle name="Comma 6 2 18" xfId="20096"/>
    <cellStyle name="Comma 6 2 2" xfId="203"/>
    <cellStyle name="Comma 6 2 2 10" xfId="2369"/>
    <cellStyle name="Comma 6 2 2 10 2" xfId="14017"/>
    <cellStyle name="Comma 6 2 2 11" xfId="10330"/>
    <cellStyle name="Comma 6 2 2 11 2" xfId="16869"/>
    <cellStyle name="Comma 6 2 2 12" xfId="13441"/>
    <cellStyle name="Comma 6 2 2 13" xfId="20260"/>
    <cellStyle name="Comma 6 2 2 2" xfId="441"/>
    <cellStyle name="Comma 6 2 2 2 10" xfId="13499"/>
    <cellStyle name="Comma 6 2 2 2 2" xfId="895"/>
    <cellStyle name="Comma 6 2 2 2 2 2" xfId="2030"/>
    <cellStyle name="Comma 6 2 2 2 2 2 2" xfId="5450"/>
    <cellStyle name="Comma 6 2 2 2 2 2 2 2" xfId="11922"/>
    <cellStyle name="Comma 6 2 2 2 2 2 2 2 2" xfId="18461"/>
    <cellStyle name="Comma 6 2 2 2 2 2 2 3" xfId="15609"/>
    <cellStyle name="Comma 6 2 2 2 2 2 3" xfId="7722"/>
    <cellStyle name="Comma 6 2 2 2 2 2 3 2" xfId="12493"/>
    <cellStyle name="Comma 6 2 2 2 2 2 3 2 2" xfId="19032"/>
    <cellStyle name="Comma 6 2 2 2 2 2 3 3" xfId="16180"/>
    <cellStyle name="Comma 6 2 2 2 2 2 4" xfId="9994"/>
    <cellStyle name="Comma 6 2 2 2 2 2 4 2" xfId="13064"/>
    <cellStyle name="Comma 6 2 2 2 2 2 4 2 2" xfId="19603"/>
    <cellStyle name="Comma 6 2 2 2 2 2 4 3" xfId="16751"/>
    <cellStyle name="Comma 6 2 2 2 2 2 5" xfId="3394"/>
    <cellStyle name="Comma 6 2 2 2 2 2 5 2" xfId="11351"/>
    <cellStyle name="Comma 6 2 2 2 2 2 5 2 2" xfId="17890"/>
    <cellStyle name="Comma 6 2 2 2 2 2 5 3" xfId="15038"/>
    <cellStyle name="Comma 6 2 2 2 2 2 6" xfId="2818"/>
    <cellStyle name="Comma 6 2 2 2 2 2 6 2" xfId="14466"/>
    <cellStyle name="Comma 6 2 2 2 2 2 7" xfId="10779"/>
    <cellStyle name="Comma 6 2 2 2 2 2 7 2" xfId="17318"/>
    <cellStyle name="Comma 6 2 2 2 2 2 8" xfId="13898"/>
    <cellStyle name="Comma 6 2 2 2 2 3" xfId="4315"/>
    <cellStyle name="Comma 6 2 2 2 2 3 2" xfId="11637"/>
    <cellStyle name="Comma 6 2 2 2 2 3 2 2" xfId="18176"/>
    <cellStyle name="Comma 6 2 2 2 2 3 3" xfId="15324"/>
    <cellStyle name="Comma 6 2 2 2 2 4" xfId="6587"/>
    <cellStyle name="Comma 6 2 2 2 2 4 2" xfId="12208"/>
    <cellStyle name="Comma 6 2 2 2 2 4 2 2" xfId="18747"/>
    <cellStyle name="Comma 6 2 2 2 2 4 3" xfId="15895"/>
    <cellStyle name="Comma 6 2 2 2 2 5" xfId="8859"/>
    <cellStyle name="Comma 6 2 2 2 2 5 2" xfId="12779"/>
    <cellStyle name="Comma 6 2 2 2 2 5 2 2" xfId="19318"/>
    <cellStyle name="Comma 6 2 2 2 2 5 3" xfId="16466"/>
    <cellStyle name="Comma 6 2 2 2 2 6" xfId="3109"/>
    <cellStyle name="Comma 6 2 2 2 2 6 2" xfId="11066"/>
    <cellStyle name="Comma 6 2 2 2 2 6 2 2" xfId="17605"/>
    <cellStyle name="Comma 6 2 2 2 2 6 3" xfId="14753"/>
    <cellStyle name="Comma 6 2 2 2 2 7" xfId="2538"/>
    <cellStyle name="Comma 6 2 2 2 2 7 2" xfId="14186"/>
    <cellStyle name="Comma 6 2 2 2 2 8" xfId="10499"/>
    <cellStyle name="Comma 6 2 2 2 2 8 2" xfId="17038"/>
    <cellStyle name="Comma 6 2 2 2 2 9" xfId="13613"/>
    <cellStyle name="Comma 6 2 2 2 3" xfId="1576"/>
    <cellStyle name="Comma 6 2 2 2 3 2" xfId="4996"/>
    <cellStyle name="Comma 6 2 2 2 3 2 2" xfId="11808"/>
    <cellStyle name="Comma 6 2 2 2 3 2 2 2" xfId="18347"/>
    <cellStyle name="Comma 6 2 2 2 3 2 3" xfId="15495"/>
    <cellStyle name="Comma 6 2 2 2 3 3" xfId="7268"/>
    <cellStyle name="Comma 6 2 2 2 3 3 2" xfId="12379"/>
    <cellStyle name="Comma 6 2 2 2 3 3 2 2" xfId="18918"/>
    <cellStyle name="Comma 6 2 2 2 3 3 3" xfId="16066"/>
    <cellStyle name="Comma 6 2 2 2 3 4" xfId="9540"/>
    <cellStyle name="Comma 6 2 2 2 3 4 2" xfId="12950"/>
    <cellStyle name="Comma 6 2 2 2 3 4 2 2" xfId="19489"/>
    <cellStyle name="Comma 6 2 2 2 3 4 3" xfId="16637"/>
    <cellStyle name="Comma 6 2 2 2 3 5" xfId="3280"/>
    <cellStyle name="Comma 6 2 2 2 3 5 2" xfId="11237"/>
    <cellStyle name="Comma 6 2 2 2 3 5 2 2" xfId="17776"/>
    <cellStyle name="Comma 6 2 2 2 3 5 3" xfId="14924"/>
    <cellStyle name="Comma 6 2 2 2 3 6" xfId="2706"/>
    <cellStyle name="Comma 6 2 2 2 3 6 2" xfId="14354"/>
    <cellStyle name="Comma 6 2 2 2 3 7" xfId="10667"/>
    <cellStyle name="Comma 6 2 2 2 3 7 2" xfId="17206"/>
    <cellStyle name="Comma 6 2 2 2 3 8" xfId="13784"/>
    <cellStyle name="Comma 6 2 2 2 4" xfId="3861"/>
    <cellStyle name="Comma 6 2 2 2 4 2" xfId="11523"/>
    <cellStyle name="Comma 6 2 2 2 4 2 2" xfId="18062"/>
    <cellStyle name="Comma 6 2 2 2 4 3" xfId="15210"/>
    <cellStyle name="Comma 6 2 2 2 5" xfId="6133"/>
    <cellStyle name="Comma 6 2 2 2 5 2" xfId="12094"/>
    <cellStyle name="Comma 6 2 2 2 5 2 2" xfId="18633"/>
    <cellStyle name="Comma 6 2 2 2 5 3" xfId="15781"/>
    <cellStyle name="Comma 6 2 2 2 6" xfId="8405"/>
    <cellStyle name="Comma 6 2 2 2 6 2" xfId="12665"/>
    <cellStyle name="Comma 6 2 2 2 6 2 2" xfId="19204"/>
    <cellStyle name="Comma 6 2 2 2 6 3" xfId="16352"/>
    <cellStyle name="Comma 6 2 2 2 7" xfId="2995"/>
    <cellStyle name="Comma 6 2 2 2 7 2" xfId="10952"/>
    <cellStyle name="Comma 6 2 2 2 7 2 2" xfId="17491"/>
    <cellStyle name="Comma 6 2 2 2 7 3" xfId="14639"/>
    <cellStyle name="Comma 6 2 2 2 8" xfId="2426"/>
    <cellStyle name="Comma 6 2 2 2 8 2" xfId="14074"/>
    <cellStyle name="Comma 6 2 2 2 9" xfId="10387"/>
    <cellStyle name="Comma 6 2 2 2 9 2" xfId="16926"/>
    <cellStyle name="Comma 6 2 2 3" xfId="1122"/>
    <cellStyle name="Comma 6 2 2 3 2" xfId="2257"/>
    <cellStyle name="Comma 6 2 2 3 2 2" xfId="5677"/>
    <cellStyle name="Comma 6 2 2 3 2 2 2" xfId="11979"/>
    <cellStyle name="Comma 6 2 2 3 2 2 2 2" xfId="18518"/>
    <cellStyle name="Comma 6 2 2 3 2 2 3" xfId="15666"/>
    <cellStyle name="Comma 6 2 2 3 2 3" xfId="7949"/>
    <cellStyle name="Comma 6 2 2 3 2 3 2" xfId="12550"/>
    <cellStyle name="Comma 6 2 2 3 2 3 2 2" xfId="19089"/>
    <cellStyle name="Comma 6 2 2 3 2 3 3" xfId="16237"/>
    <cellStyle name="Comma 6 2 2 3 2 4" xfId="10221"/>
    <cellStyle name="Comma 6 2 2 3 2 4 2" xfId="13121"/>
    <cellStyle name="Comma 6 2 2 3 2 4 2 2" xfId="19660"/>
    <cellStyle name="Comma 6 2 2 3 2 4 3" xfId="16808"/>
    <cellStyle name="Comma 6 2 2 3 2 5" xfId="3451"/>
    <cellStyle name="Comma 6 2 2 3 2 5 2" xfId="11408"/>
    <cellStyle name="Comma 6 2 2 3 2 5 2 2" xfId="17947"/>
    <cellStyle name="Comma 6 2 2 3 2 5 3" xfId="15095"/>
    <cellStyle name="Comma 6 2 2 3 2 6" xfId="2874"/>
    <cellStyle name="Comma 6 2 2 3 2 6 2" xfId="14522"/>
    <cellStyle name="Comma 6 2 2 3 2 7" xfId="10835"/>
    <cellStyle name="Comma 6 2 2 3 2 7 2" xfId="17374"/>
    <cellStyle name="Comma 6 2 2 3 2 8" xfId="13955"/>
    <cellStyle name="Comma 6 2 2 3 3" xfId="4542"/>
    <cellStyle name="Comma 6 2 2 3 3 2" xfId="11694"/>
    <cellStyle name="Comma 6 2 2 3 3 2 2" xfId="18233"/>
    <cellStyle name="Comma 6 2 2 3 3 3" xfId="15381"/>
    <cellStyle name="Comma 6 2 2 3 4" xfId="6814"/>
    <cellStyle name="Comma 6 2 2 3 4 2" xfId="12265"/>
    <cellStyle name="Comma 6 2 2 3 4 2 2" xfId="18804"/>
    <cellStyle name="Comma 6 2 2 3 4 3" xfId="15952"/>
    <cellStyle name="Comma 6 2 2 3 5" xfId="9086"/>
    <cellStyle name="Comma 6 2 2 3 5 2" xfId="12836"/>
    <cellStyle name="Comma 6 2 2 3 5 2 2" xfId="19375"/>
    <cellStyle name="Comma 6 2 2 3 5 3" xfId="16523"/>
    <cellStyle name="Comma 6 2 2 3 6" xfId="3166"/>
    <cellStyle name="Comma 6 2 2 3 6 2" xfId="11123"/>
    <cellStyle name="Comma 6 2 2 3 6 2 2" xfId="17662"/>
    <cellStyle name="Comma 6 2 2 3 6 3" xfId="14810"/>
    <cellStyle name="Comma 6 2 2 3 7" xfId="2594"/>
    <cellStyle name="Comma 6 2 2 3 7 2" xfId="14242"/>
    <cellStyle name="Comma 6 2 2 3 8" xfId="10555"/>
    <cellStyle name="Comma 6 2 2 3 8 2" xfId="17094"/>
    <cellStyle name="Comma 6 2 2 3 9" xfId="13670"/>
    <cellStyle name="Comma 6 2 2 4" xfId="668"/>
    <cellStyle name="Comma 6 2 2 4 2" xfId="1803"/>
    <cellStyle name="Comma 6 2 2 4 2 2" xfId="5223"/>
    <cellStyle name="Comma 6 2 2 4 2 2 2" xfId="11865"/>
    <cellStyle name="Comma 6 2 2 4 2 2 2 2" xfId="18404"/>
    <cellStyle name="Comma 6 2 2 4 2 2 3" xfId="15552"/>
    <cellStyle name="Comma 6 2 2 4 2 3" xfId="7495"/>
    <cellStyle name="Comma 6 2 2 4 2 3 2" xfId="12436"/>
    <cellStyle name="Comma 6 2 2 4 2 3 2 2" xfId="18975"/>
    <cellStyle name="Comma 6 2 2 4 2 3 3" xfId="16123"/>
    <cellStyle name="Comma 6 2 2 4 2 4" xfId="9767"/>
    <cellStyle name="Comma 6 2 2 4 2 4 2" xfId="13007"/>
    <cellStyle name="Comma 6 2 2 4 2 4 2 2" xfId="19546"/>
    <cellStyle name="Comma 6 2 2 4 2 4 3" xfId="16694"/>
    <cellStyle name="Comma 6 2 2 4 2 5" xfId="3337"/>
    <cellStyle name="Comma 6 2 2 4 2 5 2" xfId="11294"/>
    <cellStyle name="Comma 6 2 2 4 2 5 2 2" xfId="17833"/>
    <cellStyle name="Comma 6 2 2 4 2 5 3" xfId="14981"/>
    <cellStyle name="Comma 6 2 2 4 2 6" xfId="2762"/>
    <cellStyle name="Comma 6 2 2 4 2 6 2" xfId="14410"/>
    <cellStyle name="Comma 6 2 2 4 2 7" xfId="10723"/>
    <cellStyle name="Comma 6 2 2 4 2 7 2" xfId="17262"/>
    <cellStyle name="Comma 6 2 2 4 2 8" xfId="13841"/>
    <cellStyle name="Comma 6 2 2 4 3" xfId="4088"/>
    <cellStyle name="Comma 6 2 2 4 3 2" xfId="11580"/>
    <cellStyle name="Comma 6 2 2 4 3 2 2" xfId="18119"/>
    <cellStyle name="Comma 6 2 2 4 3 3" xfId="15267"/>
    <cellStyle name="Comma 6 2 2 4 4" xfId="6360"/>
    <cellStyle name="Comma 6 2 2 4 4 2" xfId="12151"/>
    <cellStyle name="Comma 6 2 2 4 4 2 2" xfId="18690"/>
    <cellStyle name="Comma 6 2 2 4 4 3" xfId="15838"/>
    <cellStyle name="Comma 6 2 2 4 5" xfId="8632"/>
    <cellStyle name="Comma 6 2 2 4 5 2" xfId="12722"/>
    <cellStyle name="Comma 6 2 2 4 5 2 2" xfId="19261"/>
    <cellStyle name="Comma 6 2 2 4 5 3" xfId="16409"/>
    <cellStyle name="Comma 6 2 2 4 6" xfId="3052"/>
    <cellStyle name="Comma 6 2 2 4 6 2" xfId="11009"/>
    <cellStyle name="Comma 6 2 2 4 6 2 2" xfId="17548"/>
    <cellStyle name="Comma 6 2 2 4 6 3" xfId="14696"/>
    <cellStyle name="Comma 6 2 2 4 7" xfId="2482"/>
    <cellStyle name="Comma 6 2 2 4 7 2" xfId="14130"/>
    <cellStyle name="Comma 6 2 2 4 8" xfId="10443"/>
    <cellStyle name="Comma 6 2 2 4 8 2" xfId="16982"/>
    <cellStyle name="Comma 6 2 2 4 9" xfId="13556"/>
    <cellStyle name="Comma 6 2 2 5" xfId="1349"/>
    <cellStyle name="Comma 6 2 2 5 2" xfId="4769"/>
    <cellStyle name="Comma 6 2 2 5 2 2" xfId="11751"/>
    <cellStyle name="Comma 6 2 2 5 2 2 2" xfId="18290"/>
    <cellStyle name="Comma 6 2 2 5 2 3" xfId="15438"/>
    <cellStyle name="Comma 6 2 2 5 3" xfId="7041"/>
    <cellStyle name="Comma 6 2 2 5 3 2" xfId="12322"/>
    <cellStyle name="Comma 6 2 2 5 3 2 2" xfId="18861"/>
    <cellStyle name="Comma 6 2 2 5 3 3" xfId="16009"/>
    <cellStyle name="Comma 6 2 2 5 4" xfId="9313"/>
    <cellStyle name="Comma 6 2 2 5 4 2" xfId="12893"/>
    <cellStyle name="Comma 6 2 2 5 4 2 2" xfId="19432"/>
    <cellStyle name="Comma 6 2 2 5 4 3" xfId="16580"/>
    <cellStyle name="Comma 6 2 2 5 5" xfId="3223"/>
    <cellStyle name="Comma 6 2 2 5 5 2" xfId="11180"/>
    <cellStyle name="Comma 6 2 2 5 5 2 2" xfId="17719"/>
    <cellStyle name="Comma 6 2 2 5 5 3" xfId="14867"/>
    <cellStyle name="Comma 6 2 2 5 6" xfId="2650"/>
    <cellStyle name="Comma 6 2 2 5 6 2" xfId="14298"/>
    <cellStyle name="Comma 6 2 2 5 7" xfId="10611"/>
    <cellStyle name="Comma 6 2 2 5 7 2" xfId="17150"/>
    <cellStyle name="Comma 6 2 2 5 8" xfId="13727"/>
    <cellStyle name="Comma 6 2 2 6" xfId="3634"/>
    <cellStyle name="Comma 6 2 2 6 2" xfId="11466"/>
    <cellStyle name="Comma 6 2 2 6 2 2" xfId="18005"/>
    <cellStyle name="Comma 6 2 2 6 3" xfId="15153"/>
    <cellStyle name="Comma 6 2 2 7" xfId="5906"/>
    <cellStyle name="Comma 6 2 2 7 2" xfId="12037"/>
    <cellStyle name="Comma 6 2 2 7 2 2" xfId="18576"/>
    <cellStyle name="Comma 6 2 2 7 3" xfId="15724"/>
    <cellStyle name="Comma 6 2 2 8" xfId="8178"/>
    <cellStyle name="Comma 6 2 2 8 2" xfId="12608"/>
    <cellStyle name="Comma 6 2 2 8 2 2" xfId="19147"/>
    <cellStyle name="Comma 6 2 2 8 3" xfId="16295"/>
    <cellStyle name="Comma 6 2 2 9" xfId="2935"/>
    <cellStyle name="Comma 6 2 2 9 2" xfId="10894"/>
    <cellStyle name="Comma 6 2 2 9 2 2" xfId="17433"/>
    <cellStyle name="Comma 6 2 2 9 3" xfId="14581"/>
    <cellStyle name="Comma 6 2 3" xfId="147"/>
    <cellStyle name="Comma 6 2 3 10" xfId="2355"/>
    <cellStyle name="Comma 6 2 3 10 2" xfId="14003"/>
    <cellStyle name="Comma 6 2 3 11" xfId="10316"/>
    <cellStyle name="Comma 6 2 3 11 2" xfId="16855"/>
    <cellStyle name="Comma 6 2 3 12" xfId="13427"/>
    <cellStyle name="Comma 6 2 3 13" xfId="20333"/>
    <cellStyle name="Comma 6 2 3 2" xfId="385"/>
    <cellStyle name="Comma 6 2 3 2 10" xfId="13485"/>
    <cellStyle name="Comma 6 2 3 2 2" xfId="839"/>
    <cellStyle name="Comma 6 2 3 2 2 2" xfId="1974"/>
    <cellStyle name="Comma 6 2 3 2 2 2 2" xfId="5394"/>
    <cellStyle name="Comma 6 2 3 2 2 2 2 2" xfId="11908"/>
    <cellStyle name="Comma 6 2 3 2 2 2 2 2 2" xfId="18447"/>
    <cellStyle name="Comma 6 2 3 2 2 2 2 3" xfId="15595"/>
    <cellStyle name="Comma 6 2 3 2 2 2 3" xfId="7666"/>
    <cellStyle name="Comma 6 2 3 2 2 2 3 2" xfId="12479"/>
    <cellStyle name="Comma 6 2 3 2 2 2 3 2 2" xfId="19018"/>
    <cellStyle name="Comma 6 2 3 2 2 2 3 3" xfId="16166"/>
    <cellStyle name="Comma 6 2 3 2 2 2 4" xfId="9938"/>
    <cellStyle name="Comma 6 2 3 2 2 2 4 2" xfId="13050"/>
    <cellStyle name="Comma 6 2 3 2 2 2 4 2 2" xfId="19589"/>
    <cellStyle name="Comma 6 2 3 2 2 2 4 3" xfId="16737"/>
    <cellStyle name="Comma 6 2 3 2 2 2 5" xfId="3380"/>
    <cellStyle name="Comma 6 2 3 2 2 2 5 2" xfId="11337"/>
    <cellStyle name="Comma 6 2 3 2 2 2 5 2 2" xfId="17876"/>
    <cellStyle name="Comma 6 2 3 2 2 2 5 3" xfId="15024"/>
    <cellStyle name="Comma 6 2 3 2 2 2 6" xfId="2804"/>
    <cellStyle name="Comma 6 2 3 2 2 2 6 2" xfId="14452"/>
    <cellStyle name="Comma 6 2 3 2 2 2 7" xfId="10765"/>
    <cellStyle name="Comma 6 2 3 2 2 2 7 2" xfId="17304"/>
    <cellStyle name="Comma 6 2 3 2 2 2 8" xfId="13884"/>
    <cellStyle name="Comma 6 2 3 2 2 3" xfId="4259"/>
    <cellStyle name="Comma 6 2 3 2 2 3 2" xfId="11623"/>
    <cellStyle name="Comma 6 2 3 2 2 3 2 2" xfId="18162"/>
    <cellStyle name="Comma 6 2 3 2 2 3 3" xfId="15310"/>
    <cellStyle name="Comma 6 2 3 2 2 4" xfId="6531"/>
    <cellStyle name="Comma 6 2 3 2 2 4 2" xfId="12194"/>
    <cellStyle name="Comma 6 2 3 2 2 4 2 2" xfId="18733"/>
    <cellStyle name="Comma 6 2 3 2 2 4 3" xfId="15881"/>
    <cellStyle name="Comma 6 2 3 2 2 5" xfId="8803"/>
    <cellStyle name="Comma 6 2 3 2 2 5 2" xfId="12765"/>
    <cellStyle name="Comma 6 2 3 2 2 5 2 2" xfId="19304"/>
    <cellStyle name="Comma 6 2 3 2 2 5 3" xfId="16452"/>
    <cellStyle name="Comma 6 2 3 2 2 6" xfId="3095"/>
    <cellStyle name="Comma 6 2 3 2 2 6 2" xfId="11052"/>
    <cellStyle name="Comma 6 2 3 2 2 6 2 2" xfId="17591"/>
    <cellStyle name="Comma 6 2 3 2 2 6 3" xfId="14739"/>
    <cellStyle name="Comma 6 2 3 2 2 7" xfId="2524"/>
    <cellStyle name="Comma 6 2 3 2 2 7 2" xfId="14172"/>
    <cellStyle name="Comma 6 2 3 2 2 8" xfId="10485"/>
    <cellStyle name="Comma 6 2 3 2 2 8 2" xfId="17024"/>
    <cellStyle name="Comma 6 2 3 2 2 9" xfId="13599"/>
    <cellStyle name="Comma 6 2 3 2 3" xfId="1520"/>
    <cellStyle name="Comma 6 2 3 2 3 2" xfId="4940"/>
    <cellStyle name="Comma 6 2 3 2 3 2 2" xfId="11794"/>
    <cellStyle name="Comma 6 2 3 2 3 2 2 2" xfId="18333"/>
    <cellStyle name="Comma 6 2 3 2 3 2 3" xfId="15481"/>
    <cellStyle name="Comma 6 2 3 2 3 3" xfId="7212"/>
    <cellStyle name="Comma 6 2 3 2 3 3 2" xfId="12365"/>
    <cellStyle name="Comma 6 2 3 2 3 3 2 2" xfId="18904"/>
    <cellStyle name="Comma 6 2 3 2 3 3 3" xfId="16052"/>
    <cellStyle name="Comma 6 2 3 2 3 4" xfId="9484"/>
    <cellStyle name="Comma 6 2 3 2 3 4 2" xfId="12936"/>
    <cellStyle name="Comma 6 2 3 2 3 4 2 2" xfId="19475"/>
    <cellStyle name="Comma 6 2 3 2 3 4 3" xfId="16623"/>
    <cellStyle name="Comma 6 2 3 2 3 5" xfId="3266"/>
    <cellStyle name="Comma 6 2 3 2 3 5 2" xfId="11223"/>
    <cellStyle name="Comma 6 2 3 2 3 5 2 2" xfId="17762"/>
    <cellStyle name="Comma 6 2 3 2 3 5 3" xfId="14910"/>
    <cellStyle name="Comma 6 2 3 2 3 6" xfId="2692"/>
    <cellStyle name="Comma 6 2 3 2 3 6 2" xfId="14340"/>
    <cellStyle name="Comma 6 2 3 2 3 7" xfId="10653"/>
    <cellStyle name="Comma 6 2 3 2 3 7 2" xfId="17192"/>
    <cellStyle name="Comma 6 2 3 2 3 8" xfId="13770"/>
    <cellStyle name="Comma 6 2 3 2 4" xfId="3805"/>
    <cellStyle name="Comma 6 2 3 2 4 2" xfId="11509"/>
    <cellStyle name="Comma 6 2 3 2 4 2 2" xfId="18048"/>
    <cellStyle name="Comma 6 2 3 2 4 3" xfId="15196"/>
    <cellStyle name="Comma 6 2 3 2 5" xfId="6077"/>
    <cellStyle name="Comma 6 2 3 2 5 2" xfId="12080"/>
    <cellStyle name="Comma 6 2 3 2 5 2 2" xfId="18619"/>
    <cellStyle name="Comma 6 2 3 2 5 3" xfId="15767"/>
    <cellStyle name="Comma 6 2 3 2 6" xfId="8349"/>
    <cellStyle name="Comma 6 2 3 2 6 2" xfId="12651"/>
    <cellStyle name="Comma 6 2 3 2 6 2 2" xfId="19190"/>
    <cellStyle name="Comma 6 2 3 2 6 3" xfId="16338"/>
    <cellStyle name="Comma 6 2 3 2 7" xfId="2981"/>
    <cellStyle name="Comma 6 2 3 2 7 2" xfId="10938"/>
    <cellStyle name="Comma 6 2 3 2 7 2 2" xfId="17477"/>
    <cellStyle name="Comma 6 2 3 2 7 3" xfId="14625"/>
    <cellStyle name="Comma 6 2 3 2 8" xfId="2412"/>
    <cellStyle name="Comma 6 2 3 2 8 2" xfId="14060"/>
    <cellStyle name="Comma 6 2 3 2 9" xfId="10373"/>
    <cellStyle name="Comma 6 2 3 2 9 2" xfId="16912"/>
    <cellStyle name="Comma 6 2 3 3" xfId="1066"/>
    <cellStyle name="Comma 6 2 3 3 2" xfId="2201"/>
    <cellStyle name="Comma 6 2 3 3 2 2" xfId="5621"/>
    <cellStyle name="Comma 6 2 3 3 2 2 2" xfId="11965"/>
    <cellStyle name="Comma 6 2 3 3 2 2 2 2" xfId="18504"/>
    <cellStyle name="Comma 6 2 3 3 2 2 3" xfId="15652"/>
    <cellStyle name="Comma 6 2 3 3 2 3" xfId="7893"/>
    <cellStyle name="Comma 6 2 3 3 2 3 2" xfId="12536"/>
    <cellStyle name="Comma 6 2 3 3 2 3 2 2" xfId="19075"/>
    <cellStyle name="Comma 6 2 3 3 2 3 3" xfId="16223"/>
    <cellStyle name="Comma 6 2 3 3 2 4" xfId="10165"/>
    <cellStyle name="Comma 6 2 3 3 2 4 2" xfId="13107"/>
    <cellStyle name="Comma 6 2 3 3 2 4 2 2" xfId="19646"/>
    <cellStyle name="Comma 6 2 3 3 2 4 3" xfId="16794"/>
    <cellStyle name="Comma 6 2 3 3 2 5" xfId="3437"/>
    <cellStyle name="Comma 6 2 3 3 2 5 2" xfId="11394"/>
    <cellStyle name="Comma 6 2 3 3 2 5 2 2" xfId="17933"/>
    <cellStyle name="Comma 6 2 3 3 2 5 3" xfId="15081"/>
    <cellStyle name="Comma 6 2 3 3 2 6" xfId="2860"/>
    <cellStyle name="Comma 6 2 3 3 2 6 2" xfId="14508"/>
    <cellStyle name="Comma 6 2 3 3 2 7" xfId="10821"/>
    <cellStyle name="Comma 6 2 3 3 2 7 2" xfId="17360"/>
    <cellStyle name="Comma 6 2 3 3 2 8" xfId="13941"/>
    <cellStyle name="Comma 6 2 3 3 3" xfId="4486"/>
    <cellStyle name="Comma 6 2 3 3 3 2" xfId="11680"/>
    <cellStyle name="Comma 6 2 3 3 3 2 2" xfId="18219"/>
    <cellStyle name="Comma 6 2 3 3 3 3" xfId="15367"/>
    <cellStyle name="Comma 6 2 3 3 4" xfId="6758"/>
    <cellStyle name="Comma 6 2 3 3 4 2" xfId="12251"/>
    <cellStyle name="Comma 6 2 3 3 4 2 2" xfId="18790"/>
    <cellStyle name="Comma 6 2 3 3 4 3" xfId="15938"/>
    <cellStyle name="Comma 6 2 3 3 5" xfId="9030"/>
    <cellStyle name="Comma 6 2 3 3 5 2" xfId="12822"/>
    <cellStyle name="Comma 6 2 3 3 5 2 2" xfId="19361"/>
    <cellStyle name="Comma 6 2 3 3 5 3" xfId="16509"/>
    <cellStyle name="Comma 6 2 3 3 6" xfId="3152"/>
    <cellStyle name="Comma 6 2 3 3 6 2" xfId="11109"/>
    <cellStyle name="Comma 6 2 3 3 6 2 2" xfId="17648"/>
    <cellStyle name="Comma 6 2 3 3 6 3" xfId="14796"/>
    <cellStyle name="Comma 6 2 3 3 7" xfId="2580"/>
    <cellStyle name="Comma 6 2 3 3 7 2" xfId="14228"/>
    <cellStyle name="Comma 6 2 3 3 8" xfId="10541"/>
    <cellStyle name="Comma 6 2 3 3 8 2" xfId="17080"/>
    <cellStyle name="Comma 6 2 3 3 9" xfId="13656"/>
    <cellStyle name="Comma 6 2 3 4" xfId="612"/>
    <cellStyle name="Comma 6 2 3 4 2" xfId="1747"/>
    <cellStyle name="Comma 6 2 3 4 2 2" xfId="5167"/>
    <cellStyle name="Comma 6 2 3 4 2 2 2" xfId="11851"/>
    <cellStyle name="Comma 6 2 3 4 2 2 2 2" xfId="18390"/>
    <cellStyle name="Comma 6 2 3 4 2 2 3" xfId="15538"/>
    <cellStyle name="Comma 6 2 3 4 2 3" xfId="7439"/>
    <cellStyle name="Comma 6 2 3 4 2 3 2" xfId="12422"/>
    <cellStyle name="Comma 6 2 3 4 2 3 2 2" xfId="18961"/>
    <cellStyle name="Comma 6 2 3 4 2 3 3" xfId="16109"/>
    <cellStyle name="Comma 6 2 3 4 2 4" xfId="9711"/>
    <cellStyle name="Comma 6 2 3 4 2 4 2" xfId="12993"/>
    <cellStyle name="Comma 6 2 3 4 2 4 2 2" xfId="19532"/>
    <cellStyle name="Comma 6 2 3 4 2 4 3" xfId="16680"/>
    <cellStyle name="Comma 6 2 3 4 2 5" xfId="3323"/>
    <cellStyle name="Comma 6 2 3 4 2 5 2" xfId="11280"/>
    <cellStyle name="Comma 6 2 3 4 2 5 2 2" xfId="17819"/>
    <cellStyle name="Comma 6 2 3 4 2 5 3" xfId="14967"/>
    <cellStyle name="Comma 6 2 3 4 2 6" xfId="2748"/>
    <cellStyle name="Comma 6 2 3 4 2 6 2" xfId="14396"/>
    <cellStyle name="Comma 6 2 3 4 2 7" xfId="10709"/>
    <cellStyle name="Comma 6 2 3 4 2 7 2" xfId="17248"/>
    <cellStyle name="Comma 6 2 3 4 2 8" xfId="13827"/>
    <cellStyle name="Comma 6 2 3 4 3" xfId="4032"/>
    <cellStyle name="Comma 6 2 3 4 3 2" xfId="11566"/>
    <cellStyle name="Comma 6 2 3 4 3 2 2" xfId="18105"/>
    <cellStyle name="Comma 6 2 3 4 3 3" xfId="15253"/>
    <cellStyle name="Comma 6 2 3 4 4" xfId="6304"/>
    <cellStyle name="Comma 6 2 3 4 4 2" xfId="12137"/>
    <cellStyle name="Comma 6 2 3 4 4 2 2" xfId="18676"/>
    <cellStyle name="Comma 6 2 3 4 4 3" xfId="15824"/>
    <cellStyle name="Comma 6 2 3 4 5" xfId="8576"/>
    <cellStyle name="Comma 6 2 3 4 5 2" xfId="12708"/>
    <cellStyle name="Comma 6 2 3 4 5 2 2" xfId="19247"/>
    <cellStyle name="Comma 6 2 3 4 5 3" xfId="16395"/>
    <cellStyle name="Comma 6 2 3 4 6" xfId="3038"/>
    <cellStyle name="Comma 6 2 3 4 6 2" xfId="10995"/>
    <cellStyle name="Comma 6 2 3 4 6 2 2" xfId="17534"/>
    <cellStyle name="Comma 6 2 3 4 6 3" xfId="14682"/>
    <cellStyle name="Comma 6 2 3 4 7" xfId="2468"/>
    <cellStyle name="Comma 6 2 3 4 7 2" xfId="14116"/>
    <cellStyle name="Comma 6 2 3 4 8" xfId="10429"/>
    <cellStyle name="Comma 6 2 3 4 8 2" xfId="16968"/>
    <cellStyle name="Comma 6 2 3 4 9" xfId="13542"/>
    <cellStyle name="Comma 6 2 3 5" xfId="1293"/>
    <cellStyle name="Comma 6 2 3 5 2" xfId="4713"/>
    <cellStyle name="Comma 6 2 3 5 2 2" xfId="11737"/>
    <cellStyle name="Comma 6 2 3 5 2 2 2" xfId="18276"/>
    <cellStyle name="Comma 6 2 3 5 2 3" xfId="15424"/>
    <cellStyle name="Comma 6 2 3 5 3" xfId="6985"/>
    <cellStyle name="Comma 6 2 3 5 3 2" xfId="12308"/>
    <cellStyle name="Comma 6 2 3 5 3 2 2" xfId="18847"/>
    <cellStyle name="Comma 6 2 3 5 3 3" xfId="15995"/>
    <cellStyle name="Comma 6 2 3 5 4" xfId="9257"/>
    <cellStyle name="Comma 6 2 3 5 4 2" xfId="12879"/>
    <cellStyle name="Comma 6 2 3 5 4 2 2" xfId="19418"/>
    <cellStyle name="Comma 6 2 3 5 4 3" xfId="16566"/>
    <cellStyle name="Comma 6 2 3 5 5" xfId="3209"/>
    <cellStyle name="Comma 6 2 3 5 5 2" xfId="11166"/>
    <cellStyle name="Comma 6 2 3 5 5 2 2" xfId="17705"/>
    <cellStyle name="Comma 6 2 3 5 5 3" xfId="14853"/>
    <cellStyle name="Comma 6 2 3 5 6" xfId="2636"/>
    <cellStyle name="Comma 6 2 3 5 6 2" xfId="14284"/>
    <cellStyle name="Comma 6 2 3 5 7" xfId="10597"/>
    <cellStyle name="Comma 6 2 3 5 7 2" xfId="17136"/>
    <cellStyle name="Comma 6 2 3 5 8" xfId="13713"/>
    <cellStyle name="Comma 6 2 3 6" xfId="3578"/>
    <cellStyle name="Comma 6 2 3 6 2" xfId="11452"/>
    <cellStyle name="Comma 6 2 3 6 2 2" xfId="17991"/>
    <cellStyle name="Comma 6 2 3 6 3" xfId="15139"/>
    <cellStyle name="Comma 6 2 3 7" xfId="5850"/>
    <cellStyle name="Comma 6 2 3 7 2" xfId="12023"/>
    <cellStyle name="Comma 6 2 3 7 2 2" xfId="18562"/>
    <cellStyle name="Comma 6 2 3 7 3" xfId="15710"/>
    <cellStyle name="Comma 6 2 3 8" xfId="8122"/>
    <cellStyle name="Comma 6 2 3 8 2" xfId="12594"/>
    <cellStyle name="Comma 6 2 3 8 2 2" xfId="19133"/>
    <cellStyle name="Comma 6 2 3 8 3" xfId="16281"/>
    <cellStyle name="Comma 6 2 3 9" xfId="2921"/>
    <cellStyle name="Comma 6 2 3 9 2" xfId="10880"/>
    <cellStyle name="Comma 6 2 3 9 2 2" xfId="17419"/>
    <cellStyle name="Comma 6 2 3 9 3" xfId="14567"/>
    <cellStyle name="Comma 6 2 4" xfId="273"/>
    <cellStyle name="Comma 6 2 4 10" xfId="2384"/>
    <cellStyle name="Comma 6 2 4 10 2" xfId="14032"/>
    <cellStyle name="Comma 6 2 4 11" xfId="10345"/>
    <cellStyle name="Comma 6 2 4 11 2" xfId="16884"/>
    <cellStyle name="Comma 6 2 4 12" xfId="13457"/>
    <cellStyle name="Comma 6 2 4 2" xfId="500"/>
    <cellStyle name="Comma 6 2 4 2 10" xfId="13514"/>
    <cellStyle name="Comma 6 2 4 2 2" xfId="954"/>
    <cellStyle name="Comma 6 2 4 2 2 2" xfId="2089"/>
    <cellStyle name="Comma 6 2 4 2 2 2 2" xfId="5509"/>
    <cellStyle name="Comma 6 2 4 2 2 2 2 2" xfId="11937"/>
    <cellStyle name="Comma 6 2 4 2 2 2 2 2 2" xfId="18476"/>
    <cellStyle name="Comma 6 2 4 2 2 2 2 3" xfId="15624"/>
    <cellStyle name="Comma 6 2 4 2 2 2 3" xfId="7781"/>
    <cellStyle name="Comma 6 2 4 2 2 2 3 2" xfId="12508"/>
    <cellStyle name="Comma 6 2 4 2 2 2 3 2 2" xfId="19047"/>
    <cellStyle name="Comma 6 2 4 2 2 2 3 3" xfId="16195"/>
    <cellStyle name="Comma 6 2 4 2 2 2 4" xfId="10053"/>
    <cellStyle name="Comma 6 2 4 2 2 2 4 2" xfId="13079"/>
    <cellStyle name="Comma 6 2 4 2 2 2 4 2 2" xfId="19618"/>
    <cellStyle name="Comma 6 2 4 2 2 2 4 3" xfId="16766"/>
    <cellStyle name="Comma 6 2 4 2 2 2 5" xfId="3409"/>
    <cellStyle name="Comma 6 2 4 2 2 2 5 2" xfId="11366"/>
    <cellStyle name="Comma 6 2 4 2 2 2 5 2 2" xfId="17905"/>
    <cellStyle name="Comma 6 2 4 2 2 2 5 3" xfId="15053"/>
    <cellStyle name="Comma 6 2 4 2 2 2 6" xfId="2832"/>
    <cellStyle name="Comma 6 2 4 2 2 2 6 2" xfId="14480"/>
    <cellStyle name="Comma 6 2 4 2 2 2 7" xfId="10793"/>
    <cellStyle name="Comma 6 2 4 2 2 2 7 2" xfId="17332"/>
    <cellStyle name="Comma 6 2 4 2 2 2 8" xfId="13913"/>
    <cellStyle name="Comma 6 2 4 2 2 3" xfId="4374"/>
    <cellStyle name="Comma 6 2 4 2 2 3 2" xfId="11652"/>
    <cellStyle name="Comma 6 2 4 2 2 3 2 2" xfId="18191"/>
    <cellStyle name="Comma 6 2 4 2 2 3 3" xfId="15339"/>
    <cellStyle name="Comma 6 2 4 2 2 4" xfId="6646"/>
    <cellStyle name="Comma 6 2 4 2 2 4 2" xfId="12223"/>
    <cellStyle name="Comma 6 2 4 2 2 4 2 2" xfId="18762"/>
    <cellStyle name="Comma 6 2 4 2 2 4 3" xfId="15910"/>
    <cellStyle name="Comma 6 2 4 2 2 5" xfId="8918"/>
    <cellStyle name="Comma 6 2 4 2 2 5 2" xfId="12794"/>
    <cellStyle name="Comma 6 2 4 2 2 5 2 2" xfId="19333"/>
    <cellStyle name="Comma 6 2 4 2 2 5 3" xfId="16481"/>
    <cellStyle name="Comma 6 2 4 2 2 6" xfId="3124"/>
    <cellStyle name="Comma 6 2 4 2 2 6 2" xfId="11081"/>
    <cellStyle name="Comma 6 2 4 2 2 6 2 2" xfId="17620"/>
    <cellStyle name="Comma 6 2 4 2 2 6 3" xfId="14768"/>
    <cellStyle name="Comma 6 2 4 2 2 7" xfId="2552"/>
    <cellStyle name="Comma 6 2 4 2 2 7 2" xfId="14200"/>
    <cellStyle name="Comma 6 2 4 2 2 8" xfId="10513"/>
    <cellStyle name="Comma 6 2 4 2 2 8 2" xfId="17052"/>
    <cellStyle name="Comma 6 2 4 2 2 9" xfId="13628"/>
    <cellStyle name="Comma 6 2 4 2 3" xfId="1635"/>
    <cellStyle name="Comma 6 2 4 2 3 2" xfId="5055"/>
    <cellStyle name="Comma 6 2 4 2 3 2 2" xfId="11823"/>
    <cellStyle name="Comma 6 2 4 2 3 2 2 2" xfId="18362"/>
    <cellStyle name="Comma 6 2 4 2 3 2 3" xfId="15510"/>
    <cellStyle name="Comma 6 2 4 2 3 3" xfId="7327"/>
    <cellStyle name="Comma 6 2 4 2 3 3 2" xfId="12394"/>
    <cellStyle name="Comma 6 2 4 2 3 3 2 2" xfId="18933"/>
    <cellStyle name="Comma 6 2 4 2 3 3 3" xfId="16081"/>
    <cellStyle name="Comma 6 2 4 2 3 4" xfId="9599"/>
    <cellStyle name="Comma 6 2 4 2 3 4 2" xfId="12965"/>
    <cellStyle name="Comma 6 2 4 2 3 4 2 2" xfId="19504"/>
    <cellStyle name="Comma 6 2 4 2 3 4 3" xfId="16652"/>
    <cellStyle name="Comma 6 2 4 2 3 5" xfId="3295"/>
    <cellStyle name="Comma 6 2 4 2 3 5 2" xfId="11252"/>
    <cellStyle name="Comma 6 2 4 2 3 5 2 2" xfId="17791"/>
    <cellStyle name="Comma 6 2 4 2 3 5 3" xfId="14939"/>
    <cellStyle name="Comma 6 2 4 2 3 6" xfId="2720"/>
    <cellStyle name="Comma 6 2 4 2 3 6 2" xfId="14368"/>
    <cellStyle name="Comma 6 2 4 2 3 7" xfId="10681"/>
    <cellStyle name="Comma 6 2 4 2 3 7 2" xfId="17220"/>
    <cellStyle name="Comma 6 2 4 2 3 8" xfId="13799"/>
    <cellStyle name="Comma 6 2 4 2 4" xfId="3920"/>
    <cellStyle name="Comma 6 2 4 2 4 2" xfId="11538"/>
    <cellStyle name="Comma 6 2 4 2 4 2 2" xfId="18077"/>
    <cellStyle name="Comma 6 2 4 2 4 3" xfId="15225"/>
    <cellStyle name="Comma 6 2 4 2 5" xfId="6192"/>
    <cellStyle name="Comma 6 2 4 2 5 2" xfId="12109"/>
    <cellStyle name="Comma 6 2 4 2 5 2 2" xfId="18648"/>
    <cellStyle name="Comma 6 2 4 2 5 3" xfId="15796"/>
    <cellStyle name="Comma 6 2 4 2 6" xfId="8464"/>
    <cellStyle name="Comma 6 2 4 2 6 2" xfId="12680"/>
    <cellStyle name="Comma 6 2 4 2 6 2 2" xfId="19219"/>
    <cellStyle name="Comma 6 2 4 2 6 3" xfId="16367"/>
    <cellStyle name="Comma 6 2 4 2 7" xfId="3010"/>
    <cellStyle name="Comma 6 2 4 2 7 2" xfId="10967"/>
    <cellStyle name="Comma 6 2 4 2 7 2 2" xfId="17506"/>
    <cellStyle name="Comma 6 2 4 2 7 3" xfId="14654"/>
    <cellStyle name="Comma 6 2 4 2 8" xfId="2440"/>
    <cellStyle name="Comma 6 2 4 2 8 2" xfId="14088"/>
    <cellStyle name="Comma 6 2 4 2 9" xfId="10401"/>
    <cellStyle name="Comma 6 2 4 2 9 2" xfId="16940"/>
    <cellStyle name="Comma 6 2 4 3" xfId="1181"/>
    <cellStyle name="Comma 6 2 4 3 2" xfId="2316"/>
    <cellStyle name="Comma 6 2 4 3 2 2" xfId="5736"/>
    <cellStyle name="Comma 6 2 4 3 2 2 2" xfId="11994"/>
    <cellStyle name="Comma 6 2 4 3 2 2 2 2" xfId="18533"/>
    <cellStyle name="Comma 6 2 4 3 2 2 3" xfId="15681"/>
    <cellStyle name="Comma 6 2 4 3 2 3" xfId="8008"/>
    <cellStyle name="Comma 6 2 4 3 2 3 2" xfId="12565"/>
    <cellStyle name="Comma 6 2 4 3 2 3 2 2" xfId="19104"/>
    <cellStyle name="Comma 6 2 4 3 2 3 3" xfId="16252"/>
    <cellStyle name="Comma 6 2 4 3 2 4" xfId="10280"/>
    <cellStyle name="Comma 6 2 4 3 2 4 2" xfId="13136"/>
    <cellStyle name="Comma 6 2 4 3 2 4 2 2" xfId="19675"/>
    <cellStyle name="Comma 6 2 4 3 2 4 3" xfId="16823"/>
    <cellStyle name="Comma 6 2 4 3 2 5" xfId="3466"/>
    <cellStyle name="Comma 6 2 4 3 2 5 2" xfId="11423"/>
    <cellStyle name="Comma 6 2 4 3 2 5 2 2" xfId="17962"/>
    <cellStyle name="Comma 6 2 4 3 2 5 3" xfId="15110"/>
    <cellStyle name="Comma 6 2 4 3 2 6" xfId="2888"/>
    <cellStyle name="Comma 6 2 4 3 2 6 2" xfId="14536"/>
    <cellStyle name="Comma 6 2 4 3 2 7" xfId="10849"/>
    <cellStyle name="Comma 6 2 4 3 2 7 2" xfId="17388"/>
    <cellStyle name="Comma 6 2 4 3 2 8" xfId="13970"/>
    <cellStyle name="Comma 6 2 4 3 3" xfId="4601"/>
    <cellStyle name="Comma 6 2 4 3 3 2" xfId="11709"/>
    <cellStyle name="Comma 6 2 4 3 3 2 2" xfId="18248"/>
    <cellStyle name="Comma 6 2 4 3 3 3" xfId="15396"/>
    <cellStyle name="Comma 6 2 4 3 4" xfId="6873"/>
    <cellStyle name="Comma 6 2 4 3 4 2" xfId="12280"/>
    <cellStyle name="Comma 6 2 4 3 4 2 2" xfId="18819"/>
    <cellStyle name="Comma 6 2 4 3 4 3" xfId="15967"/>
    <cellStyle name="Comma 6 2 4 3 5" xfId="9145"/>
    <cellStyle name="Comma 6 2 4 3 5 2" xfId="12851"/>
    <cellStyle name="Comma 6 2 4 3 5 2 2" xfId="19390"/>
    <cellStyle name="Comma 6 2 4 3 5 3" xfId="16538"/>
    <cellStyle name="Comma 6 2 4 3 6" xfId="3181"/>
    <cellStyle name="Comma 6 2 4 3 6 2" xfId="11138"/>
    <cellStyle name="Comma 6 2 4 3 6 2 2" xfId="17677"/>
    <cellStyle name="Comma 6 2 4 3 6 3" xfId="14825"/>
    <cellStyle name="Comma 6 2 4 3 7" xfId="2608"/>
    <cellStyle name="Comma 6 2 4 3 7 2" xfId="14256"/>
    <cellStyle name="Comma 6 2 4 3 8" xfId="10569"/>
    <cellStyle name="Comma 6 2 4 3 8 2" xfId="17108"/>
    <cellStyle name="Comma 6 2 4 3 9" xfId="13685"/>
    <cellStyle name="Comma 6 2 4 4" xfId="727"/>
    <cellStyle name="Comma 6 2 4 4 2" xfId="1862"/>
    <cellStyle name="Comma 6 2 4 4 2 2" xfId="5282"/>
    <cellStyle name="Comma 6 2 4 4 2 2 2" xfId="11880"/>
    <cellStyle name="Comma 6 2 4 4 2 2 2 2" xfId="18419"/>
    <cellStyle name="Comma 6 2 4 4 2 2 3" xfId="15567"/>
    <cellStyle name="Comma 6 2 4 4 2 3" xfId="7554"/>
    <cellStyle name="Comma 6 2 4 4 2 3 2" xfId="12451"/>
    <cellStyle name="Comma 6 2 4 4 2 3 2 2" xfId="18990"/>
    <cellStyle name="Comma 6 2 4 4 2 3 3" xfId="16138"/>
    <cellStyle name="Comma 6 2 4 4 2 4" xfId="9826"/>
    <cellStyle name="Comma 6 2 4 4 2 4 2" xfId="13022"/>
    <cellStyle name="Comma 6 2 4 4 2 4 2 2" xfId="19561"/>
    <cellStyle name="Comma 6 2 4 4 2 4 3" xfId="16709"/>
    <cellStyle name="Comma 6 2 4 4 2 5" xfId="3352"/>
    <cellStyle name="Comma 6 2 4 4 2 5 2" xfId="11309"/>
    <cellStyle name="Comma 6 2 4 4 2 5 2 2" xfId="17848"/>
    <cellStyle name="Comma 6 2 4 4 2 5 3" xfId="14996"/>
    <cellStyle name="Comma 6 2 4 4 2 6" xfId="2776"/>
    <cellStyle name="Comma 6 2 4 4 2 6 2" xfId="14424"/>
    <cellStyle name="Comma 6 2 4 4 2 7" xfId="10737"/>
    <cellStyle name="Comma 6 2 4 4 2 7 2" xfId="17276"/>
    <cellStyle name="Comma 6 2 4 4 2 8" xfId="13856"/>
    <cellStyle name="Comma 6 2 4 4 3" xfId="4147"/>
    <cellStyle name="Comma 6 2 4 4 3 2" xfId="11595"/>
    <cellStyle name="Comma 6 2 4 4 3 2 2" xfId="18134"/>
    <cellStyle name="Comma 6 2 4 4 3 3" xfId="15282"/>
    <cellStyle name="Comma 6 2 4 4 4" xfId="6419"/>
    <cellStyle name="Comma 6 2 4 4 4 2" xfId="12166"/>
    <cellStyle name="Comma 6 2 4 4 4 2 2" xfId="18705"/>
    <cellStyle name="Comma 6 2 4 4 4 3" xfId="15853"/>
    <cellStyle name="Comma 6 2 4 4 5" xfId="8691"/>
    <cellStyle name="Comma 6 2 4 4 5 2" xfId="12737"/>
    <cellStyle name="Comma 6 2 4 4 5 2 2" xfId="19276"/>
    <cellStyle name="Comma 6 2 4 4 5 3" xfId="16424"/>
    <cellStyle name="Comma 6 2 4 4 6" xfId="3067"/>
    <cellStyle name="Comma 6 2 4 4 6 2" xfId="11024"/>
    <cellStyle name="Comma 6 2 4 4 6 2 2" xfId="17563"/>
    <cellStyle name="Comma 6 2 4 4 6 3" xfId="14711"/>
    <cellStyle name="Comma 6 2 4 4 7" xfId="2496"/>
    <cellStyle name="Comma 6 2 4 4 7 2" xfId="14144"/>
    <cellStyle name="Comma 6 2 4 4 8" xfId="10457"/>
    <cellStyle name="Comma 6 2 4 4 8 2" xfId="16996"/>
    <cellStyle name="Comma 6 2 4 4 9" xfId="13571"/>
    <cellStyle name="Comma 6 2 4 5" xfId="1408"/>
    <cellStyle name="Comma 6 2 4 5 2" xfId="4828"/>
    <cellStyle name="Comma 6 2 4 5 2 2" xfId="11766"/>
    <cellStyle name="Comma 6 2 4 5 2 2 2" xfId="18305"/>
    <cellStyle name="Comma 6 2 4 5 2 3" xfId="15453"/>
    <cellStyle name="Comma 6 2 4 5 3" xfId="7100"/>
    <cellStyle name="Comma 6 2 4 5 3 2" xfId="12337"/>
    <cellStyle name="Comma 6 2 4 5 3 2 2" xfId="18876"/>
    <cellStyle name="Comma 6 2 4 5 3 3" xfId="16024"/>
    <cellStyle name="Comma 6 2 4 5 4" xfId="9372"/>
    <cellStyle name="Comma 6 2 4 5 4 2" xfId="12908"/>
    <cellStyle name="Comma 6 2 4 5 4 2 2" xfId="19447"/>
    <cellStyle name="Comma 6 2 4 5 4 3" xfId="16595"/>
    <cellStyle name="Comma 6 2 4 5 5" xfId="3238"/>
    <cellStyle name="Comma 6 2 4 5 5 2" xfId="11195"/>
    <cellStyle name="Comma 6 2 4 5 5 2 2" xfId="17734"/>
    <cellStyle name="Comma 6 2 4 5 5 3" xfId="14882"/>
    <cellStyle name="Comma 6 2 4 5 6" xfId="2664"/>
    <cellStyle name="Comma 6 2 4 5 6 2" xfId="14312"/>
    <cellStyle name="Comma 6 2 4 5 7" xfId="10625"/>
    <cellStyle name="Comma 6 2 4 5 7 2" xfId="17164"/>
    <cellStyle name="Comma 6 2 4 5 8" xfId="13742"/>
    <cellStyle name="Comma 6 2 4 6" xfId="3693"/>
    <cellStyle name="Comma 6 2 4 6 2" xfId="11481"/>
    <cellStyle name="Comma 6 2 4 6 2 2" xfId="18020"/>
    <cellStyle name="Comma 6 2 4 6 3" xfId="15168"/>
    <cellStyle name="Comma 6 2 4 7" xfId="5965"/>
    <cellStyle name="Comma 6 2 4 7 2" xfId="12052"/>
    <cellStyle name="Comma 6 2 4 7 2 2" xfId="18591"/>
    <cellStyle name="Comma 6 2 4 7 3" xfId="15739"/>
    <cellStyle name="Comma 6 2 4 8" xfId="8237"/>
    <cellStyle name="Comma 6 2 4 8 2" xfId="12623"/>
    <cellStyle name="Comma 6 2 4 8 2 2" xfId="19162"/>
    <cellStyle name="Comma 6 2 4 8 3" xfId="16310"/>
    <cellStyle name="Comma 6 2 4 9" xfId="2953"/>
    <cellStyle name="Comma 6 2 4 9 2" xfId="10910"/>
    <cellStyle name="Comma 6 2 4 9 2 2" xfId="17449"/>
    <cellStyle name="Comma 6 2 4 9 3" xfId="14597"/>
    <cellStyle name="Comma 6 2 5" xfId="329"/>
    <cellStyle name="Comma 6 2 5 10" xfId="13471"/>
    <cellStyle name="Comma 6 2 5 2" xfId="783"/>
    <cellStyle name="Comma 6 2 5 2 2" xfId="1918"/>
    <cellStyle name="Comma 6 2 5 2 2 2" xfId="5338"/>
    <cellStyle name="Comma 6 2 5 2 2 2 2" xfId="11894"/>
    <cellStyle name="Comma 6 2 5 2 2 2 2 2" xfId="18433"/>
    <cellStyle name="Comma 6 2 5 2 2 2 3" xfId="15581"/>
    <cellStyle name="Comma 6 2 5 2 2 3" xfId="7610"/>
    <cellStyle name="Comma 6 2 5 2 2 3 2" xfId="12465"/>
    <cellStyle name="Comma 6 2 5 2 2 3 2 2" xfId="19004"/>
    <cellStyle name="Comma 6 2 5 2 2 3 3" xfId="16152"/>
    <cellStyle name="Comma 6 2 5 2 2 4" xfId="9882"/>
    <cellStyle name="Comma 6 2 5 2 2 4 2" xfId="13036"/>
    <cellStyle name="Comma 6 2 5 2 2 4 2 2" xfId="19575"/>
    <cellStyle name="Comma 6 2 5 2 2 4 3" xfId="16723"/>
    <cellStyle name="Comma 6 2 5 2 2 5" xfId="3366"/>
    <cellStyle name="Comma 6 2 5 2 2 5 2" xfId="11323"/>
    <cellStyle name="Comma 6 2 5 2 2 5 2 2" xfId="17862"/>
    <cellStyle name="Comma 6 2 5 2 2 5 3" xfId="15010"/>
    <cellStyle name="Comma 6 2 5 2 2 6" xfId="2790"/>
    <cellStyle name="Comma 6 2 5 2 2 6 2" xfId="14438"/>
    <cellStyle name="Comma 6 2 5 2 2 7" xfId="10751"/>
    <cellStyle name="Comma 6 2 5 2 2 7 2" xfId="17290"/>
    <cellStyle name="Comma 6 2 5 2 2 8" xfId="13870"/>
    <cellStyle name="Comma 6 2 5 2 3" xfId="4203"/>
    <cellStyle name="Comma 6 2 5 2 3 2" xfId="11609"/>
    <cellStyle name="Comma 6 2 5 2 3 2 2" xfId="18148"/>
    <cellStyle name="Comma 6 2 5 2 3 3" xfId="15296"/>
    <cellStyle name="Comma 6 2 5 2 4" xfId="6475"/>
    <cellStyle name="Comma 6 2 5 2 4 2" xfId="12180"/>
    <cellStyle name="Comma 6 2 5 2 4 2 2" xfId="18719"/>
    <cellStyle name="Comma 6 2 5 2 4 3" xfId="15867"/>
    <cellStyle name="Comma 6 2 5 2 5" xfId="8747"/>
    <cellStyle name="Comma 6 2 5 2 5 2" xfId="12751"/>
    <cellStyle name="Comma 6 2 5 2 5 2 2" xfId="19290"/>
    <cellStyle name="Comma 6 2 5 2 5 3" xfId="16438"/>
    <cellStyle name="Comma 6 2 5 2 6" xfId="3081"/>
    <cellStyle name="Comma 6 2 5 2 6 2" xfId="11038"/>
    <cellStyle name="Comma 6 2 5 2 6 2 2" xfId="17577"/>
    <cellStyle name="Comma 6 2 5 2 6 3" xfId="14725"/>
    <cellStyle name="Comma 6 2 5 2 7" xfId="2510"/>
    <cellStyle name="Comma 6 2 5 2 7 2" xfId="14158"/>
    <cellStyle name="Comma 6 2 5 2 8" xfId="10471"/>
    <cellStyle name="Comma 6 2 5 2 8 2" xfId="17010"/>
    <cellStyle name="Comma 6 2 5 2 9" xfId="13585"/>
    <cellStyle name="Comma 6 2 5 3" xfId="1464"/>
    <cellStyle name="Comma 6 2 5 3 2" xfId="4884"/>
    <cellStyle name="Comma 6 2 5 3 2 2" xfId="11780"/>
    <cellStyle name="Comma 6 2 5 3 2 2 2" xfId="18319"/>
    <cellStyle name="Comma 6 2 5 3 2 3" xfId="15467"/>
    <cellStyle name="Comma 6 2 5 3 3" xfId="7156"/>
    <cellStyle name="Comma 6 2 5 3 3 2" xfId="12351"/>
    <cellStyle name="Comma 6 2 5 3 3 2 2" xfId="18890"/>
    <cellStyle name="Comma 6 2 5 3 3 3" xfId="16038"/>
    <cellStyle name="Comma 6 2 5 3 4" xfId="9428"/>
    <cellStyle name="Comma 6 2 5 3 4 2" xfId="12922"/>
    <cellStyle name="Comma 6 2 5 3 4 2 2" xfId="19461"/>
    <cellStyle name="Comma 6 2 5 3 4 3" xfId="16609"/>
    <cellStyle name="Comma 6 2 5 3 5" xfId="3252"/>
    <cellStyle name="Comma 6 2 5 3 5 2" xfId="11209"/>
    <cellStyle name="Comma 6 2 5 3 5 2 2" xfId="17748"/>
    <cellStyle name="Comma 6 2 5 3 5 3" xfId="14896"/>
    <cellStyle name="Comma 6 2 5 3 6" xfId="2678"/>
    <cellStyle name="Comma 6 2 5 3 6 2" xfId="14326"/>
    <cellStyle name="Comma 6 2 5 3 7" xfId="10639"/>
    <cellStyle name="Comma 6 2 5 3 7 2" xfId="17178"/>
    <cellStyle name="Comma 6 2 5 3 8" xfId="13756"/>
    <cellStyle name="Comma 6 2 5 4" xfId="3749"/>
    <cellStyle name="Comma 6 2 5 4 2" xfId="11495"/>
    <cellStyle name="Comma 6 2 5 4 2 2" xfId="18034"/>
    <cellStyle name="Comma 6 2 5 4 3" xfId="15182"/>
    <cellStyle name="Comma 6 2 5 5" xfId="6021"/>
    <cellStyle name="Comma 6 2 5 5 2" xfId="12066"/>
    <cellStyle name="Comma 6 2 5 5 2 2" xfId="18605"/>
    <cellStyle name="Comma 6 2 5 5 3" xfId="15753"/>
    <cellStyle name="Comma 6 2 5 6" xfId="8293"/>
    <cellStyle name="Comma 6 2 5 6 2" xfId="12637"/>
    <cellStyle name="Comma 6 2 5 6 2 2" xfId="19176"/>
    <cellStyle name="Comma 6 2 5 6 3" xfId="16324"/>
    <cellStyle name="Comma 6 2 5 7" xfId="2967"/>
    <cellStyle name="Comma 6 2 5 7 2" xfId="10924"/>
    <cellStyle name="Comma 6 2 5 7 2 2" xfId="17463"/>
    <cellStyle name="Comma 6 2 5 7 3" xfId="14611"/>
    <cellStyle name="Comma 6 2 5 8" xfId="2398"/>
    <cellStyle name="Comma 6 2 5 8 2" xfId="14046"/>
    <cellStyle name="Comma 6 2 5 9" xfId="10359"/>
    <cellStyle name="Comma 6 2 5 9 2" xfId="16898"/>
    <cellStyle name="Comma 6 2 6" xfId="1010"/>
    <cellStyle name="Comma 6 2 6 2" xfId="2145"/>
    <cellStyle name="Comma 6 2 6 2 2" xfId="5565"/>
    <cellStyle name="Comma 6 2 6 2 2 2" xfId="11951"/>
    <cellStyle name="Comma 6 2 6 2 2 2 2" xfId="18490"/>
    <cellStyle name="Comma 6 2 6 2 2 3" xfId="15638"/>
    <cellStyle name="Comma 6 2 6 2 3" xfId="7837"/>
    <cellStyle name="Comma 6 2 6 2 3 2" xfId="12522"/>
    <cellStyle name="Comma 6 2 6 2 3 2 2" xfId="19061"/>
    <cellStyle name="Comma 6 2 6 2 3 3" xfId="16209"/>
    <cellStyle name="Comma 6 2 6 2 4" xfId="10109"/>
    <cellStyle name="Comma 6 2 6 2 4 2" xfId="13093"/>
    <cellStyle name="Comma 6 2 6 2 4 2 2" xfId="19632"/>
    <cellStyle name="Comma 6 2 6 2 4 3" xfId="16780"/>
    <cellStyle name="Comma 6 2 6 2 5" xfId="3423"/>
    <cellStyle name="Comma 6 2 6 2 5 2" xfId="11380"/>
    <cellStyle name="Comma 6 2 6 2 5 2 2" xfId="17919"/>
    <cellStyle name="Comma 6 2 6 2 5 3" xfId="15067"/>
    <cellStyle name="Comma 6 2 6 2 6" xfId="2846"/>
    <cellStyle name="Comma 6 2 6 2 6 2" xfId="14494"/>
    <cellStyle name="Comma 6 2 6 2 7" xfId="10807"/>
    <cellStyle name="Comma 6 2 6 2 7 2" xfId="17346"/>
    <cellStyle name="Comma 6 2 6 2 8" xfId="13927"/>
    <cellStyle name="Comma 6 2 6 3" xfId="4430"/>
    <cellStyle name="Comma 6 2 6 3 2" xfId="11666"/>
    <cellStyle name="Comma 6 2 6 3 2 2" xfId="18205"/>
    <cellStyle name="Comma 6 2 6 3 3" xfId="15353"/>
    <cellStyle name="Comma 6 2 6 4" xfId="6702"/>
    <cellStyle name="Comma 6 2 6 4 2" xfId="12237"/>
    <cellStyle name="Comma 6 2 6 4 2 2" xfId="18776"/>
    <cellStyle name="Comma 6 2 6 4 3" xfId="15924"/>
    <cellStyle name="Comma 6 2 6 5" xfId="8974"/>
    <cellStyle name="Comma 6 2 6 5 2" xfId="12808"/>
    <cellStyle name="Comma 6 2 6 5 2 2" xfId="19347"/>
    <cellStyle name="Comma 6 2 6 5 3" xfId="16495"/>
    <cellStyle name="Comma 6 2 6 6" xfId="3138"/>
    <cellStyle name="Comma 6 2 6 6 2" xfId="11095"/>
    <cellStyle name="Comma 6 2 6 6 2 2" xfId="17634"/>
    <cellStyle name="Comma 6 2 6 6 3" xfId="14782"/>
    <cellStyle name="Comma 6 2 6 7" xfId="2566"/>
    <cellStyle name="Comma 6 2 6 7 2" xfId="14214"/>
    <cellStyle name="Comma 6 2 6 8" xfId="10527"/>
    <cellStyle name="Comma 6 2 6 8 2" xfId="17066"/>
    <cellStyle name="Comma 6 2 6 9" xfId="13642"/>
    <cellStyle name="Comma 6 2 7" xfId="556"/>
    <cellStyle name="Comma 6 2 7 2" xfId="1691"/>
    <cellStyle name="Comma 6 2 7 2 2" xfId="5111"/>
    <cellStyle name="Comma 6 2 7 2 2 2" xfId="11837"/>
    <cellStyle name="Comma 6 2 7 2 2 2 2" xfId="18376"/>
    <cellStyle name="Comma 6 2 7 2 2 3" xfId="15524"/>
    <cellStyle name="Comma 6 2 7 2 3" xfId="7383"/>
    <cellStyle name="Comma 6 2 7 2 3 2" xfId="12408"/>
    <cellStyle name="Comma 6 2 7 2 3 2 2" xfId="18947"/>
    <cellStyle name="Comma 6 2 7 2 3 3" xfId="16095"/>
    <cellStyle name="Comma 6 2 7 2 4" xfId="9655"/>
    <cellStyle name="Comma 6 2 7 2 4 2" xfId="12979"/>
    <cellStyle name="Comma 6 2 7 2 4 2 2" xfId="19518"/>
    <cellStyle name="Comma 6 2 7 2 4 3" xfId="16666"/>
    <cellStyle name="Comma 6 2 7 2 5" xfId="3309"/>
    <cellStyle name="Comma 6 2 7 2 5 2" xfId="11266"/>
    <cellStyle name="Comma 6 2 7 2 5 2 2" xfId="17805"/>
    <cellStyle name="Comma 6 2 7 2 5 3" xfId="14953"/>
    <cellStyle name="Comma 6 2 7 2 6" xfId="2734"/>
    <cellStyle name="Comma 6 2 7 2 6 2" xfId="14382"/>
    <cellStyle name="Comma 6 2 7 2 7" xfId="10695"/>
    <cellStyle name="Comma 6 2 7 2 7 2" xfId="17234"/>
    <cellStyle name="Comma 6 2 7 2 8" xfId="13813"/>
    <cellStyle name="Comma 6 2 7 3" xfId="3976"/>
    <cellStyle name="Comma 6 2 7 3 2" xfId="11552"/>
    <cellStyle name="Comma 6 2 7 3 2 2" xfId="18091"/>
    <cellStyle name="Comma 6 2 7 3 3" xfId="15239"/>
    <cellStyle name="Comma 6 2 7 4" xfId="6248"/>
    <cellStyle name="Comma 6 2 7 4 2" xfId="12123"/>
    <cellStyle name="Comma 6 2 7 4 2 2" xfId="18662"/>
    <cellStyle name="Comma 6 2 7 4 3" xfId="15810"/>
    <cellStyle name="Comma 6 2 7 5" xfId="8520"/>
    <cellStyle name="Comma 6 2 7 5 2" xfId="12694"/>
    <cellStyle name="Comma 6 2 7 5 2 2" xfId="19233"/>
    <cellStyle name="Comma 6 2 7 5 3" xfId="16381"/>
    <cellStyle name="Comma 6 2 7 6" xfId="3024"/>
    <cellStyle name="Comma 6 2 7 6 2" xfId="10981"/>
    <cellStyle name="Comma 6 2 7 6 2 2" xfId="17520"/>
    <cellStyle name="Comma 6 2 7 6 3" xfId="14668"/>
    <cellStyle name="Comma 6 2 7 7" xfId="2454"/>
    <cellStyle name="Comma 6 2 7 7 2" xfId="14102"/>
    <cellStyle name="Comma 6 2 7 8" xfId="10415"/>
    <cellStyle name="Comma 6 2 7 8 2" xfId="16954"/>
    <cellStyle name="Comma 6 2 7 9" xfId="13528"/>
    <cellStyle name="Comma 6 2 8" xfId="1237"/>
    <cellStyle name="Comma 6 2 8 2" xfId="4657"/>
    <cellStyle name="Comma 6 2 8 2 2" xfId="11723"/>
    <cellStyle name="Comma 6 2 8 2 2 2" xfId="18262"/>
    <cellStyle name="Comma 6 2 8 2 3" xfId="15410"/>
    <cellStyle name="Comma 6 2 8 3" xfId="6929"/>
    <cellStyle name="Comma 6 2 8 3 2" xfId="12294"/>
    <cellStyle name="Comma 6 2 8 3 2 2" xfId="18833"/>
    <cellStyle name="Comma 6 2 8 3 3" xfId="15981"/>
    <cellStyle name="Comma 6 2 8 4" xfId="9201"/>
    <cellStyle name="Comma 6 2 8 4 2" xfId="12865"/>
    <cellStyle name="Comma 6 2 8 4 2 2" xfId="19404"/>
    <cellStyle name="Comma 6 2 8 4 3" xfId="16552"/>
    <cellStyle name="Comma 6 2 8 5" xfId="3195"/>
    <cellStyle name="Comma 6 2 8 5 2" xfId="11152"/>
    <cellStyle name="Comma 6 2 8 5 2 2" xfId="17691"/>
    <cellStyle name="Comma 6 2 8 5 3" xfId="14839"/>
    <cellStyle name="Comma 6 2 8 6" xfId="2622"/>
    <cellStyle name="Comma 6 2 8 6 2" xfId="14270"/>
    <cellStyle name="Comma 6 2 8 7" xfId="10583"/>
    <cellStyle name="Comma 6 2 8 7 2" xfId="17122"/>
    <cellStyle name="Comma 6 2 8 8" xfId="13699"/>
    <cellStyle name="Comma 6 2 9" xfId="3522"/>
    <cellStyle name="Comma 6 2 9 2" xfId="11438"/>
    <cellStyle name="Comma 6 2 9 2 2" xfId="17977"/>
    <cellStyle name="Comma 6 2 9 3" xfId="15125"/>
    <cellStyle name="Comma 6 3" xfId="175"/>
    <cellStyle name="Comma 6 3 10" xfId="2362"/>
    <cellStyle name="Comma 6 3 10 2" xfId="14010"/>
    <cellStyle name="Comma 6 3 11" xfId="10323"/>
    <cellStyle name="Comma 6 3 11 2" xfId="16862"/>
    <cellStyle name="Comma 6 3 12" xfId="13434"/>
    <cellStyle name="Comma 6 3 13" xfId="20202"/>
    <cellStyle name="Comma 6 3 2" xfId="413"/>
    <cellStyle name="Comma 6 3 2 10" xfId="13492"/>
    <cellStyle name="Comma 6 3 2 2" xfId="867"/>
    <cellStyle name="Comma 6 3 2 2 2" xfId="2002"/>
    <cellStyle name="Comma 6 3 2 2 2 2" xfId="5422"/>
    <cellStyle name="Comma 6 3 2 2 2 2 2" xfId="11915"/>
    <cellStyle name="Comma 6 3 2 2 2 2 2 2" xfId="18454"/>
    <cellStyle name="Comma 6 3 2 2 2 2 3" xfId="15602"/>
    <cellStyle name="Comma 6 3 2 2 2 3" xfId="7694"/>
    <cellStyle name="Comma 6 3 2 2 2 3 2" xfId="12486"/>
    <cellStyle name="Comma 6 3 2 2 2 3 2 2" xfId="19025"/>
    <cellStyle name="Comma 6 3 2 2 2 3 3" xfId="16173"/>
    <cellStyle name="Comma 6 3 2 2 2 4" xfId="9966"/>
    <cellStyle name="Comma 6 3 2 2 2 4 2" xfId="13057"/>
    <cellStyle name="Comma 6 3 2 2 2 4 2 2" xfId="19596"/>
    <cellStyle name="Comma 6 3 2 2 2 4 3" xfId="16744"/>
    <cellStyle name="Comma 6 3 2 2 2 5" xfId="3387"/>
    <cellStyle name="Comma 6 3 2 2 2 5 2" xfId="11344"/>
    <cellStyle name="Comma 6 3 2 2 2 5 2 2" xfId="17883"/>
    <cellStyle name="Comma 6 3 2 2 2 5 3" xfId="15031"/>
    <cellStyle name="Comma 6 3 2 2 2 6" xfId="2811"/>
    <cellStyle name="Comma 6 3 2 2 2 6 2" xfId="14459"/>
    <cellStyle name="Comma 6 3 2 2 2 7" xfId="10772"/>
    <cellStyle name="Comma 6 3 2 2 2 7 2" xfId="17311"/>
    <cellStyle name="Comma 6 3 2 2 2 8" xfId="13891"/>
    <cellStyle name="Comma 6 3 2 2 3" xfId="4287"/>
    <cellStyle name="Comma 6 3 2 2 3 2" xfId="11630"/>
    <cellStyle name="Comma 6 3 2 2 3 2 2" xfId="18169"/>
    <cellStyle name="Comma 6 3 2 2 3 3" xfId="15317"/>
    <cellStyle name="Comma 6 3 2 2 4" xfId="6559"/>
    <cellStyle name="Comma 6 3 2 2 4 2" xfId="12201"/>
    <cellStyle name="Comma 6 3 2 2 4 2 2" xfId="18740"/>
    <cellStyle name="Comma 6 3 2 2 4 3" xfId="15888"/>
    <cellStyle name="Comma 6 3 2 2 5" xfId="8831"/>
    <cellStyle name="Comma 6 3 2 2 5 2" xfId="12772"/>
    <cellStyle name="Comma 6 3 2 2 5 2 2" xfId="19311"/>
    <cellStyle name="Comma 6 3 2 2 5 3" xfId="16459"/>
    <cellStyle name="Comma 6 3 2 2 6" xfId="3102"/>
    <cellStyle name="Comma 6 3 2 2 6 2" xfId="11059"/>
    <cellStyle name="Comma 6 3 2 2 6 2 2" xfId="17598"/>
    <cellStyle name="Comma 6 3 2 2 6 3" xfId="14746"/>
    <cellStyle name="Comma 6 3 2 2 7" xfId="2531"/>
    <cellStyle name="Comma 6 3 2 2 7 2" xfId="14179"/>
    <cellStyle name="Comma 6 3 2 2 8" xfId="10492"/>
    <cellStyle name="Comma 6 3 2 2 8 2" xfId="17031"/>
    <cellStyle name="Comma 6 3 2 2 9" xfId="13606"/>
    <cellStyle name="Comma 6 3 2 3" xfId="1548"/>
    <cellStyle name="Comma 6 3 2 3 2" xfId="4968"/>
    <cellStyle name="Comma 6 3 2 3 2 2" xfId="11801"/>
    <cellStyle name="Comma 6 3 2 3 2 2 2" xfId="18340"/>
    <cellStyle name="Comma 6 3 2 3 2 3" xfId="15488"/>
    <cellStyle name="Comma 6 3 2 3 3" xfId="7240"/>
    <cellStyle name="Comma 6 3 2 3 3 2" xfId="12372"/>
    <cellStyle name="Comma 6 3 2 3 3 2 2" xfId="18911"/>
    <cellStyle name="Comma 6 3 2 3 3 3" xfId="16059"/>
    <cellStyle name="Comma 6 3 2 3 4" xfId="9512"/>
    <cellStyle name="Comma 6 3 2 3 4 2" xfId="12943"/>
    <cellStyle name="Comma 6 3 2 3 4 2 2" xfId="19482"/>
    <cellStyle name="Comma 6 3 2 3 4 3" xfId="16630"/>
    <cellStyle name="Comma 6 3 2 3 5" xfId="3273"/>
    <cellStyle name="Comma 6 3 2 3 5 2" xfId="11230"/>
    <cellStyle name="Comma 6 3 2 3 5 2 2" xfId="17769"/>
    <cellStyle name="Comma 6 3 2 3 5 3" xfId="14917"/>
    <cellStyle name="Comma 6 3 2 3 6" xfId="2699"/>
    <cellStyle name="Comma 6 3 2 3 6 2" xfId="14347"/>
    <cellStyle name="Comma 6 3 2 3 7" xfId="10660"/>
    <cellStyle name="Comma 6 3 2 3 7 2" xfId="17199"/>
    <cellStyle name="Comma 6 3 2 3 8" xfId="13777"/>
    <cellStyle name="Comma 6 3 2 4" xfId="3833"/>
    <cellStyle name="Comma 6 3 2 4 2" xfId="11516"/>
    <cellStyle name="Comma 6 3 2 4 2 2" xfId="18055"/>
    <cellStyle name="Comma 6 3 2 4 3" xfId="15203"/>
    <cellStyle name="Comma 6 3 2 5" xfId="6105"/>
    <cellStyle name="Comma 6 3 2 5 2" xfId="12087"/>
    <cellStyle name="Comma 6 3 2 5 2 2" xfId="18626"/>
    <cellStyle name="Comma 6 3 2 5 3" xfId="15774"/>
    <cellStyle name="Comma 6 3 2 6" xfId="8377"/>
    <cellStyle name="Comma 6 3 2 6 2" xfId="12658"/>
    <cellStyle name="Comma 6 3 2 6 2 2" xfId="19197"/>
    <cellStyle name="Comma 6 3 2 6 3" xfId="16345"/>
    <cellStyle name="Comma 6 3 2 7" xfId="2988"/>
    <cellStyle name="Comma 6 3 2 7 2" xfId="10945"/>
    <cellStyle name="Comma 6 3 2 7 2 2" xfId="17484"/>
    <cellStyle name="Comma 6 3 2 7 3" xfId="14632"/>
    <cellStyle name="Comma 6 3 2 8" xfId="2419"/>
    <cellStyle name="Comma 6 3 2 8 2" xfId="14067"/>
    <cellStyle name="Comma 6 3 2 9" xfId="10380"/>
    <cellStyle name="Comma 6 3 2 9 2" xfId="16919"/>
    <cellStyle name="Comma 6 3 3" xfId="1094"/>
    <cellStyle name="Comma 6 3 3 2" xfId="2229"/>
    <cellStyle name="Comma 6 3 3 2 2" xfId="5649"/>
    <cellStyle name="Comma 6 3 3 2 2 2" xfId="11972"/>
    <cellStyle name="Comma 6 3 3 2 2 2 2" xfId="18511"/>
    <cellStyle name="Comma 6 3 3 2 2 3" xfId="15659"/>
    <cellStyle name="Comma 6 3 3 2 3" xfId="7921"/>
    <cellStyle name="Comma 6 3 3 2 3 2" xfId="12543"/>
    <cellStyle name="Comma 6 3 3 2 3 2 2" xfId="19082"/>
    <cellStyle name="Comma 6 3 3 2 3 3" xfId="16230"/>
    <cellStyle name="Comma 6 3 3 2 4" xfId="10193"/>
    <cellStyle name="Comma 6 3 3 2 4 2" xfId="13114"/>
    <cellStyle name="Comma 6 3 3 2 4 2 2" xfId="19653"/>
    <cellStyle name="Comma 6 3 3 2 4 3" xfId="16801"/>
    <cellStyle name="Comma 6 3 3 2 5" xfId="3444"/>
    <cellStyle name="Comma 6 3 3 2 5 2" xfId="11401"/>
    <cellStyle name="Comma 6 3 3 2 5 2 2" xfId="17940"/>
    <cellStyle name="Comma 6 3 3 2 5 3" xfId="15088"/>
    <cellStyle name="Comma 6 3 3 2 6" xfId="2867"/>
    <cellStyle name="Comma 6 3 3 2 6 2" xfId="14515"/>
    <cellStyle name="Comma 6 3 3 2 7" xfId="10828"/>
    <cellStyle name="Comma 6 3 3 2 7 2" xfId="17367"/>
    <cellStyle name="Comma 6 3 3 2 8" xfId="13948"/>
    <cellStyle name="Comma 6 3 3 3" xfId="4514"/>
    <cellStyle name="Comma 6 3 3 3 2" xfId="11687"/>
    <cellStyle name="Comma 6 3 3 3 2 2" xfId="18226"/>
    <cellStyle name="Comma 6 3 3 3 3" xfId="15374"/>
    <cellStyle name="Comma 6 3 3 4" xfId="6786"/>
    <cellStyle name="Comma 6 3 3 4 2" xfId="12258"/>
    <cellStyle name="Comma 6 3 3 4 2 2" xfId="18797"/>
    <cellStyle name="Comma 6 3 3 4 3" xfId="15945"/>
    <cellStyle name="Comma 6 3 3 5" xfId="9058"/>
    <cellStyle name="Comma 6 3 3 5 2" xfId="12829"/>
    <cellStyle name="Comma 6 3 3 5 2 2" xfId="19368"/>
    <cellStyle name="Comma 6 3 3 5 3" xfId="16516"/>
    <cellStyle name="Comma 6 3 3 6" xfId="3159"/>
    <cellStyle name="Comma 6 3 3 6 2" xfId="11116"/>
    <cellStyle name="Comma 6 3 3 6 2 2" xfId="17655"/>
    <cellStyle name="Comma 6 3 3 6 3" xfId="14803"/>
    <cellStyle name="Comma 6 3 3 7" xfId="2587"/>
    <cellStyle name="Comma 6 3 3 7 2" xfId="14235"/>
    <cellStyle name="Comma 6 3 3 8" xfId="10548"/>
    <cellStyle name="Comma 6 3 3 8 2" xfId="17087"/>
    <cellStyle name="Comma 6 3 3 9" xfId="13663"/>
    <cellStyle name="Comma 6 3 4" xfId="640"/>
    <cellStyle name="Comma 6 3 4 2" xfId="1775"/>
    <cellStyle name="Comma 6 3 4 2 2" xfId="5195"/>
    <cellStyle name="Comma 6 3 4 2 2 2" xfId="11858"/>
    <cellStyle name="Comma 6 3 4 2 2 2 2" xfId="18397"/>
    <cellStyle name="Comma 6 3 4 2 2 3" xfId="15545"/>
    <cellStyle name="Comma 6 3 4 2 3" xfId="7467"/>
    <cellStyle name="Comma 6 3 4 2 3 2" xfId="12429"/>
    <cellStyle name="Comma 6 3 4 2 3 2 2" xfId="18968"/>
    <cellStyle name="Comma 6 3 4 2 3 3" xfId="16116"/>
    <cellStyle name="Comma 6 3 4 2 4" xfId="9739"/>
    <cellStyle name="Comma 6 3 4 2 4 2" xfId="13000"/>
    <cellStyle name="Comma 6 3 4 2 4 2 2" xfId="19539"/>
    <cellStyle name="Comma 6 3 4 2 4 3" xfId="16687"/>
    <cellStyle name="Comma 6 3 4 2 5" xfId="3330"/>
    <cellStyle name="Comma 6 3 4 2 5 2" xfId="11287"/>
    <cellStyle name="Comma 6 3 4 2 5 2 2" xfId="17826"/>
    <cellStyle name="Comma 6 3 4 2 5 3" xfId="14974"/>
    <cellStyle name="Comma 6 3 4 2 6" xfId="2755"/>
    <cellStyle name="Comma 6 3 4 2 6 2" xfId="14403"/>
    <cellStyle name="Comma 6 3 4 2 7" xfId="10716"/>
    <cellStyle name="Comma 6 3 4 2 7 2" xfId="17255"/>
    <cellStyle name="Comma 6 3 4 2 8" xfId="13834"/>
    <cellStyle name="Comma 6 3 4 3" xfId="4060"/>
    <cellStyle name="Comma 6 3 4 3 2" xfId="11573"/>
    <cellStyle name="Comma 6 3 4 3 2 2" xfId="18112"/>
    <cellStyle name="Comma 6 3 4 3 3" xfId="15260"/>
    <cellStyle name="Comma 6 3 4 4" xfId="6332"/>
    <cellStyle name="Comma 6 3 4 4 2" xfId="12144"/>
    <cellStyle name="Comma 6 3 4 4 2 2" xfId="18683"/>
    <cellStyle name="Comma 6 3 4 4 3" xfId="15831"/>
    <cellStyle name="Comma 6 3 4 5" xfId="8604"/>
    <cellStyle name="Comma 6 3 4 5 2" xfId="12715"/>
    <cellStyle name="Comma 6 3 4 5 2 2" xfId="19254"/>
    <cellStyle name="Comma 6 3 4 5 3" xfId="16402"/>
    <cellStyle name="Comma 6 3 4 6" xfId="3045"/>
    <cellStyle name="Comma 6 3 4 6 2" xfId="11002"/>
    <cellStyle name="Comma 6 3 4 6 2 2" xfId="17541"/>
    <cellStyle name="Comma 6 3 4 6 3" xfId="14689"/>
    <cellStyle name="Comma 6 3 4 7" xfId="2475"/>
    <cellStyle name="Comma 6 3 4 7 2" xfId="14123"/>
    <cellStyle name="Comma 6 3 4 8" xfId="10436"/>
    <cellStyle name="Comma 6 3 4 8 2" xfId="16975"/>
    <cellStyle name="Comma 6 3 4 9" xfId="13549"/>
    <cellStyle name="Comma 6 3 5" xfId="1321"/>
    <cellStyle name="Comma 6 3 5 2" xfId="4741"/>
    <cellStyle name="Comma 6 3 5 2 2" xfId="11744"/>
    <cellStyle name="Comma 6 3 5 2 2 2" xfId="18283"/>
    <cellStyle name="Comma 6 3 5 2 3" xfId="15431"/>
    <cellStyle name="Comma 6 3 5 3" xfId="7013"/>
    <cellStyle name="Comma 6 3 5 3 2" xfId="12315"/>
    <cellStyle name="Comma 6 3 5 3 2 2" xfId="18854"/>
    <cellStyle name="Comma 6 3 5 3 3" xfId="16002"/>
    <cellStyle name="Comma 6 3 5 4" xfId="9285"/>
    <cellStyle name="Comma 6 3 5 4 2" xfId="12886"/>
    <cellStyle name="Comma 6 3 5 4 2 2" xfId="19425"/>
    <cellStyle name="Comma 6 3 5 4 3" xfId="16573"/>
    <cellStyle name="Comma 6 3 5 5" xfId="3216"/>
    <cellStyle name="Comma 6 3 5 5 2" xfId="11173"/>
    <cellStyle name="Comma 6 3 5 5 2 2" xfId="17712"/>
    <cellStyle name="Comma 6 3 5 5 3" xfId="14860"/>
    <cellStyle name="Comma 6 3 5 6" xfId="2643"/>
    <cellStyle name="Comma 6 3 5 6 2" xfId="14291"/>
    <cellStyle name="Comma 6 3 5 7" xfId="10604"/>
    <cellStyle name="Comma 6 3 5 7 2" xfId="17143"/>
    <cellStyle name="Comma 6 3 5 8" xfId="13720"/>
    <cellStyle name="Comma 6 3 6" xfId="3606"/>
    <cellStyle name="Comma 6 3 6 2" xfId="11459"/>
    <cellStyle name="Comma 6 3 6 2 2" xfId="17998"/>
    <cellStyle name="Comma 6 3 6 3" xfId="15146"/>
    <cellStyle name="Comma 6 3 7" xfId="5878"/>
    <cellStyle name="Comma 6 3 7 2" xfId="12030"/>
    <cellStyle name="Comma 6 3 7 2 2" xfId="18569"/>
    <cellStyle name="Comma 6 3 7 3" xfId="15717"/>
    <cellStyle name="Comma 6 3 8" xfId="8150"/>
    <cellStyle name="Comma 6 3 8 2" xfId="12601"/>
    <cellStyle name="Comma 6 3 8 2 2" xfId="19140"/>
    <cellStyle name="Comma 6 3 8 3" xfId="16288"/>
    <cellStyle name="Comma 6 3 9" xfId="2928"/>
    <cellStyle name="Comma 6 3 9 2" xfId="10887"/>
    <cellStyle name="Comma 6 3 9 2 2" xfId="17426"/>
    <cellStyle name="Comma 6 3 9 3" xfId="14574"/>
    <cellStyle name="Comma 6 4" xfId="119"/>
    <cellStyle name="Comma 6 4 10" xfId="2348"/>
    <cellStyle name="Comma 6 4 10 2" xfId="13996"/>
    <cellStyle name="Comma 6 4 11" xfId="10309"/>
    <cellStyle name="Comma 6 4 11 2" xfId="16848"/>
    <cellStyle name="Comma 6 4 12" xfId="13420"/>
    <cellStyle name="Comma 6 4 13" xfId="20275"/>
    <cellStyle name="Comma 6 4 2" xfId="357"/>
    <cellStyle name="Comma 6 4 2 10" xfId="13478"/>
    <cellStyle name="Comma 6 4 2 2" xfId="811"/>
    <cellStyle name="Comma 6 4 2 2 2" xfId="1946"/>
    <cellStyle name="Comma 6 4 2 2 2 2" xfId="5366"/>
    <cellStyle name="Comma 6 4 2 2 2 2 2" xfId="11901"/>
    <cellStyle name="Comma 6 4 2 2 2 2 2 2" xfId="18440"/>
    <cellStyle name="Comma 6 4 2 2 2 2 3" xfId="15588"/>
    <cellStyle name="Comma 6 4 2 2 2 3" xfId="7638"/>
    <cellStyle name="Comma 6 4 2 2 2 3 2" xfId="12472"/>
    <cellStyle name="Comma 6 4 2 2 2 3 2 2" xfId="19011"/>
    <cellStyle name="Comma 6 4 2 2 2 3 3" xfId="16159"/>
    <cellStyle name="Comma 6 4 2 2 2 4" xfId="9910"/>
    <cellStyle name="Comma 6 4 2 2 2 4 2" xfId="13043"/>
    <cellStyle name="Comma 6 4 2 2 2 4 2 2" xfId="19582"/>
    <cellStyle name="Comma 6 4 2 2 2 4 3" xfId="16730"/>
    <cellStyle name="Comma 6 4 2 2 2 5" xfId="3373"/>
    <cellStyle name="Comma 6 4 2 2 2 5 2" xfId="11330"/>
    <cellStyle name="Comma 6 4 2 2 2 5 2 2" xfId="17869"/>
    <cellStyle name="Comma 6 4 2 2 2 5 3" xfId="15017"/>
    <cellStyle name="Comma 6 4 2 2 2 6" xfId="2797"/>
    <cellStyle name="Comma 6 4 2 2 2 6 2" xfId="14445"/>
    <cellStyle name="Comma 6 4 2 2 2 7" xfId="10758"/>
    <cellStyle name="Comma 6 4 2 2 2 7 2" xfId="17297"/>
    <cellStyle name="Comma 6 4 2 2 2 8" xfId="13877"/>
    <cellStyle name="Comma 6 4 2 2 3" xfId="4231"/>
    <cellStyle name="Comma 6 4 2 2 3 2" xfId="11616"/>
    <cellStyle name="Comma 6 4 2 2 3 2 2" xfId="18155"/>
    <cellStyle name="Comma 6 4 2 2 3 3" xfId="15303"/>
    <cellStyle name="Comma 6 4 2 2 4" xfId="6503"/>
    <cellStyle name="Comma 6 4 2 2 4 2" xfId="12187"/>
    <cellStyle name="Comma 6 4 2 2 4 2 2" xfId="18726"/>
    <cellStyle name="Comma 6 4 2 2 4 3" xfId="15874"/>
    <cellStyle name="Comma 6 4 2 2 5" xfId="8775"/>
    <cellStyle name="Comma 6 4 2 2 5 2" xfId="12758"/>
    <cellStyle name="Comma 6 4 2 2 5 2 2" xfId="19297"/>
    <cellStyle name="Comma 6 4 2 2 5 3" xfId="16445"/>
    <cellStyle name="Comma 6 4 2 2 6" xfId="3088"/>
    <cellStyle name="Comma 6 4 2 2 6 2" xfId="11045"/>
    <cellStyle name="Comma 6 4 2 2 6 2 2" xfId="17584"/>
    <cellStyle name="Comma 6 4 2 2 6 3" xfId="14732"/>
    <cellStyle name="Comma 6 4 2 2 7" xfId="2517"/>
    <cellStyle name="Comma 6 4 2 2 7 2" xfId="14165"/>
    <cellStyle name="Comma 6 4 2 2 8" xfId="10478"/>
    <cellStyle name="Comma 6 4 2 2 8 2" xfId="17017"/>
    <cellStyle name="Comma 6 4 2 2 9" xfId="13592"/>
    <cellStyle name="Comma 6 4 2 3" xfId="1492"/>
    <cellStyle name="Comma 6 4 2 3 2" xfId="4912"/>
    <cellStyle name="Comma 6 4 2 3 2 2" xfId="11787"/>
    <cellStyle name="Comma 6 4 2 3 2 2 2" xfId="18326"/>
    <cellStyle name="Comma 6 4 2 3 2 3" xfId="15474"/>
    <cellStyle name="Comma 6 4 2 3 3" xfId="7184"/>
    <cellStyle name="Comma 6 4 2 3 3 2" xfId="12358"/>
    <cellStyle name="Comma 6 4 2 3 3 2 2" xfId="18897"/>
    <cellStyle name="Comma 6 4 2 3 3 3" xfId="16045"/>
    <cellStyle name="Comma 6 4 2 3 4" xfId="9456"/>
    <cellStyle name="Comma 6 4 2 3 4 2" xfId="12929"/>
    <cellStyle name="Comma 6 4 2 3 4 2 2" xfId="19468"/>
    <cellStyle name="Comma 6 4 2 3 4 3" xfId="16616"/>
    <cellStyle name="Comma 6 4 2 3 5" xfId="3259"/>
    <cellStyle name="Comma 6 4 2 3 5 2" xfId="11216"/>
    <cellStyle name="Comma 6 4 2 3 5 2 2" xfId="17755"/>
    <cellStyle name="Comma 6 4 2 3 5 3" xfId="14903"/>
    <cellStyle name="Comma 6 4 2 3 6" xfId="2685"/>
    <cellStyle name="Comma 6 4 2 3 6 2" xfId="14333"/>
    <cellStyle name="Comma 6 4 2 3 7" xfId="10646"/>
    <cellStyle name="Comma 6 4 2 3 7 2" xfId="17185"/>
    <cellStyle name="Comma 6 4 2 3 8" xfId="13763"/>
    <cellStyle name="Comma 6 4 2 4" xfId="3777"/>
    <cellStyle name="Comma 6 4 2 4 2" xfId="11502"/>
    <cellStyle name="Comma 6 4 2 4 2 2" xfId="18041"/>
    <cellStyle name="Comma 6 4 2 4 3" xfId="15189"/>
    <cellStyle name="Comma 6 4 2 5" xfId="6049"/>
    <cellStyle name="Comma 6 4 2 5 2" xfId="12073"/>
    <cellStyle name="Comma 6 4 2 5 2 2" xfId="18612"/>
    <cellStyle name="Comma 6 4 2 5 3" xfId="15760"/>
    <cellStyle name="Comma 6 4 2 6" xfId="8321"/>
    <cellStyle name="Comma 6 4 2 6 2" xfId="12644"/>
    <cellStyle name="Comma 6 4 2 6 2 2" xfId="19183"/>
    <cellStyle name="Comma 6 4 2 6 3" xfId="16331"/>
    <cellStyle name="Comma 6 4 2 7" xfId="2974"/>
    <cellStyle name="Comma 6 4 2 7 2" xfId="10931"/>
    <cellStyle name="Comma 6 4 2 7 2 2" xfId="17470"/>
    <cellStyle name="Comma 6 4 2 7 3" xfId="14618"/>
    <cellStyle name="Comma 6 4 2 8" xfId="2405"/>
    <cellStyle name="Comma 6 4 2 8 2" xfId="14053"/>
    <cellStyle name="Comma 6 4 2 9" xfId="10366"/>
    <cellStyle name="Comma 6 4 2 9 2" xfId="16905"/>
    <cellStyle name="Comma 6 4 3" xfId="1038"/>
    <cellStyle name="Comma 6 4 3 2" xfId="2173"/>
    <cellStyle name="Comma 6 4 3 2 2" xfId="5593"/>
    <cellStyle name="Comma 6 4 3 2 2 2" xfId="11958"/>
    <cellStyle name="Comma 6 4 3 2 2 2 2" xfId="18497"/>
    <cellStyle name="Comma 6 4 3 2 2 3" xfId="15645"/>
    <cellStyle name="Comma 6 4 3 2 3" xfId="7865"/>
    <cellStyle name="Comma 6 4 3 2 3 2" xfId="12529"/>
    <cellStyle name="Comma 6 4 3 2 3 2 2" xfId="19068"/>
    <cellStyle name="Comma 6 4 3 2 3 3" xfId="16216"/>
    <cellStyle name="Comma 6 4 3 2 4" xfId="10137"/>
    <cellStyle name="Comma 6 4 3 2 4 2" xfId="13100"/>
    <cellStyle name="Comma 6 4 3 2 4 2 2" xfId="19639"/>
    <cellStyle name="Comma 6 4 3 2 4 3" xfId="16787"/>
    <cellStyle name="Comma 6 4 3 2 5" xfId="3430"/>
    <cellStyle name="Comma 6 4 3 2 5 2" xfId="11387"/>
    <cellStyle name="Comma 6 4 3 2 5 2 2" xfId="17926"/>
    <cellStyle name="Comma 6 4 3 2 5 3" xfId="15074"/>
    <cellStyle name="Comma 6 4 3 2 6" xfId="2853"/>
    <cellStyle name="Comma 6 4 3 2 6 2" xfId="14501"/>
    <cellStyle name="Comma 6 4 3 2 7" xfId="10814"/>
    <cellStyle name="Comma 6 4 3 2 7 2" xfId="17353"/>
    <cellStyle name="Comma 6 4 3 2 8" xfId="13934"/>
    <cellStyle name="Comma 6 4 3 3" xfId="4458"/>
    <cellStyle name="Comma 6 4 3 3 2" xfId="11673"/>
    <cellStyle name="Comma 6 4 3 3 2 2" xfId="18212"/>
    <cellStyle name="Comma 6 4 3 3 3" xfId="15360"/>
    <cellStyle name="Comma 6 4 3 4" xfId="6730"/>
    <cellStyle name="Comma 6 4 3 4 2" xfId="12244"/>
    <cellStyle name="Comma 6 4 3 4 2 2" xfId="18783"/>
    <cellStyle name="Comma 6 4 3 4 3" xfId="15931"/>
    <cellStyle name="Comma 6 4 3 5" xfId="9002"/>
    <cellStyle name="Comma 6 4 3 5 2" xfId="12815"/>
    <cellStyle name="Comma 6 4 3 5 2 2" xfId="19354"/>
    <cellStyle name="Comma 6 4 3 5 3" xfId="16502"/>
    <cellStyle name="Comma 6 4 3 6" xfId="3145"/>
    <cellStyle name="Comma 6 4 3 6 2" xfId="11102"/>
    <cellStyle name="Comma 6 4 3 6 2 2" xfId="17641"/>
    <cellStyle name="Comma 6 4 3 6 3" xfId="14789"/>
    <cellStyle name="Comma 6 4 3 7" xfId="2573"/>
    <cellStyle name="Comma 6 4 3 7 2" xfId="14221"/>
    <cellStyle name="Comma 6 4 3 8" xfId="10534"/>
    <cellStyle name="Comma 6 4 3 8 2" xfId="17073"/>
    <cellStyle name="Comma 6 4 3 9" xfId="13649"/>
    <cellStyle name="Comma 6 4 4" xfId="584"/>
    <cellStyle name="Comma 6 4 4 2" xfId="1719"/>
    <cellStyle name="Comma 6 4 4 2 2" xfId="5139"/>
    <cellStyle name="Comma 6 4 4 2 2 2" xfId="11844"/>
    <cellStyle name="Comma 6 4 4 2 2 2 2" xfId="18383"/>
    <cellStyle name="Comma 6 4 4 2 2 3" xfId="15531"/>
    <cellStyle name="Comma 6 4 4 2 3" xfId="7411"/>
    <cellStyle name="Comma 6 4 4 2 3 2" xfId="12415"/>
    <cellStyle name="Comma 6 4 4 2 3 2 2" xfId="18954"/>
    <cellStyle name="Comma 6 4 4 2 3 3" xfId="16102"/>
    <cellStyle name="Comma 6 4 4 2 4" xfId="9683"/>
    <cellStyle name="Comma 6 4 4 2 4 2" xfId="12986"/>
    <cellStyle name="Comma 6 4 4 2 4 2 2" xfId="19525"/>
    <cellStyle name="Comma 6 4 4 2 4 3" xfId="16673"/>
    <cellStyle name="Comma 6 4 4 2 5" xfId="3316"/>
    <cellStyle name="Comma 6 4 4 2 5 2" xfId="11273"/>
    <cellStyle name="Comma 6 4 4 2 5 2 2" xfId="17812"/>
    <cellStyle name="Comma 6 4 4 2 5 3" xfId="14960"/>
    <cellStyle name="Comma 6 4 4 2 6" xfId="2741"/>
    <cellStyle name="Comma 6 4 4 2 6 2" xfId="14389"/>
    <cellStyle name="Comma 6 4 4 2 7" xfId="10702"/>
    <cellStyle name="Comma 6 4 4 2 7 2" xfId="17241"/>
    <cellStyle name="Comma 6 4 4 2 8" xfId="13820"/>
    <cellStyle name="Comma 6 4 4 3" xfId="4004"/>
    <cellStyle name="Comma 6 4 4 3 2" xfId="11559"/>
    <cellStyle name="Comma 6 4 4 3 2 2" xfId="18098"/>
    <cellStyle name="Comma 6 4 4 3 3" xfId="15246"/>
    <cellStyle name="Comma 6 4 4 4" xfId="6276"/>
    <cellStyle name="Comma 6 4 4 4 2" xfId="12130"/>
    <cellStyle name="Comma 6 4 4 4 2 2" xfId="18669"/>
    <cellStyle name="Comma 6 4 4 4 3" xfId="15817"/>
    <cellStyle name="Comma 6 4 4 5" xfId="8548"/>
    <cellStyle name="Comma 6 4 4 5 2" xfId="12701"/>
    <cellStyle name="Comma 6 4 4 5 2 2" xfId="19240"/>
    <cellStyle name="Comma 6 4 4 5 3" xfId="16388"/>
    <cellStyle name="Comma 6 4 4 6" xfId="3031"/>
    <cellStyle name="Comma 6 4 4 6 2" xfId="10988"/>
    <cellStyle name="Comma 6 4 4 6 2 2" xfId="17527"/>
    <cellStyle name="Comma 6 4 4 6 3" xfId="14675"/>
    <cellStyle name="Comma 6 4 4 7" xfId="2461"/>
    <cellStyle name="Comma 6 4 4 7 2" xfId="14109"/>
    <cellStyle name="Comma 6 4 4 8" xfId="10422"/>
    <cellStyle name="Comma 6 4 4 8 2" xfId="16961"/>
    <cellStyle name="Comma 6 4 4 9" xfId="13535"/>
    <cellStyle name="Comma 6 4 5" xfId="1265"/>
    <cellStyle name="Comma 6 4 5 2" xfId="4685"/>
    <cellStyle name="Comma 6 4 5 2 2" xfId="11730"/>
    <cellStyle name="Comma 6 4 5 2 2 2" xfId="18269"/>
    <cellStyle name="Comma 6 4 5 2 3" xfId="15417"/>
    <cellStyle name="Comma 6 4 5 3" xfId="6957"/>
    <cellStyle name="Comma 6 4 5 3 2" xfId="12301"/>
    <cellStyle name="Comma 6 4 5 3 2 2" xfId="18840"/>
    <cellStyle name="Comma 6 4 5 3 3" xfId="15988"/>
    <cellStyle name="Comma 6 4 5 4" xfId="9229"/>
    <cellStyle name="Comma 6 4 5 4 2" xfId="12872"/>
    <cellStyle name="Comma 6 4 5 4 2 2" xfId="19411"/>
    <cellStyle name="Comma 6 4 5 4 3" xfId="16559"/>
    <cellStyle name="Comma 6 4 5 5" xfId="3202"/>
    <cellStyle name="Comma 6 4 5 5 2" xfId="11159"/>
    <cellStyle name="Comma 6 4 5 5 2 2" xfId="17698"/>
    <cellStyle name="Comma 6 4 5 5 3" xfId="14846"/>
    <cellStyle name="Comma 6 4 5 6" xfId="2629"/>
    <cellStyle name="Comma 6 4 5 6 2" xfId="14277"/>
    <cellStyle name="Comma 6 4 5 7" xfId="10590"/>
    <cellStyle name="Comma 6 4 5 7 2" xfId="17129"/>
    <cellStyle name="Comma 6 4 5 8" xfId="13706"/>
    <cellStyle name="Comma 6 4 6" xfId="3550"/>
    <cellStyle name="Comma 6 4 6 2" xfId="11445"/>
    <cellStyle name="Comma 6 4 6 2 2" xfId="17984"/>
    <cellStyle name="Comma 6 4 6 3" xfId="15132"/>
    <cellStyle name="Comma 6 4 7" xfId="5822"/>
    <cellStyle name="Comma 6 4 7 2" xfId="12016"/>
    <cellStyle name="Comma 6 4 7 2 2" xfId="18555"/>
    <cellStyle name="Comma 6 4 7 3" xfId="15703"/>
    <cellStyle name="Comma 6 4 8" xfId="8094"/>
    <cellStyle name="Comma 6 4 8 2" xfId="12587"/>
    <cellStyle name="Comma 6 4 8 2 2" xfId="19126"/>
    <cellStyle name="Comma 6 4 8 3" xfId="16274"/>
    <cellStyle name="Comma 6 4 9" xfId="2914"/>
    <cellStyle name="Comma 6 4 9 2" xfId="10873"/>
    <cellStyle name="Comma 6 4 9 2 2" xfId="17412"/>
    <cellStyle name="Comma 6 4 9 3" xfId="14560"/>
    <cellStyle name="Comma 6 5" xfId="245"/>
    <cellStyle name="Comma 6 5 10" xfId="2377"/>
    <cellStyle name="Comma 6 5 10 2" xfId="14025"/>
    <cellStyle name="Comma 6 5 11" xfId="10338"/>
    <cellStyle name="Comma 6 5 11 2" xfId="16877"/>
    <cellStyle name="Comma 6 5 12" xfId="13450"/>
    <cellStyle name="Comma 6 5 2" xfId="472"/>
    <cellStyle name="Comma 6 5 2 10" xfId="13507"/>
    <cellStyle name="Comma 6 5 2 2" xfId="926"/>
    <cellStyle name="Comma 6 5 2 2 2" xfId="2061"/>
    <cellStyle name="Comma 6 5 2 2 2 2" xfId="5481"/>
    <cellStyle name="Comma 6 5 2 2 2 2 2" xfId="11930"/>
    <cellStyle name="Comma 6 5 2 2 2 2 2 2" xfId="18469"/>
    <cellStyle name="Comma 6 5 2 2 2 2 3" xfId="15617"/>
    <cellStyle name="Comma 6 5 2 2 2 3" xfId="7753"/>
    <cellStyle name="Comma 6 5 2 2 2 3 2" xfId="12501"/>
    <cellStyle name="Comma 6 5 2 2 2 3 2 2" xfId="19040"/>
    <cellStyle name="Comma 6 5 2 2 2 3 3" xfId="16188"/>
    <cellStyle name="Comma 6 5 2 2 2 4" xfId="10025"/>
    <cellStyle name="Comma 6 5 2 2 2 4 2" xfId="13072"/>
    <cellStyle name="Comma 6 5 2 2 2 4 2 2" xfId="19611"/>
    <cellStyle name="Comma 6 5 2 2 2 4 3" xfId="16759"/>
    <cellStyle name="Comma 6 5 2 2 2 5" xfId="3402"/>
    <cellStyle name="Comma 6 5 2 2 2 5 2" xfId="11359"/>
    <cellStyle name="Comma 6 5 2 2 2 5 2 2" xfId="17898"/>
    <cellStyle name="Comma 6 5 2 2 2 5 3" xfId="15046"/>
    <cellStyle name="Comma 6 5 2 2 2 6" xfId="2825"/>
    <cellStyle name="Comma 6 5 2 2 2 6 2" xfId="14473"/>
    <cellStyle name="Comma 6 5 2 2 2 7" xfId="10786"/>
    <cellStyle name="Comma 6 5 2 2 2 7 2" xfId="17325"/>
    <cellStyle name="Comma 6 5 2 2 2 8" xfId="13906"/>
    <cellStyle name="Comma 6 5 2 2 3" xfId="4346"/>
    <cellStyle name="Comma 6 5 2 2 3 2" xfId="11645"/>
    <cellStyle name="Comma 6 5 2 2 3 2 2" xfId="18184"/>
    <cellStyle name="Comma 6 5 2 2 3 3" xfId="15332"/>
    <cellStyle name="Comma 6 5 2 2 4" xfId="6618"/>
    <cellStyle name="Comma 6 5 2 2 4 2" xfId="12216"/>
    <cellStyle name="Comma 6 5 2 2 4 2 2" xfId="18755"/>
    <cellStyle name="Comma 6 5 2 2 4 3" xfId="15903"/>
    <cellStyle name="Comma 6 5 2 2 5" xfId="8890"/>
    <cellStyle name="Comma 6 5 2 2 5 2" xfId="12787"/>
    <cellStyle name="Comma 6 5 2 2 5 2 2" xfId="19326"/>
    <cellStyle name="Comma 6 5 2 2 5 3" xfId="16474"/>
    <cellStyle name="Comma 6 5 2 2 6" xfId="3117"/>
    <cellStyle name="Comma 6 5 2 2 6 2" xfId="11074"/>
    <cellStyle name="Comma 6 5 2 2 6 2 2" xfId="17613"/>
    <cellStyle name="Comma 6 5 2 2 6 3" xfId="14761"/>
    <cellStyle name="Comma 6 5 2 2 7" xfId="2545"/>
    <cellStyle name="Comma 6 5 2 2 7 2" xfId="14193"/>
    <cellStyle name="Comma 6 5 2 2 8" xfId="10506"/>
    <cellStyle name="Comma 6 5 2 2 8 2" xfId="17045"/>
    <cellStyle name="Comma 6 5 2 2 9" xfId="13621"/>
    <cellStyle name="Comma 6 5 2 3" xfId="1607"/>
    <cellStyle name="Comma 6 5 2 3 2" xfId="5027"/>
    <cellStyle name="Comma 6 5 2 3 2 2" xfId="11816"/>
    <cellStyle name="Comma 6 5 2 3 2 2 2" xfId="18355"/>
    <cellStyle name="Comma 6 5 2 3 2 3" xfId="15503"/>
    <cellStyle name="Comma 6 5 2 3 3" xfId="7299"/>
    <cellStyle name="Comma 6 5 2 3 3 2" xfId="12387"/>
    <cellStyle name="Comma 6 5 2 3 3 2 2" xfId="18926"/>
    <cellStyle name="Comma 6 5 2 3 3 3" xfId="16074"/>
    <cellStyle name="Comma 6 5 2 3 4" xfId="9571"/>
    <cellStyle name="Comma 6 5 2 3 4 2" xfId="12958"/>
    <cellStyle name="Comma 6 5 2 3 4 2 2" xfId="19497"/>
    <cellStyle name="Comma 6 5 2 3 4 3" xfId="16645"/>
    <cellStyle name="Comma 6 5 2 3 5" xfId="3288"/>
    <cellStyle name="Comma 6 5 2 3 5 2" xfId="11245"/>
    <cellStyle name="Comma 6 5 2 3 5 2 2" xfId="17784"/>
    <cellStyle name="Comma 6 5 2 3 5 3" xfId="14932"/>
    <cellStyle name="Comma 6 5 2 3 6" xfId="2713"/>
    <cellStyle name="Comma 6 5 2 3 6 2" xfId="14361"/>
    <cellStyle name="Comma 6 5 2 3 7" xfId="10674"/>
    <cellStyle name="Comma 6 5 2 3 7 2" xfId="17213"/>
    <cellStyle name="Comma 6 5 2 3 8" xfId="13792"/>
    <cellStyle name="Comma 6 5 2 4" xfId="3892"/>
    <cellStyle name="Comma 6 5 2 4 2" xfId="11531"/>
    <cellStyle name="Comma 6 5 2 4 2 2" xfId="18070"/>
    <cellStyle name="Comma 6 5 2 4 3" xfId="15218"/>
    <cellStyle name="Comma 6 5 2 5" xfId="6164"/>
    <cellStyle name="Comma 6 5 2 5 2" xfId="12102"/>
    <cellStyle name="Comma 6 5 2 5 2 2" xfId="18641"/>
    <cellStyle name="Comma 6 5 2 5 3" xfId="15789"/>
    <cellStyle name="Comma 6 5 2 6" xfId="8436"/>
    <cellStyle name="Comma 6 5 2 6 2" xfId="12673"/>
    <cellStyle name="Comma 6 5 2 6 2 2" xfId="19212"/>
    <cellStyle name="Comma 6 5 2 6 3" xfId="16360"/>
    <cellStyle name="Comma 6 5 2 7" xfId="3003"/>
    <cellStyle name="Comma 6 5 2 7 2" xfId="10960"/>
    <cellStyle name="Comma 6 5 2 7 2 2" xfId="17499"/>
    <cellStyle name="Comma 6 5 2 7 3" xfId="14647"/>
    <cellStyle name="Comma 6 5 2 8" xfId="2433"/>
    <cellStyle name="Comma 6 5 2 8 2" xfId="14081"/>
    <cellStyle name="Comma 6 5 2 9" xfId="10394"/>
    <cellStyle name="Comma 6 5 2 9 2" xfId="16933"/>
    <cellStyle name="Comma 6 5 3" xfId="1153"/>
    <cellStyle name="Comma 6 5 3 2" xfId="2288"/>
    <cellStyle name="Comma 6 5 3 2 2" xfId="5708"/>
    <cellStyle name="Comma 6 5 3 2 2 2" xfId="11987"/>
    <cellStyle name="Comma 6 5 3 2 2 2 2" xfId="18526"/>
    <cellStyle name="Comma 6 5 3 2 2 3" xfId="15674"/>
    <cellStyle name="Comma 6 5 3 2 3" xfId="7980"/>
    <cellStyle name="Comma 6 5 3 2 3 2" xfId="12558"/>
    <cellStyle name="Comma 6 5 3 2 3 2 2" xfId="19097"/>
    <cellStyle name="Comma 6 5 3 2 3 3" xfId="16245"/>
    <cellStyle name="Comma 6 5 3 2 4" xfId="10252"/>
    <cellStyle name="Comma 6 5 3 2 4 2" xfId="13129"/>
    <cellStyle name="Comma 6 5 3 2 4 2 2" xfId="19668"/>
    <cellStyle name="Comma 6 5 3 2 4 3" xfId="16816"/>
    <cellStyle name="Comma 6 5 3 2 5" xfId="3459"/>
    <cellStyle name="Comma 6 5 3 2 5 2" xfId="11416"/>
    <cellStyle name="Comma 6 5 3 2 5 2 2" xfId="17955"/>
    <cellStyle name="Comma 6 5 3 2 5 3" xfId="15103"/>
    <cellStyle name="Comma 6 5 3 2 6" xfId="2881"/>
    <cellStyle name="Comma 6 5 3 2 6 2" xfId="14529"/>
    <cellStyle name="Comma 6 5 3 2 7" xfId="10842"/>
    <cellStyle name="Comma 6 5 3 2 7 2" xfId="17381"/>
    <cellStyle name="Comma 6 5 3 2 8" xfId="13963"/>
    <cellStyle name="Comma 6 5 3 3" xfId="4573"/>
    <cellStyle name="Comma 6 5 3 3 2" xfId="11702"/>
    <cellStyle name="Comma 6 5 3 3 2 2" xfId="18241"/>
    <cellStyle name="Comma 6 5 3 3 3" xfId="15389"/>
    <cellStyle name="Comma 6 5 3 4" xfId="6845"/>
    <cellStyle name="Comma 6 5 3 4 2" xfId="12273"/>
    <cellStyle name="Comma 6 5 3 4 2 2" xfId="18812"/>
    <cellStyle name="Comma 6 5 3 4 3" xfId="15960"/>
    <cellStyle name="Comma 6 5 3 5" xfId="9117"/>
    <cellStyle name="Comma 6 5 3 5 2" xfId="12844"/>
    <cellStyle name="Comma 6 5 3 5 2 2" xfId="19383"/>
    <cellStyle name="Comma 6 5 3 5 3" xfId="16531"/>
    <cellStyle name="Comma 6 5 3 6" xfId="3174"/>
    <cellStyle name="Comma 6 5 3 6 2" xfId="11131"/>
    <cellStyle name="Comma 6 5 3 6 2 2" xfId="17670"/>
    <cellStyle name="Comma 6 5 3 6 3" xfId="14818"/>
    <cellStyle name="Comma 6 5 3 7" xfId="2601"/>
    <cellStyle name="Comma 6 5 3 7 2" xfId="14249"/>
    <cellStyle name="Comma 6 5 3 8" xfId="10562"/>
    <cellStyle name="Comma 6 5 3 8 2" xfId="17101"/>
    <cellStyle name="Comma 6 5 3 9" xfId="13678"/>
    <cellStyle name="Comma 6 5 4" xfId="699"/>
    <cellStyle name="Comma 6 5 4 2" xfId="1834"/>
    <cellStyle name="Comma 6 5 4 2 2" xfId="5254"/>
    <cellStyle name="Comma 6 5 4 2 2 2" xfId="11873"/>
    <cellStyle name="Comma 6 5 4 2 2 2 2" xfId="18412"/>
    <cellStyle name="Comma 6 5 4 2 2 3" xfId="15560"/>
    <cellStyle name="Comma 6 5 4 2 3" xfId="7526"/>
    <cellStyle name="Comma 6 5 4 2 3 2" xfId="12444"/>
    <cellStyle name="Comma 6 5 4 2 3 2 2" xfId="18983"/>
    <cellStyle name="Comma 6 5 4 2 3 3" xfId="16131"/>
    <cellStyle name="Comma 6 5 4 2 4" xfId="9798"/>
    <cellStyle name="Comma 6 5 4 2 4 2" xfId="13015"/>
    <cellStyle name="Comma 6 5 4 2 4 2 2" xfId="19554"/>
    <cellStyle name="Comma 6 5 4 2 4 3" xfId="16702"/>
    <cellStyle name="Comma 6 5 4 2 5" xfId="3345"/>
    <cellStyle name="Comma 6 5 4 2 5 2" xfId="11302"/>
    <cellStyle name="Comma 6 5 4 2 5 2 2" xfId="17841"/>
    <cellStyle name="Comma 6 5 4 2 5 3" xfId="14989"/>
    <cellStyle name="Comma 6 5 4 2 6" xfId="2769"/>
    <cellStyle name="Comma 6 5 4 2 6 2" xfId="14417"/>
    <cellStyle name="Comma 6 5 4 2 7" xfId="10730"/>
    <cellStyle name="Comma 6 5 4 2 7 2" xfId="17269"/>
    <cellStyle name="Comma 6 5 4 2 8" xfId="13849"/>
    <cellStyle name="Comma 6 5 4 3" xfId="4119"/>
    <cellStyle name="Comma 6 5 4 3 2" xfId="11588"/>
    <cellStyle name="Comma 6 5 4 3 2 2" xfId="18127"/>
    <cellStyle name="Comma 6 5 4 3 3" xfId="15275"/>
    <cellStyle name="Comma 6 5 4 4" xfId="6391"/>
    <cellStyle name="Comma 6 5 4 4 2" xfId="12159"/>
    <cellStyle name="Comma 6 5 4 4 2 2" xfId="18698"/>
    <cellStyle name="Comma 6 5 4 4 3" xfId="15846"/>
    <cellStyle name="Comma 6 5 4 5" xfId="8663"/>
    <cellStyle name="Comma 6 5 4 5 2" xfId="12730"/>
    <cellStyle name="Comma 6 5 4 5 2 2" xfId="19269"/>
    <cellStyle name="Comma 6 5 4 5 3" xfId="16417"/>
    <cellStyle name="Comma 6 5 4 6" xfId="3060"/>
    <cellStyle name="Comma 6 5 4 6 2" xfId="11017"/>
    <cellStyle name="Comma 6 5 4 6 2 2" xfId="17556"/>
    <cellStyle name="Comma 6 5 4 6 3" xfId="14704"/>
    <cellStyle name="Comma 6 5 4 7" xfId="2489"/>
    <cellStyle name="Comma 6 5 4 7 2" xfId="14137"/>
    <cellStyle name="Comma 6 5 4 8" xfId="10450"/>
    <cellStyle name="Comma 6 5 4 8 2" xfId="16989"/>
    <cellStyle name="Comma 6 5 4 9" xfId="13564"/>
    <cellStyle name="Comma 6 5 5" xfId="1380"/>
    <cellStyle name="Comma 6 5 5 2" xfId="4800"/>
    <cellStyle name="Comma 6 5 5 2 2" xfId="11759"/>
    <cellStyle name="Comma 6 5 5 2 2 2" xfId="18298"/>
    <cellStyle name="Comma 6 5 5 2 3" xfId="15446"/>
    <cellStyle name="Comma 6 5 5 3" xfId="7072"/>
    <cellStyle name="Comma 6 5 5 3 2" xfId="12330"/>
    <cellStyle name="Comma 6 5 5 3 2 2" xfId="18869"/>
    <cellStyle name="Comma 6 5 5 3 3" xfId="16017"/>
    <cellStyle name="Comma 6 5 5 4" xfId="9344"/>
    <cellStyle name="Comma 6 5 5 4 2" xfId="12901"/>
    <cellStyle name="Comma 6 5 5 4 2 2" xfId="19440"/>
    <cellStyle name="Comma 6 5 5 4 3" xfId="16588"/>
    <cellStyle name="Comma 6 5 5 5" xfId="3231"/>
    <cellStyle name="Comma 6 5 5 5 2" xfId="11188"/>
    <cellStyle name="Comma 6 5 5 5 2 2" xfId="17727"/>
    <cellStyle name="Comma 6 5 5 5 3" xfId="14875"/>
    <cellStyle name="Comma 6 5 5 6" xfId="2657"/>
    <cellStyle name="Comma 6 5 5 6 2" xfId="14305"/>
    <cellStyle name="Comma 6 5 5 7" xfId="10618"/>
    <cellStyle name="Comma 6 5 5 7 2" xfId="17157"/>
    <cellStyle name="Comma 6 5 5 8" xfId="13735"/>
    <cellStyle name="Comma 6 5 6" xfId="3665"/>
    <cellStyle name="Comma 6 5 6 2" xfId="11474"/>
    <cellStyle name="Comma 6 5 6 2 2" xfId="18013"/>
    <cellStyle name="Comma 6 5 6 3" xfId="15161"/>
    <cellStyle name="Comma 6 5 7" xfId="5937"/>
    <cellStyle name="Comma 6 5 7 2" xfId="12045"/>
    <cellStyle name="Comma 6 5 7 2 2" xfId="18584"/>
    <cellStyle name="Comma 6 5 7 3" xfId="15732"/>
    <cellStyle name="Comma 6 5 8" xfId="8209"/>
    <cellStyle name="Comma 6 5 8 2" xfId="12616"/>
    <cellStyle name="Comma 6 5 8 2 2" xfId="19155"/>
    <cellStyle name="Comma 6 5 8 3" xfId="16303"/>
    <cellStyle name="Comma 6 5 9" xfId="2946"/>
    <cellStyle name="Comma 6 5 9 2" xfId="10903"/>
    <cellStyle name="Comma 6 5 9 2 2" xfId="17442"/>
    <cellStyle name="Comma 6 5 9 3" xfId="14590"/>
    <cellStyle name="Comma 6 6" xfId="301"/>
    <cellStyle name="Comma 6 6 10" xfId="13464"/>
    <cellStyle name="Comma 6 6 2" xfId="755"/>
    <cellStyle name="Comma 6 6 2 2" xfId="1890"/>
    <cellStyle name="Comma 6 6 2 2 2" xfId="5310"/>
    <cellStyle name="Comma 6 6 2 2 2 2" xfId="11887"/>
    <cellStyle name="Comma 6 6 2 2 2 2 2" xfId="18426"/>
    <cellStyle name="Comma 6 6 2 2 2 3" xfId="15574"/>
    <cellStyle name="Comma 6 6 2 2 3" xfId="7582"/>
    <cellStyle name="Comma 6 6 2 2 3 2" xfId="12458"/>
    <cellStyle name="Comma 6 6 2 2 3 2 2" xfId="18997"/>
    <cellStyle name="Comma 6 6 2 2 3 3" xfId="16145"/>
    <cellStyle name="Comma 6 6 2 2 4" xfId="9854"/>
    <cellStyle name="Comma 6 6 2 2 4 2" xfId="13029"/>
    <cellStyle name="Comma 6 6 2 2 4 2 2" xfId="19568"/>
    <cellStyle name="Comma 6 6 2 2 4 3" xfId="16716"/>
    <cellStyle name="Comma 6 6 2 2 5" xfId="3359"/>
    <cellStyle name="Comma 6 6 2 2 5 2" xfId="11316"/>
    <cellStyle name="Comma 6 6 2 2 5 2 2" xfId="17855"/>
    <cellStyle name="Comma 6 6 2 2 5 3" xfId="15003"/>
    <cellStyle name="Comma 6 6 2 2 6" xfId="2783"/>
    <cellStyle name="Comma 6 6 2 2 6 2" xfId="14431"/>
    <cellStyle name="Comma 6 6 2 2 7" xfId="10744"/>
    <cellStyle name="Comma 6 6 2 2 7 2" xfId="17283"/>
    <cellStyle name="Comma 6 6 2 2 8" xfId="13863"/>
    <cellStyle name="Comma 6 6 2 3" xfId="4175"/>
    <cellStyle name="Comma 6 6 2 3 2" xfId="11602"/>
    <cellStyle name="Comma 6 6 2 3 2 2" xfId="18141"/>
    <cellStyle name="Comma 6 6 2 3 3" xfId="15289"/>
    <cellStyle name="Comma 6 6 2 4" xfId="6447"/>
    <cellStyle name="Comma 6 6 2 4 2" xfId="12173"/>
    <cellStyle name="Comma 6 6 2 4 2 2" xfId="18712"/>
    <cellStyle name="Comma 6 6 2 4 3" xfId="15860"/>
    <cellStyle name="Comma 6 6 2 5" xfId="8719"/>
    <cellStyle name="Comma 6 6 2 5 2" xfId="12744"/>
    <cellStyle name="Comma 6 6 2 5 2 2" xfId="19283"/>
    <cellStyle name="Comma 6 6 2 5 3" xfId="16431"/>
    <cellStyle name="Comma 6 6 2 6" xfId="3074"/>
    <cellStyle name="Comma 6 6 2 6 2" xfId="11031"/>
    <cellStyle name="Comma 6 6 2 6 2 2" xfId="17570"/>
    <cellStyle name="Comma 6 6 2 6 3" xfId="14718"/>
    <cellStyle name="Comma 6 6 2 7" xfId="2503"/>
    <cellStyle name="Comma 6 6 2 7 2" xfId="14151"/>
    <cellStyle name="Comma 6 6 2 8" xfId="10464"/>
    <cellStyle name="Comma 6 6 2 8 2" xfId="17003"/>
    <cellStyle name="Comma 6 6 2 9" xfId="13578"/>
    <cellStyle name="Comma 6 6 3" xfId="1436"/>
    <cellStyle name="Comma 6 6 3 2" xfId="4856"/>
    <cellStyle name="Comma 6 6 3 2 2" xfId="11773"/>
    <cellStyle name="Comma 6 6 3 2 2 2" xfId="18312"/>
    <cellStyle name="Comma 6 6 3 2 3" xfId="15460"/>
    <cellStyle name="Comma 6 6 3 3" xfId="7128"/>
    <cellStyle name="Comma 6 6 3 3 2" xfId="12344"/>
    <cellStyle name="Comma 6 6 3 3 2 2" xfId="18883"/>
    <cellStyle name="Comma 6 6 3 3 3" xfId="16031"/>
    <cellStyle name="Comma 6 6 3 4" xfId="9400"/>
    <cellStyle name="Comma 6 6 3 4 2" xfId="12915"/>
    <cellStyle name="Comma 6 6 3 4 2 2" xfId="19454"/>
    <cellStyle name="Comma 6 6 3 4 3" xfId="16602"/>
    <cellStyle name="Comma 6 6 3 5" xfId="3245"/>
    <cellStyle name="Comma 6 6 3 5 2" xfId="11202"/>
    <cellStyle name="Comma 6 6 3 5 2 2" xfId="17741"/>
    <cellStyle name="Comma 6 6 3 5 3" xfId="14889"/>
    <cellStyle name="Comma 6 6 3 6" xfId="2671"/>
    <cellStyle name="Comma 6 6 3 6 2" xfId="14319"/>
    <cellStyle name="Comma 6 6 3 7" xfId="10632"/>
    <cellStyle name="Comma 6 6 3 7 2" xfId="17171"/>
    <cellStyle name="Comma 6 6 3 8" xfId="13749"/>
    <cellStyle name="Comma 6 6 4" xfId="3721"/>
    <cellStyle name="Comma 6 6 4 2" xfId="11488"/>
    <cellStyle name="Comma 6 6 4 2 2" xfId="18027"/>
    <cellStyle name="Comma 6 6 4 3" xfId="15175"/>
    <cellStyle name="Comma 6 6 5" xfId="5993"/>
    <cellStyle name="Comma 6 6 5 2" xfId="12059"/>
    <cellStyle name="Comma 6 6 5 2 2" xfId="18598"/>
    <cellStyle name="Comma 6 6 5 3" xfId="15746"/>
    <cellStyle name="Comma 6 6 6" xfId="8265"/>
    <cellStyle name="Comma 6 6 6 2" xfId="12630"/>
    <cellStyle name="Comma 6 6 6 2 2" xfId="19169"/>
    <cellStyle name="Comma 6 6 6 3" xfId="16317"/>
    <cellStyle name="Comma 6 6 7" xfId="2960"/>
    <cellStyle name="Comma 6 6 7 2" xfId="10917"/>
    <cellStyle name="Comma 6 6 7 2 2" xfId="17456"/>
    <cellStyle name="Comma 6 6 7 3" xfId="14604"/>
    <cellStyle name="Comma 6 6 8" xfId="2391"/>
    <cellStyle name="Comma 6 6 8 2" xfId="14039"/>
    <cellStyle name="Comma 6 6 9" xfId="10352"/>
    <cellStyle name="Comma 6 6 9 2" xfId="16891"/>
    <cellStyle name="Comma 6 7" xfId="982"/>
    <cellStyle name="Comma 6 7 2" xfId="2117"/>
    <cellStyle name="Comma 6 7 2 2" xfId="5537"/>
    <cellStyle name="Comma 6 7 2 2 2" xfId="11944"/>
    <cellStyle name="Comma 6 7 2 2 2 2" xfId="18483"/>
    <cellStyle name="Comma 6 7 2 2 3" xfId="15631"/>
    <cellStyle name="Comma 6 7 2 3" xfId="7809"/>
    <cellStyle name="Comma 6 7 2 3 2" xfId="12515"/>
    <cellStyle name="Comma 6 7 2 3 2 2" xfId="19054"/>
    <cellStyle name="Comma 6 7 2 3 3" xfId="16202"/>
    <cellStyle name="Comma 6 7 2 4" xfId="10081"/>
    <cellStyle name="Comma 6 7 2 4 2" xfId="13086"/>
    <cellStyle name="Comma 6 7 2 4 2 2" xfId="19625"/>
    <cellStyle name="Comma 6 7 2 4 3" xfId="16773"/>
    <cellStyle name="Comma 6 7 2 5" xfId="3416"/>
    <cellStyle name="Comma 6 7 2 5 2" xfId="11373"/>
    <cellStyle name="Comma 6 7 2 5 2 2" xfId="17912"/>
    <cellStyle name="Comma 6 7 2 5 3" xfId="15060"/>
    <cellStyle name="Comma 6 7 2 6" xfId="2839"/>
    <cellStyle name="Comma 6 7 2 6 2" xfId="14487"/>
    <cellStyle name="Comma 6 7 2 7" xfId="10800"/>
    <cellStyle name="Comma 6 7 2 7 2" xfId="17339"/>
    <cellStyle name="Comma 6 7 2 8" xfId="13920"/>
    <cellStyle name="Comma 6 7 3" xfId="4402"/>
    <cellStyle name="Comma 6 7 3 2" xfId="11659"/>
    <cellStyle name="Comma 6 7 3 2 2" xfId="18198"/>
    <cellStyle name="Comma 6 7 3 3" xfId="15346"/>
    <cellStyle name="Comma 6 7 4" xfId="6674"/>
    <cellStyle name="Comma 6 7 4 2" xfId="12230"/>
    <cellStyle name="Comma 6 7 4 2 2" xfId="18769"/>
    <cellStyle name="Comma 6 7 4 3" xfId="15917"/>
    <cellStyle name="Comma 6 7 5" xfId="8946"/>
    <cellStyle name="Comma 6 7 5 2" xfId="12801"/>
    <cellStyle name="Comma 6 7 5 2 2" xfId="19340"/>
    <cellStyle name="Comma 6 7 5 3" xfId="16488"/>
    <cellStyle name="Comma 6 7 6" xfId="3131"/>
    <cellStyle name="Comma 6 7 6 2" xfId="11088"/>
    <cellStyle name="Comma 6 7 6 2 2" xfId="17627"/>
    <cellStyle name="Comma 6 7 6 3" xfId="14775"/>
    <cellStyle name="Comma 6 7 7" xfId="2559"/>
    <cellStyle name="Comma 6 7 7 2" xfId="14207"/>
    <cellStyle name="Comma 6 7 8" xfId="10520"/>
    <cellStyle name="Comma 6 7 8 2" xfId="17059"/>
    <cellStyle name="Comma 6 7 9" xfId="13635"/>
    <cellStyle name="Comma 6 8" xfId="528"/>
    <cellStyle name="Comma 6 8 2" xfId="1663"/>
    <cellStyle name="Comma 6 8 2 2" xfId="5083"/>
    <cellStyle name="Comma 6 8 2 2 2" xfId="11830"/>
    <cellStyle name="Comma 6 8 2 2 2 2" xfId="18369"/>
    <cellStyle name="Comma 6 8 2 2 3" xfId="15517"/>
    <cellStyle name="Comma 6 8 2 3" xfId="7355"/>
    <cellStyle name="Comma 6 8 2 3 2" xfId="12401"/>
    <cellStyle name="Comma 6 8 2 3 2 2" xfId="18940"/>
    <cellStyle name="Comma 6 8 2 3 3" xfId="16088"/>
    <cellStyle name="Comma 6 8 2 4" xfId="9627"/>
    <cellStyle name="Comma 6 8 2 4 2" xfId="12972"/>
    <cellStyle name="Comma 6 8 2 4 2 2" xfId="19511"/>
    <cellStyle name="Comma 6 8 2 4 3" xfId="16659"/>
    <cellStyle name="Comma 6 8 2 5" xfId="3302"/>
    <cellStyle name="Comma 6 8 2 5 2" xfId="11259"/>
    <cellStyle name="Comma 6 8 2 5 2 2" xfId="17798"/>
    <cellStyle name="Comma 6 8 2 5 3" xfId="14946"/>
    <cellStyle name="Comma 6 8 2 6" xfId="2727"/>
    <cellStyle name="Comma 6 8 2 6 2" xfId="14375"/>
    <cellStyle name="Comma 6 8 2 7" xfId="10688"/>
    <cellStyle name="Comma 6 8 2 7 2" xfId="17227"/>
    <cellStyle name="Comma 6 8 2 8" xfId="13806"/>
    <cellStyle name="Comma 6 8 3" xfId="3948"/>
    <cellStyle name="Comma 6 8 3 2" xfId="11545"/>
    <cellStyle name="Comma 6 8 3 2 2" xfId="18084"/>
    <cellStyle name="Comma 6 8 3 3" xfId="15232"/>
    <cellStyle name="Comma 6 8 4" xfId="6220"/>
    <cellStyle name="Comma 6 8 4 2" xfId="12116"/>
    <cellStyle name="Comma 6 8 4 2 2" xfId="18655"/>
    <cellStyle name="Comma 6 8 4 3" xfId="15803"/>
    <cellStyle name="Comma 6 8 5" xfId="8492"/>
    <cellStyle name="Comma 6 8 5 2" xfId="12687"/>
    <cellStyle name="Comma 6 8 5 2 2" xfId="19226"/>
    <cellStyle name="Comma 6 8 5 3" xfId="16374"/>
    <cellStyle name="Comma 6 8 6" xfId="3017"/>
    <cellStyle name="Comma 6 8 6 2" xfId="10974"/>
    <cellStyle name="Comma 6 8 6 2 2" xfId="17513"/>
    <cellStyle name="Comma 6 8 6 3" xfId="14661"/>
    <cellStyle name="Comma 6 8 7" xfId="2447"/>
    <cellStyle name="Comma 6 8 7 2" xfId="14095"/>
    <cellStyle name="Comma 6 8 8" xfId="10408"/>
    <cellStyle name="Comma 6 8 8 2" xfId="16947"/>
    <cellStyle name="Comma 6 8 9" xfId="13521"/>
    <cellStyle name="Comma 6 9" xfId="1209"/>
    <cellStyle name="Comma 6 9 2" xfId="4629"/>
    <cellStyle name="Comma 6 9 2 2" xfId="11716"/>
    <cellStyle name="Comma 6 9 2 2 2" xfId="18255"/>
    <cellStyle name="Comma 6 9 2 3" xfId="15403"/>
    <cellStyle name="Comma 6 9 3" xfId="6901"/>
    <cellStyle name="Comma 6 9 3 2" xfId="12287"/>
    <cellStyle name="Comma 6 9 3 2 2" xfId="18826"/>
    <cellStyle name="Comma 6 9 3 3" xfId="15974"/>
    <cellStyle name="Comma 6 9 4" xfId="9173"/>
    <cellStyle name="Comma 6 9 4 2" xfId="12858"/>
    <cellStyle name="Comma 6 9 4 2 2" xfId="19397"/>
    <cellStyle name="Comma 6 9 4 3" xfId="16545"/>
    <cellStyle name="Comma 6 9 5" xfId="3188"/>
    <cellStyle name="Comma 6 9 5 2" xfId="11145"/>
    <cellStyle name="Comma 6 9 5 2 2" xfId="17684"/>
    <cellStyle name="Comma 6 9 5 3" xfId="14832"/>
    <cellStyle name="Comma 6 9 6" xfId="2615"/>
    <cellStyle name="Comma 6 9 6 2" xfId="14263"/>
    <cellStyle name="Comma 6 9 7" xfId="10576"/>
    <cellStyle name="Comma 6 9 7 2" xfId="17115"/>
    <cellStyle name="Comma 6 9 8" xfId="13692"/>
    <cellStyle name="Comma 60" xfId="19790"/>
    <cellStyle name="Comma 61" xfId="19870"/>
    <cellStyle name="Comma 7" xfId="63"/>
    <cellStyle name="Comma 7 10" xfId="3496"/>
    <cellStyle name="Comma 7 10 2" xfId="11432"/>
    <cellStyle name="Comma 7 10 2 2" xfId="17971"/>
    <cellStyle name="Comma 7 10 3" xfId="15119"/>
    <cellStyle name="Comma 7 11" xfId="5768"/>
    <cellStyle name="Comma 7 11 2" xfId="12003"/>
    <cellStyle name="Comma 7 11 2 2" xfId="18542"/>
    <cellStyle name="Comma 7 11 3" xfId="15690"/>
    <cellStyle name="Comma 7 12" xfId="8040"/>
    <cellStyle name="Comma 7 12 2" xfId="12574"/>
    <cellStyle name="Comma 7 12 2 2" xfId="19113"/>
    <cellStyle name="Comma 7 12 3" xfId="16261"/>
    <cellStyle name="Comma 7 13" xfId="2899"/>
    <cellStyle name="Comma 7 13 2" xfId="10859"/>
    <cellStyle name="Comma 7 13 2 2" xfId="17398"/>
    <cellStyle name="Comma 7 13 3" xfId="14546"/>
    <cellStyle name="Comma 7 14" xfId="2334"/>
    <cellStyle name="Comma 7 14 2" xfId="13982"/>
    <cellStyle name="Comma 7 15" xfId="10295"/>
    <cellStyle name="Comma 7 15 2" xfId="16834"/>
    <cellStyle name="Comma 7 16" xfId="13261"/>
    <cellStyle name="Comma 7 16 2" xfId="19770"/>
    <cellStyle name="Comma 7 17" xfId="13406"/>
    <cellStyle name="Comma 7 18" xfId="19864"/>
    <cellStyle name="Comma 7 19" xfId="20097"/>
    <cellStyle name="Comma 7 2" xfId="93"/>
    <cellStyle name="Comma 7 2 10" xfId="5796"/>
    <cellStyle name="Comma 7 2 10 2" xfId="12010"/>
    <cellStyle name="Comma 7 2 10 2 2" xfId="18549"/>
    <cellStyle name="Comma 7 2 10 3" xfId="15697"/>
    <cellStyle name="Comma 7 2 11" xfId="8068"/>
    <cellStyle name="Comma 7 2 11 2" xfId="12581"/>
    <cellStyle name="Comma 7 2 11 2 2" xfId="19120"/>
    <cellStyle name="Comma 7 2 11 3" xfId="16268"/>
    <cellStyle name="Comma 7 2 12" xfId="2908"/>
    <cellStyle name="Comma 7 2 12 2" xfId="10867"/>
    <cellStyle name="Comma 7 2 12 2 2" xfId="17406"/>
    <cellStyle name="Comma 7 2 12 3" xfId="14554"/>
    <cellStyle name="Comma 7 2 13" xfId="2342"/>
    <cellStyle name="Comma 7 2 13 2" xfId="13990"/>
    <cellStyle name="Comma 7 2 14" xfId="10303"/>
    <cellStyle name="Comma 7 2 14 2" xfId="16842"/>
    <cellStyle name="Comma 7 2 15" xfId="13262"/>
    <cellStyle name="Comma 7 2 15 2" xfId="19771"/>
    <cellStyle name="Comma 7 2 16" xfId="13414"/>
    <cellStyle name="Comma 7 2 17" xfId="19784"/>
    <cellStyle name="Comma 7 2 18" xfId="19865"/>
    <cellStyle name="Comma 7 2 19" xfId="20098"/>
    <cellStyle name="Comma 7 2 2" xfId="205"/>
    <cellStyle name="Comma 7 2 2 10" xfId="2370"/>
    <cellStyle name="Comma 7 2 2 10 2" xfId="14018"/>
    <cellStyle name="Comma 7 2 2 11" xfId="10331"/>
    <cellStyle name="Comma 7 2 2 11 2" xfId="16870"/>
    <cellStyle name="Comma 7 2 2 12" xfId="13442"/>
    <cellStyle name="Comma 7 2 2 2" xfId="443"/>
    <cellStyle name="Comma 7 2 2 2 10" xfId="13500"/>
    <cellStyle name="Comma 7 2 2 2 2" xfId="897"/>
    <cellStyle name="Comma 7 2 2 2 2 2" xfId="2032"/>
    <cellStyle name="Comma 7 2 2 2 2 2 2" xfId="5452"/>
    <cellStyle name="Comma 7 2 2 2 2 2 2 2" xfId="11923"/>
    <cellStyle name="Comma 7 2 2 2 2 2 2 2 2" xfId="18462"/>
    <cellStyle name="Comma 7 2 2 2 2 2 2 3" xfId="15610"/>
    <cellStyle name="Comma 7 2 2 2 2 2 3" xfId="7724"/>
    <cellStyle name="Comma 7 2 2 2 2 2 3 2" xfId="12494"/>
    <cellStyle name="Comma 7 2 2 2 2 2 3 2 2" xfId="19033"/>
    <cellStyle name="Comma 7 2 2 2 2 2 3 3" xfId="16181"/>
    <cellStyle name="Comma 7 2 2 2 2 2 4" xfId="9996"/>
    <cellStyle name="Comma 7 2 2 2 2 2 4 2" xfId="13065"/>
    <cellStyle name="Comma 7 2 2 2 2 2 4 2 2" xfId="19604"/>
    <cellStyle name="Comma 7 2 2 2 2 2 4 3" xfId="16752"/>
    <cellStyle name="Comma 7 2 2 2 2 2 5" xfId="3395"/>
    <cellStyle name="Comma 7 2 2 2 2 2 5 2" xfId="11352"/>
    <cellStyle name="Comma 7 2 2 2 2 2 5 2 2" xfId="17891"/>
    <cellStyle name="Comma 7 2 2 2 2 2 5 3" xfId="15039"/>
    <cellStyle name="Comma 7 2 2 2 2 2 6" xfId="2819"/>
    <cellStyle name="Comma 7 2 2 2 2 2 6 2" xfId="14467"/>
    <cellStyle name="Comma 7 2 2 2 2 2 7" xfId="10780"/>
    <cellStyle name="Comma 7 2 2 2 2 2 7 2" xfId="17319"/>
    <cellStyle name="Comma 7 2 2 2 2 2 8" xfId="13899"/>
    <cellStyle name="Comma 7 2 2 2 2 3" xfId="4317"/>
    <cellStyle name="Comma 7 2 2 2 2 3 2" xfId="11638"/>
    <cellStyle name="Comma 7 2 2 2 2 3 2 2" xfId="18177"/>
    <cellStyle name="Comma 7 2 2 2 2 3 3" xfId="15325"/>
    <cellStyle name="Comma 7 2 2 2 2 4" xfId="6589"/>
    <cellStyle name="Comma 7 2 2 2 2 4 2" xfId="12209"/>
    <cellStyle name="Comma 7 2 2 2 2 4 2 2" xfId="18748"/>
    <cellStyle name="Comma 7 2 2 2 2 4 3" xfId="15896"/>
    <cellStyle name="Comma 7 2 2 2 2 5" xfId="8861"/>
    <cellStyle name="Comma 7 2 2 2 2 5 2" xfId="12780"/>
    <cellStyle name="Comma 7 2 2 2 2 5 2 2" xfId="19319"/>
    <cellStyle name="Comma 7 2 2 2 2 5 3" xfId="16467"/>
    <cellStyle name="Comma 7 2 2 2 2 6" xfId="3110"/>
    <cellStyle name="Comma 7 2 2 2 2 6 2" xfId="11067"/>
    <cellStyle name="Comma 7 2 2 2 2 6 2 2" xfId="17606"/>
    <cellStyle name="Comma 7 2 2 2 2 6 3" xfId="14754"/>
    <cellStyle name="Comma 7 2 2 2 2 7" xfId="2539"/>
    <cellStyle name="Comma 7 2 2 2 2 7 2" xfId="14187"/>
    <cellStyle name="Comma 7 2 2 2 2 8" xfId="10500"/>
    <cellStyle name="Comma 7 2 2 2 2 8 2" xfId="17039"/>
    <cellStyle name="Comma 7 2 2 2 2 9" xfId="13614"/>
    <cellStyle name="Comma 7 2 2 2 3" xfId="1578"/>
    <cellStyle name="Comma 7 2 2 2 3 2" xfId="4998"/>
    <cellStyle name="Comma 7 2 2 2 3 2 2" xfId="11809"/>
    <cellStyle name="Comma 7 2 2 2 3 2 2 2" xfId="18348"/>
    <cellStyle name="Comma 7 2 2 2 3 2 3" xfId="15496"/>
    <cellStyle name="Comma 7 2 2 2 3 3" xfId="7270"/>
    <cellStyle name="Comma 7 2 2 2 3 3 2" xfId="12380"/>
    <cellStyle name="Comma 7 2 2 2 3 3 2 2" xfId="18919"/>
    <cellStyle name="Comma 7 2 2 2 3 3 3" xfId="16067"/>
    <cellStyle name="Comma 7 2 2 2 3 4" xfId="9542"/>
    <cellStyle name="Comma 7 2 2 2 3 4 2" xfId="12951"/>
    <cellStyle name="Comma 7 2 2 2 3 4 2 2" xfId="19490"/>
    <cellStyle name="Comma 7 2 2 2 3 4 3" xfId="16638"/>
    <cellStyle name="Comma 7 2 2 2 3 5" xfId="3281"/>
    <cellStyle name="Comma 7 2 2 2 3 5 2" xfId="11238"/>
    <cellStyle name="Comma 7 2 2 2 3 5 2 2" xfId="17777"/>
    <cellStyle name="Comma 7 2 2 2 3 5 3" xfId="14925"/>
    <cellStyle name="Comma 7 2 2 2 3 6" xfId="2707"/>
    <cellStyle name="Comma 7 2 2 2 3 6 2" xfId="14355"/>
    <cellStyle name="Comma 7 2 2 2 3 7" xfId="10668"/>
    <cellStyle name="Comma 7 2 2 2 3 7 2" xfId="17207"/>
    <cellStyle name="Comma 7 2 2 2 3 8" xfId="13785"/>
    <cellStyle name="Comma 7 2 2 2 4" xfId="3863"/>
    <cellStyle name="Comma 7 2 2 2 4 2" xfId="11524"/>
    <cellStyle name="Comma 7 2 2 2 4 2 2" xfId="18063"/>
    <cellStyle name="Comma 7 2 2 2 4 3" xfId="15211"/>
    <cellStyle name="Comma 7 2 2 2 5" xfId="6135"/>
    <cellStyle name="Comma 7 2 2 2 5 2" xfId="12095"/>
    <cellStyle name="Comma 7 2 2 2 5 2 2" xfId="18634"/>
    <cellStyle name="Comma 7 2 2 2 5 3" xfId="15782"/>
    <cellStyle name="Comma 7 2 2 2 6" xfId="8407"/>
    <cellStyle name="Comma 7 2 2 2 6 2" xfId="12666"/>
    <cellStyle name="Comma 7 2 2 2 6 2 2" xfId="19205"/>
    <cellStyle name="Comma 7 2 2 2 6 3" xfId="16353"/>
    <cellStyle name="Comma 7 2 2 2 7" xfId="2996"/>
    <cellStyle name="Comma 7 2 2 2 7 2" xfId="10953"/>
    <cellStyle name="Comma 7 2 2 2 7 2 2" xfId="17492"/>
    <cellStyle name="Comma 7 2 2 2 7 3" xfId="14640"/>
    <cellStyle name="Comma 7 2 2 2 8" xfId="2427"/>
    <cellStyle name="Comma 7 2 2 2 8 2" xfId="14075"/>
    <cellStyle name="Comma 7 2 2 2 9" xfId="10388"/>
    <cellStyle name="Comma 7 2 2 2 9 2" xfId="16927"/>
    <cellStyle name="Comma 7 2 2 3" xfId="1124"/>
    <cellStyle name="Comma 7 2 2 3 2" xfId="2259"/>
    <cellStyle name="Comma 7 2 2 3 2 2" xfId="5679"/>
    <cellStyle name="Comma 7 2 2 3 2 2 2" xfId="11980"/>
    <cellStyle name="Comma 7 2 2 3 2 2 2 2" xfId="18519"/>
    <cellStyle name="Comma 7 2 2 3 2 2 3" xfId="15667"/>
    <cellStyle name="Comma 7 2 2 3 2 3" xfId="7951"/>
    <cellStyle name="Comma 7 2 2 3 2 3 2" xfId="12551"/>
    <cellStyle name="Comma 7 2 2 3 2 3 2 2" xfId="19090"/>
    <cellStyle name="Comma 7 2 2 3 2 3 3" xfId="16238"/>
    <cellStyle name="Comma 7 2 2 3 2 4" xfId="10223"/>
    <cellStyle name="Comma 7 2 2 3 2 4 2" xfId="13122"/>
    <cellStyle name="Comma 7 2 2 3 2 4 2 2" xfId="19661"/>
    <cellStyle name="Comma 7 2 2 3 2 4 3" xfId="16809"/>
    <cellStyle name="Comma 7 2 2 3 2 5" xfId="3452"/>
    <cellStyle name="Comma 7 2 2 3 2 5 2" xfId="11409"/>
    <cellStyle name="Comma 7 2 2 3 2 5 2 2" xfId="17948"/>
    <cellStyle name="Comma 7 2 2 3 2 5 3" xfId="15096"/>
    <cellStyle name="Comma 7 2 2 3 2 6" xfId="2875"/>
    <cellStyle name="Comma 7 2 2 3 2 6 2" xfId="14523"/>
    <cellStyle name="Comma 7 2 2 3 2 7" xfId="10836"/>
    <cellStyle name="Comma 7 2 2 3 2 7 2" xfId="17375"/>
    <cellStyle name="Comma 7 2 2 3 2 8" xfId="13956"/>
    <cellStyle name="Comma 7 2 2 3 3" xfId="4544"/>
    <cellStyle name="Comma 7 2 2 3 3 2" xfId="11695"/>
    <cellStyle name="Comma 7 2 2 3 3 2 2" xfId="18234"/>
    <cellStyle name="Comma 7 2 2 3 3 3" xfId="15382"/>
    <cellStyle name="Comma 7 2 2 3 4" xfId="6816"/>
    <cellStyle name="Comma 7 2 2 3 4 2" xfId="12266"/>
    <cellStyle name="Comma 7 2 2 3 4 2 2" xfId="18805"/>
    <cellStyle name="Comma 7 2 2 3 4 3" xfId="15953"/>
    <cellStyle name="Comma 7 2 2 3 5" xfId="9088"/>
    <cellStyle name="Comma 7 2 2 3 5 2" xfId="12837"/>
    <cellStyle name="Comma 7 2 2 3 5 2 2" xfId="19376"/>
    <cellStyle name="Comma 7 2 2 3 5 3" xfId="16524"/>
    <cellStyle name="Comma 7 2 2 3 6" xfId="3167"/>
    <cellStyle name="Comma 7 2 2 3 6 2" xfId="11124"/>
    <cellStyle name="Comma 7 2 2 3 6 2 2" xfId="17663"/>
    <cellStyle name="Comma 7 2 2 3 6 3" xfId="14811"/>
    <cellStyle name="Comma 7 2 2 3 7" xfId="2595"/>
    <cellStyle name="Comma 7 2 2 3 7 2" xfId="14243"/>
    <cellStyle name="Comma 7 2 2 3 8" xfId="10556"/>
    <cellStyle name="Comma 7 2 2 3 8 2" xfId="17095"/>
    <cellStyle name="Comma 7 2 2 3 9" xfId="13671"/>
    <cellStyle name="Comma 7 2 2 4" xfId="670"/>
    <cellStyle name="Comma 7 2 2 4 2" xfId="1805"/>
    <cellStyle name="Comma 7 2 2 4 2 2" xfId="5225"/>
    <cellStyle name="Comma 7 2 2 4 2 2 2" xfId="11866"/>
    <cellStyle name="Comma 7 2 2 4 2 2 2 2" xfId="18405"/>
    <cellStyle name="Comma 7 2 2 4 2 2 3" xfId="15553"/>
    <cellStyle name="Comma 7 2 2 4 2 3" xfId="7497"/>
    <cellStyle name="Comma 7 2 2 4 2 3 2" xfId="12437"/>
    <cellStyle name="Comma 7 2 2 4 2 3 2 2" xfId="18976"/>
    <cellStyle name="Comma 7 2 2 4 2 3 3" xfId="16124"/>
    <cellStyle name="Comma 7 2 2 4 2 4" xfId="9769"/>
    <cellStyle name="Comma 7 2 2 4 2 4 2" xfId="13008"/>
    <cellStyle name="Comma 7 2 2 4 2 4 2 2" xfId="19547"/>
    <cellStyle name="Comma 7 2 2 4 2 4 3" xfId="16695"/>
    <cellStyle name="Comma 7 2 2 4 2 5" xfId="3338"/>
    <cellStyle name="Comma 7 2 2 4 2 5 2" xfId="11295"/>
    <cellStyle name="Comma 7 2 2 4 2 5 2 2" xfId="17834"/>
    <cellStyle name="Comma 7 2 2 4 2 5 3" xfId="14982"/>
    <cellStyle name="Comma 7 2 2 4 2 6" xfId="2763"/>
    <cellStyle name="Comma 7 2 2 4 2 6 2" xfId="14411"/>
    <cellStyle name="Comma 7 2 2 4 2 7" xfId="10724"/>
    <cellStyle name="Comma 7 2 2 4 2 7 2" xfId="17263"/>
    <cellStyle name="Comma 7 2 2 4 2 8" xfId="13842"/>
    <cellStyle name="Comma 7 2 2 4 3" xfId="4090"/>
    <cellStyle name="Comma 7 2 2 4 3 2" xfId="11581"/>
    <cellStyle name="Comma 7 2 2 4 3 2 2" xfId="18120"/>
    <cellStyle name="Comma 7 2 2 4 3 3" xfId="15268"/>
    <cellStyle name="Comma 7 2 2 4 4" xfId="6362"/>
    <cellStyle name="Comma 7 2 2 4 4 2" xfId="12152"/>
    <cellStyle name="Comma 7 2 2 4 4 2 2" xfId="18691"/>
    <cellStyle name="Comma 7 2 2 4 4 3" xfId="15839"/>
    <cellStyle name="Comma 7 2 2 4 5" xfId="8634"/>
    <cellStyle name="Comma 7 2 2 4 5 2" xfId="12723"/>
    <cellStyle name="Comma 7 2 2 4 5 2 2" xfId="19262"/>
    <cellStyle name="Comma 7 2 2 4 5 3" xfId="16410"/>
    <cellStyle name="Comma 7 2 2 4 6" xfId="3053"/>
    <cellStyle name="Comma 7 2 2 4 6 2" xfId="11010"/>
    <cellStyle name="Comma 7 2 2 4 6 2 2" xfId="17549"/>
    <cellStyle name="Comma 7 2 2 4 6 3" xfId="14697"/>
    <cellStyle name="Comma 7 2 2 4 7" xfId="2483"/>
    <cellStyle name="Comma 7 2 2 4 7 2" xfId="14131"/>
    <cellStyle name="Comma 7 2 2 4 8" xfId="10444"/>
    <cellStyle name="Comma 7 2 2 4 8 2" xfId="16983"/>
    <cellStyle name="Comma 7 2 2 4 9" xfId="13557"/>
    <cellStyle name="Comma 7 2 2 5" xfId="1351"/>
    <cellStyle name="Comma 7 2 2 5 2" xfId="4771"/>
    <cellStyle name="Comma 7 2 2 5 2 2" xfId="11752"/>
    <cellStyle name="Comma 7 2 2 5 2 2 2" xfId="18291"/>
    <cellStyle name="Comma 7 2 2 5 2 3" xfId="15439"/>
    <cellStyle name="Comma 7 2 2 5 3" xfId="7043"/>
    <cellStyle name="Comma 7 2 2 5 3 2" xfId="12323"/>
    <cellStyle name="Comma 7 2 2 5 3 2 2" xfId="18862"/>
    <cellStyle name="Comma 7 2 2 5 3 3" xfId="16010"/>
    <cellStyle name="Comma 7 2 2 5 4" xfId="9315"/>
    <cellStyle name="Comma 7 2 2 5 4 2" xfId="12894"/>
    <cellStyle name="Comma 7 2 2 5 4 2 2" xfId="19433"/>
    <cellStyle name="Comma 7 2 2 5 4 3" xfId="16581"/>
    <cellStyle name="Comma 7 2 2 5 5" xfId="3224"/>
    <cellStyle name="Comma 7 2 2 5 5 2" xfId="11181"/>
    <cellStyle name="Comma 7 2 2 5 5 2 2" xfId="17720"/>
    <cellStyle name="Comma 7 2 2 5 5 3" xfId="14868"/>
    <cellStyle name="Comma 7 2 2 5 6" xfId="2651"/>
    <cellStyle name="Comma 7 2 2 5 6 2" xfId="14299"/>
    <cellStyle name="Comma 7 2 2 5 7" xfId="10612"/>
    <cellStyle name="Comma 7 2 2 5 7 2" xfId="17151"/>
    <cellStyle name="Comma 7 2 2 5 8" xfId="13728"/>
    <cellStyle name="Comma 7 2 2 6" xfId="3636"/>
    <cellStyle name="Comma 7 2 2 6 2" xfId="11467"/>
    <cellStyle name="Comma 7 2 2 6 2 2" xfId="18006"/>
    <cellStyle name="Comma 7 2 2 6 3" xfId="15154"/>
    <cellStyle name="Comma 7 2 2 7" xfId="5908"/>
    <cellStyle name="Comma 7 2 2 7 2" xfId="12038"/>
    <cellStyle name="Comma 7 2 2 7 2 2" xfId="18577"/>
    <cellStyle name="Comma 7 2 2 7 3" xfId="15725"/>
    <cellStyle name="Comma 7 2 2 8" xfId="8180"/>
    <cellStyle name="Comma 7 2 2 8 2" xfId="12609"/>
    <cellStyle name="Comma 7 2 2 8 2 2" xfId="19148"/>
    <cellStyle name="Comma 7 2 2 8 3" xfId="16296"/>
    <cellStyle name="Comma 7 2 2 9" xfId="2936"/>
    <cellStyle name="Comma 7 2 2 9 2" xfId="10895"/>
    <cellStyle name="Comma 7 2 2 9 2 2" xfId="17434"/>
    <cellStyle name="Comma 7 2 2 9 3" xfId="14582"/>
    <cellStyle name="Comma 7 2 3" xfId="149"/>
    <cellStyle name="Comma 7 2 3 10" xfId="2356"/>
    <cellStyle name="Comma 7 2 3 10 2" xfId="14004"/>
    <cellStyle name="Comma 7 2 3 11" xfId="10317"/>
    <cellStyle name="Comma 7 2 3 11 2" xfId="16856"/>
    <cellStyle name="Comma 7 2 3 12" xfId="13428"/>
    <cellStyle name="Comma 7 2 3 2" xfId="387"/>
    <cellStyle name="Comma 7 2 3 2 10" xfId="13486"/>
    <cellStyle name="Comma 7 2 3 2 2" xfId="841"/>
    <cellStyle name="Comma 7 2 3 2 2 2" xfId="1976"/>
    <cellStyle name="Comma 7 2 3 2 2 2 2" xfId="5396"/>
    <cellStyle name="Comma 7 2 3 2 2 2 2 2" xfId="11909"/>
    <cellStyle name="Comma 7 2 3 2 2 2 2 2 2" xfId="18448"/>
    <cellStyle name="Comma 7 2 3 2 2 2 2 3" xfId="15596"/>
    <cellStyle name="Comma 7 2 3 2 2 2 3" xfId="7668"/>
    <cellStyle name="Comma 7 2 3 2 2 2 3 2" xfId="12480"/>
    <cellStyle name="Comma 7 2 3 2 2 2 3 2 2" xfId="19019"/>
    <cellStyle name="Comma 7 2 3 2 2 2 3 3" xfId="16167"/>
    <cellStyle name="Comma 7 2 3 2 2 2 4" xfId="9940"/>
    <cellStyle name="Comma 7 2 3 2 2 2 4 2" xfId="13051"/>
    <cellStyle name="Comma 7 2 3 2 2 2 4 2 2" xfId="19590"/>
    <cellStyle name="Comma 7 2 3 2 2 2 4 3" xfId="16738"/>
    <cellStyle name="Comma 7 2 3 2 2 2 5" xfId="3381"/>
    <cellStyle name="Comma 7 2 3 2 2 2 5 2" xfId="11338"/>
    <cellStyle name="Comma 7 2 3 2 2 2 5 2 2" xfId="17877"/>
    <cellStyle name="Comma 7 2 3 2 2 2 5 3" xfId="15025"/>
    <cellStyle name="Comma 7 2 3 2 2 2 6" xfId="2805"/>
    <cellStyle name="Comma 7 2 3 2 2 2 6 2" xfId="14453"/>
    <cellStyle name="Comma 7 2 3 2 2 2 7" xfId="10766"/>
    <cellStyle name="Comma 7 2 3 2 2 2 7 2" xfId="17305"/>
    <cellStyle name="Comma 7 2 3 2 2 2 8" xfId="13885"/>
    <cellStyle name="Comma 7 2 3 2 2 3" xfId="4261"/>
    <cellStyle name="Comma 7 2 3 2 2 3 2" xfId="11624"/>
    <cellStyle name="Comma 7 2 3 2 2 3 2 2" xfId="18163"/>
    <cellStyle name="Comma 7 2 3 2 2 3 3" xfId="15311"/>
    <cellStyle name="Comma 7 2 3 2 2 4" xfId="6533"/>
    <cellStyle name="Comma 7 2 3 2 2 4 2" xfId="12195"/>
    <cellStyle name="Comma 7 2 3 2 2 4 2 2" xfId="18734"/>
    <cellStyle name="Comma 7 2 3 2 2 4 3" xfId="15882"/>
    <cellStyle name="Comma 7 2 3 2 2 5" xfId="8805"/>
    <cellStyle name="Comma 7 2 3 2 2 5 2" xfId="12766"/>
    <cellStyle name="Comma 7 2 3 2 2 5 2 2" xfId="19305"/>
    <cellStyle name="Comma 7 2 3 2 2 5 3" xfId="16453"/>
    <cellStyle name="Comma 7 2 3 2 2 6" xfId="3096"/>
    <cellStyle name="Comma 7 2 3 2 2 6 2" xfId="11053"/>
    <cellStyle name="Comma 7 2 3 2 2 6 2 2" xfId="17592"/>
    <cellStyle name="Comma 7 2 3 2 2 6 3" xfId="14740"/>
    <cellStyle name="Comma 7 2 3 2 2 7" xfId="2525"/>
    <cellStyle name="Comma 7 2 3 2 2 7 2" xfId="14173"/>
    <cellStyle name="Comma 7 2 3 2 2 8" xfId="10486"/>
    <cellStyle name="Comma 7 2 3 2 2 8 2" xfId="17025"/>
    <cellStyle name="Comma 7 2 3 2 2 9" xfId="13600"/>
    <cellStyle name="Comma 7 2 3 2 3" xfId="1522"/>
    <cellStyle name="Comma 7 2 3 2 3 2" xfId="4942"/>
    <cellStyle name="Comma 7 2 3 2 3 2 2" xfId="11795"/>
    <cellStyle name="Comma 7 2 3 2 3 2 2 2" xfId="18334"/>
    <cellStyle name="Comma 7 2 3 2 3 2 3" xfId="15482"/>
    <cellStyle name="Comma 7 2 3 2 3 3" xfId="7214"/>
    <cellStyle name="Comma 7 2 3 2 3 3 2" xfId="12366"/>
    <cellStyle name="Comma 7 2 3 2 3 3 2 2" xfId="18905"/>
    <cellStyle name="Comma 7 2 3 2 3 3 3" xfId="16053"/>
    <cellStyle name="Comma 7 2 3 2 3 4" xfId="9486"/>
    <cellStyle name="Comma 7 2 3 2 3 4 2" xfId="12937"/>
    <cellStyle name="Comma 7 2 3 2 3 4 2 2" xfId="19476"/>
    <cellStyle name="Comma 7 2 3 2 3 4 3" xfId="16624"/>
    <cellStyle name="Comma 7 2 3 2 3 5" xfId="3267"/>
    <cellStyle name="Comma 7 2 3 2 3 5 2" xfId="11224"/>
    <cellStyle name="Comma 7 2 3 2 3 5 2 2" xfId="17763"/>
    <cellStyle name="Comma 7 2 3 2 3 5 3" xfId="14911"/>
    <cellStyle name="Comma 7 2 3 2 3 6" xfId="2693"/>
    <cellStyle name="Comma 7 2 3 2 3 6 2" xfId="14341"/>
    <cellStyle name="Comma 7 2 3 2 3 7" xfId="10654"/>
    <cellStyle name="Comma 7 2 3 2 3 7 2" xfId="17193"/>
    <cellStyle name="Comma 7 2 3 2 3 8" xfId="13771"/>
    <cellStyle name="Comma 7 2 3 2 4" xfId="3807"/>
    <cellStyle name="Comma 7 2 3 2 4 2" xfId="11510"/>
    <cellStyle name="Comma 7 2 3 2 4 2 2" xfId="18049"/>
    <cellStyle name="Comma 7 2 3 2 4 3" xfId="15197"/>
    <cellStyle name="Comma 7 2 3 2 5" xfId="6079"/>
    <cellStyle name="Comma 7 2 3 2 5 2" xfId="12081"/>
    <cellStyle name="Comma 7 2 3 2 5 2 2" xfId="18620"/>
    <cellStyle name="Comma 7 2 3 2 5 3" xfId="15768"/>
    <cellStyle name="Comma 7 2 3 2 6" xfId="8351"/>
    <cellStyle name="Comma 7 2 3 2 6 2" xfId="12652"/>
    <cellStyle name="Comma 7 2 3 2 6 2 2" xfId="19191"/>
    <cellStyle name="Comma 7 2 3 2 6 3" xfId="16339"/>
    <cellStyle name="Comma 7 2 3 2 7" xfId="2982"/>
    <cellStyle name="Comma 7 2 3 2 7 2" xfId="10939"/>
    <cellStyle name="Comma 7 2 3 2 7 2 2" xfId="17478"/>
    <cellStyle name="Comma 7 2 3 2 7 3" xfId="14626"/>
    <cellStyle name="Comma 7 2 3 2 8" xfId="2413"/>
    <cellStyle name="Comma 7 2 3 2 8 2" xfId="14061"/>
    <cellStyle name="Comma 7 2 3 2 9" xfId="10374"/>
    <cellStyle name="Comma 7 2 3 2 9 2" xfId="16913"/>
    <cellStyle name="Comma 7 2 3 3" xfId="1068"/>
    <cellStyle name="Comma 7 2 3 3 2" xfId="2203"/>
    <cellStyle name="Comma 7 2 3 3 2 2" xfId="5623"/>
    <cellStyle name="Comma 7 2 3 3 2 2 2" xfId="11966"/>
    <cellStyle name="Comma 7 2 3 3 2 2 2 2" xfId="18505"/>
    <cellStyle name="Comma 7 2 3 3 2 2 3" xfId="15653"/>
    <cellStyle name="Comma 7 2 3 3 2 3" xfId="7895"/>
    <cellStyle name="Comma 7 2 3 3 2 3 2" xfId="12537"/>
    <cellStyle name="Comma 7 2 3 3 2 3 2 2" xfId="19076"/>
    <cellStyle name="Comma 7 2 3 3 2 3 3" xfId="16224"/>
    <cellStyle name="Comma 7 2 3 3 2 4" xfId="10167"/>
    <cellStyle name="Comma 7 2 3 3 2 4 2" xfId="13108"/>
    <cellStyle name="Comma 7 2 3 3 2 4 2 2" xfId="19647"/>
    <cellStyle name="Comma 7 2 3 3 2 4 3" xfId="16795"/>
    <cellStyle name="Comma 7 2 3 3 2 5" xfId="3438"/>
    <cellStyle name="Comma 7 2 3 3 2 5 2" xfId="11395"/>
    <cellStyle name="Comma 7 2 3 3 2 5 2 2" xfId="17934"/>
    <cellStyle name="Comma 7 2 3 3 2 5 3" xfId="15082"/>
    <cellStyle name="Comma 7 2 3 3 2 6" xfId="2861"/>
    <cellStyle name="Comma 7 2 3 3 2 6 2" xfId="14509"/>
    <cellStyle name="Comma 7 2 3 3 2 7" xfId="10822"/>
    <cellStyle name="Comma 7 2 3 3 2 7 2" xfId="17361"/>
    <cellStyle name="Comma 7 2 3 3 2 8" xfId="13942"/>
    <cellStyle name="Comma 7 2 3 3 3" xfId="4488"/>
    <cellStyle name="Comma 7 2 3 3 3 2" xfId="11681"/>
    <cellStyle name="Comma 7 2 3 3 3 2 2" xfId="18220"/>
    <cellStyle name="Comma 7 2 3 3 3 3" xfId="15368"/>
    <cellStyle name="Comma 7 2 3 3 4" xfId="6760"/>
    <cellStyle name="Comma 7 2 3 3 4 2" xfId="12252"/>
    <cellStyle name="Comma 7 2 3 3 4 2 2" xfId="18791"/>
    <cellStyle name="Comma 7 2 3 3 4 3" xfId="15939"/>
    <cellStyle name="Comma 7 2 3 3 5" xfId="9032"/>
    <cellStyle name="Comma 7 2 3 3 5 2" xfId="12823"/>
    <cellStyle name="Comma 7 2 3 3 5 2 2" xfId="19362"/>
    <cellStyle name="Comma 7 2 3 3 5 3" xfId="16510"/>
    <cellStyle name="Comma 7 2 3 3 6" xfId="3153"/>
    <cellStyle name="Comma 7 2 3 3 6 2" xfId="11110"/>
    <cellStyle name="Comma 7 2 3 3 6 2 2" xfId="17649"/>
    <cellStyle name="Comma 7 2 3 3 6 3" xfId="14797"/>
    <cellStyle name="Comma 7 2 3 3 7" xfId="2581"/>
    <cellStyle name="Comma 7 2 3 3 7 2" xfId="14229"/>
    <cellStyle name="Comma 7 2 3 3 8" xfId="10542"/>
    <cellStyle name="Comma 7 2 3 3 8 2" xfId="17081"/>
    <cellStyle name="Comma 7 2 3 3 9" xfId="13657"/>
    <cellStyle name="Comma 7 2 3 4" xfId="614"/>
    <cellStyle name="Comma 7 2 3 4 2" xfId="1749"/>
    <cellStyle name="Comma 7 2 3 4 2 2" xfId="5169"/>
    <cellStyle name="Comma 7 2 3 4 2 2 2" xfId="11852"/>
    <cellStyle name="Comma 7 2 3 4 2 2 2 2" xfId="18391"/>
    <cellStyle name="Comma 7 2 3 4 2 2 3" xfId="15539"/>
    <cellStyle name="Comma 7 2 3 4 2 3" xfId="7441"/>
    <cellStyle name="Comma 7 2 3 4 2 3 2" xfId="12423"/>
    <cellStyle name="Comma 7 2 3 4 2 3 2 2" xfId="18962"/>
    <cellStyle name="Comma 7 2 3 4 2 3 3" xfId="16110"/>
    <cellStyle name="Comma 7 2 3 4 2 4" xfId="9713"/>
    <cellStyle name="Comma 7 2 3 4 2 4 2" xfId="12994"/>
    <cellStyle name="Comma 7 2 3 4 2 4 2 2" xfId="19533"/>
    <cellStyle name="Comma 7 2 3 4 2 4 3" xfId="16681"/>
    <cellStyle name="Comma 7 2 3 4 2 5" xfId="3324"/>
    <cellStyle name="Comma 7 2 3 4 2 5 2" xfId="11281"/>
    <cellStyle name="Comma 7 2 3 4 2 5 2 2" xfId="17820"/>
    <cellStyle name="Comma 7 2 3 4 2 5 3" xfId="14968"/>
    <cellStyle name="Comma 7 2 3 4 2 6" xfId="2749"/>
    <cellStyle name="Comma 7 2 3 4 2 6 2" xfId="14397"/>
    <cellStyle name="Comma 7 2 3 4 2 7" xfId="10710"/>
    <cellStyle name="Comma 7 2 3 4 2 7 2" xfId="17249"/>
    <cellStyle name="Comma 7 2 3 4 2 8" xfId="13828"/>
    <cellStyle name="Comma 7 2 3 4 3" xfId="4034"/>
    <cellStyle name="Comma 7 2 3 4 3 2" xfId="11567"/>
    <cellStyle name="Comma 7 2 3 4 3 2 2" xfId="18106"/>
    <cellStyle name="Comma 7 2 3 4 3 3" xfId="15254"/>
    <cellStyle name="Comma 7 2 3 4 4" xfId="6306"/>
    <cellStyle name="Comma 7 2 3 4 4 2" xfId="12138"/>
    <cellStyle name="Comma 7 2 3 4 4 2 2" xfId="18677"/>
    <cellStyle name="Comma 7 2 3 4 4 3" xfId="15825"/>
    <cellStyle name="Comma 7 2 3 4 5" xfId="8578"/>
    <cellStyle name="Comma 7 2 3 4 5 2" xfId="12709"/>
    <cellStyle name="Comma 7 2 3 4 5 2 2" xfId="19248"/>
    <cellStyle name="Comma 7 2 3 4 5 3" xfId="16396"/>
    <cellStyle name="Comma 7 2 3 4 6" xfId="3039"/>
    <cellStyle name="Comma 7 2 3 4 6 2" xfId="10996"/>
    <cellStyle name="Comma 7 2 3 4 6 2 2" xfId="17535"/>
    <cellStyle name="Comma 7 2 3 4 6 3" xfId="14683"/>
    <cellStyle name="Comma 7 2 3 4 7" xfId="2469"/>
    <cellStyle name="Comma 7 2 3 4 7 2" xfId="14117"/>
    <cellStyle name="Comma 7 2 3 4 8" xfId="10430"/>
    <cellStyle name="Comma 7 2 3 4 8 2" xfId="16969"/>
    <cellStyle name="Comma 7 2 3 4 9" xfId="13543"/>
    <cellStyle name="Comma 7 2 3 5" xfId="1295"/>
    <cellStyle name="Comma 7 2 3 5 2" xfId="4715"/>
    <cellStyle name="Comma 7 2 3 5 2 2" xfId="11738"/>
    <cellStyle name="Comma 7 2 3 5 2 2 2" xfId="18277"/>
    <cellStyle name="Comma 7 2 3 5 2 3" xfId="15425"/>
    <cellStyle name="Comma 7 2 3 5 3" xfId="6987"/>
    <cellStyle name="Comma 7 2 3 5 3 2" xfId="12309"/>
    <cellStyle name="Comma 7 2 3 5 3 2 2" xfId="18848"/>
    <cellStyle name="Comma 7 2 3 5 3 3" xfId="15996"/>
    <cellStyle name="Comma 7 2 3 5 4" xfId="9259"/>
    <cellStyle name="Comma 7 2 3 5 4 2" xfId="12880"/>
    <cellStyle name="Comma 7 2 3 5 4 2 2" xfId="19419"/>
    <cellStyle name="Comma 7 2 3 5 4 3" xfId="16567"/>
    <cellStyle name="Comma 7 2 3 5 5" xfId="3210"/>
    <cellStyle name="Comma 7 2 3 5 5 2" xfId="11167"/>
    <cellStyle name="Comma 7 2 3 5 5 2 2" xfId="17706"/>
    <cellStyle name="Comma 7 2 3 5 5 3" xfId="14854"/>
    <cellStyle name="Comma 7 2 3 5 6" xfId="2637"/>
    <cellStyle name="Comma 7 2 3 5 6 2" xfId="14285"/>
    <cellStyle name="Comma 7 2 3 5 7" xfId="10598"/>
    <cellStyle name="Comma 7 2 3 5 7 2" xfId="17137"/>
    <cellStyle name="Comma 7 2 3 5 8" xfId="13714"/>
    <cellStyle name="Comma 7 2 3 6" xfId="3580"/>
    <cellStyle name="Comma 7 2 3 6 2" xfId="11453"/>
    <cellStyle name="Comma 7 2 3 6 2 2" xfId="17992"/>
    <cellStyle name="Comma 7 2 3 6 3" xfId="15140"/>
    <cellStyle name="Comma 7 2 3 7" xfId="5852"/>
    <cellStyle name="Comma 7 2 3 7 2" xfId="12024"/>
    <cellStyle name="Comma 7 2 3 7 2 2" xfId="18563"/>
    <cellStyle name="Comma 7 2 3 7 3" xfId="15711"/>
    <cellStyle name="Comma 7 2 3 8" xfId="8124"/>
    <cellStyle name="Comma 7 2 3 8 2" xfId="12595"/>
    <cellStyle name="Comma 7 2 3 8 2 2" xfId="19134"/>
    <cellStyle name="Comma 7 2 3 8 3" xfId="16282"/>
    <cellStyle name="Comma 7 2 3 9" xfId="2922"/>
    <cellStyle name="Comma 7 2 3 9 2" xfId="10881"/>
    <cellStyle name="Comma 7 2 3 9 2 2" xfId="17420"/>
    <cellStyle name="Comma 7 2 3 9 3" xfId="14568"/>
    <cellStyle name="Comma 7 2 4" xfId="275"/>
    <cellStyle name="Comma 7 2 4 10" xfId="2385"/>
    <cellStyle name="Comma 7 2 4 10 2" xfId="14033"/>
    <cellStyle name="Comma 7 2 4 11" xfId="10346"/>
    <cellStyle name="Comma 7 2 4 11 2" xfId="16885"/>
    <cellStyle name="Comma 7 2 4 12" xfId="13458"/>
    <cellStyle name="Comma 7 2 4 2" xfId="502"/>
    <cellStyle name="Comma 7 2 4 2 10" xfId="13515"/>
    <cellStyle name="Comma 7 2 4 2 2" xfId="956"/>
    <cellStyle name="Comma 7 2 4 2 2 2" xfId="2091"/>
    <cellStyle name="Comma 7 2 4 2 2 2 2" xfId="5511"/>
    <cellStyle name="Comma 7 2 4 2 2 2 2 2" xfId="11938"/>
    <cellStyle name="Comma 7 2 4 2 2 2 2 2 2" xfId="18477"/>
    <cellStyle name="Comma 7 2 4 2 2 2 2 3" xfId="15625"/>
    <cellStyle name="Comma 7 2 4 2 2 2 3" xfId="7783"/>
    <cellStyle name="Comma 7 2 4 2 2 2 3 2" xfId="12509"/>
    <cellStyle name="Comma 7 2 4 2 2 2 3 2 2" xfId="19048"/>
    <cellStyle name="Comma 7 2 4 2 2 2 3 3" xfId="16196"/>
    <cellStyle name="Comma 7 2 4 2 2 2 4" xfId="10055"/>
    <cellStyle name="Comma 7 2 4 2 2 2 4 2" xfId="13080"/>
    <cellStyle name="Comma 7 2 4 2 2 2 4 2 2" xfId="19619"/>
    <cellStyle name="Comma 7 2 4 2 2 2 4 3" xfId="16767"/>
    <cellStyle name="Comma 7 2 4 2 2 2 5" xfId="3410"/>
    <cellStyle name="Comma 7 2 4 2 2 2 5 2" xfId="11367"/>
    <cellStyle name="Comma 7 2 4 2 2 2 5 2 2" xfId="17906"/>
    <cellStyle name="Comma 7 2 4 2 2 2 5 3" xfId="15054"/>
    <cellStyle name="Comma 7 2 4 2 2 2 6" xfId="2833"/>
    <cellStyle name="Comma 7 2 4 2 2 2 6 2" xfId="14481"/>
    <cellStyle name="Comma 7 2 4 2 2 2 7" xfId="10794"/>
    <cellStyle name="Comma 7 2 4 2 2 2 7 2" xfId="17333"/>
    <cellStyle name="Comma 7 2 4 2 2 2 8" xfId="13914"/>
    <cellStyle name="Comma 7 2 4 2 2 3" xfId="4376"/>
    <cellStyle name="Comma 7 2 4 2 2 3 2" xfId="11653"/>
    <cellStyle name="Comma 7 2 4 2 2 3 2 2" xfId="18192"/>
    <cellStyle name="Comma 7 2 4 2 2 3 3" xfId="15340"/>
    <cellStyle name="Comma 7 2 4 2 2 4" xfId="6648"/>
    <cellStyle name="Comma 7 2 4 2 2 4 2" xfId="12224"/>
    <cellStyle name="Comma 7 2 4 2 2 4 2 2" xfId="18763"/>
    <cellStyle name="Comma 7 2 4 2 2 4 3" xfId="15911"/>
    <cellStyle name="Comma 7 2 4 2 2 5" xfId="8920"/>
    <cellStyle name="Comma 7 2 4 2 2 5 2" xfId="12795"/>
    <cellStyle name="Comma 7 2 4 2 2 5 2 2" xfId="19334"/>
    <cellStyle name="Comma 7 2 4 2 2 5 3" xfId="16482"/>
    <cellStyle name="Comma 7 2 4 2 2 6" xfId="3125"/>
    <cellStyle name="Comma 7 2 4 2 2 6 2" xfId="11082"/>
    <cellStyle name="Comma 7 2 4 2 2 6 2 2" xfId="17621"/>
    <cellStyle name="Comma 7 2 4 2 2 6 3" xfId="14769"/>
    <cellStyle name="Comma 7 2 4 2 2 7" xfId="2553"/>
    <cellStyle name="Comma 7 2 4 2 2 7 2" xfId="14201"/>
    <cellStyle name="Comma 7 2 4 2 2 8" xfId="10514"/>
    <cellStyle name="Comma 7 2 4 2 2 8 2" xfId="17053"/>
    <cellStyle name="Comma 7 2 4 2 2 9" xfId="13629"/>
    <cellStyle name="Comma 7 2 4 2 3" xfId="1637"/>
    <cellStyle name="Comma 7 2 4 2 3 2" xfId="5057"/>
    <cellStyle name="Comma 7 2 4 2 3 2 2" xfId="11824"/>
    <cellStyle name="Comma 7 2 4 2 3 2 2 2" xfId="18363"/>
    <cellStyle name="Comma 7 2 4 2 3 2 3" xfId="15511"/>
    <cellStyle name="Comma 7 2 4 2 3 3" xfId="7329"/>
    <cellStyle name="Comma 7 2 4 2 3 3 2" xfId="12395"/>
    <cellStyle name="Comma 7 2 4 2 3 3 2 2" xfId="18934"/>
    <cellStyle name="Comma 7 2 4 2 3 3 3" xfId="16082"/>
    <cellStyle name="Comma 7 2 4 2 3 4" xfId="9601"/>
    <cellStyle name="Comma 7 2 4 2 3 4 2" xfId="12966"/>
    <cellStyle name="Comma 7 2 4 2 3 4 2 2" xfId="19505"/>
    <cellStyle name="Comma 7 2 4 2 3 4 3" xfId="16653"/>
    <cellStyle name="Comma 7 2 4 2 3 5" xfId="3296"/>
    <cellStyle name="Comma 7 2 4 2 3 5 2" xfId="11253"/>
    <cellStyle name="Comma 7 2 4 2 3 5 2 2" xfId="17792"/>
    <cellStyle name="Comma 7 2 4 2 3 5 3" xfId="14940"/>
    <cellStyle name="Comma 7 2 4 2 3 6" xfId="2721"/>
    <cellStyle name="Comma 7 2 4 2 3 6 2" xfId="14369"/>
    <cellStyle name="Comma 7 2 4 2 3 7" xfId="10682"/>
    <cellStyle name="Comma 7 2 4 2 3 7 2" xfId="17221"/>
    <cellStyle name="Comma 7 2 4 2 3 8" xfId="13800"/>
    <cellStyle name="Comma 7 2 4 2 4" xfId="3922"/>
    <cellStyle name="Comma 7 2 4 2 4 2" xfId="11539"/>
    <cellStyle name="Comma 7 2 4 2 4 2 2" xfId="18078"/>
    <cellStyle name="Comma 7 2 4 2 4 3" xfId="15226"/>
    <cellStyle name="Comma 7 2 4 2 5" xfId="6194"/>
    <cellStyle name="Comma 7 2 4 2 5 2" xfId="12110"/>
    <cellStyle name="Comma 7 2 4 2 5 2 2" xfId="18649"/>
    <cellStyle name="Comma 7 2 4 2 5 3" xfId="15797"/>
    <cellStyle name="Comma 7 2 4 2 6" xfId="8466"/>
    <cellStyle name="Comma 7 2 4 2 6 2" xfId="12681"/>
    <cellStyle name="Comma 7 2 4 2 6 2 2" xfId="19220"/>
    <cellStyle name="Comma 7 2 4 2 6 3" xfId="16368"/>
    <cellStyle name="Comma 7 2 4 2 7" xfId="3011"/>
    <cellStyle name="Comma 7 2 4 2 7 2" xfId="10968"/>
    <cellStyle name="Comma 7 2 4 2 7 2 2" xfId="17507"/>
    <cellStyle name="Comma 7 2 4 2 7 3" xfId="14655"/>
    <cellStyle name="Comma 7 2 4 2 8" xfId="2441"/>
    <cellStyle name="Comma 7 2 4 2 8 2" xfId="14089"/>
    <cellStyle name="Comma 7 2 4 2 9" xfId="10402"/>
    <cellStyle name="Comma 7 2 4 2 9 2" xfId="16941"/>
    <cellStyle name="Comma 7 2 4 3" xfId="1183"/>
    <cellStyle name="Comma 7 2 4 3 2" xfId="2318"/>
    <cellStyle name="Comma 7 2 4 3 2 2" xfId="5738"/>
    <cellStyle name="Comma 7 2 4 3 2 2 2" xfId="11995"/>
    <cellStyle name="Comma 7 2 4 3 2 2 2 2" xfId="18534"/>
    <cellStyle name="Comma 7 2 4 3 2 2 3" xfId="15682"/>
    <cellStyle name="Comma 7 2 4 3 2 3" xfId="8010"/>
    <cellStyle name="Comma 7 2 4 3 2 3 2" xfId="12566"/>
    <cellStyle name="Comma 7 2 4 3 2 3 2 2" xfId="19105"/>
    <cellStyle name="Comma 7 2 4 3 2 3 3" xfId="16253"/>
    <cellStyle name="Comma 7 2 4 3 2 4" xfId="10282"/>
    <cellStyle name="Comma 7 2 4 3 2 4 2" xfId="13137"/>
    <cellStyle name="Comma 7 2 4 3 2 4 2 2" xfId="19676"/>
    <cellStyle name="Comma 7 2 4 3 2 4 3" xfId="16824"/>
    <cellStyle name="Comma 7 2 4 3 2 5" xfId="3467"/>
    <cellStyle name="Comma 7 2 4 3 2 5 2" xfId="11424"/>
    <cellStyle name="Comma 7 2 4 3 2 5 2 2" xfId="17963"/>
    <cellStyle name="Comma 7 2 4 3 2 5 3" xfId="15111"/>
    <cellStyle name="Comma 7 2 4 3 2 6" xfId="2889"/>
    <cellStyle name="Comma 7 2 4 3 2 6 2" xfId="14537"/>
    <cellStyle name="Comma 7 2 4 3 2 7" xfId="10850"/>
    <cellStyle name="Comma 7 2 4 3 2 7 2" xfId="17389"/>
    <cellStyle name="Comma 7 2 4 3 2 8" xfId="13971"/>
    <cellStyle name="Comma 7 2 4 3 3" xfId="4603"/>
    <cellStyle name="Comma 7 2 4 3 3 2" xfId="11710"/>
    <cellStyle name="Comma 7 2 4 3 3 2 2" xfId="18249"/>
    <cellStyle name="Comma 7 2 4 3 3 3" xfId="15397"/>
    <cellStyle name="Comma 7 2 4 3 4" xfId="6875"/>
    <cellStyle name="Comma 7 2 4 3 4 2" xfId="12281"/>
    <cellStyle name="Comma 7 2 4 3 4 2 2" xfId="18820"/>
    <cellStyle name="Comma 7 2 4 3 4 3" xfId="15968"/>
    <cellStyle name="Comma 7 2 4 3 5" xfId="9147"/>
    <cellStyle name="Comma 7 2 4 3 5 2" xfId="12852"/>
    <cellStyle name="Comma 7 2 4 3 5 2 2" xfId="19391"/>
    <cellStyle name="Comma 7 2 4 3 5 3" xfId="16539"/>
    <cellStyle name="Comma 7 2 4 3 6" xfId="3182"/>
    <cellStyle name="Comma 7 2 4 3 6 2" xfId="11139"/>
    <cellStyle name="Comma 7 2 4 3 6 2 2" xfId="17678"/>
    <cellStyle name="Comma 7 2 4 3 6 3" xfId="14826"/>
    <cellStyle name="Comma 7 2 4 3 7" xfId="2609"/>
    <cellStyle name="Comma 7 2 4 3 7 2" xfId="14257"/>
    <cellStyle name="Comma 7 2 4 3 8" xfId="10570"/>
    <cellStyle name="Comma 7 2 4 3 8 2" xfId="17109"/>
    <cellStyle name="Comma 7 2 4 3 9" xfId="13686"/>
    <cellStyle name="Comma 7 2 4 4" xfId="729"/>
    <cellStyle name="Comma 7 2 4 4 2" xfId="1864"/>
    <cellStyle name="Comma 7 2 4 4 2 2" xfId="5284"/>
    <cellStyle name="Comma 7 2 4 4 2 2 2" xfId="11881"/>
    <cellStyle name="Comma 7 2 4 4 2 2 2 2" xfId="18420"/>
    <cellStyle name="Comma 7 2 4 4 2 2 3" xfId="15568"/>
    <cellStyle name="Comma 7 2 4 4 2 3" xfId="7556"/>
    <cellStyle name="Comma 7 2 4 4 2 3 2" xfId="12452"/>
    <cellStyle name="Comma 7 2 4 4 2 3 2 2" xfId="18991"/>
    <cellStyle name="Comma 7 2 4 4 2 3 3" xfId="16139"/>
    <cellStyle name="Comma 7 2 4 4 2 4" xfId="9828"/>
    <cellStyle name="Comma 7 2 4 4 2 4 2" xfId="13023"/>
    <cellStyle name="Comma 7 2 4 4 2 4 2 2" xfId="19562"/>
    <cellStyle name="Comma 7 2 4 4 2 4 3" xfId="16710"/>
    <cellStyle name="Comma 7 2 4 4 2 5" xfId="3353"/>
    <cellStyle name="Comma 7 2 4 4 2 5 2" xfId="11310"/>
    <cellStyle name="Comma 7 2 4 4 2 5 2 2" xfId="17849"/>
    <cellStyle name="Comma 7 2 4 4 2 5 3" xfId="14997"/>
    <cellStyle name="Comma 7 2 4 4 2 6" xfId="2777"/>
    <cellStyle name="Comma 7 2 4 4 2 6 2" xfId="14425"/>
    <cellStyle name="Comma 7 2 4 4 2 7" xfId="10738"/>
    <cellStyle name="Comma 7 2 4 4 2 7 2" xfId="17277"/>
    <cellStyle name="Comma 7 2 4 4 2 8" xfId="13857"/>
    <cellStyle name="Comma 7 2 4 4 3" xfId="4149"/>
    <cellStyle name="Comma 7 2 4 4 3 2" xfId="11596"/>
    <cellStyle name="Comma 7 2 4 4 3 2 2" xfId="18135"/>
    <cellStyle name="Comma 7 2 4 4 3 3" xfId="15283"/>
    <cellStyle name="Comma 7 2 4 4 4" xfId="6421"/>
    <cellStyle name="Comma 7 2 4 4 4 2" xfId="12167"/>
    <cellStyle name="Comma 7 2 4 4 4 2 2" xfId="18706"/>
    <cellStyle name="Comma 7 2 4 4 4 3" xfId="15854"/>
    <cellStyle name="Comma 7 2 4 4 5" xfId="8693"/>
    <cellStyle name="Comma 7 2 4 4 5 2" xfId="12738"/>
    <cellStyle name="Comma 7 2 4 4 5 2 2" xfId="19277"/>
    <cellStyle name="Comma 7 2 4 4 5 3" xfId="16425"/>
    <cellStyle name="Comma 7 2 4 4 6" xfId="3068"/>
    <cellStyle name="Comma 7 2 4 4 6 2" xfId="11025"/>
    <cellStyle name="Comma 7 2 4 4 6 2 2" xfId="17564"/>
    <cellStyle name="Comma 7 2 4 4 6 3" xfId="14712"/>
    <cellStyle name="Comma 7 2 4 4 7" xfId="2497"/>
    <cellStyle name="Comma 7 2 4 4 7 2" xfId="14145"/>
    <cellStyle name="Comma 7 2 4 4 8" xfId="10458"/>
    <cellStyle name="Comma 7 2 4 4 8 2" xfId="16997"/>
    <cellStyle name="Comma 7 2 4 4 9" xfId="13572"/>
    <cellStyle name="Comma 7 2 4 5" xfId="1410"/>
    <cellStyle name="Comma 7 2 4 5 2" xfId="4830"/>
    <cellStyle name="Comma 7 2 4 5 2 2" xfId="11767"/>
    <cellStyle name="Comma 7 2 4 5 2 2 2" xfId="18306"/>
    <cellStyle name="Comma 7 2 4 5 2 3" xfId="15454"/>
    <cellStyle name="Comma 7 2 4 5 3" xfId="7102"/>
    <cellStyle name="Comma 7 2 4 5 3 2" xfId="12338"/>
    <cellStyle name="Comma 7 2 4 5 3 2 2" xfId="18877"/>
    <cellStyle name="Comma 7 2 4 5 3 3" xfId="16025"/>
    <cellStyle name="Comma 7 2 4 5 4" xfId="9374"/>
    <cellStyle name="Comma 7 2 4 5 4 2" xfId="12909"/>
    <cellStyle name="Comma 7 2 4 5 4 2 2" xfId="19448"/>
    <cellStyle name="Comma 7 2 4 5 4 3" xfId="16596"/>
    <cellStyle name="Comma 7 2 4 5 5" xfId="3239"/>
    <cellStyle name="Comma 7 2 4 5 5 2" xfId="11196"/>
    <cellStyle name="Comma 7 2 4 5 5 2 2" xfId="17735"/>
    <cellStyle name="Comma 7 2 4 5 5 3" xfId="14883"/>
    <cellStyle name="Comma 7 2 4 5 6" xfId="2665"/>
    <cellStyle name="Comma 7 2 4 5 6 2" xfId="14313"/>
    <cellStyle name="Comma 7 2 4 5 7" xfId="10626"/>
    <cellStyle name="Comma 7 2 4 5 7 2" xfId="17165"/>
    <cellStyle name="Comma 7 2 4 5 8" xfId="13743"/>
    <cellStyle name="Comma 7 2 4 6" xfId="3695"/>
    <cellStyle name="Comma 7 2 4 6 2" xfId="11482"/>
    <cellStyle name="Comma 7 2 4 6 2 2" xfId="18021"/>
    <cellStyle name="Comma 7 2 4 6 3" xfId="15169"/>
    <cellStyle name="Comma 7 2 4 7" xfId="5967"/>
    <cellStyle name="Comma 7 2 4 7 2" xfId="12053"/>
    <cellStyle name="Comma 7 2 4 7 2 2" xfId="18592"/>
    <cellStyle name="Comma 7 2 4 7 3" xfId="15740"/>
    <cellStyle name="Comma 7 2 4 8" xfId="8239"/>
    <cellStyle name="Comma 7 2 4 8 2" xfId="12624"/>
    <cellStyle name="Comma 7 2 4 8 2 2" xfId="19163"/>
    <cellStyle name="Comma 7 2 4 8 3" xfId="16311"/>
    <cellStyle name="Comma 7 2 4 9" xfId="2954"/>
    <cellStyle name="Comma 7 2 4 9 2" xfId="10911"/>
    <cellStyle name="Comma 7 2 4 9 2 2" xfId="17450"/>
    <cellStyle name="Comma 7 2 4 9 3" xfId="14598"/>
    <cellStyle name="Comma 7 2 5" xfId="331"/>
    <cellStyle name="Comma 7 2 5 10" xfId="13472"/>
    <cellStyle name="Comma 7 2 5 2" xfId="785"/>
    <cellStyle name="Comma 7 2 5 2 2" xfId="1920"/>
    <cellStyle name="Comma 7 2 5 2 2 2" xfId="5340"/>
    <cellStyle name="Comma 7 2 5 2 2 2 2" xfId="11895"/>
    <cellStyle name="Comma 7 2 5 2 2 2 2 2" xfId="18434"/>
    <cellStyle name="Comma 7 2 5 2 2 2 3" xfId="15582"/>
    <cellStyle name="Comma 7 2 5 2 2 3" xfId="7612"/>
    <cellStyle name="Comma 7 2 5 2 2 3 2" xfId="12466"/>
    <cellStyle name="Comma 7 2 5 2 2 3 2 2" xfId="19005"/>
    <cellStyle name="Comma 7 2 5 2 2 3 3" xfId="16153"/>
    <cellStyle name="Comma 7 2 5 2 2 4" xfId="9884"/>
    <cellStyle name="Comma 7 2 5 2 2 4 2" xfId="13037"/>
    <cellStyle name="Comma 7 2 5 2 2 4 2 2" xfId="19576"/>
    <cellStyle name="Comma 7 2 5 2 2 4 3" xfId="16724"/>
    <cellStyle name="Comma 7 2 5 2 2 5" xfId="3367"/>
    <cellStyle name="Comma 7 2 5 2 2 5 2" xfId="11324"/>
    <cellStyle name="Comma 7 2 5 2 2 5 2 2" xfId="17863"/>
    <cellStyle name="Comma 7 2 5 2 2 5 3" xfId="15011"/>
    <cellStyle name="Comma 7 2 5 2 2 6" xfId="2791"/>
    <cellStyle name="Comma 7 2 5 2 2 6 2" xfId="14439"/>
    <cellStyle name="Comma 7 2 5 2 2 7" xfId="10752"/>
    <cellStyle name="Comma 7 2 5 2 2 7 2" xfId="17291"/>
    <cellStyle name="Comma 7 2 5 2 2 8" xfId="13871"/>
    <cellStyle name="Comma 7 2 5 2 3" xfId="4205"/>
    <cellStyle name="Comma 7 2 5 2 3 2" xfId="11610"/>
    <cellStyle name="Comma 7 2 5 2 3 2 2" xfId="18149"/>
    <cellStyle name="Comma 7 2 5 2 3 3" xfId="15297"/>
    <cellStyle name="Comma 7 2 5 2 4" xfId="6477"/>
    <cellStyle name="Comma 7 2 5 2 4 2" xfId="12181"/>
    <cellStyle name="Comma 7 2 5 2 4 2 2" xfId="18720"/>
    <cellStyle name="Comma 7 2 5 2 4 3" xfId="15868"/>
    <cellStyle name="Comma 7 2 5 2 5" xfId="8749"/>
    <cellStyle name="Comma 7 2 5 2 5 2" xfId="12752"/>
    <cellStyle name="Comma 7 2 5 2 5 2 2" xfId="19291"/>
    <cellStyle name="Comma 7 2 5 2 5 3" xfId="16439"/>
    <cellStyle name="Comma 7 2 5 2 6" xfId="3082"/>
    <cellStyle name="Comma 7 2 5 2 6 2" xfId="11039"/>
    <cellStyle name="Comma 7 2 5 2 6 2 2" xfId="17578"/>
    <cellStyle name="Comma 7 2 5 2 6 3" xfId="14726"/>
    <cellStyle name="Comma 7 2 5 2 7" xfId="2511"/>
    <cellStyle name="Comma 7 2 5 2 7 2" xfId="14159"/>
    <cellStyle name="Comma 7 2 5 2 8" xfId="10472"/>
    <cellStyle name="Comma 7 2 5 2 8 2" xfId="17011"/>
    <cellStyle name="Comma 7 2 5 2 9" xfId="13586"/>
    <cellStyle name="Comma 7 2 5 3" xfId="1466"/>
    <cellStyle name="Comma 7 2 5 3 2" xfId="4886"/>
    <cellStyle name="Comma 7 2 5 3 2 2" xfId="11781"/>
    <cellStyle name="Comma 7 2 5 3 2 2 2" xfId="18320"/>
    <cellStyle name="Comma 7 2 5 3 2 3" xfId="15468"/>
    <cellStyle name="Comma 7 2 5 3 3" xfId="7158"/>
    <cellStyle name="Comma 7 2 5 3 3 2" xfId="12352"/>
    <cellStyle name="Comma 7 2 5 3 3 2 2" xfId="18891"/>
    <cellStyle name="Comma 7 2 5 3 3 3" xfId="16039"/>
    <cellStyle name="Comma 7 2 5 3 4" xfId="9430"/>
    <cellStyle name="Comma 7 2 5 3 4 2" xfId="12923"/>
    <cellStyle name="Comma 7 2 5 3 4 2 2" xfId="19462"/>
    <cellStyle name="Comma 7 2 5 3 4 3" xfId="16610"/>
    <cellStyle name="Comma 7 2 5 3 5" xfId="3253"/>
    <cellStyle name="Comma 7 2 5 3 5 2" xfId="11210"/>
    <cellStyle name="Comma 7 2 5 3 5 2 2" xfId="17749"/>
    <cellStyle name="Comma 7 2 5 3 5 3" xfId="14897"/>
    <cellStyle name="Comma 7 2 5 3 6" xfId="2679"/>
    <cellStyle name="Comma 7 2 5 3 6 2" xfId="14327"/>
    <cellStyle name="Comma 7 2 5 3 7" xfId="10640"/>
    <cellStyle name="Comma 7 2 5 3 7 2" xfId="17179"/>
    <cellStyle name="Comma 7 2 5 3 8" xfId="13757"/>
    <cellStyle name="Comma 7 2 5 4" xfId="3751"/>
    <cellStyle name="Comma 7 2 5 4 2" xfId="11496"/>
    <cellStyle name="Comma 7 2 5 4 2 2" xfId="18035"/>
    <cellStyle name="Comma 7 2 5 4 3" xfId="15183"/>
    <cellStyle name="Comma 7 2 5 5" xfId="6023"/>
    <cellStyle name="Comma 7 2 5 5 2" xfId="12067"/>
    <cellStyle name="Comma 7 2 5 5 2 2" xfId="18606"/>
    <cellStyle name="Comma 7 2 5 5 3" xfId="15754"/>
    <cellStyle name="Comma 7 2 5 6" xfId="8295"/>
    <cellStyle name="Comma 7 2 5 6 2" xfId="12638"/>
    <cellStyle name="Comma 7 2 5 6 2 2" xfId="19177"/>
    <cellStyle name="Comma 7 2 5 6 3" xfId="16325"/>
    <cellStyle name="Comma 7 2 5 7" xfId="2968"/>
    <cellStyle name="Comma 7 2 5 7 2" xfId="10925"/>
    <cellStyle name="Comma 7 2 5 7 2 2" xfId="17464"/>
    <cellStyle name="Comma 7 2 5 7 3" xfId="14612"/>
    <cellStyle name="Comma 7 2 5 8" xfId="2399"/>
    <cellStyle name="Comma 7 2 5 8 2" xfId="14047"/>
    <cellStyle name="Comma 7 2 5 9" xfId="10360"/>
    <cellStyle name="Comma 7 2 5 9 2" xfId="16899"/>
    <cellStyle name="Comma 7 2 6" xfId="1012"/>
    <cellStyle name="Comma 7 2 6 2" xfId="2147"/>
    <cellStyle name="Comma 7 2 6 2 2" xfId="5567"/>
    <cellStyle name="Comma 7 2 6 2 2 2" xfId="11952"/>
    <cellStyle name="Comma 7 2 6 2 2 2 2" xfId="18491"/>
    <cellStyle name="Comma 7 2 6 2 2 3" xfId="15639"/>
    <cellStyle name="Comma 7 2 6 2 3" xfId="7839"/>
    <cellStyle name="Comma 7 2 6 2 3 2" xfId="12523"/>
    <cellStyle name="Comma 7 2 6 2 3 2 2" xfId="19062"/>
    <cellStyle name="Comma 7 2 6 2 3 3" xfId="16210"/>
    <cellStyle name="Comma 7 2 6 2 4" xfId="10111"/>
    <cellStyle name="Comma 7 2 6 2 4 2" xfId="13094"/>
    <cellStyle name="Comma 7 2 6 2 4 2 2" xfId="19633"/>
    <cellStyle name="Comma 7 2 6 2 4 3" xfId="16781"/>
    <cellStyle name="Comma 7 2 6 2 5" xfId="3424"/>
    <cellStyle name="Comma 7 2 6 2 5 2" xfId="11381"/>
    <cellStyle name="Comma 7 2 6 2 5 2 2" xfId="17920"/>
    <cellStyle name="Comma 7 2 6 2 5 3" xfId="15068"/>
    <cellStyle name="Comma 7 2 6 2 6" xfId="2847"/>
    <cellStyle name="Comma 7 2 6 2 6 2" xfId="14495"/>
    <cellStyle name="Comma 7 2 6 2 7" xfId="10808"/>
    <cellStyle name="Comma 7 2 6 2 7 2" xfId="17347"/>
    <cellStyle name="Comma 7 2 6 2 8" xfId="13928"/>
    <cellStyle name="Comma 7 2 6 3" xfId="4432"/>
    <cellStyle name="Comma 7 2 6 3 2" xfId="11667"/>
    <cellStyle name="Comma 7 2 6 3 2 2" xfId="18206"/>
    <cellStyle name="Comma 7 2 6 3 3" xfId="15354"/>
    <cellStyle name="Comma 7 2 6 4" xfId="6704"/>
    <cellStyle name="Comma 7 2 6 4 2" xfId="12238"/>
    <cellStyle name="Comma 7 2 6 4 2 2" xfId="18777"/>
    <cellStyle name="Comma 7 2 6 4 3" xfId="15925"/>
    <cellStyle name="Comma 7 2 6 5" xfId="8976"/>
    <cellStyle name="Comma 7 2 6 5 2" xfId="12809"/>
    <cellStyle name="Comma 7 2 6 5 2 2" xfId="19348"/>
    <cellStyle name="Comma 7 2 6 5 3" xfId="16496"/>
    <cellStyle name="Comma 7 2 6 6" xfId="3139"/>
    <cellStyle name="Comma 7 2 6 6 2" xfId="11096"/>
    <cellStyle name="Comma 7 2 6 6 2 2" xfId="17635"/>
    <cellStyle name="Comma 7 2 6 6 3" xfId="14783"/>
    <cellStyle name="Comma 7 2 6 7" xfId="2567"/>
    <cellStyle name="Comma 7 2 6 7 2" xfId="14215"/>
    <cellStyle name="Comma 7 2 6 8" xfId="10528"/>
    <cellStyle name="Comma 7 2 6 8 2" xfId="17067"/>
    <cellStyle name="Comma 7 2 6 9" xfId="13643"/>
    <cellStyle name="Comma 7 2 7" xfId="558"/>
    <cellStyle name="Comma 7 2 7 2" xfId="1693"/>
    <cellStyle name="Comma 7 2 7 2 2" xfId="5113"/>
    <cellStyle name="Comma 7 2 7 2 2 2" xfId="11838"/>
    <cellStyle name="Comma 7 2 7 2 2 2 2" xfId="18377"/>
    <cellStyle name="Comma 7 2 7 2 2 3" xfId="15525"/>
    <cellStyle name="Comma 7 2 7 2 3" xfId="7385"/>
    <cellStyle name="Comma 7 2 7 2 3 2" xfId="12409"/>
    <cellStyle name="Comma 7 2 7 2 3 2 2" xfId="18948"/>
    <cellStyle name="Comma 7 2 7 2 3 3" xfId="16096"/>
    <cellStyle name="Comma 7 2 7 2 4" xfId="9657"/>
    <cellStyle name="Comma 7 2 7 2 4 2" xfId="12980"/>
    <cellStyle name="Comma 7 2 7 2 4 2 2" xfId="19519"/>
    <cellStyle name="Comma 7 2 7 2 4 3" xfId="16667"/>
    <cellStyle name="Comma 7 2 7 2 5" xfId="3310"/>
    <cellStyle name="Comma 7 2 7 2 5 2" xfId="11267"/>
    <cellStyle name="Comma 7 2 7 2 5 2 2" xfId="17806"/>
    <cellStyle name="Comma 7 2 7 2 5 3" xfId="14954"/>
    <cellStyle name="Comma 7 2 7 2 6" xfId="2735"/>
    <cellStyle name="Comma 7 2 7 2 6 2" xfId="14383"/>
    <cellStyle name="Comma 7 2 7 2 7" xfId="10696"/>
    <cellStyle name="Comma 7 2 7 2 7 2" xfId="17235"/>
    <cellStyle name="Comma 7 2 7 2 8" xfId="13814"/>
    <cellStyle name="Comma 7 2 7 3" xfId="3978"/>
    <cellStyle name="Comma 7 2 7 3 2" xfId="11553"/>
    <cellStyle name="Comma 7 2 7 3 2 2" xfId="18092"/>
    <cellStyle name="Comma 7 2 7 3 3" xfId="15240"/>
    <cellStyle name="Comma 7 2 7 4" xfId="6250"/>
    <cellStyle name="Comma 7 2 7 4 2" xfId="12124"/>
    <cellStyle name="Comma 7 2 7 4 2 2" xfId="18663"/>
    <cellStyle name="Comma 7 2 7 4 3" xfId="15811"/>
    <cellStyle name="Comma 7 2 7 5" xfId="8522"/>
    <cellStyle name="Comma 7 2 7 5 2" xfId="12695"/>
    <cellStyle name="Comma 7 2 7 5 2 2" xfId="19234"/>
    <cellStyle name="Comma 7 2 7 5 3" xfId="16382"/>
    <cellStyle name="Comma 7 2 7 6" xfId="3025"/>
    <cellStyle name="Comma 7 2 7 6 2" xfId="10982"/>
    <cellStyle name="Comma 7 2 7 6 2 2" xfId="17521"/>
    <cellStyle name="Comma 7 2 7 6 3" xfId="14669"/>
    <cellStyle name="Comma 7 2 7 7" xfId="2455"/>
    <cellStyle name="Comma 7 2 7 7 2" xfId="14103"/>
    <cellStyle name="Comma 7 2 7 8" xfId="10416"/>
    <cellStyle name="Comma 7 2 7 8 2" xfId="16955"/>
    <cellStyle name="Comma 7 2 7 9" xfId="13529"/>
    <cellStyle name="Comma 7 2 8" xfId="1239"/>
    <cellStyle name="Comma 7 2 8 2" xfId="4659"/>
    <cellStyle name="Comma 7 2 8 2 2" xfId="11724"/>
    <cellStyle name="Comma 7 2 8 2 2 2" xfId="18263"/>
    <cellStyle name="Comma 7 2 8 2 3" xfId="15411"/>
    <cellStyle name="Comma 7 2 8 3" xfId="6931"/>
    <cellStyle name="Comma 7 2 8 3 2" xfId="12295"/>
    <cellStyle name="Comma 7 2 8 3 2 2" xfId="18834"/>
    <cellStyle name="Comma 7 2 8 3 3" xfId="15982"/>
    <cellStyle name="Comma 7 2 8 4" xfId="9203"/>
    <cellStyle name="Comma 7 2 8 4 2" xfId="12866"/>
    <cellStyle name="Comma 7 2 8 4 2 2" xfId="19405"/>
    <cellStyle name="Comma 7 2 8 4 3" xfId="16553"/>
    <cellStyle name="Comma 7 2 8 5" xfId="3196"/>
    <cellStyle name="Comma 7 2 8 5 2" xfId="11153"/>
    <cellStyle name="Comma 7 2 8 5 2 2" xfId="17692"/>
    <cellStyle name="Comma 7 2 8 5 3" xfId="14840"/>
    <cellStyle name="Comma 7 2 8 6" xfId="2623"/>
    <cellStyle name="Comma 7 2 8 6 2" xfId="14271"/>
    <cellStyle name="Comma 7 2 8 7" xfId="10584"/>
    <cellStyle name="Comma 7 2 8 7 2" xfId="17123"/>
    <cellStyle name="Comma 7 2 8 8" xfId="13700"/>
    <cellStyle name="Comma 7 2 9" xfId="3524"/>
    <cellStyle name="Comma 7 2 9 2" xfId="11439"/>
    <cellStyle name="Comma 7 2 9 2 2" xfId="17978"/>
    <cellStyle name="Comma 7 2 9 3" xfId="15126"/>
    <cellStyle name="Comma 7 3" xfId="177"/>
    <cellStyle name="Comma 7 3 10" xfId="2363"/>
    <cellStyle name="Comma 7 3 10 2" xfId="14011"/>
    <cellStyle name="Comma 7 3 11" xfId="10324"/>
    <cellStyle name="Comma 7 3 11 2" xfId="16863"/>
    <cellStyle name="Comma 7 3 12" xfId="13435"/>
    <cellStyle name="Comma 7 3 13" xfId="20099"/>
    <cellStyle name="Comma 7 3 2" xfId="415"/>
    <cellStyle name="Comma 7 3 2 10" xfId="13493"/>
    <cellStyle name="Comma 7 3 2 11" xfId="20100"/>
    <cellStyle name="Comma 7 3 2 2" xfId="869"/>
    <cellStyle name="Comma 7 3 2 2 10" xfId="20262"/>
    <cellStyle name="Comma 7 3 2 2 2" xfId="2004"/>
    <cellStyle name="Comma 7 3 2 2 2 2" xfId="5424"/>
    <cellStyle name="Comma 7 3 2 2 2 2 2" xfId="11916"/>
    <cellStyle name="Comma 7 3 2 2 2 2 2 2" xfId="18455"/>
    <cellStyle name="Comma 7 3 2 2 2 2 3" xfId="15603"/>
    <cellStyle name="Comma 7 3 2 2 2 3" xfId="7696"/>
    <cellStyle name="Comma 7 3 2 2 2 3 2" xfId="12487"/>
    <cellStyle name="Comma 7 3 2 2 2 3 2 2" xfId="19026"/>
    <cellStyle name="Comma 7 3 2 2 2 3 3" xfId="16174"/>
    <cellStyle name="Comma 7 3 2 2 2 4" xfId="9968"/>
    <cellStyle name="Comma 7 3 2 2 2 4 2" xfId="13058"/>
    <cellStyle name="Comma 7 3 2 2 2 4 2 2" xfId="19597"/>
    <cellStyle name="Comma 7 3 2 2 2 4 3" xfId="16745"/>
    <cellStyle name="Comma 7 3 2 2 2 5" xfId="3388"/>
    <cellStyle name="Comma 7 3 2 2 2 5 2" xfId="11345"/>
    <cellStyle name="Comma 7 3 2 2 2 5 2 2" xfId="17884"/>
    <cellStyle name="Comma 7 3 2 2 2 5 3" xfId="15032"/>
    <cellStyle name="Comma 7 3 2 2 2 6" xfId="2812"/>
    <cellStyle name="Comma 7 3 2 2 2 6 2" xfId="14460"/>
    <cellStyle name="Comma 7 3 2 2 2 7" xfId="10773"/>
    <cellStyle name="Comma 7 3 2 2 2 7 2" xfId="17312"/>
    <cellStyle name="Comma 7 3 2 2 2 8" xfId="13892"/>
    <cellStyle name="Comma 7 3 2 2 3" xfId="4289"/>
    <cellStyle name="Comma 7 3 2 2 3 2" xfId="11631"/>
    <cellStyle name="Comma 7 3 2 2 3 2 2" xfId="18170"/>
    <cellStyle name="Comma 7 3 2 2 3 3" xfId="15318"/>
    <cellStyle name="Comma 7 3 2 2 4" xfId="6561"/>
    <cellStyle name="Comma 7 3 2 2 4 2" xfId="12202"/>
    <cellStyle name="Comma 7 3 2 2 4 2 2" xfId="18741"/>
    <cellStyle name="Comma 7 3 2 2 4 3" xfId="15889"/>
    <cellStyle name="Comma 7 3 2 2 5" xfId="8833"/>
    <cellStyle name="Comma 7 3 2 2 5 2" xfId="12773"/>
    <cellStyle name="Comma 7 3 2 2 5 2 2" xfId="19312"/>
    <cellStyle name="Comma 7 3 2 2 5 3" xfId="16460"/>
    <cellStyle name="Comma 7 3 2 2 6" xfId="3103"/>
    <cellStyle name="Comma 7 3 2 2 6 2" xfId="11060"/>
    <cellStyle name="Comma 7 3 2 2 6 2 2" xfId="17599"/>
    <cellStyle name="Comma 7 3 2 2 6 3" xfId="14747"/>
    <cellStyle name="Comma 7 3 2 2 7" xfId="2532"/>
    <cellStyle name="Comma 7 3 2 2 7 2" xfId="14180"/>
    <cellStyle name="Comma 7 3 2 2 8" xfId="10493"/>
    <cellStyle name="Comma 7 3 2 2 8 2" xfId="17032"/>
    <cellStyle name="Comma 7 3 2 2 9" xfId="13607"/>
    <cellStyle name="Comma 7 3 2 3" xfId="1550"/>
    <cellStyle name="Comma 7 3 2 3 2" xfId="4970"/>
    <cellStyle name="Comma 7 3 2 3 2 2" xfId="11802"/>
    <cellStyle name="Comma 7 3 2 3 2 2 2" xfId="18341"/>
    <cellStyle name="Comma 7 3 2 3 2 3" xfId="15489"/>
    <cellStyle name="Comma 7 3 2 3 3" xfId="7242"/>
    <cellStyle name="Comma 7 3 2 3 3 2" xfId="12373"/>
    <cellStyle name="Comma 7 3 2 3 3 2 2" xfId="18912"/>
    <cellStyle name="Comma 7 3 2 3 3 3" xfId="16060"/>
    <cellStyle name="Comma 7 3 2 3 4" xfId="9514"/>
    <cellStyle name="Comma 7 3 2 3 4 2" xfId="12944"/>
    <cellStyle name="Comma 7 3 2 3 4 2 2" xfId="19483"/>
    <cellStyle name="Comma 7 3 2 3 4 3" xfId="16631"/>
    <cellStyle name="Comma 7 3 2 3 5" xfId="3274"/>
    <cellStyle name="Comma 7 3 2 3 5 2" xfId="11231"/>
    <cellStyle name="Comma 7 3 2 3 5 2 2" xfId="17770"/>
    <cellStyle name="Comma 7 3 2 3 5 3" xfId="14918"/>
    <cellStyle name="Comma 7 3 2 3 6" xfId="2700"/>
    <cellStyle name="Comma 7 3 2 3 6 2" xfId="14348"/>
    <cellStyle name="Comma 7 3 2 3 7" xfId="10661"/>
    <cellStyle name="Comma 7 3 2 3 7 2" xfId="17200"/>
    <cellStyle name="Comma 7 3 2 3 8" xfId="13778"/>
    <cellStyle name="Comma 7 3 2 3 9" xfId="20335"/>
    <cellStyle name="Comma 7 3 2 4" xfId="3835"/>
    <cellStyle name="Comma 7 3 2 4 2" xfId="11517"/>
    <cellStyle name="Comma 7 3 2 4 2 2" xfId="18056"/>
    <cellStyle name="Comma 7 3 2 4 3" xfId="15204"/>
    <cellStyle name="Comma 7 3 2 5" xfId="6107"/>
    <cellStyle name="Comma 7 3 2 5 2" xfId="12088"/>
    <cellStyle name="Comma 7 3 2 5 2 2" xfId="18627"/>
    <cellStyle name="Comma 7 3 2 5 3" xfId="15775"/>
    <cellStyle name="Comma 7 3 2 6" xfId="8379"/>
    <cellStyle name="Comma 7 3 2 6 2" xfId="12659"/>
    <cellStyle name="Comma 7 3 2 6 2 2" xfId="19198"/>
    <cellStyle name="Comma 7 3 2 6 3" xfId="16346"/>
    <cellStyle name="Comma 7 3 2 7" xfId="2989"/>
    <cellStyle name="Comma 7 3 2 7 2" xfId="10946"/>
    <cellStyle name="Comma 7 3 2 7 2 2" xfId="17485"/>
    <cellStyle name="Comma 7 3 2 7 3" xfId="14633"/>
    <cellStyle name="Comma 7 3 2 8" xfId="2420"/>
    <cellStyle name="Comma 7 3 2 8 2" xfId="14068"/>
    <cellStyle name="Comma 7 3 2 9" xfId="10381"/>
    <cellStyle name="Comma 7 3 2 9 2" xfId="16920"/>
    <cellStyle name="Comma 7 3 3" xfId="1096"/>
    <cellStyle name="Comma 7 3 3 10" xfId="20101"/>
    <cellStyle name="Comma 7 3 3 2" xfId="2231"/>
    <cellStyle name="Comma 7 3 3 2 2" xfId="5651"/>
    <cellStyle name="Comma 7 3 3 2 2 2" xfId="11973"/>
    <cellStyle name="Comma 7 3 3 2 2 2 2" xfId="18512"/>
    <cellStyle name="Comma 7 3 3 2 2 3" xfId="15660"/>
    <cellStyle name="Comma 7 3 3 2 3" xfId="7923"/>
    <cellStyle name="Comma 7 3 3 2 3 2" xfId="12544"/>
    <cellStyle name="Comma 7 3 3 2 3 2 2" xfId="19083"/>
    <cellStyle name="Comma 7 3 3 2 3 3" xfId="16231"/>
    <cellStyle name="Comma 7 3 3 2 4" xfId="10195"/>
    <cellStyle name="Comma 7 3 3 2 4 2" xfId="13115"/>
    <cellStyle name="Comma 7 3 3 2 4 2 2" xfId="19654"/>
    <cellStyle name="Comma 7 3 3 2 4 3" xfId="16802"/>
    <cellStyle name="Comma 7 3 3 2 5" xfId="3445"/>
    <cellStyle name="Comma 7 3 3 2 5 2" xfId="11402"/>
    <cellStyle name="Comma 7 3 3 2 5 2 2" xfId="17941"/>
    <cellStyle name="Comma 7 3 3 2 5 3" xfId="15089"/>
    <cellStyle name="Comma 7 3 3 2 6" xfId="2868"/>
    <cellStyle name="Comma 7 3 3 2 6 2" xfId="14516"/>
    <cellStyle name="Comma 7 3 3 2 7" xfId="10829"/>
    <cellStyle name="Comma 7 3 3 2 7 2" xfId="17368"/>
    <cellStyle name="Comma 7 3 3 2 8" xfId="13949"/>
    <cellStyle name="Comma 7 3 3 2 9" xfId="20263"/>
    <cellStyle name="Comma 7 3 3 3" xfId="4516"/>
    <cellStyle name="Comma 7 3 3 3 2" xfId="11688"/>
    <cellStyle name="Comma 7 3 3 3 2 2" xfId="18227"/>
    <cellStyle name="Comma 7 3 3 3 3" xfId="15375"/>
    <cellStyle name="Comma 7 3 3 3 4" xfId="20336"/>
    <cellStyle name="Comma 7 3 3 4" xfId="6788"/>
    <cellStyle name="Comma 7 3 3 4 2" xfId="12259"/>
    <cellStyle name="Comma 7 3 3 4 2 2" xfId="18798"/>
    <cellStyle name="Comma 7 3 3 4 3" xfId="15946"/>
    <cellStyle name="Comma 7 3 3 5" xfId="9060"/>
    <cellStyle name="Comma 7 3 3 5 2" xfId="12830"/>
    <cellStyle name="Comma 7 3 3 5 2 2" xfId="19369"/>
    <cellStyle name="Comma 7 3 3 5 3" xfId="16517"/>
    <cellStyle name="Comma 7 3 3 6" xfId="3160"/>
    <cellStyle name="Comma 7 3 3 6 2" xfId="11117"/>
    <cellStyle name="Comma 7 3 3 6 2 2" xfId="17656"/>
    <cellStyle name="Comma 7 3 3 6 3" xfId="14804"/>
    <cellStyle name="Comma 7 3 3 7" xfId="2588"/>
    <cellStyle name="Comma 7 3 3 7 2" xfId="14236"/>
    <cellStyle name="Comma 7 3 3 8" xfId="10549"/>
    <cellStyle name="Comma 7 3 3 8 2" xfId="17088"/>
    <cellStyle name="Comma 7 3 3 9" xfId="13664"/>
    <cellStyle name="Comma 7 3 4" xfId="642"/>
    <cellStyle name="Comma 7 3 4 10" xfId="20102"/>
    <cellStyle name="Comma 7 3 4 2" xfId="1777"/>
    <cellStyle name="Comma 7 3 4 2 2" xfId="5197"/>
    <cellStyle name="Comma 7 3 4 2 2 2" xfId="11859"/>
    <cellStyle name="Comma 7 3 4 2 2 2 2" xfId="18398"/>
    <cellStyle name="Comma 7 3 4 2 2 3" xfId="15546"/>
    <cellStyle name="Comma 7 3 4 2 3" xfId="7469"/>
    <cellStyle name="Comma 7 3 4 2 3 2" xfId="12430"/>
    <cellStyle name="Comma 7 3 4 2 3 2 2" xfId="18969"/>
    <cellStyle name="Comma 7 3 4 2 3 3" xfId="16117"/>
    <cellStyle name="Comma 7 3 4 2 4" xfId="9741"/>
    <cellStyle name="Comma 7 3 4 2 4 2" xfId="13001"/>
    <cellStyle name="Comma 7 3 4 2 4 2 2" xfId="19540"/>
    <cellStyle name="Comma 7 3 4 2 4 3" xfId="16688"/>
    <cellStyle name="Comma 7 3 4 2 5" xfId="3331"/>
    <cellStyle name="Comma 7 3 4 2 5 2" xfId="11288"/>
    <cellStyle name="Comma 7 3 4 2 5 2 2" xfId="17827"/>
    <cellStyle name="Comma 7 3 4 2 5 3" xfId="14975"/>
    <cellStyle name="Comma 7 3 4 2 6" xfId="2756"/>
    <cellStyle name="Comma 7 3 4 2 6 2" xfId="14404"/>
    <cellStyle name="Comma 7 3 4 2 7" xfId="10717"/>
    <cellStyle name="Comma 7 3 4 2 7 2" xfId="17256"/>
    <cellStyle name="Comma 7 3 4 2 8" xfId="13835"/>
    <cellStyle name="Comma 7 3 4 2 9" xfId="20264"/>
    <cellStyle name="Comma 7 3 4 3" xfId="4062"/>
    <cellStyle name="Comma 7 3 4 3 2" xfId="11574"/>
    <cellStyle name="Comma 7 3 4 3 2 2" xfId="18113"/>
    <cellStyle name="Comma 7 3 4 3 3" xfId="15261"/>
    <cellStyle name="Comma 7 3 4 3 4" xfId="20337"/>
    <cellStyle name="Comma 7 3 4 4" xfId="6334"/>
    <cellStyle name="Comma 7 3 4 4 2" xfId="12145"/>
    <cellStyle name="Comma 7 3 4 4 2 2" xfId="18684"/>
    <cellStyle name="Comma 7 3 4 4 3" xfId="15832"/>
    <cellStyle name="Comma 7 3 4 5" xfId="8606"/>
    <cellStyle name="Comma 7 3 4 5 2" xfId="12716"/>
    <cellStyle name="Comma 7 3 4 5 2 2" xfId="19255"/>
    <cellStyle name="Comma 7 3 4 5 3" xfId="16403"/>
    <cellStyle name="Comma 7 3 4 6" xfId="3046"/>
    <cellStyle name="Comma 7 3 4 6 2" xfId="11003"/>
    <cellStyle name="Comma 7 3 4 6 2 2" xfId="17542"/>
    <cellStyle name="Comma 7 3 4 6 3" xfId="14690"/>
    <cellStyle name="Comma 7 3 4 7" xfId="2476"/>
    <cellStyle name="Comma 7 3 4 7 2" xfId="14124"/>
    <cellStyle name="Comma 7 3 4 8" xfId="10437"/>
    <cellStyle name="Comma 7 3 4 8 2" xfId="16976"/>
    <cellStyle name="Comma 7 3 4 9" xfId="13550"/>
    <cellStyle name="Comma 7 3 5" xfId="1323"/>
    <cellStyle name="Comma 7 3 5 2" xfId="4743"/>
    <cellStyle name="Comma 7 3 5 2 2" xfId="11745"/>
    <cellStyle name="Comma 7 3 5 2 2 2" xfId="18284"/>
    <cellStyle name="Comma 7 3 5 2 3" xfId="15432"/>
    <cellStyle name="Comma 7 3 5 2 4" xfId="20265"/>
    <cellStyle name="Comma 7 3 5 3" xfId="7015"/>
    <cellStyle name="Comma 7 3 5 3 2" xfId="12316"/>
    <cellStyle name="Comma 7 3 5 3 2 2" xfId="18855"/>
    <cellStyle name="Comma 7 3 5 3 3" xfId="16003"/>
    <cellStyle name="Comma 7 3 5 3 4" xfId="20338"/>
    <cellStyle name="Comma 7 3 5 4" xfId="9287"/>
    <cellStyle name="Comma 7 3 5 4 2" xfId="12887"/>
    <cellStyle name="Comma 7 3 5 4 2 2" xfId="19426"/>
    <cellStyle name="Comma 7 3 5 4 3" xfId="16574"/>
    <cellStyle name="Comma 7 3 5 5" xfId="3217"/>
    <cellStyle name="Comma 7 3 5 5 2" xfId="11174"/>
    <cellStyle name="Comma 7 3 5 5 2 2" xfId="17713"/>
    <cellStyle name="Comma 7 3 5 5 3" xfId="14861"/>
    <cellStyle name="Comma 7 3 5 6" xfId="2644"/>
    <cellStyle name="Comma 7 3 5 6 2" xfId="14292"/>
    <cellStyle name="Comma 7 3 5 7" xfId="10605"/>
    <cellStyle name="Comma 7 3 5 7 2" xfId="17144"/>
    <cellStyle name="Comma 7 3 5 8" xfId="13721"/>
    <cellStyle name="Comma 7 3 5 9" xfId="20103"/>
    <cellStyle name="Comma 7 3 6" xfId="3608"/>
    <cellStyle name="Comma 7 3 6 2" xfId="11460"/>
    <cellStyle name="Comma 7 3 6 2 2" xfId="17999"/>
    <cellStyle name="Comma 7 3 6 3" xfId="15147"/>
    <cellStyle name="Comma 7 3 6 4" xfId="20261"/>
    <cellStyle name="Comma 7 3 7" xfId="5880"/>
    <cellStyle name="Comma 7 3 7 2" xfId="12031"/>
    <cellStyle name="Comma 7 3 7 2 2" xfId="18570"/>
    <cellStyle name="Comma 7 3 7 3" xfId="15718"/>
    <cellStyle name="Comma 7 3 7 4" xfId="20334"/>
    <cellStyle name="Comma 7 3 8" xfId="8152"/>
    <cellStyle name="Comma 7 3 8 2" xfId="12602"/>
    <cellStyle name="Comma 7 3 8 2 2" xfId="19141"/>
    <cellStyle name="Comma 7 3 8 3" xfId="16289"/>
    <cellStyle name="Comma 7 3 9" xfId="2929"/>
    <cellStyle name="Comma 7 3 9 2" xfId="10888"/>
    <cellStyle name="Comma 7 3 9 2 2" xfId="17427"/>
    <cellStyle name="Comma 7 3 9 3" xfId="14575"/>
    <cellStyle name="Comma 7 4" xfId="121"/>
    <cellStyle name="Comma 7 4 10" xfId="2349"/>
    <cellStyle name="Comma 7 4 10 2" xfId="13997"/>
    <cellStyle name="Comma 7 4 11" xfId="10310"/>
    <cellStyle name="Comma 7 4 11 2" xfId="16849"/>
    <cellStyle name="Comma 7 4 12" xfId="13421"/>
    <cellStyle name="Comma 7 4 13" xfId="20104"/>
    <cellStyle name="Comma 7 4 2" xfId="359"/>
    <cellStyle name="Comma 7 4 2 10" xfId="13479"/>
    <cellStyle name="Comma 7 4 2 11" xfId="20266"/>
    <cellStyle name="Comma 7 4 2 2" xfId="813"/>
    <cellStyle name="Comma 7 4 2 2 2" xfId="1948"/>
    <cellStyle name="Comma 7 4 2 2 2 2" xfId="5368"/>
    <cellStyle name="Comma 7 4 2 2 2 2 2" xfId="11902"/>
    <cellStyle name="Comma 7 4 2 2 2 2 2 2" xfId="18441"/>
    <cellStyle name="Comma 7 4 2 2 2 2 3" xfId="15589"/>
    <cellStyle name="Comma 7 4 2 2 2 3" xfId="7640"/>
    <cellStyle name="Comma 7 4 2 2 2 3 2" xfId="12473"/>
    <cellStyle name="Comma 7 4 2 2 2 3 2 2" xfId="19012"/>
    <cellStyle name="Comma 7 4 2 2 2 3 3" xfId="16160"/>
    <cellStyle name="Comma 7 4 2 2 2 4" xfId="9912"/>
    <cellStyle name="Comma 7 4 2 2 2 4 2" xfId="13044"/>
    <cellStyle name="Comma 7 4 2 2 2 4 2 2" xfId="19583"/>
    <cellStyle name="Comma 7 4 2 2 2 4 3" xfId="16731"/>
    <cellStyle name="Comma 7 4 2 2 2 5" xfId="3374"/>
    <cellStyle name="Comma 7 4 2 2 2 5 2" xfId="11331"/>
    <cellStyle name="Comma 7 4 2 2 2 5 2 2" xfId="17870"/>
    <cellStyle name="Comma 7 4 2 2 2 5 3" xfId="15018"/>
    <cellStyle name="Comma 7 4 2 2 2 6" xfId="2798"/>
    <cellStyle name="Comma 7 4 2 2 2 6 2" xfId="14446"/>
    <cellStyle name="Comma 7 4 2 2 2 7" xfId="10759"/>
    <cellStyle name="Comma 7 4 2 2 2 7 2" xfId="17298"/>
    <cellStyle name="Comma 7 4 2 2 2 8" xfId="13878"/>
    <cellStyle name="Comma 7 4 2 2 3" xfId="4233"/>
    <cellStyle name="Comma 7 4 2 2 3 2" xfId="11617"/>
    <cellStyle name="Comma 7 4 2 2 3 2 2" xfId="18156"/>
    <cellStyle name="Comma 7 4 2 2 3 3" xfId="15304"/>
    <cellStyle name="Comma 7 4 2 2 4" xfId="6505"/>
    <cellStyle name="Comma 7 4 2 2 4 2" xfId="12188"/>
    <cellStyle name="Comma 7 4 2 2 4 2 2" xfId="18727"/>
    <cellStyle name="Comma 7 4 2 2 4 3" xfId="15875"/>
    <cellStyle name="Comma 7 4 2 2 5" xfId="8777"/>
    <cellStyle name="Comma 7 4 2 2 5 2" xfId="12759"/>
    <cellStyle name="Comma 7 4 2 2 5 2 2" xfId="19298"/>
    <cellStyle name="Comma 7 4 2 2 5 3" xfId="16446"/>
    <cellStyle name="Comma 7 4 2 2 6" xfId="3089"/>
    <cellStyle name="Comma 7 4 2 2 6 2" xfId="11046"/>
    <cellStyle name="Comma 7 4 2 2 6 2 2" xfId="17585"/>
    <cellStyle name="Comma 7 4 2 2 6 3" xfId="14733"/>
    <cellStyle name="Comma 7 4 2 2 7" xfId="2518"/>
    <cellStyle name="Comma 7 4 2 2 7 2" xfId="14166"/>
    <cellStyle name="Comma 7 4 2 2 8" xfId="10479"/>
    <cellStyle name="Comma 7 4 2 2 8 2" xfId="17018"/>
    <cellStyle name="Comma 7 4 2 2 9" xfId="13593"/>
    <cellStyle name="Comma 7 4 2 3" xfId="1494"/>
    <cellStyle name="Comma 7 4 2 3 2" xfId="4914"/>
    <cellStyle name="Comma 7 4 2 3 2 2" xfId="11788"/>
    <cellStyle name="Comma 7 4 2 3 2 2 2" xfId="18327"/>
    <cellStyle name="Comma 7 4 2 3 2 3" xfId="15475"/>
    <cellStyle name="Comma 7 4 2 3 3" xfId="7186"/>
    <cellStyle name="Comma 7 4 2 3 3 2" xfId="12359"/>
    <cellStyle name="Comma 7 4 2 3 3 2 2" xfId="18898"/>
    <cellStyle name="Comma 7 4 2 3 3 3" xfId="16046"/>
    <cellStyle name="Comma 7 4 2 3 4" xfId="9458"/>
    <cellStyle name="Comma 7 4 2 3 4 2" xfId="12930"/>
    <cellStyle name="Comma 7 4 2 3 4 2 2" xfId="19469"/>
    <cellStyle name="Comma 7 4 2 3 4 3" xfId="16617"/>
    <cellStyle name="Comma 7 4 2 3 5" xfId="3260"/>
    <cellStyle name="Comma 7 4 2 3 5 2" xfId="11217"/>
    <cellStyle name="Comma 7 4 2 3 5 2 2" xfId="17756"/>
    <cellStyle name="Comma 7 4 2 3 5 3" xfId="14904"/>
    <cellStyle name="Comma 7 4 2 3 6" xfId="2686"/>
    <cellStyle name="Comma 7 4 2 3 6 2" xfId="14334"/>
    <cellStyle name="Comma 7 4 2 3 7" xfId="10647"/>
    <cellStyle name="Comma 7 4 2 3 7 2" xfId="17186"/>
    <cellStyle name="Comma 7 4 2 3 8" xfId="13764"/>
    <cellStyle name="Comma 7 4 2 4" xfId="3779"/>
    <cellStyle name="Comma 7 4 2 4 2" xfId="11503"/>
    <cellStyle name="Comma 7 4 2 4 2 2" xfId="18042"/>
    <cellStyle name="Comma 7 4 2 4 3" xfId="15190"/>
    <cellStyle name="Comma 7 4 2 5" xfId="6051"/>
    <cellStyle name="Comma 7 4 2 5 2" xfId="12074"/>
    <cellStyle name="Comma 7 4 2 5 2 2" xfId="18613"/>
    <cellStyle name="Comma 7 4 2 5 3" xfId="15761"/>
    <cellStyle name="Comma 7 4 2 6" xfId="8323"/>
    <cellStyle name="Comma 7 4 2 6 2" xfId="12645"/>
    <cellStyle name="Comma 7 4 2 6 2 2" xfId="19184"/>
    <cellStyle name="Comma 7 4 2 6 3" xfId="16332"/>
    <cellStyle name="Comma 7 4 2 7" xfId="2975"/>
    <cellStyle name="Comma 7 4 2 7 2" xfId="10932"/>
    <cellStyle name="Comma 7 4 2 7 2 2" xfId="17471"/>
    <cellStyle name="Comma 7 4 2 7 3" xfId="14619"/>
    <cellStyle name="Comma 7 4 2 8" xfId="2406"/>
    <cellStyle name="Comma 7 4 2 8 2" xfId="14054"/>
    <cellStyle name="Comma 7 4 2 9" xfId="10367"/>
    <cellStyle name="Comma 7 4 2 9 2" xfId="16906"/>
    <cellStyle name="Comma 7 4 3" xfId="1040"/>
    <cellStyle name="Comma 7 4 3 10" xfId="20339"/>
    <cellStyle name="Comma 7 4 3 2" xfId="2175"/>
    <cellStyle name="Comma 7 4 3 2 2" xfId="5595"/>
    <cellStyle name="Comma 7 4 3 2 2 2" xfId="11959"/>
    <cellStyle name="Comma 7 4 3 2 2 2 2" xfId="18498"/>
    <cellStyle name="Comma 7 4 3 2 2 3" xfId="15646"/>
    <cellStyle name="Comma 7 4 3 2 3" xfId="7867"/>
    <cellStyle name="Comma 7 4 3 2 3 2" xfId="12530"/>
    <cellStyle name="Comma 7 4 3 2 3 2 2" xfId="19069"/>
    <cellStyle name="Comma 7 4 3 2 3 3" xfId="16217"/>
    <cellStyle name="Comma 7 4 3 2 4" xfId="10139"/>
    <cellStyle name="Comma 7 4 3 2 4 2" xfId="13101"/>
    <cellStyle name="Comma 7 4 3 2 4 2 2" xfId="19640"/>
    <cellStyle name="Comma 7 4 3 2 4 3" xfId="16788"/>
    <cellStyle name="Comma 7 4 3 2 5" xfId="3431"/>
    <cellStyle name="Comma 7 4 3 2 5 2" xfId="11388"/>
    <cellStyle name="Comma 7 4 3 2 5 2 2" xfId="17927"/>
    <cellStyle name="Comma 7 4 3 2 5 3" xfId="15075"/>
    <cellStyle name="Comma 7 4 3 2 6" xfId="2854"/>
    <cellStyle name="Comma 7 4 3 2 6 2" xfId="14502"/>
    <cellStyle name="Comma 7 4 3 2 7" xfId="10815"/>
    <cellStyle name="Comma 7 4 3 2 7 2" xfId="17354"/>
    <cellStyle name="Comma 7 4 3 2 8" xfId="13935"/>
    <cellStyle name="Comma 7 4 3 3" xfId="4460"/>
    <cellStyle name="Comma 7 4 3 3 2" xfId="11674"/>
    <cellStyle name="Comma 7 4 3 3 2 2" xfId="18213"/>
    <cellStyle name="Comma 7 4 3 3 3" xfId="15361"/>
    <cellStyle name="Comma 7 4 3 4" xfId="6732"/>
    <cellStyle name="Comma 7 4 3 4 2" xfId="12245"/>
    <cellStyle name="Comma 7 4 3 4 2 2" xfId="18784"/>
    <cellStyle name="Comma 7 4 3 4 3" xfId="15932"/>
    <cellStyle name="Comma 7 4 3 5" xfId="9004"/>
    <cellStyle name="Comma 7 4 3 5 2" xfId="12816"/>
    <cellStyle name="Comma 7 4 3 5 2 2" xfId="19355"/>
    <cellStyle name="Comma 7 4 3 5 3" xfId="16503"/>
    <cellStyle name="Comma 7 4 3 6" xfId="3146"/>
    <cellStyle name="Comma 7 4 3 6 2" xfId="11103"/>
    <cellStyle name="Comma 7 4 3 6 2 2" xfId="17642"/>
    <cellStyle name="Comma 7 4 3 6 3" xfId="14790"/>
    <cellStyle name="Comma 7 4 3 7" xfId="2574"/>
    <cellStyle name="Comma 7 4 3 7 2" xfId="14222"/>
    <cellStyle name="Comma 7 4 3 8" xfId="10535"/>
    <cellStyle name="Comma 7 4 3 8 2" xfId="17074"/>
    <cellStyle name="Comma 7 4 3 9" xfId="13650"/>
    <cellStyle name="Comma 7 4 4" xfId="586"/>
    <cellStyle name="Comma 7 4 4 2" xfId="1721"/>
    <cellStyle name="Comma 7 4 4 2 2" xfId="5141"/>
    <cellStyle name="Comma 7 4 4 2 2 2" xfId="11845"/>
    <cellStyle name="Comma 7 4 4 2 2 2 2" xfId="18384"/>
    <cellStyle name="Comma 7 4 4 2 2 3" xfId="15532"/>
    <cellStyle name="Comma 7 4 4 2 3" xfId="7413"/>
    <cellStyle name="Comma 7 4 4 2 3 2" xfId="12416"/>
    <cellStyle name="Comma 7 4 4 2 3 2 2" xfId="18955"/>
    <cellStyle name="Comma 7 4 4 2 3 3" xfId="16103"/>
    <cellStyle name="Comma 7 4 4 2 4" xfId="9685"/>
    <cellStyle name="Comma 7 4 4 2 4 2" xfId="12987"/>
    <cellStyle name="Comma 7 4 4 2 4 2 2" xfId="19526"/>
    <cellStyle name="Comma 7 4 4 2 4 3" xfId="16674"/>
    <cellStyle name="Comma 7 4 4 2 5" xfId="3317"/>
    <cellStyle name="Comma 7 4 4 2 5 2" xfId="11274"/>
    <cellStyle name="Comma 7 4 4 2 5 2 2" xfId="17813"/>
    <cellStyle name="Comma 7 4 4 2 5 3" xfId="14961"/>
    <cellStyle name="Comma 7 4 4 2 6" xfId="2742"/>
    <cellStyle name="Comma 7 4 4 2 6 2" xfId="14390"/>
    <cellStyle name="Comma 7 4 4 2 7" xfId="10703"/>
    <cellStyle name="Comma 7 4 4 2 7 2" xfId="17242"/>
    <cellStyle name="Comma 7 4 4 2 8" xfId="13821"/>
    <cellStyle name="Comma 7 4 4 3" xfId="4006"/>
    <cellStyle name="Comma 7 4 4 3 2" xfId="11560"/>
    <cellStyle name="Comma 7 4 4 3 2 2" xfId="18099"/>
    <cellStyle name="Comma 7 4 4 3 3" xfId="15247"/>
    <cellStyle name="Comma 7 4 4 4" xfId="6278"/>
    <cellStyle name="Comma 7 4 4 4 2" xfId="12131"/>
    <cellStyle name="Comma 7 4 4 4 2 2" xfId="18670"/>
    <cellStyle name="Comma 7 4 4 4 3" xfId="15818"/>
    <cellStyle name="Comma 7 4 4 5" xfId="8550"/>
    <cellStyle name="Comma 7 4 4 5 2" xfId="12702"/>
    <cellStyle name="Comma 7 4 4 5 2 2" xfId="19241"/>
    <cellStyle name="Comma 7 4 4 5 3" xfId="16389"/>
    <cellStyle name="Comma 7 4 4 6" xfId="3032"/>
    <cellStyle name="Comma 7 4 4 6 2" xfId="10989"/>
    <cellStyle name="Comma 7 4 4 6 2 2" xfId="17528"/>
    <cellStyle name="Comma 7 4 4 6 3" xfId="14676"/>
    <cellStyle name="Comma 7 4 4 7" xfId="2462"/>
    <cellStyle name="Comma 7 4 4 7 2" xfId="14110"/>
    <cellStyle name="Comma 7 4 4 8" xfId="10423"/>
    <cellStyle name="Comma 7 4 4 8 2" xfId="16962"/>
    <cellStyle name="Comma 7 4 4 9" xfId="13536"/>
    <cellStyle name="Comma 7 4 5" xfId="1267"/>
    <cellStyle name="Comma 7 4 5 2" xfId="4687"/>
    <cellStyle name="Comma 7 4 5 2 2" xfId="11731"/>
    <cellStyle name="Comma 7 4 5 2 2 2" xfId="18270"/>
    <cellStyle name="Comma 7 4 5 2 3" xfId="15418"/>
    <cellStyle name="Comma 7 4 5 3" xfId="6959"/>
    <cellStyle name="Comma 7 4 5 3 2" xfId="12302"/>
    <cellStyle name="Comma 7 4 5 3 2 2" xfId="18841"/>
    <cellStyle name="Comma 7 4 5 3 3" xfId="15989"/>
    <cellStyle name="Comma 7 4 5 4" xfId="9231"/>
    <cellStyle name="Comma 7 4 5 4 2" xfId="12873"/>
    <cellStyle name="Comma 7 4 5 4 2 2" xfId="19412"/>
    <cellStyle name="Comma 7 4 5 4 3" xfId="16560"/>
    <cellStyle name="Comma 7 4 5 5" xfId="3203"/>
    <cellStyle name="Comma 7 4 5 5 2" xfId="11160"/>
    <cellStyle name="Comma 7 4 5 5 2 2" xfId="17699"/>
    <cellStyle name="Comma 7 4 5 5 3" xfId="14847"/>
    <cellStyle name="Comma 7 4 5 6" xfId="2630"/>
    <cellStyle name="Comma 7 4 5 6 2" xfId="14278"/>
    <cellStyle name="Comma 7 4 5 7" xfId="10591"/>
    <cellStyle name="Comma 7 4 5 7 2" xfId="17130"/>
    <cellStyle name="Comma 7 4 5 8" xfId="13707"/>
    <cellStyle name="Comma 7 4 6" xfId="3552"/>
    <cellStyle name="Comma 7 4 6 2" xfId="11446"/>
    <cellStyle name="Comma 7 4 6 2 2" xfId="17985"/>
    <cellStyle name="Comma 7 4 6 3" xfId="15133"/>
    <cellStyle name="Comma 7 4 7" xfId="5824"/>
    <cellStyle name="Comma 7 4 7 2" xfId="12017"/>
    <cellStyle name="Comma 7 4 7 2 2" xfId="18556"/>
    <cellStyle name="Comma 7 4 7 3" xfId="15704"/>
    <cellStyle name="Comma 7 4 8" xfId="8096"/>
    <cellStyle name="Comma 7 4 8 2" xfId="12588"/>
    <cellStyle name="Comma 7 4 8 2 2" xfId="19127"/>
    <cellStyle name="Comma 7 4 8 3" xfId="16275"/>
    <cellStyle name="Comma 7 4 9" xfId="2915"/>
    <cellStyle name="Comma 7 4 9 2" xfId="10874"/>
    <cellStyle name="Comma 7 4 9 2 2" xfId="17413"/>
    <cellStyle name="Comma 7 4 9 3" xfId="14561"/>
    <cellStyle name="Comma 7 5" xfId="247"/>
    <cellStyle name="Comma 7 5 10" xfId="2378"/>
    <cellStyle name="Comma 7 5 10 2" xfId="14026"/>
    <cellStyle name="Comma 7 5 11" xfId="10339"/>
    <cellStyle name="Comma 7 5 11 2" xfId="16878"/>
    <cellStyle name="Comma 7 5 12" xfId="13451"/>
    <cellStyle name="Comma 7 5 13" xfId="20105"/>
    <cellStyle name="Comma 7 5 2" xfId="474"/>
    <cellStyle name="Comma 7 5 2 10" xfId="13508"/>
    <cellStyle name="Comma 7 5 2 11" xfId="20267"/>
    <cellStyle name="Comma 7 5 2 2" xfId="928"/>
    <cellStyle name="Comma 7 5 2 2 2" xfId="2063"/>
    <cellStyle name="Comma 7 5 2 2 2 2" xfId="5483"/>
    <cellStyle name="Comma 7 5 2 2 2 2 2" xfId="11931"/>
    <cellStyle name="Comma 7 5 2 2 2 2 2 2" xfId="18470"/>
    <cellStyle name="Comma 7 5 2 2 2 2 3" xfId="15618"/>
    <cellStyle name="Comma 7 5 2 2 2 3" xfId="7755"/>
    <cellStyle name="Comma 7 5 2 2 2 3 2" xfId="12502"/>
    <cellStyle name="Comma 7 5 2 2 2 3 2 2" xfId="19041"/>
    <cellStyle name="Comma 7 5 2 2 2 3 3" xfId="16189"/>
    <cellStyle name="Comma 7 5 2 2 2 4" xfId="10027"/>
    <cellStyle name="Comma 7 5 2 2 2 4 2" xfId="13073"/>
    <cellStyle name="Comma 7 5 2 2 2 4 2 2" xfId="19612"/>
    <cellStyle name="Comma 7 5 2 2 2 4 3" xfId="16760"/>
    <cellStyle name="Comma 7 5 2 2 2 5" xfId="3403"/>
    <cellStyle name="Comma 7 5 2 2 2 5 2" xfId="11360"/>
    <cellStyle name="Comma 7 5 2 2 2 5 2 2" xfId="17899"/>
    <cellStyle name="Comma 7 5 2 2 2 5 3" xfId="15047"/>
    <cellStyle name="Comma 7 5 2 2 2 6" xfId="2826"/>
    <cellStyle name="Comma 7 5 2 2 2 6 2" xfId="14474"/>
    <cellStyle name="Comma 7 5 2 2 2 7" xfId="10787"/>
    <cellStyle name="Comma 7 5 2 2 2 7 2" xfId="17326"/>
    <cellStyle name="Comma 7 5 2 2 2 8" xfId="13907"/>
    <cellStyle name="Comma 7 5 2 2 3" xfId="4348"/>
    <cellStyle name="Comma 7 5 2 2 3 2" xfId="11646"/>
    <cellStyle name="Comma 7 5 2 2 3 2 2" xfId="18185"/>
    <cellStyle name="Comma 7 5 2 2 3 3" xfId="15333"/>
    <cellStyle name="Comma 7 5 2 2 4" xfId="6620"/>
    <cellStyle name="Comma 7 5 2 2 4 2" xfId="12217"/>
    <cellStyle name="Comma 7 5 2 2 4 2 2" xfId="18756"/>
    <cellStyle name="Comma 7 5 2 2 4 3" xfId="15904"/>
    <cellStyle name="Comma 7 5 2 2 5" xfId="8892"/>
    <cellStyle name="Comma 7 5 2 2 5 2" xfId="12788"/>
    <cellStyle name="Comma 7 5 2 2 5 2 2" xfId="19327"/>
    <cellStyle name="Comma 7 5 2 2 5 3" xfId="16475"/>
    <cellStyle name="Comma 7 5 2 2 6" xfId="3118"/>
    <cellStyle name="Comma 7 5 2 2 6 2" xfId="11075"/>
    <cellStyle name="Comma 7 5 2 2 6 2 2" xfId="17614"/>
    <cellStyle name="Comma 7 5 2 2 6 3" xfId="14762"/>
    <cellStyle name="Comma 7 5 2 2 7" xfId="2546"/>
    <cellStyle name="Comma 7 5 2 2 7 2" xfId="14194"/>
    <cellStyle name="Comma 7 5 2 2 8" xfId="10507"/>
    <cellStyle name="Comma 7 5 2 2 8 2" xfId="17046"/>
    <cellStyle name="Comma 7 5 2 2 9" xfId="13622"/>
    <cellStyle name="Comma 7 5 2 3" xfId="1609"/>
    <cellStyle name="Comma 7 5 2 3 2" xfId="5029"/>
    <cellStyle name="Comma 7 5 2 3 2 2" xfId="11817"/>
    <cellStyle name="Comma 7 5 2 3 2 2 2" xfId="18356"/>
    <cellStyle name="Comma 7 5 2 3 2 3" xfId="15504"/>
    <cellStyle name="Comma 7 5 2 3 3" xfId="7301"/>
    <cellStyle name="Comma 7 5 2 3 3 2" xfId="12388"/>
    <cellStyle name="Comma 7 5 2 3 3 2 2" xfId="18927"/>
    <cellStyle name="Comma 7 5 2 3 3 3" xfId="16075"/>
    <cellStyle name="Comma 7 5 2 3 4" xfId="9573"/>
    <cellStyle name="Comma 7 5 2 3 4 2" xfId="12959"/>
    <cellStyle name="Comma 7 5 2 3 4 2 2" xfId="19498"/>
    <cellStyle name="Comma 7 5 2 3 4 3" xfId="16646"/>
    <cellStyle name="Comma 7 5 2 3 5" xfId="3289"/>
    <cellStyle name="Comma 7 5 2 3 5 2" xfId="11246"/>
    <cellStyle name="Comma 7 5 2 3 5 2 2" xfId="17785"/>
    <cellStyle name="Comma 7 5 2 3 5 3" xfId="14933"/>
    <cellStyle name="Comma 7 5 2 3 6" xfId="2714"/>
    <cellStyle name="Comma 7 5 2 3 6 2" xfId="14362"/>
    <cellStyle name="Comma 7 5 2 3 7" xfId="10675"/>
    <cellStyle name="Comma 7 5 2 3 7 2" xfId="17214"/>
    <cellStyle name="Comma 7 5 2 3 8" xfId="13793"/>
    <cellStyle name="Comma 7 5 2 4" xfId="3894"/>
    <cellStyle name="Comma 7 5 2 4 2" xfId="11532"/>
    <cellStyle name="Comma 7 5 2 4 2 2" xfId="18071"/>
    <cellStyle name="Comma 7 5 2 4 3" xfId="15219"/>
    <cellStyle name="Comma 7 5 2 5" xfId="6166"/>
    <cellStyle name="Comma 7 5 2 5 2" xfId="12103"/>
    <cellStyle name="Comma 7 5 2 5 2 2" xfId="18642"/>
    <cellStyle name="Comma 7 5 2 5 3" xfId="15790"/>
    <cellStyle name="Comma 7 5 2 6" xfId="8438"/>
    <cellStyle name="Comma 7 5 2 6 2" xfId="12674"/>
    <cellStyle name="Comma 7 5 2 6 2 2" xfId="19213"/>
    <cellStyle name="Comma 7 5 2 6 3" xfId="16361"/>
    <cellStyle name="Comma 7 5 2 7" xfId="3004"/>
    <cellStyle name="Comma 7 5 2 7 2" xfId="10961"/>
    <cellStyle name="Comma 7 5 2 7 2 2" xfId="17500"/>
    <cellStyle name="Comma 7 5 2 7 3" xfId="14648"/>
    <cellStyle name="Comma 7 5 2 8" xfId="2434"/>
    <cellStyle name="Comma 7 5 2 8 2" xfId="14082"/>
    <cellStyle name="Comma 7 5 2 9" xfId="10395"/>
    <cellStyle name="Comma 7 5 2 9 2" xfId="16934"/>
    <cellStyle name="Comma 7 5 3" xfId="1155"/>
    <cellStyle name="Comma 7 5 3 10" xfId="20340"/>
    <cellStyle name="Comma 7 5 3 2" xfId="2290"/>
    <cellStyle name="Comma 7 5 3 2 2" xfId="5710"/>
    <cellStyle name="Comma 7 5 3 2 2 2" xfId="11988"/>
    <cellStyle name="Comma 7 5 3 2 2 2 2" xfId="18527"/>
    <cellStyle name="Comma 7 5 3 2 2 3" xfId="15675"/>
    <cellStyle name="Comma 7 5 3 2 3" xfId="7982"/>
    <cellStyle name="Comma 7 5 3 2 3 2" xfId="12559"/>
    <cellStyle name="Comma 7 5 3 2 3 2 2" xfId="19098"/>
    <cellStyle name="Comma 7 5 3 2 3 3" xfId="16246"/>
    <cellStyle name="Comma 7 5 3 2 4" xfId="10254"/>
    <cellStyle name="Comma 7 5 3 2 4 2" xfId="13130"/>
    <cellStyle name="Comma 7 5 3 2 4 2 2" xfId="19669"/>
    <cellStyle name="Comma 7 5 3 2 4 3" xfId="16817"/>
    <cellStyle name="Comma 7 5 3 2 5" xfId="3460"/>
    <cellStyle name="Comma 7 5 3 2 5 2" xfId="11417"/>
    <cellStyle name="Comma 7 5 3 2 5 2 2" xfId="17956"/>
    <cellStyle name="Comma 7 5 3 2 5 3" xfId="15104"/>
    <cellStyle name="Comma 7 5 3 2 6" xfId="2882"/>
    <cellStyle name="Comma 7 5 3 2 6 2" xfId="14530"/>
    <cellStyle name="Comma 7 5 3 2 7" xfId="10843"/>
    <cellStyle name="Comma 7 5 3 2 7 2" xfId="17382"/>
    <cellStyle name="Comma 7 5 3 2 8" xfId="13964"/>
    <cellStyle name="Comma 7 5 3 3" xfId="4575"/>
    <cellStyle name="Comma 7 5 3 3 2" xfId="11703"/>
    <cellStyle name="Comma 7 5 3 3 2 2" xfId="18242"/>
    <cellStyle name="Comma 7 5 3 3 3" xfId="15390"/>
    <cellStyle name="Comma 7 5 3 4" xfId="6847"/>
    <cellStyle name="Comma 7 5 3 4 2" xfId="12274"/>
    <cellStyle name="Comma 7 5 3 4 2 2" xfId="18813"/>
    <cellStyle name="Comma 7 5 3 4 3" xfId="15961"/>
    <cellStyle name="Comma 7 5 3 5" xfId="9119"/>
    <cellStyle name="Comma 7 5 3 5 2" xfId="12845"/>
    <cellStyle name="Comma 7 5 3 5 2 2" xfId="19384"/>
    <cellStyle name="Comma 7 5 3 5 3" xfId="16532"/>
    <cellStyle name="Comma 7 5 3 6" xfId="3175"/>
    <cellStyle name="Comma 7 5 3 6 2" xfId="11132"/>
    <cellStyle name="Comma 7 5 3 6 2 2" xfId="17671"/>
    <cellStyle name="Comma 7 5 3 6 3" xfId="14819"/>
    <cellStyle name="Comma 7 5 3 7" xfId="2602"/>
    <cellStyle name="Comma 7 5 3 7 2" xfId="14250"/>
    <cellStyle name="Comma 7 5 3 8" xfId="10563"/>
    <cellStyle name="Comma 7 5 3 8 2" xfId="17102"/>
    <cellStyle name="Comma 7 5 3 9" xfId="13679"/>
    <cellStyle name="Comma 7 5 4" xfId="701"/>
    <cellStyle name="Comma 7 5 4 2" xfId="1836"/>
    <cellStyle name="Comma 7 5 4 2 2" xfId="5256"/>
    <cellStyle name="Comma 7 5 4 2 2 2" xfId="11874"/>
    <cellStyle name="Comma 7 5 4 2 2 2 2" xfId="18413"/>
    <cellStyle name="Comma 7 5 4 2 2 3" xfId="15561"/>
    <cellStyle name="Comma 7 5 4 2 3" xfId="7528"/>
    <cellStyle name="Comma 7 5 4 2 3 2" xfId="12445"/>
    <cellStyle name="Comma 7 5 4 2 3 2 2" xfId="18984"/>
    <cellStyle name="Comma 7 5 4 2 3 3" xfId="16132"/>
    <cellStyle name="Comma 7 5 4 2 4" xfId="9800"/>
    <cellStyle name="Comma 7 5 4 2 4 2" xfId="13016"/>
    <cellStyle name="Comma 7 5 4 2 4 2 2" xfId="19555"/>
    <cellStyle name="Comma 7 5 4 2 4 3" xfId="16703"/>
    <cellStyle name="Comma 7 5 4 2 5" xfId="3346"/>
    <cellStyle name="Comma 7 5 4 2 5 2" xfId="11303"/>
    <cellStyle name="Comma 7 5 4 2 5 2 2" xfId="17842"/>
    <cellStyle name="Comma 7 5 4 2 5 3" xfId="14990"/>
    <cellStyle name="Comma 7 5 4 2 6" xfId="2770"/>
    <cellStyle name="Comma 7 5 4 2 6 2" xfId="14418"/>
    <cellStyle name="Comma 7 5 4 2 7" xfId="10731"/>
    <cellStyle name="Comma 7 5 4 2 7 2" xfId="17270"/>
    <cellStyle name="Comma 7 5 4 2 8" xfId="13850"/>
    <cellStyle name="Comma 7 5 4 3" xfId="4121"/>
    <cellStyle name="Comma 7 5 4 3 2" xfId="11589"/>
    <cellStyle name="Comma 7 5 4 3 2 2" xfId="18128"/>
    <cellStyle name="Comma 7 5 4 3 3" xfId="15276"/>
    <cellStyle name="Comma 7 5 4 4" xfId="6393"/>
    <cellStyle name="Comma 7 5 4 4 2" xfId="12160"/>
    <cellStyle name="Comma 7 5 4 4 2 2" xfId="18699"/>
    <cellStyle name="Comma 7 5 4 4 3" xfId="15847"/>
    <cellStyle name="Comma 7 5 4 5" xfId="8665"/>
    <cellStyle name="Comma 7 5 4 5 2" xfId="12731"/>
    <cellStyle name="Comma 7 5 4 5 2 2" xfId="19270"/>
    <cellStyle name="Comma 7 5 4 5 3" xfId="16418"/>
    <cellStyle name="Comma 7 5 4 6" xfId="3061"/>
    <cellStyle name="Comma 7 5 4 6 2" xfId="11018"/>
    <cellStyle name="Comma 7 5 4 6 2 2" xfId="17557"/>
    <cellStyle name="Comma 7 5 4 6 3" xfId="14705"/>
    <cellStyle name="Comma 7 5 4 7" xfId="2490"/>
    <cellStyle name="Comma 7 5 4 7 2" xfId="14138"/>
    <cellStyle name="Comma 7 5 4 8" xfId="10451"/>
    <cellStyle name="Comma 7 5 4 8 2" xfId="16990"/>
    <cellStyle name="Comma 7 5 4 9" xfId="13565"/>
    <cellStyle name="Comma 7 5 5" xfId="1382"/>
    <cellStyle name="Comma 7 5 5 2" xfId="4802"/>
    <cellStyle name="Comma 7 5 5 2 2" xfId="11760"/>
    <cellStyle name="Comma 7 5 5 2 2 2" xfId="18299"/>
    <cellStyle name="Comma 7 5 5 2 3" xfId="15447"/>
    <cellStyle name="Comma 7 5 5 3" xfId="7074"/>
    <cellStyle name="Comma 7 5 5 3 2" xfId="12331"/>
    <cellStyle name="Comma 7 5 5 3 2 2" xfId="18870"/>
    <cellStyle name="Comma 7 5 5 3 3" xfId="16018"/>
    <cellStyle name="Comma 7 5 5 4" xfId="9346"/>
    <cellStyle name="Comma 7 5 5 4 2" xfId="12902"/>
    <cellStyle name="Comma 7 5 5 4 2 2" xfId="19441"/>
    <cellStyle name="Comma 7 5 5 4 3" xfId="16589"/>
    <cellStyle name="Comma 7 5 5 5" xfId="3232"/>
    <cellStyle name="Comma 7 5 5 5 2" xfId="11189"/>
    <cellStyle name="Comma 7 5 5 5 2 2" xfId="17728"/>
    <cellStyle name="Comma 7 5 5 5 3" xfId="14876"/>
    <cellStyle name="Comma 7 5 5 6" xfId="2658"/>
    <cellStyle name="Comma 7 5 5 6 2" xfId="14306"/>
    <cellStyle name="Comma 7 5 5 7" xfId="10619"/>
    <cellStyle name="Comma 7 5 5 7 2" xfId="17158"/>
    <cellStyle name="Comma 7 5 5 8" xfId="13736"/>
    <cellStyle name="Comma 7 5 6" xfId="3667"/>
    <cellStyle name="Comma 7 5 6 2" xfId="11475"/>
    <cellStyle name="Comma 7 5 6 2 2" xfId="18014"/>
    <cellStyle name="Comma 7 5 6 3" xfId="15162"/>
    <cellStyle name="Comma 7 5 7" xfId="5939"/>
    <cellStyle name="Comma 7 5 7 2" xfId="12046"/>
    <cellStyle name="Comma 7 5 7 2 2" xfId="18585"/>
    <cellStyle name="Comma 7 5 7 3" xfId="15733"/>
    <cellStyle name="Comma 7 5 8" xfId="8211"/>
    <cellStyle name="Comma 7 5 8 2" xfId="12617"/>
    <cellStyle name="Comma 7 5 8 2 2" xfId="19156"/>
    <cellStyle name="Comma 7 5 8 3" xfId="16304"/>
    <cellStyle name="Comma 7 5 9" xfId="2947"/>
    <cellStyle name="Comma 7 5 9 2" xfId="10904"/>
    <cellStyle name="Comma 7 5 9 2 2" xfId="17443"/>
    <cellStyle name="Comma 7 5 9 3" xfId="14591"/>
    <cellStyle name="Comma 7 6" xfId="303"/>
    <cellStyle name="Comma 7 6 10" xfId="13465"/>
    <cellStyle name="Comma 7 6 2" xfId="757"/>
    <cellStyle name="Comma 7 6 2 2" xfId="1892"/>
    <cellStyle name="Comma 7 6 2 2 2" xfId="5312"/>
    <cellStyle name="Comma 7 6 2 2 2 2" xfId="11888"/>
    <cellStyle name="Comma 7 6 2 2 2 2 2" xfId="18427"/>
    <cellStyle name="Comma 7 6 2 2 2 3" xfId="15575"/>
    <cellStyle name="Comma 7 6 2 2 3" xfId="7584"/>
    <cellStyle name="Comma 7 6 2 2 3 2" xfId="12459"/>
    <cellStyle name="Comma 7 6 2 2 3 2 2" xfId="18998"/>
    <cellStyle name="Comma 7 6 2 2 3 3" xfId="16146"/>
    <cellStyle name="Comma 7 6 2 2 4" xfId="9856"/>
    <cellStyle name="Comma 7 6 2 2 4 2" xfId="13030"/>
    <cellStyle name="Comma 7 6 2 2 4 2 2" xfId="19569"/>
    <cellStyle name="Comma 7 6 2 2 4 3" xfId="16717"/>
    <cellStyle name="Comma 7 6 2 2 5" xfId="3360"/>
    <cellStyle name="Comma 7 6 2 2 5 2" xfId="11317"/>
    <cellStyle name="Comma 7 6 2 2 5 2 2" xfId="17856"/>
    <cellStyle name="Comma 7 6 2 2 5 3" xfId="15004"/>
    <cellStyle name="Comma 7 6 2 2 6" xfId="2784"/>
    <cellStyle name="Comma 7 6 2 2 6 2" xfId="14432"/>
    <cellStyle name="Comma 7 6 2 2 7" xfId="10745"/>
    <cellStyle name="Comma 7 6 2 2 7 2" xfId="17284"/>
    <cellStyle name="Comma 7 6 2 2 8" xfId="13864"/>
    <cellStyle name="Comma 7 6 2 3" xfId="4177"/>
    <cellStyle name="Comma 7 6 2 3 2" xfId="11603"/>
    <cellStyle name="Comma 7 6 2 3 2 2" xfId="18142"/>
    <cellStyle name="Comma 7 6 2 3 3" xfId="15290"/>
    <cellStyle name="Comma 7 6 2 4" xfId="6449"/>
    <cellStyle name="Comma 7 6 2 4 2" xfId="12174"/>
    <cellStyle name="Comma 7 6 2 4 2 2" xfId="18713"/>
    <cellStyle name="Comma 7 6 2 4 3" xfId="15861"/>
    <cellStyle name="Comma 7 6 2 5" xfId="8721"/>
    <cellStyle name="Comma 7 6 2 5 2" xfId="12745"/>
    <cellStyle name="Comma 7 6 2 5 2 2" xfId="19284"/>
    <cellStyle name="Comma 7 6 2 5 3" xfId="16432"/>
    <cellStyle name="Comma 7 6 2 6" xfId="3075"/>
    <cellStyle name="Comma 7 6 2 6 2" xfId="11032"/>
    <cellStyle name="Comma 7 6 2 6 2 2" xfId="17571"/>
    <cellStyle name="Comma 7 6 2 6 3" xfId="14719"/>
    <cellStyle name="Comma 7 6 2 7" xfId="2504"/>
    <cellStyle name="Comma 7 6 2 7 2" xfId="14152"/>
    <cellStyle name="Comma 7 6 2 8" xfId="10465"/>
    <cellStyle name="Comma 7 6 2 8 2" xfId="17004"/>
    <cellStyle name="Comma 7 6 2 9" xfId="13579"/>
    <cellStyle name="Comma 7 6 3" xfId="1438"/>
    <cellStyle name="Comma 7 6 3 2" xfId="4858"/>
    <cellStyle name="Comma 7 6 3 2 2" xfId="11774"/>
    <cellStyle name="Comma 7 6 3 2 2 2" xfId="18313"/>
    <cellStyle name="Comma 7 6 3 2 3" xfId="15461"/>
    <cellStyle name="Comma 7 6 3 3" xfId="7130"/>
    <cellStyle name="Comma 7 6 3 3 2" xfId="12345"/>
    <cellStyle name="Comma 7 6 3 3 2 2" xfId="18884"/>
    <cellStyle name="Comma 7 6 3 3 3" xfId="16032"/>
    <cellStyle name="Comma 7 6 3 4" xfId="9402"/>
    <cellStyle name="Comma 7 6 3 4 2" xfId="12916"/>
    <cellStyle name="Comma 7 6 3 4 2 2" xfId="19455"/>
    <cellStyle name="Comma 7 6 3 4 3" xfId="16603"/>
    <cellStyle name="Comma 7 6 3 5" xfId="3246"/>
    <cellStyle name="Comma 7 6 3 5 2" xfId="11203"/>
    <cellStyle name="Comma 7 6 3 5 2 2" xfId="17742"/>
    <cellStyle name="Comma 7 6 3 5 3" xfId="14890"/>
    <cellStyle name="Comma 7 6 3 6" xfId="2672"/>
    <cellStyle name="Comma 7 6 3 6 2" xfId="14320"/>
    <cellStyle name="Comma 7 6 3 7" xfId="10633"/>
    <cellStyle name="Comma 7 6 3 7 2" xfId="17172"/>
    <cellStyle name="Comma 7 6 3 8" xfId="13750"/>
    <cellStyle name="Comma 7 6 4" xfId="3723"/>
    <cellStyle name="Comma 7 6 4 2" xfId="11489"/>
    <cellStyle name="Comma 7 6 4 2 2" xfId="18028"/>
    <cellStyle name="Comma 7 6 4 3" xfId="15176"/>
    <cellStyle name="Comma 7 6 5" xfId="5995"/>
    <cellStyle name="Comma 7 6 5 2" xfId="12060"/>
    <cellStyle name="Comma 7 6 5 2 2" xfId="18599"/>
    <cellStyle name="Comma 7 6 5 3" xfId="15747"/>
    <cellStyle name="Comma 7 6 6" xfId="8267"/>
    <cellStyle name="Comma 7 6 6 2" xfId="12631"/>
    <cellStyle name="Comma 7 6 6 2 2" xfId="19170"/>
    <cellStyle name="Comma 7 6 6 3" xfId="16318"/>
    <cellStyle name="Comma 7 6 7" xfId="2961"/>
    <cellStyle name="Comma 7 6 7 2" xfId="10918"/>
    <cellStyle name="Comma 7 6 7 2 2" xfId="17457"/>
    <cellStyle name="Comma 7 6 7 3" xfId="14605"/>
    <cellStyle name="Comma 7 6 8" xfId="2392"/>
    <cellStyle name="Comma 7 6 8 2" xfId="14040"/>
    <cellStyle name="Comma 7 6 9" xfId="10353"/>
    <cellStyle name="Comma 7 6 9 2" xfId="16892"/>
    <cellStyle name="Comma 7 7" xfId="984"/>
    <cellStyle name="Comma 7 7 2" xfId="2119"/>
    <cellStyle name="Comma 7 7 2 2" xfId="5539"/>
    <cellStyle name="Comma 7 7 2 2 2" xfId="11945"/>
    <cellStyle name="Comma 7 7 2 2 2 2" xfId="18484"/>
    <cellStyle name="Comma 7 7 2 2 3" xfId="15632"/>
    <cellStyle name="Comma 7 7 2 3" xfId="7811"/>
    <cellStyle name="Comma 7 7 2 3 2" xfId="12516"/>
    <cellStyle name="Comma 7 7 2 3 2 2" xfId="19055"/>
    <cellStyle name="Comma 7 7 2 3 3" xfId="16203"/>
    <cellStyle name="Comma 7 7 2 4" xfId="10083"/>
    <cellStyle name="Comma 7 7 2 4 2" xfId="13087"/>
    <cellStyle name="Comma 7 7 2 4 2 2" xfId="19626"/>
    <cellStyle name="Comma 7 7 2 4 3" xfId="16774"/>
    <cellStyle name="Comma 7 7 2 5" xfId="3417"/>
    <cellStyle name="Comma 7 7 2 5 2" xfId="11374"/>
    <cellStyle name="Comma 7 7 2 5 2 2" xfId="17913"/>
    <cellStyle name="Comma 7 7 2 5 3" xfId="15061"/>
    <cellStyle name="Comma 7 7 2 6" xfId="2840"/>
    <cellStyle name="Comma 7 7 2 6 2" xfId="14488"/>
    <cellStyle name="Comma 7 7 2 7" xfId="10801"/>
    <cellStyle name="Comma 7 7 2 7 2" xfId="17340"/>
    <cellStyle name="Comma 7 7 2 8" xfId="13921"/>
    <cellStyle name="Comma 7 7 3" xfId="4404"/>
    <cellStyle name="Comma 7 7 3 2" xfId="11660"/>
    <cellStyle name="Comma 7 7 3 2 2" xfId="18199"/>
    <cellStyle name="Comma 7 7 3 3" xfId="15347"/>
    <cellStyle name="Comma 7 7 4" xfId="6676"/>
    <cellStyle name="Comma 7 7 4 2" xfId="12231"/>
    <cellStyle name="Comma 7 7 4 2 2" xfId="18770"/>
    <cellStyle name="Comma 7 7 4 3" xfId="15918"/>
    <cellStyle name="Comma 7 7 5" xfId="8948"/>
    <cellStyle name="Comma 7 7 5 2" xfId="12802"/>
    <cellStyle name="Comma 7 7 5 2 2" xfId="19341"/>
    <cellStyle name="Comma 7 7 5 3" xfId="16489"/>
    <cellStyle name="Comma 7 7 6" xfId="3132"/>
    <cellStyle name="Comma 7 7 6 2" xfId="11089"/>
    <cellStyle name="Comma 7 7 6 2 2" xfId="17628"/>
    <cellStyle name="Comma 7 7 6 3" xfId="14776"/>
    <cellStyle name="Comma 7 7 7" xfId="2560"/>
    <cellStyle name="Comma 7 7 7 2" xfId="14208"/>
    <cellStyle name="Comma 7 7 8" xfId="10521"/>
    <cellStyle name="Comma 7 7 8 2" xfId="17060"/>
    <cellStyle name="Comma 7 7 9" xfId="13636"/>
    <cellStyle name="Comma 7 8" xfId="530"/>
    <cellStyle name="Comma 7 8 2" xfId="1665"/>
    <cellStyle name="Comma 7 8 2 2" xfId="5085"/>
    <cellStyle name="Comma 7 8 2 2 2" xfId="11831"/>
    <cellStyle name="Comma 7 8 2 2 2 2" xfId="18370"/>
    <cellStyle name="Comma 7 8 2 2 3" xfId="15518"/>
    <cellStyle name="Comma 7 8 2 3" xfId="7357"/>
    <cellStyle name="Comma 7 8 2 3 2" xfId="12402"/>
    <cellStyle name="Comma 7 8 2 3 2 2" xfId="18941"/>
    <cellStyle name="Comma 7 8 2 3 3" xfId="16089"/>
    <cellStyle name="Comma 7 8 2 4" xfId="9629"/>
    <cellStyle name="Comma 7 8 2 4 2" xfId="12973"/>
    <cellStyle name="Comma 7 8 2 4 2 2" xfId="19512"/>
    <cellStyle name="Comma 7 8 2 4 3" xfId="16660"/>
    <cellStyle name="Comma 7 8 2 5" xfId="3303"/>
    <cellStyle name="Comma 7 8 2 5 2" xfId="11260"/>
    <cellStyle name="Comma 7 8 2 5 2 2" xfId="17799"/>
    <cellStyle name="Comma 7 8 2 5 3" xfId="14947"/>
    <cellStyle name="Comma 7 8 2 6" xfId="2728"/>
    <cellStyle name="Comma 7 8 2 6 2" xfId="14376"/>
    <cellStyle name="Comma 7 8 2 7" xfId="10689"/>
    <cellStyle name="Comma 7 8 2 7 2" xfId="17228"/>
    <cellStyle name="Comma 7 8 2 8" xfId="13807"/>
    <cellStyle name="Comma 7 8 3" xfId="3950"/>
    <cellStyle name="Comma 7 8 3 2" xfId="11546"/>
    <cellStyle name="Comma 7 8 3 2 2" xfId="18085"/>
    <cellStyle name="Comma 7 8 3 3" xfId="15233"/>
    <cellStyle name="Comma 7 8 4" xfId="6222"/>
    <cellStyle name="Comma 7 8 4 2" xfId="12117"/>
    <cellStyle name="Comma 7 8 4 2 2" xfId="18656"/>
    <cellStyle name="Comma 7 8 4 3" xfId="15804"/>
    <cellStyle name="Comma 7 8 5" xfId="8494"/>
    <cellStyle name="Comma 7 8 5 2" xfId="12688"/>
    <cellStyle name="Comma 7 8 5 2 2" xfId="19227"/>
    <cellStyle name="Comma 7 8 5 3" xfId="16375"/>
    <cellStyle name="Comma 7 8 6" xfId="3018"/>
    <cellStyle name="Comma 7 8 6 2" xfId="10975"/>
    <cellStyle name="Comma 7 8 6 2 2" xfId="17514"/>
    <cellStyle name="Comma 7 8 6 3" xfId="14662"/>
    <cellStyle name="Comma 7 8 7" xfId="2448"/>
    <cellStyle name="Comma 7 8 7 2" xfId="14096"/>
    <cellStyle name="Comma 7 8 8" xfId="10409"/>
    <cellStyle name="Comma 7 8 8 2" xfId="16948"/>
    <cellStyle name="Comma 7 8 9" xfId="13522"/>
    <cellStyle name="Comma 7 9" xfId="1211"/>
    <cellStyle name="Comma 7 9 2" xfId="4631"/>
    <cellStyle name="Comma 7 9 2 2" xfId="11717"/>
    <cellStyle name="Comma 7 9 2 2 2" xfId="18256"/>
    <cellStyle name="Comma 7 9 2 3" xfId="15404"/>
    <cellStyle name="Comma 7 9 3" xfId="6903"/>
    <cellStyle name="Comma 7 9 3 2" xfId="12288"/>
    <cellStyle name="Comma 7 9 3 2 2" xfId="18827"/>
    <cellStyle name="Comma 7 9 3 3" xfId="15975"/>
    <cellStyle name="Comma 7 9 4" xfId="9175"/>
    <cellStyle name="Comma 7 9 4 2" xfId="12859"/>
    <cellStyle name="Comma 7 9 4 2 2" xfId="19398"/>
    <cellStyle name="Comma 7 9 4 3" xfId="16546"/>
    <cellStyle name="Comma 7 9 5" xfId="3189"/>
    <cellStyle name="Comma 7 9 5 2" xfId="11146"/>
    <cellStyle name="Comma 7 9 5 2 2" xfId="17685"/>
    <cellStyle name="Comma 7 9 5 3" xfId="14833"/>
    <cellStyle name="Comma 7 9 6" xfId="2616"/>
    <cellStyle name="Comma 7 9 6 2" xfId="14264"/>
    <cellStyle name="Comma 7 9 7" xfId="10577"/>
    <cellStyle name="Comma 7 9 7 2" xfId="17116"/>
    <cellStyle name="Comma 7 9 8" xfId="13693"/>
    <cellStyle name="Comma 8" xfId="65"/>
    <cellStyle name="Comma 8 10" xfId="3498"/>
    <cellStyle name="Comma 8 10 2" xfId="11433"/>
    <cellStyle name="Comma 8 10 2 2" xfId="17972"/>
    <cellStyle name="Comma 8 10 3" xfId="15120"/>
    <cellStyle name="Comma 8 11" xfId="5770"/>
    <cellStyle name="Comma 8 11 2" xfId="12004"/>
    <cellStyle name="Comma 8 11 2 2" xfId="18543"/>
    <cellStyle name="Comma 8 11 3" xfId="15691"/>
    <cellStyle name="Comma 8 12" xfId="8042"/>
    <cellStyle name="Comma 8 12 2" xfId="12575"/>
    <cellStyle name="Comma 8 12 2 2" xfId="19114"/>
    <cellStyle name="Comma 8 12 3" xfId="16262"/>
    <cellStyle name="Comma 8 13" xfId="2900"/>
    <cellStyle name="Comma 8 13 2" xfId="10860"/>
    <cellStyle name="Comma 8 13 2 2" xfId="17399"/>
    <cellStyle name="Comma 8 13 3" xfId="14547"/>
    <cellStyle name="Comma 8 14" xfId="2335"/>
    <cellStyle name="Comma 8 14 2" xfId="13983"/>
    <cellStyle name="Comma 8 15" xfId="10296"/>
    <cellStyle name="Comma 8 15 2" xfId="16835"/>
    <cellStyle name="Comma 8 16" xfId="13263"/>
    <cellStyle name="Comma 8 16 2" xfId="19772"/>
    <cellStyle name="Comma 8 17" xfId="13407"/>
    <cellStyle name="Comma 8 18" xfId="19866"/>
    <cellStyle name="Comma 8 19" xfId="20106"/>
    <cellStyle name="Comma 8 2" xfId="95"/>
    <cellStyle name="Comma 8 2 10" xfId="5798"/>
    <cellStyle name="Comma 8 2 10 2" xfId="12011"/>
    <cellStyle name="Comma 8 2 10 2 2" xfId="18550"/>
    <cellStyle name="Comma 8 2 10 3" xfId="15698"/>
    <cellStyle name="Comma 8 2 11" xfId="8070"/>
    <cellStyle name="Comma 8 2 11 2" xfId="12582"/>
    <cellStyle name="Comma 8 2 11 2 2" xfId="19121"/>
    <cellStyle name="Comma 8 2 11 3" xfId="16269"/>
    <cellStyle name="Comma 8 2 12" xfId="2909"/>
    <cellStyle name="Comma 8 2 12 2" xfId="10868"/>
    <cellStyle name="Comma 8 2 12 2 2" xfId="17407"/>
    <cellStyle name="Comma 8 2 12 3" xfId="14555"/>
    <cellStyle name="Comma 8 2 13" xfId="2343"/>
    <cellStyle name="Comma 8 2 13 2" xfId="13991"/>
    <cellStyle name="Comma 8 2 14" xfId="10304"/>
    <cellStyle name="Comma 8 2 14 2" xfId="16843"/>
    <cellStyle name="Comma 8 2 15" xfId="13264"/>
    <cellStyle name="Comma 8 2 15 2" xfId="19773"/>
    <cellStyle name="Comma 8 2 16" xfId="13415"/>
    <cellStyle name="Comma 8 2 17" xfId="19867"/>
    <cellStyle name="Comma 8 2 18" xfId="20268"/>
    <cellStyle name="Comma 8 2 2" xfId="207"/>
    <cellStyle name="Comma 8 2 2 10" xfId="2371"/>
    <cellStyle name="Comma 8 2 2 10 2" xfId="14019"/>
    <cellStyle name="Comma 8 2 2 11" xfId="10332"/>
    <cellStyle name="Comma 8 2 2 11 2" xfId="16871"/>
    <cellStyle name="Comma 8 2 2 12" xfId="13443"/>
    <cellStyle name="Comma 8 2 2 2" xfId="445"/>
    <cellStyle name="Comma 8 2 2 2 10" xfId="13501"/>
    <cellStyle name="Comma 8 2 2 2 2" xfId="899"/>
    <cellStyle name="Comma 8 2 2 2 2 2" xfId="2034"/>
    <cellStyle name="Comma 8 2 2 2 2 2 2" xfId="5454"/>
    <cellStyle name="Comma 8 2 2 2 2 2 2 2" xfId="11924"/>
    <cellStyle name="Comma 8 2 2 2 2 2 2 2 2" xfId="18463"/>
    <cellStyle name="Comma 8 2 2 2 2 2 2 3" xfId="15611"/>
    <cellStyle name="Comma 8 2 2 2 2 2 3" xfId="7726"/>
    <cellStyle name="Comma 8 2 2 2 2 2 3 2" xfId="12495"/>
    <cellStyle name="Comma 8 2 2 2 2 2 3 2 2" xfId="19034"/>
    <cellStyle name="Comma 8 2 2 2 2 2 3 3" xfId="16182"/>
    <cellStyle name="Comma 8 2 2 2 2 2 4" xfId="9998"/>
    <cellStyle name="Comma 8 2 2 2 2 2 4 2" xfId="13066"/>
    <cellStyle name="Comma 8 2 2 2 2 2 4 2 2" xfId="19605"/>
    <cellStyle name="Comma 8 2 2 2 2 2 4 3" xfId="16753"/>
    <cellStyle name="Comma 8 2 2 2 2 2 5" xfId="3396"/>
    <cellStyle name="Comma 8 2 2 2 2 2 5 2" xfId="11353"/>
    <cellStyle name="Comma 8 2 2 2 2 2 5 2 2" xfId="17892"/>
    <cellStyle name="Comma 8 2 2 2 2 2 5 3" xfId="15040"/>
    <cellStyle name="Comma 8 2 2 2 2 2 6" xfId="2820"/>
    <cellStyle name="Comma 8 2 2 2 2 2 6 2" xfId="14468"/>
    <cellStyle name="Comma 8 2 2 2 2 2 7" xfId="10781"/>
    <cellStyle name="Comma 8 2 2 2 2 2 7 2" xfId="17320"/>
    <cellStyle name="Comma 8 2 2 2 2 2 8" xfId="13900"/>
    <cellStyle name="Comma 8 2 2 2 2 3" xfId="4319"/>
    <cellStyle name="Comma 8 2 2 2 2 3 2" xfId="11639"/>
    <cellStyle name="Comma 8 2 2 2 2 3 2 2" xfId="18178"/>
    <cellStyle name="Comma 8 2 2 2 2 3 3" xfId="15326"/>
    <cellStyle name="Comma 8 2 2 2 2 4" xfId="6591"/>
    <cellStyle name="Comma 8 2 2 2 2 4 2" xfId="12210"/>
    <cellStyle name="Comma 8 2 2 2 2 4 2 2" xfId="18749"/>
    <cellStyle name="Comma 8 2 2 2 2 4 3" xfId="15897"/>
    <cellStyle name="Comma 8 2 2 2 2 5" xfId="8863"/>
    <cellStyle name="Comma 8 2 2 2 2 5 2" xfId="12781"/>
    <cellStyle name="Comma 8 2 2 2 2 5 2 2" xfId="19320"/>
    <cellStyle name="Comma 8 2 2 2 2 5 3" xfId="16468"/>
    <cellStyle name="Comma 8 2 2 2 2 6" xfId="3111"/>
    <cellStyle name="Comma 8 2 2 2 2 6 2" xfId="11068"/>
    <cellStyle name="Comma 8 2 2 2 2 6 2 2" xfId="17607"/>
    <cellStyle name="Comma 8 2 2 2 2 6 3" xfId="14755"/>
    <cellStyle name="Comma 8 2 2 2 2 7" xfId="2540"/>
    <cellStyle name="Comma 8 2 2 2 2 7 2" xfId="14188"/>
    <cellStyle name="Comma 8 2 2 2 2 8" xfId="10501"/>
    <cellStyle name="Comma 8 2 2 2 2 8 2" xfId="17040"/>
    <cellStyle name="Comma 8 2 2 2 2 9" xfId="13615"/>
    <cellStyle name="Comma 8 2 2 2 3" xfId="1580"/>
    <cellStyle name="Comma 8 2 2 2 3 2" xfId="5000"/>
    <cellStyle name="Comma 8 2 2 2 3 2 2" xfId="11810"/>
    <cellStyle name="Comma 8 2 2 2 3 2 2 2" xfId="18349"/>
    <cellStyle name="Comma 8 2 2 2 3 2 3" xfId="15497"/>
    <cellStyle name="Comma 8 2 2 2 3 3" xfId="7272"/>
    <cellStyle name="Comma 8 2 2 2 3 3 2" xfId="12381"/>
    <cellStyle name="Comma 8 2 2 2 3 3 2 2" xfId="18920"/>
    <cellStyle name="Comma 8 2 2 2 3 3 3" xfId="16068"/>
    <cellStyle name="Comma 8 2 2 2 3 4" xfId="9544"/>
    <cellStyle name="Comma 8 2 2 2 3 4 2" xfId="12952"/>
    <cellStyle name="Comma 8 2 2 2 3 4 2 2" xfId="19491"/>
    <cellStyle name="Comma 8 2 2 2 3 4 3" xfId="16639"/>
    <cellStyle name="Comma 8 2 2 2 3 5" xfId="3282"/>
    <cellStyle name="Comma 8 2 2 2 3 5 2" xfId="11239"/>
    <cellStyle name="Comma 8 2 2 2 3 5 2 2" xfId="17778"/>
    <cellStyle name="Comma 8 2 2 2 3 5 3" xfId="14926"/>
    <cellStyle name="Comma 8 2 2 2 3 6" xfId="2708"/>
    <cellStyle name="Comma 8 2 2 2 3 6 2" xfId="14356"/>
    <cellStyle name="Comma 8 2 2 2 3 7" xfId="10669"/>
    <cellStyle name="Comma 8 2 2 2 3 7 2" xfId="17208"/>
    <cellStyle name="Comma 8 2 2 2 3 8" xfId="13786"/>
    <cellStyle name="Comma 8 2 2 2 4" xfId="3865"/>
    <cellStyle name="Comma 8 2 2 2 4 2" xfId="11525"/>
    <cellStyle name="Comma 8 2 2 2 4 2 2" xfId="18064"/>
    <cellStyle name="Comma 8 2 2 2 4 3" xfId="15212"/>
    <cellStyle name="Comma 8 2 2 2 5" xfId="6137"/>
    <cellStyle name="Comma 8 2 2 2 5 2" xfId="12096"/>
    <cellStyle name="Comma 8 2 2 2 5 2 2" xfId="18635"/>
    <cellStyle name="Comma 8 2 2 2 5 3" xfId="15783"/>
    <cellStyle name="Comma 8 2 2 2 6" xfId="8409"/>
    <cellStyle name="Comma 8 2 2 2 6 2" xfId="12667"/>
    <cellStyle name="Comma 8 2 2 2 6 2 2" xfId="19206"/>
    <cellStyle name="Comma 8 2 2 2 6 3" xfId="16354"/>
    <cellStyle name="Comma 8 2 2 2 7" xfId="2997"/>
    <cellStyle name="Comma 8 2 2 2 7 2" xfId="10954"/>
    <cellStyle name="Comma 8 2 2 2 7 2 2" xfId="17493"/>
    <cellStyle name="Comma 8 2 2 2 7 3" xfId="14641"/>
    <cellStyle name="Comma 8 2 2 2 8" xfId="2428"/>
    <cellStyle name="Comma 8 2 2 2 8 2" xfId="14076"/>
    <cellStyle name="Comma 8 2 2 2 9" xfId="10389"/>
    <cellStyle name="Comma 8 2 2 2 9 2" xfId="16928"/>
    <cellStyle name="Comma 8 2 2 3" xfId="1126"/>
    <cellStyle name="Comma 8 2 2 3 2" xfId="2261"/>
    <cellStyle name="Comma 8 2 2 3 2 2" xfId="5681"/>
    <cellStyle name="Comma 8 2 2 3 2 2 2" xfId="11981"/>
    <cellStyle name="Comma 8 2 2 3 2 2 2 2" xfId="18520"/>
    <cellStyle name="Comma 8 2 2 3 2 2 3" xfId="15668"/>
    <cellStyle name="Comma 8 2 2 3 2 3" xfId="7953"/>
    <cellStyle name="Comma 8 2 2 3 2 3 2" xfId="12552"/>
    <cellStyle name="Comma 8 2 2 3 2 3 2 2" xfId="19091"/>
    <cellStyle name="Comma 8 2 2 3 2 3 3" xfId="16239"/>
    <cellStyle name="Comma 8 2 2 3 2 4" xfId="10225"/>
    <cellStyle name="Comma 8 2 2 3 2 4 2" xfId="13123"/>
    <cellStyle name="Comma 8 2 2 3 2 4 2 2" xfId="19662"/>
    <cellStyle name="Comma 8 2 2 3 2 4 3" xfId="16810"/>
    <cellStyle name="Comma 8 2 2 3 2 5" xfId="3453"/>
    <cellStyle name="Comma 8 2 2 3 2 5 2" xfId="11410"/>
    <cellStyle name="Comma 8 2 2 3 2 5 2 2" xfId="17949"/>
    <cellStyle name="Comma 8 2 2 3 2 5 3" xfId="15097"/>
    <cellStyle name="Comma 8 2 2 3 2 6" xfId="2876"/>
    <cellStyle name="Comma 8 2 2 3 2 6 2" xfId="14524"/>
    <cellStyle name="Comma 8 2 2 3 2 7" xfId="10837"/>
    <cellStyle name="Comma 8 2 2 3 2 7 2" xfId="17376"/>
    <cellStyle name="Comma 8 2 2 3 2 8" xfId="13957"/>
    <cellStyle name="Comma 8 2 2 3 3" xfId="4546"/>
    <cellStyle name="Comma 8 2 2 3 3 2" xfId="11696"/>
    <cellStyle name="Comma 8 2 2 3 3 2 2" xfId="18235"/>
    <cellStyle name="Comma 8 2 2 3 3 3" xfId="15383"/>
    <cellStyle name="Comma 8 2 2 3 4" xfId="6818"/>
    <cellStyle name="Comma 8 2 2 3 4 2" xfId="12267"/>
    <cellStyle name="Comma 8 2 2 3 4 2 2" xfId="18806"/>
    <cellStyle name="Comma 8 2 2 3 4 3" xfId="15954"/>
    <cellStyle name="Comma 8 2 2 3 5" xfId="9090"/>
    <cellStyle name="Comma 8 2 2 3 5 2" xfId="12838"/>
    <cellStyle name="Comma 8 2 2 3 5 2 2" xfId="19377"/>
    <cellStyle name="Comma 8 2 2 3 5 3" xfId="16525"/>
    <cellStyle name="Comma 8 2 2 3 6" xfId="3168"/>
    <cellStyle name="Comma 8 2 2 3 6 2" xfId="11125"/>
    <cellStyle name="Comma 8 2 2 3 6 2 2" xfId="17664"/>
    <cellStyle name="Comma 8 2 2 3 6 3" xfId="14812"/>
    <cellStyle name="Comma 8 2 2 3 7" xfId="2596"/>
    <cellStyle name="Comma 8 2 2 3 7 2" xfId="14244"/>
    <cellStyle name="Comma 8 2 2 3 8" xfId="10557"/>
    <cellStyle name="Comma 8 2 2 3 8 2" xfId="17096"/>
    <cellStyle name="Comma 8 2 2 3 9" xfId="13672"/>
    <cellStyle name="Comma 8 2 2 4" xfId="672"/>
    <cellStyle name="Comma 8 2 2 4 2" xfId="1807"/>
    <cellStyle name="Comma 8 2 2 4 2 2" xfId="5227"/>
    <cellStyle name="Comma 8 2 2 4 2 2 2" xfId="11867"/>
    <cellStyle name="Comma 8 2 2 4 2 2 2 2" xfId="18406"/>
    <cellStyle name="Comma 8 2 2 4 2 2 3" xfId="15554"/>
    <cellStyle name="Comma 8 2 2 4 2 3" xfId="7499"/>
    <cellStyle name="Comma 8 2 2 4 2 3 2" xfId="12438"/>
    <cellStyle name="Comma 8 2 2 4 2 3 2 2" xfId="18977"/>
    <cellStyle name="Comma 8 2 2 4 2 3 3" xfId="16125"/>
    <cellStyle name="Comma 8 2 2 4 2 4" xfId="9771"/>
    <cellStyle name="Comma 8 2 2 4 2 4 2" xfId="13009"/>
    <cellStyle name="Comma 8 2 2 4 2 4 2 2" xfId="19548"/>
    <cellStyle name="Comma 8 2 2 4 2 4 3" xfId="16696"/>
    <cellStyle name="Comma 8 2 2 4 2 5" xfId="3339"/>
    <cellStyle name="Comma 8 2 2 4 2 5 2" xfId="11296"/>
    <cellStyle name="Comma 8 2 2 4 2 5 2 2" xfId="17835"/>
    <cellStyle name="Comma 8 2 2 4 2 5 3" xfId="14983"/>
    <cellStyle name="Comma 8 2 2 4 2 6" xfId="2764"/>
    <cellStyle name="Comma 8 2 2 4 2 6 2" xfId="14412"/>
    <cellStyle name="Comma 8 2 2 4 2 7" xfId="10725"/>
    <cellStyle name="Comma 8 2 2 4 2 7 2" xfId="17264"/>
    <cellStyle name="Comma 8 2 2 4 2 8" xfId="13843"/>
    <cellStyle name="Comma 8 2 2 4 3" xfId="4092"/>
    <cellStyle name="Comma 8 2 2 4 3 2" xfId="11582"/>
    <cellStyle name="Comma 8 2 2 4 3 2 2" xfId="18121"/>
    <cellStyle name="Comma 8 2 2 4 3 3" xfId="15269"/>
    <cellStyle name="Comma 8 2 2 4 4" xfId="6364"/>
    <cellStyle name="Comma 8 2 2 4 4 2" xfId="12153"/>
    <cellStyle name="Comma 8 2 2 4 4 2 2" xfId="18692"/>
    <cellStyle name="Comma 8 2 2 4 4 3" xfId="15840"/>
    <cellStyle name="Comma 8 2 2 4 5" xfId="8636"/>
    <cellStyle name="Comma 8 2 2 4 5 2" xfId="12724"/>
    <cellStyle name="Comma 8 2 2 4 5 2 2" xfId="19263"/>
    <cellStyle name="Comma 8 2 2 4 5 3" xfId="16411"/>
    <cellStyle name="Comma 8 2 2 4 6" xfId="3054"/>
    <cellStyle name="Comma 8 2 2 4 6 2" xfId="11011"/>
    <cellStyle name="Comma 8 2 2 4 6 2 2" xfId="17550"/>
    <cellStyle name="Comma 8 2 2 4 6 3" xfId="14698"/>
    <cellStyle name="Comma 8 2 2 4 7" xfId="2484"/>
    <cellStyle name="Comma 8 2 2 4 7 2" xfId="14132"/>
    <cellStyle name="Comma 8 2 2 4 8" xfId="10445"/>
    <cellStyle name="Comma 8 2 2 4 8 2" xfId="16984"/>
    <cellStyle name="Comma 8 2 2 4 9" xfId="13558"/>
    <cellStyle name="Comma 8 2 2 5" xfId="1353"/>
    <cellStyle name="Comma 8 2 2 5 2" xfId="4773"/>
    <cellStyle name="Comma 8 2 2 5 2 2" xfId="11753"/>
    <cellStyle name="Comma 8 2 2 5 2 2 2" xfId="18292"/>
    <cellStyle name="Comma 8 2 2 5 2 3" xfId="15440"/>
    <cellStyle name="Comma 8 2 2 5 3" xfId="7045"/>
    <cellStyle name="Comma 8 2 2 5 3 2" xfId="12324"/>
    <cellStyle name="Comma 8 2 2 5 3 2 2" xfId="18863"/>
    <cellStyle name="Comma 8 2 2 5 3 3" xfId="16011"/>
    <cellStyle name="Comma 8 2 2 5 4" xfId="9317"/>
    <cellStyle name="Comma 8 2 2 5 4 2" xfId="12895"/>
    <cellStyle name="Comma 8 2 2 5 4 2 2" xfId="19434"/>
    <cellStyle name="Comma 8 2 2 5 4 3" xfId="16582"/>
    <cellStyle name="Comma 8 2 2 5 5" xfId="3225"/>
    <cellStyle name="Comma 8 2 2 5 5 2" xfId="11182"/>
    <cellStyle name="Comma 8 2 2 5 5 2 2" xfId="17721"/>
    <cellStyle name="Comma 8 2 2 5 5 3" xfId="14869"/>
    <cellStyle name="Comma 8 2 2 5 6" xfId="2652"/>
    <cellStyle name="Comma 8 2 2 5 6 2" xfId="14300"/>
    <cellStyle name="Comma 8 2 2 5 7" xfId="10613"/>
    <cellStyle name="Comma 8 2 2 5 7 2" xfId="17152"/>
    <cellStyle name="Comma 8 2 2 5 8" xfId="13729"/>
    <cellStyle name="Comma 8 2 2 6" xfId="3638"/>
    <cellStyle name="Comma 8 2 2 6 2" xfId="11468"/>
    <cellStyle name="Comma 8 2 2 6 2 2" xfId="18007"/>
    <cellStyle name="Comma 8 2 2 6 3" xfId="15155"/>
    <cellStyle name="Comma 8 2 2 7" xfId="5910"/>
    <cellStyle name="Comma 8 2 2 7 2" xfId="12039"/>
    <cellStyle name="Comma 8 2 2 7 2 2" xfId="18578"/>
    <cellStyle name="Comma 8 2 2 7 3" xfId="15726"/>
    <cellStyle name="Comma 8 2 2 8" xfId="8182"/>
    <cellStyle name="Comma 8 2 2 8 2" xfId="12610"/>
    <cellStyle name="Comma 8 2 2 8 2 2" xfId="19149"/>
    <cellStyle name="Comma 8 2 2 8 3" xfId="16297"/>
    <cellStyle name="Comma 8 2 2 9" xfId="2937"/>
    <cellStyle name="Comma 8 2 2 9 2" xfId="10896"/>
    <cellStyle name="Comma 8 2 2 9 2 2" xfId="17435"/>
    <cellStyle name="Comma 8 2 2 9 3" xfId="14583"/>
    <cellStyle name="Comma 8 2 3" xfId="151"/>
    <cellStyle name="Comma 8 2 3 10" xfId="2357"/>
    <cellStyle name="Comma 8 2 3 10 2" xfId="14005"/>
    <cellStyle name="Comma 8 2 3 11" xfId="10318"/>
    <cellStyle name="Comma 8 2 3 11 2" xfId="16857"/>
    <cellStyle name="Comma 8 2 3 12" xfId="13429"/>
    <cellStyle name="Comma 8 2 3 2" xfId="389"/>
    <cellStyle name="Comma 8 2 3 2 10" xfId="13487"/>
    <cellStyle name="Comma 8 2 3 2 2" xfId="843"/>
    <cellStyle name="Comma 8 2 3 2 2 2" xfId="1978"/>
    <cellStyle name="Comma 8 2 3 2 2 2 2" xfId="5398"/>
    <cellStyle name="Comma 8 2 3 2 2 2 2 2" xfId="11910"/>
    <cellStyle name="Comma 8 2 3 2 2 2 2 2 2" xfId="18449"/>
    <cellStyle name="Comma 8 2 3 2 2 2 2 3" xfId="15597"/>
    <cellStyle name="Comma 8 2 3 2 2 2 3" xfId="7670"/>
    <cellStyle name="Comma 8 2 3 2 2 2 3 2" xfId="12481"/>
    <cellStyle name="Comma 8 2 3 2 2 2 3 2 2" xfId="19020"/>
    <cellStyle name="Comma 8 2 3 2 2 2 3 3" xfId="16168"/>
    <cellStyle name="Comma 8 2 3 2 2 2 4" xfId="9942"/>
    <cellStyle name="Comma 8 2 3 2 2 2 4 2" xfId="13052"/>
    <cellStyle name="Comma 8 2 3 2 2 2 4 2 2" xfId="19591"/>
    <cellStyle name="Comma 8 2 3 2 2 2 4 3" xfId="16739"/>
    <cellStyle name="Comma 8 2 3 2 2 2 5" xfId="3382"/>
    <cellStyle name="Comma 8 2 3 2 2 2 5 2" xfId="11339"/>
    <cellStyle name="Comma 8 2 3 2 2 2 5 2 2" xfId="17878"/>
    <cellStyle name="Comma 8 2 3 2 2 2 5 3" xfId="15026"/>
    <cellStyle name="Comma 8 2 3 2 2 2 6" xfId="2806"/>
    <cellStyle name="Comma 8 2 3 2 2 2 6 2" xfId="14454"/>
    <cellStyle name="Comma 8 2 3 2 2 2 7" xfId="10767"/>
    <cellStyle name="Comma 8 2 3 2 2 2 7 2" xfId="17306"/>
    <cellStyle name="Comma 8 2 3 2 2 2 8" xfId="13886"/>
    <cellStyle name="Comma 8 2 3 2 2 3" xfId="4263"/>
    <cellStyle name="Comma 8 2 3 2 2 3 2" xfId="11625"/>
    <cellStyle name="Comma 8 2 3 2 2 3 2 2" xfId="18164"/>
    <cellStyle name="Comma 8 2 3 2 2 3 3" xfId="15312"/>
    <cellStyle name="Comma 8 2 3 2 2 4" xfId="6535"/>
    <cellStyle name="Comma 8 2 3 2 2 4 2" xfId="12196"/>
    <cellStyle name="Comma 8 2 3 2 2 4 2 2" xfId="18735"/>
    <cellStyle name="Comma 8 2 3 2 2 4 3" xfId="15883"/>
    <cellStyle name="Comma 8 2 3 2 2 5" xfId="8807"/>
    <cellStyle name="Comma 8 2 3 2 2 5 2" xfId="12767"/>
    <cellStyle name="Comma 8 2 3 2 2 5 2 2" xfId="19306"/>
    <cellStyle name="Comma 8 2 3 2 2 5 3" xfId="16454"/>
    <cellStyle name="Comma 8 2 3 2 2 6" xfId="3097"/>
    <cellStyle name="Comma 8 2 3 2 2 6 2" xfId="11054"/>
    <cellStyle name="Comma 8 2 3 2 2 6 2 2" xfId="17593"/>
    <cellStyle name="Comma 8 2 3 2 2 6 3" xfId="14741"/>
    <cellStyle name="Comma 8 2 3 2 2 7" xfId="2526"/>
    <cellStyle name="Comma 8 2 3 2 2 7 2" xfId="14174"/>
    <cellStyle name="Comma 8 2 3 2 2 8" xfId="10487"/>
    <cellStyle name="Comma 8 2 3 2 2 8 2" xfId="17026"/>
    <cellStyle name="Comma 8 2 3 2 2 9" xfId="13601"/>
    <cellStyle name="Comma 8 2 3 2 3" xfId="1524"/>
    <cellStyle name="Comma 8 2 3 2 3 2" xfId="4944"/>
    <cellStyle name="Comma 8 2 3 2 3 2 2" xfId="11796"/>
    <cellStyle name="Comma 8 2 3 2 3 2 2 2" xfId="18335"/>
    <cellStyle name="Comma 8 2 3 2 3 2 3" xfId="15483"/>
    <cellStyle name="Comma 8 2 3 2 3 3" xfId="7216"/>
    <cellStyle name="Comma 8 2 3 2 3 3 2" xfId="12367"/>
    <cellStyle name="Comma 8 2 3 2 3 3 2 2" xfId="18906"/>
    <cellStyle name="Comma 8 2 3 2 3 3 3" xfId="16054"/>
    <cellStyle name="Comma 8 2 3 2 3 4" xfId="9488"/>
    <cellStyle name="Comma 8 2 3 2 3 4 2" xfId="12938"/>
    <cellStyle name="Comma 8 2 3 2 3 4 2 2" xfId="19477"/>
    <cellStyle name="Comma 8 2 3 2 3 4 3" xfId="16625"/>
    <cellStyle name="Comma 8 2 3 2 3 5" xfId="3268"/>
    <cellStyle name="Comma 8 2 3 2 3 5 2" xfId="11225"/>
    <cellStyle name="Comma 8 2 3 2 3 5 2 2" xfId="17764"/>
    <cellStyle name="Comma 8 2 3 2 3 5 3" xfId="14912"/>
    <cellStyle name="Comma 8 2 3 2 3 6" xfId="2694"/>
    <cellStyle name="Comma 8 2 3 2 3 6 2" xfId="14342"/>
    <cellStyle name="Comma 8 2 3 2 3 7" xfId="10655"/>
    <cellStyle name="Comma 8 2 3 2 3 7 2" xfId="17194"/>
    <cellStyle name="Comma 8 2 3 2 3 8" xfId="13772"/>
    <cellStyle name="Comma 8 2 3 2 4" xfId="3809"/>
    <cellStyle name="Comma 8 2 3 2 4 2" xfId="11511"/>
    <cellStyle name="Comma 8 2 3 2 4 2 2" xfId="18050"/>
    <cellStyle name="Comma 8 2 3 2 4 3" xfId="15198"/>
    <cellStyle name="Comma 8 2 3 2 5" xfId="6081"/>
    <cellStyle name="Comma 8 2 3 2 5 2" xfId="12082"/>
    <cellStyle name="Comma 8 2 3 2 5 2 2" xfId="18621"/>
    <cellStyle name="Comma 8 2 3 2 5 3" xfId="15769"/>
    <cellStyle name="Comma 8 2 3 2 6" xfId="8353"/>
    <cellStyle name="Comma 8 2 3 2 6 2" xfId="12653"/>
    <cellStyle name="Comma 8 2 3 2 6 2 2" xfId="19192"/>
    <cellStyle name="Comma 8 2 3 2 6 3" xfId="16340"/>
    <cellStyle name="Comma 8 2 3 2 7" xfId="2983"/>
    <cellStyle name="Comma 8 2 3 2 7 2" xfId="10940"/>
    <cellStyle name="Comma 8 2 3 2 7 2 2" xfId="17479"/>
    <cellStyle name="Comma 8 2 3 2 7 3" xfId="14627"/>
    <cellStyle name="Comma 8 2 3 2 8" xfId="2414"/>
    <cellStyle name="Comma 8 2 3 2 8 2" xfId="14062"/>
    <cellStyle name="Comma 8 2 3 2 9" xfId="10375"/>
    <cellStyle name="Comma 8 2 3 2 9 2" xfId="16914"/>
    <cellStyle name="Comma 8 2 3 3" xfId="1070"/>
    <cellStyle name="Comma 8 2 3 3 2" xfId="2205"/>
    <cellStyle name="Comma 8 2 3 3 2 2" xfId="5625"/>
    <cellStyle name="Comma 8 2 3 3 2 2 2" xfId="11967"/>
    <cellStyle name="Comma 8 2 3 3 2 2 2 2" xfId="18506"/>
    <cellStyle name="Comma 8 2 3 3 2 2 3" xfId="15654"/>
    <cellStyle name="Comma 8 2 3 3 2 3" xfId="7897"/>
    <cellStyle name="Comma 8 2 3 3 2 3 2" xfId="12538"/>
    <cellStyle name="Comma 8 2 3 3 2 3 2 2" xfId="19077"/>
    <cellStyle name="Comma 8 2 3 3 2 3 3" xfId="16225"/>
    <cellStyle name="Comma 8 2 3 3 2 4" xfId="10169"/>
    <cellStyle name="Comma 8 2 3 3 2 4 2" xfId="13109"/>
    <cellStyle name="Comma 8 2 3 3 2 4 2 2" xfId="19648"/>
    <cellStyle name="Comma 8 2 3 3 2 4 3" xfId="16796"/>
    <cellStyle name="Comma 8 2 3 3 2 5" xfId="3439"/>
    <cellStyle name="Comma 8 2 3 3 2 5 2" xfId="11396"/>
    <cellStyle name="Comma 8 2 3 3 2 5 2 2" xfId="17935"/>
    <cellStyle name="Comma 8 2 3 3 2 5 3" xfId="15083"/>
    <cellStyle name="Comma 8 2 3 3 2 6" xfId="2862"/>
    <cellStyle name="Comma 8 2 3 3 2 6 2" xfId="14510"/>
    <cellStyle name="Comma 8 2 3 3 2 7" xfId="10823"/>
    <cellStyle name="Comma 8 2 3 3 2 7 2" xfId="17362"/>
    <cellStyle name="Comma 8 2 3 3 2 8" xfId="13943"/>
    <cellStyle name="Comma 8 2 3 3 3" xfId="4490"/>
    <cellStyle name="Comma 8 2 3 3 3 2" xfId="11682"/>
    <cellStyle name="Comma 8 2 3 3 3 2 2" xfId="18221"/>
    <cellStyle name="Comma 8 2 3 3 3 3" xfId="15369"/>
    <cellStyle name="Comma 8 2 3 3 4" xfId="6762"/>
    <cellStyle name="Comma 8 2 3 3 4 2" xfId="12253"/>
    <cellStyle name="Comma 8 2 3 3 4 2 2" xfId="18792"/>
    <cellStyle name="Comma 8 2 3 3 4 3" xfId="15940"/>
    <cellStyle name="Comma 8 2 3 3 5" xfId="9034"/>
    <cellStyle name="Comma 8 2 3 3 5 2" xfId="12824"/>
    <cellStyle name="Comma 8 2 3 3 5 2 2" xfId="19363"/>
    <cellStyle name="Comma 8 2 3 3 5 3" xfId="16511"/>
    <cellStyle name="Comma 8 2 3 3 6" xfId="3154"/>
    <cellStyle name="Comma 8 2 3 3 6 2" xfId="11111"/>
    <cellStyle name="Comma 8 2 3 3 6 2 2" xfId="17650"/>
    <cellStyle name="Comma 8 2 3 3 6 3" xfId="14798"/>
    <cellStyle name="Comma 8 2 3 3 7" xfId="2582"/>
    <cellStyle name="Comma 8 2 3 3 7 2" xfId="14230"/>
    <cellStyle name="Comma 8 2 3 3 8" xfId="10543"/>
    <cellStyle name="Comma 8 2 3 3 8 2" xfId="17082"/>
    <cellStyle name="Comma 8 2 3 3 9" xfId="13658"/>
    <cellStyle name="Comma 8 2 3 4" xfId="616"/>
    <cellStyle name="Comma 8 2 3 4 2" xfId="1751"/>
    <cellStyle name="Comma 8 2 3 4 2 2" xfId="5171"/>
    <cellStyle name="Comma 8 2 3 4 2 2 2" xfId="11853"/>
    <cellStyle name="Comma 8 2 3 4 2 2 2 2" xfId="18392"/>
    <cellStyle name="Comma 8 2 3 4 2 2 3" xfId="15540"/>
    <cellStyle name="Comma 8 2 3 4 2 3" xfId="7443"/>
    <cellStyle name="Comma 8 2 3 4 2 3 2" xfId="12424"/>
    <cellStyle name="Comma 8 2 3 4 2 3 2 2" xfId="18963"/>
    <cellStyle name="Comma 8 2 3 4 2 3 3" xfId="16111"/>
    <cellStyle name="Comma 8 2 3 4 2 4" xfId="9715"/>
    <cellStyle name="Comma 8 2 3 4 2 4 2" xfId="12995"/>
    <cellStyle name="Comma 8 2 3 4 2 4 2 2" xfId="19534"/>
    <cellStyle name="Comma 8 2 3 4 2 4 3" xfId="16682"/>
    <cellStyle name="Comma 8 2 3 4 2 5" xfId="3325"/>
    <cellStyle name="Comma 8 2 3 4 2 5 2" xfId="11282"/>
    <cellStyle name="Comma 8 2 3 4 2 5 2 2" xfId="17821"/>
    <cellStyle name="Comma 8 2 3 4 2 5 3" xfId="14969"/>
    <cellStyle name="Comma 8 2 3 4 2 6" xfId="2750"/>
    <cellStyle name="Comma 8 2 3 4 2 6 2" xfId="14398"/>
    <cellStyle name="Comma 8 2 3 4 2 7" xfId="10711"/>
    <cellStyle name="Comma 8 2 3 4 2 7 2" xfId="17250"/>
    <cellStyle name="Comma 8 2 3 4 2 8" xfId="13829"/>
    <cellStyle name="Comma 8 2 3 4 3" xfId="4036"/>
    <cellStyle name="Comma 8 2 3 4 3 2" xfId="11568"/>
    <cellStyle name="Comma 8 2 3 4 3 2 2" xfId="18107"/>
    <cellStyle name="Comma 8 2 3 4 3 3" xfId="15255"/>
    <cellStyle name="Comma 8 2 3 4 4" xfId="6308"/>
    <cellStyle name="Comma 8 2 3 4 4 2" xfId="12139"/>
    <cellStyle name="Comma 8 2 3 4 4 2 2" xfId="18678"/>
    <cellStyle name="Comma 8 2 3 4 4 3" xfId="15826"/>
    <cellStyle name="Comma 8 2 3 4 5" xfId="8580"/>
    <cellStyle name="Comma 8 2 3 4 5 2" xfId="12710"/>
    <cellStyle name="Comma 8 2 3 4 5 2 2" xfId="19249"/>
    <cellStyle name="Comma 8 2 3 4 5 3" xfId="16397"/>
    <cellStyle name="Comma 8 2 3 4 6" xfId="3040"/>
    <cellStyle name="Comma 8 2 3 4 6 2" xfId="10997"/>
    <cellStyle name="Comma 8 2 3 4 6 2 2" xfId="17536"/>
    <cellStyle name="Comma 8 2 3 4 6 3" xfId="14684"/>
    <cellStyle name="Comma 8 2 3 4 7" xfId="2470"/>
    <cellStyle name="Comma 8 2 3 4 7 2" xfId="14118"/>
    <cellStyle name="Comma 8 2 3 4 8" xfId="10431"/>
    <cellStyle name="Comma 8 2 3 4 8 2" xfId="16970"/>
    <cellStyle name="Comma 8 2 3 4 9" xfId="13544"/>
    <cellStyle name="Comma 8 2 3 5" xfId="1297"/>
    <cellStyle name="Comma 8 2 3 5 2" xfId="4717"/>
    <cellStyle name="Comma 8 2 3 5 2 2" xfId="11739"/>
    <cellStyle name="Comma 8 2 3 5 2 2 2" xfId="18278"/>
    <cellStyle name="Comma 8 2 3 5 2 3" xfId="15426"/>
    <cellStyle name="Comma 8 2 3 5 3" xfId="6989"/>
    <cellStyle name="Comma 8 2 3 5 3 2" xfId="12310"/>
    <cellStyle name="Comma 8 2 3 5 3 2 2" xfId="18849"/>
    <cellStyle name="Comma 8 2 3 5 3 3" xfId="15997"/>
    <cellStyle name="Comma 8 2 3 5 4" xfId="9261"/>
    <cellStyle name="Comma 8 2 3 5 4 2" xfId="12881"/>
    <cellStyle name="Comma 8 2 3 5 4 2 2" xfId="19420"/>
    <cellStyle name="Comma 8 2 3 5 4 3" xfId="16568"/>
    <cellStyle name="Comma 8 2 3 5 5" xfId="3211"/>
    <cellStyle name="Comma 8 2 3 5 5 2" xfId="11168"/>
    <cellStyle name="Comma 8 2 3 5 5 2 2" xfId="17707"/>
    <cellStyle name="Comma 8 2 3 5 5 3" xfId="14855"/>
    <cellStyle name="Comma 8 2 3 5 6" xfId="2638"/>
    <cellStyle name="Comma 8 2 3 5 6 2" xfId="14286"/>
    <cellStyle name="Comma 8 2 3 5 7" xfId="10599"/>
    <cellStyle name="Comma 8 2 3 5 7 2" xfId="17138"/>
    <cellStyle name="Comma 8 2 3 5 8" xfId="13715"/>
    <cellStyle name="Comma 8 2 3 6" xfId="3582"/>
    <cellStyle name="Comma 8 2 3 6 2" xfId="11454"/>
    <cellStyle name="Comma 8 2 3 6 2 2" xfId="17993"/>
    <cellStyle name="Comma 8 2 3 6 3" xfId="15141"/>
    <cellStyle name="Comma 8 2 3 7" xfId="5854"/>
    <cellStyle name="Comma 8 2 3 7 2" xfId="12025"/>
    <cellStyle name="Comma 8 2 3 7 2 2" xfId="18564"/>
    <cellStyle name="Comma 8 2 3 7 3" xfId="15712"/>
    <cellStyle name="Comma 8 2 3 8" xfId="8126"/>
    <cellStyle name="Comma 8 2 3 8 2" xfId="12596"/>
    <cellStyle name="Comma 8 2 3 8 2 2" xfId="19135"/>
    <cellStyle name="Comma 8 2 3 8 3" xfId="16283"/>
    <cellStyle name="Comma 8 2 3 9" xfId="2923"/>
    <cellStyle name="Comma 8 2 3 9 2" xfId="10882"/>
    <cellStyle name="Comma 8 2 3 9 2 2" xfId="17421"/>
    <cellStyle name="Comma 8 2 3 9 3" xfId="14569"/>
    <cellStyle name="Comma 8 2 4" xfId="277"/>
    <cellStyle name="Comma 8 2 4 10" xfId="2386"/>
    <cellStyle name="Comma 8 2 4 10 2" xfId="14034"/>
    <cellStyle name="Comma 8 2 4 11" xfId="10347"/>
    <cellStyle name="Comma 8 2 4 11 2" xfId="16886"/>
    <cellStyle name="Comma 8 2 4 12" xfId="13459"/>
    <cellStyle name="Comma 8 2 4 2" xfId="504"/>
    <cellStyle name="Comma 8 2 4 2 10" xfId="13516"/>
    <cellStyle name="Comma 8 2 4 2 2" xfId="958"/>
    <cellStyle name="Comma 8 2 4 2 2 2" xfId="2093"/>
    <cellStyle name="Comma 8 2 4 2 2 2 2" xfId="5513"/>
    <cellStyle name="Comma 8 2 4 2 2 2 2 2" xfId="11939"/>
    <cellStyle name="Comma 8 2 4 2 2 2 2 2 2" xfId="18478"/>
    <cellStyle name="Comma 8 2 4 2 2 2 2 3" xfId="15626"/>
    <cellStyle name="Comma 8 2 4 2 2 2 3" xfId="7785"/>
    <cellStyle name="Comma 8 2 4 2 2 2 3 2" xfId="12510"/>
    <cellStyle name="Comma 8 2 4 2 2 2 3 2 2" xfId="19049"/>
    <cellStyle name="Comma 8 2 4 2 2 2 3 3" xfId="16197"/>
    <cellStyle name="Comma 8 2 4 2 2 2 4" xfId="10057"/>
    <cellStyle name="Comma 8 2 4 2 2 2 4 2" xfId="13081"/>
    <cellStyle name="Comma 8 2 4 2 2 2 4 2 2" xfId="19620"/>
    <cellStyle name="Comma 8 2 4 2 2 2 4 3" xfId="16768"/>
    <cellStyle name="Comma 8 2 4 2 2 2 5" xfId="3411"/>
    <cellStyle name="Comma 8 2 4 2 2 2 5 2" xfId="11368"/>
    <cellStyle name="Comma 8 2 4 2 2 2 5 2 2" xfId="17907"/>
    <cellStyle name="Comma 8 2 4 2 2 2 5 3" xfId="15055"/>
    <cellStyle name="Comma 8 2 4 2 2 2 6" xfId="2834"/>
    <cellStyle name="Comma 8 2 4 2 2 2 6 2" xfId="14482"/>
    <cellStyle name="Comma 8 2 4 2 2 2 7" xfId="10795"/>
    <cellStyle name="Comma 8 2 4 2 2 2 7 2" xfId="17334"/>
    <cellStyle name="Comma 8 2 4 2 2 2 8" xfId="13915"/>
    <cellStyle name="Comma 8 2 4 2 2 3" xfId="4378"/>
    <cellStyle name="Comma 8 2 4 2 2 3 2" xfId="11654"/>
    <cellStyle name="Comma 8 2 4 2 2 3 2 2" xfId="18193"/>
    <cellStyle name="Comma 8 2 4 2 2 3 3" xfId="15341"/>
    <cellStyle name="Comma 8 2 4 2 2 4" xfId="6650"/>
    <cellStyle name="Comma 8 2 4 2 2 4 2" xfId="12225"/>
    <cellStyle name="Comma 8 2 4 2 2 4 2 2" xfId="18764"/>
    <cellStyle name="Comma 8 2 4 2 2 4 3" xfId="15912"/>
    <cellStyle name="Comma 8 2 4 2 2 5" xfId="8922"/>
    <cellStyle name="Comma 8 2 4 2 2 5 2" xfId="12796"/>
    <cellStyle name="Comma 8 2 4 2 2 5 2 2" xfId="19335"/>
    <cellStyle name="Comma 8 2 4 2 2 5 3" xfId="16483"/>
    <cellStyle name="Comma 8 2 4 2 2 6" xfId="3126"/>
    <cellStyle name="Comma 8 2 4 2 2 6 2" xfId="11083"/>
    <cellStyle name="Comma 8 2 4 2 2 6 2 2" xfId="17622"/>
    <cellStyle name="Comma 8 2 4 2 2 6 3" xfId="14770"/>
    <cellStyle name="Comma 8 2 4 2 2 7" xfId="2554"/>
    <cellStyle name="Comma 8 2 4 2 2 7 2" xfId="14202"/>
    <cellStyle name="Comma 8 2 4 2 2 8" xfId="10515"/>
    <cellStyle name="Comma 8 2 4 2 2 8 2" xfId="17054"/>
    <cellStyle name="Comma 8 2 4 2 2 9" xfId="13630"/>
    <cellStyle name="Comma 8 2 4 2 3" xfId="1639"/>
    <cellStyle name="Comma 8 2 4 2 3 2" xfId="5059"/>
    <cellStyle name="Comma 8 2 4 2 3 2 2" xfId="11825"/>
    <cellStyle name="Comma 8 2 4 2 3 2 2 2" xfId="18364"/>
    <cellStyle name="Comma 8 2 4 2 3 2 3" xfId="15512"/>
    <cellStyle name="Comma 8 2 4 2 3 3" xfId="7331"/>
    <cellStyle name="Comma 8 2 4 2 3 3 2" xfId="12396"/>
    <cellStyle name="Comma 8 2 4 2 3 3 2 2" xfId="18935"/>
    <cellStyle name="Comma 8 2 4 2 3 3 3" xfId="16083"/>
    <cellStyle name="Comma 8 2 4 2 3 4" xfId="9603"/>
    <cellStyle name="Comma 8 2 4 2 3 4 2" xfId="12967"/>
    <cellStyle name="Comma 8 2 4 2 3 4 2 2" xfId="19506"/>
    <cellStyle name="Comma 8 2 4 2 3 4 3" xfId="16654"/>
    <cellStyle name="Comma 8 2 4 2 3 5" xfId="3297"/>
    <cellStyle name="Comma 8 2 4 2 3 5 2" xfId="11254"/>
    <cellStyle name="Comma 8 2 4 2 3 5 2 2" xfId="17793"/>
    <cellStyle name="Comma 8 2 4 2 3 5 3" xfId="14941"/>
    <cellStyle name="Comma 8 2 4 2 3 6" xfId="2722"/>
    <cellStyle name="Comma 8 2 4 2 3 6 2" xfId="14370"/>
    <cellStyle name="Comma 8 2 4 2 3 7" xfId="10683"/>
    <cellStyle name="Comma 8 2 4 2 3 7 2" xfId="17222"/>
    <cellStyle name="Comma 8 2 4 2 3 8" xfId="13801"/>
    <cellStyle name="Comma 8 2 4 2 4" xfId="3924"/>
    <cellStyle name="Comma 8 2 4 2 4 2" xfId="11540"/>
    <cellStyle name="Comma 8 2 4 2 4 2 2" xfId="18079"/>
    <cellStyle name="Comma 8 2 4 2 4 3" xfId="15227"/>
    <cellStyle name="Comma 8 2 4 2 5" xfId="6196"/>
    <cellStyle name="Comma 8 2 4 2 5 2" xfId="12111"/>
    <cellStyle name="Comma 8 2 4 2 5 2 2" xfId="18650"/>
    <cellStyle name="Comma 8 2 4 2 5 3" xfId="15798"/>
    <cellStyle name="Comma 8 2 4 2 6" xfId="8468"/>
    <cellStyle name="Comma 8 2 4 2 6 2" xfId="12682"/>
    <cellStyle name="Comma 8 2 4 2 6 2 2" xfId="19221"/>
    <cellStyle name="Comma 8 2 4 2 6 3" xfId="16369"/>
    <cellStyle name="Comma 8 2 4 2 7" xfId="3012"/>
    <cellStyle name="Comma 8 2 4 2 7 2" xfId="10969"/>
    <cellStyle name="Comma 8 2 4 2 7 2 2" xfId="17508"/>
    <cellStyle name="Comma 8 2 4 2 7 3" xfId="14656"/>
    <cellStyle name="Comma 8 2 4 2 8" xfId="2442"/>
    <cellStyle name="Comma 8 2 4 2 8 2" xfId="14090"/>
    <cellStyle name="Comma 8 2 4 2 9" xfId="10403"/>
    <cellStyle name="Comma 8 2 4 2 9 2" xfId="16942"/>
    <cellStyle name="Comma 8 2 4 3" xfId="1185"/>
    <cellStyle name="Comma 8 2 4 3 2" xfId="2320"/>
    <cellStyle name="Comma 8 2 4 3 2 2" xfId="5740"/>
    <cellStyle name="Comma 8 2 4 3 2 2 2" xfId="11996"/>
    <cellStyle name="Comma 8 2 4 3 2 2 2 2" xfId="18535"/>
    <cellStyle name="Comma 8 2 4 3 2 2 3" xfId="15683"/>
    <cellStyle name="Comma 8 2 4 3 2 3" xfId="8012"/>
    <cellStyle name="Comma 8 2 4 3 2 3 2" xfId="12567"/>
    <cellStyle name="Comma 8 2 4 3 2 3 2 2" xfId="19106"/>
    <cellStyle name="Comma 8 2 4 3 2 3 3" xfId="16254"/>
    <cellStyle name="Comma 8 2 4 3 2 4" xfId="10284"/>
    <cellStyle name="Comma 8 2 4 3 2 4 2" xfId="13138"/>
    <cellStyle name="Comma 8 2 4 3 2 4 2 2" xfId="19677"/>
    <cellStyle name="Comma 8 2 4 3 2 4 3" xfId="16825"/>
    <cellStyle name="Comma 8 2 4 3 2 5" xfId="3468"/>
    <cellStyle name="Comma 8 2 4 3 2 5 2" xfId="11425"/>
    <cellStyle name="Comma 8 2 4 3 2 5 2 2" xfId="17964"/>
    <cellStyle name="Comma 8 2 4 3 2 5 3" xfId="15112"/>
    <cellStyle name="Comma 8 2 4 3 2 6" xfId="2890"/>
    <cellStyle name="Comma 8 2 4 3 2 6 2" xfId="14538"/>
    <cellStyle name="Comma 8 2 4 3 2 7" xfId="10851"/>
    <cellStyle name="Comma 8 2 4 3 2 7 2" xfId="17390"/>
    <cellStyle name="Comma 8 2 4 3 2 8" xfId="13972"/>
    <cellStyle name="Comma 8 2 4 3 3" xfId="4605"/>
    <cellStyle name="Comma 8 2 4 3 3 2" xfId="11711"/>
    <cellStyle name="Comma 8 2 4 3 3 2 2" xfId="18250"/>
    <cellStyle name="Comma 8 2 4 3 3 3" xfId="15398"/>
    <cellStyle name="Comma 8 2 4 3 4" xfId="6877"/>
    <cellStyle name="Comma 8 2 4 3 4 2" xfId="12282"/>
    <cellStyle name="Comma 8 2 4 3 4 2 2" xfId="18821"/>
    <cellStyle name="Comma 8 2 4 3 4 3" xfId="15969"/>
    <cellStyle name="Comma 8 2 4 3 5" xfId="9149"/>
    <cellStyle name="Comma 8 2 4 3 5 2" xfId="12853"/>
    <cellStyle name="Comma 8 2 4 3 5 2 2" xfId="19392"/>
    <cellStyle name="Comma 8 2 4 3 5 3" xfId="16540"/>
    <cellStyle name="Comma 8 2 4 3 6" xfId="3183"/>
    <cellStyle name="Comma 8 2 4 3 6 2" xfId="11140"/>
    <cellStyle name="Comma 8 2 4 3 6 2 2" xfId="17679"/>
    <cellStyle name="Comma 8 2 4 3 6 3" xfId="14827"/>
    <cellStyle name="Comma 8 2 4 3 7" xfId="2610"/>
    <cellStyle name="Comma 8 2 4 3 7 2" xfId="14258"/>
    <cellStyle name="Comma 8 2 4 3 8" xfId="10571"/>
    <cellStyle name="Comma 8 2 4 3 8 2" xfId="17110"/>
    <cellStyle name="Comma 8 2 4 3 9" xfId="13687"/>
    <cellStyle name="Comma 8 2 4 4" xfId="731"/>
    <cellStyle name="Comma 8 2 4 4 2" xfId="1866"/>
    <cellStyle name="Comma 8 2 4 4 2 2" xfId="5286"/>
    <cellStyle name="Comma 8 2 4 4 2 2 2" xfId="11882"/>
    <cellStyle name="Comma 8 2 4 4 2 2 2 2" xfId="18421"/>
    <cellStyle name="Comma 8 2 4 4 2 2 3" xfId="15569"/>
    <cellStyle name="Comma 8 2 4 4 2 3" xfId="7558"/>
    <cellStyle name="Comma 8 2 4 4 2 3 2" xfId="12453"/>
    <cellStyle name="Comma 8 2 4 4 2 3 2 2" xfId="18992"/>
    <cellStyle name="Comma 8 2 4 4 2 3 3" xfId="16140"/>
    <cellStyle name="Comma 8 2 4 4 2 4" xfId="9830"/>
    <cellStyle name="Comma 8 2 4 4 2 4 2" xfId="13024"/>
    <cellStyle name="Comma 8 2 4 4 2 4 2 2" xfId="19563"/>
    <cellStyle name="Comma 8 2 4 4 2 4 3" xfId="16711"/>
    <cellStyle name="Comma 8 2 4 4 2 5" xfId="3354"/>
    <cellStyle name="Comma 8 2 4 4 2 5 2" xfId="11311"/>
    <cellStyle name="Comma 8 2 4 4 2 5 2 2" xfId="17850"/>
    <cellStyle name="Comma 8 2 4 4 2 5 3" xfId="14998"/>
    <cellStyle name="Comma 8 2 4 4 2 6" xfId="2778"/>
    <cellStyle name="Comma 8 2 4 4 2 6 2" xfId="14426"/>
    <cellStyle name="Comma 8 2 4 4 2 7" xfId="10739"/>
    <cellStyle name="Comma 8 2 4 4 2 7 2" xfId="17278"/>
    <cellStyle name="Comma 8 2 4 4 2 8" xfId="13858"/>
    <cellStyle name="Comma 8 2 4 4 3" xfId="4151"/>
    <cellStyle name="Comma 8 2 4 4 3 2" xfId="11597"/>
    <cellStyle name="Comma 8 2 4 4 3 2 2" xfId="18136"/>
    <cellStyle name="Comma 8 2 4 4 3 3" xfId="15284"/>
    <cellStyle name="Comma 8 2 4 4 4" xfId="6423"/>
    <cellStyle name="Comma 8 2 4 4 4 2" xfId="12168"/>
    <cellStyle name="Comma 8 2 4 4 4 2 2" xfId="18707"/>
    <cellStyle name="Comma 8 2 4 4 4 3" xfId="15855"/>
    <cellStyle name="Comma 8 2 4 4 5" xfId="8695"/>
    <cellStyle name="Comma 8 2 4 4 5 2" xfId="12739"/>
    <cellStyle name="Comma 8 2 4 4 5 2 2" xfId="19278"/>
    <cellStyle name="Comma 8 2 4 4 5 3" xfId="16426"/>
    <cellStyle name="Comma 8 2 4 4 6" xfId="3069"/>
    <cellStyle name="Comma 8 2 4 4 6 2" xfId="11026"/>
    <cellStyle name="Comma 8 2 4 4 6 2 2" xfId="17565"/>
    <cellStyle name="Comma 8 2 4 4 6 3" xfId="14713"/>
    <cellStyle name="Comma 8 2 4 4 7" xfId="2498"/>
    <cellStyle name="Comma 8 2 4 4 7 2" xfId="14146"/>
    <cellStyle name="Comma 8 2 4 4 8" xfId="10459"/>
    <cellStyle name="Comma 8 2 4 4 8 2" xfId="16998"/>
    <cellStyle name="Comma 8 2 4 4 9" xfId="13573"/>
    <cellStyle name="Comma 8 2 4 5" xfId="1412"/>
    <cellStyle name="Comma 8 2 4 5 2" xfId="4832"/>
    <cellStyle name="Comma 8 2 4 5 2 2" xfId="11768"/>
    <cellStyle name="Comma 8 2 4 5 2 2 2" xfId="18307"/>
    <cellStyle name="Comma 8 2 4 5 2 3" xfId="15455"/>
    <cellStyle name="Comma 8 2 4 5 3" xfId="7104"/>
    <cellStyle name="Comma 8 2 4 5 3 2" xfId="12339"/>
    <cellStyle name="Comma 8 2 4 5 3 2 2" xfId="18878"/>
    <cellStyle name="Comma 8 2 4 5 3 3" xfId="16026"/>
    <cellStyle name="Comma 8 2 4 5 4" xfId="9376"/>
    <cellStyle name="Comma 8 2 4 5 4 2" xfId="12910"/>
    <cellStyle name="Comma 8 2 4 5 4 2 2" xfId="19449"/>
    <cellStyle name="Comma 8 2 4 5 4 3" xfId="16597"/>
    <cellStyle name="Comma 8 2 4 5 5" xfId="3240"/>
    <cellStyle name="Comma 8 2 4 5 5 2" xfId="11197"/>
    <cellStyle name="Comma 8 2 4 5 5 2 2" xfId="17736"/>
    <cellStyle name="Comma 8 2 4 5 5 3" xfId="14884"/>
    <cellStyle name="Comma 8 2 4 5 6" xfId="2666"/>
    <cellStyle name="Comma 8 2 4 5 6 2" xfId="14314"/>
    <cellStyle name="Comma 8 2 4 5 7" xfId="10627"/>
    <cellStyle name="Comma 8 2 4 5 7 2" xfId="17166"/>
    <cellStyle name="Comma 8 2 4 5 8" xfId="13744"/>
    <cellStyle name="Comma 8 2 4 6" xfId="3697"/>
    <cellStyle name="Comma 8 2 4 6 2" xfId="11483"/>
    <cellStyle name="Comma 8 2 4 6 2 2" xfId="18022"/>
    <cellStyle name="Comma 8 2 4 6 3" xfId="15170"/>
    <cellStyle name="Comma 8 2 4 7" xfId="5969"/>
    <cellStyle name="Comma 8 2 4 7 2" xfId="12054"/>
    <cellStyle name="Comma 8 2 4 7 2 2" xfId="18593"/>
    <cellStyle name="Comma 8 2 4 7 3" xfId="15741"/>
    <cellStyle name="Comma 8 2 4 8" xfId="8241"/>
    <cellStyle name="Comma 8 2 4 8 2" xfId="12625"/>
    <cellStyle name="Comma 8 2 4 8 2 2" xfId="19164"/>
    <cellStyle name="Comma 8 2 4 8 3" xfId="16312"/>
    <cellStyle name="Comma 8 2 4 9" xfId="2955"/>
    <cellStyle name="Comma 8 2 4 9 2" xfId="10912"/>
    <cellStyle name="Comma 8 2 4 9 2 2" xfId="17451"/>
    <cellStyle name="Comma 8 2 4 9 3" xfId="14599"/>
    <cellStyle name="Comma 8 2 5" xfId="333"/>
    <cellStyle name="Comma 8 2 5 10" xfId="13473"/>
    <cellStyle name="Comma 8 2 5 2" xfId="787"/>
    <cellStyle name="Comma 8 2 5 2 2" xfId="1922"/>
    <cellStyle name="Comma 8 2 5 2 2 2" xfId="5342"/>
    <cellStyle name="Comma 8 2 5 2 2 2 2" xfId="11896"/>
    <cellStyle name="Comma 8 2 5 2 2 2 2 2" xfId="18435"/>
    <cellStyle name="Comma 8 2 5 2 2 2 3" xfId="15583"/>
    <cellStyle name="Comma 8 2 5 2 2 3" xfId="7614"/>
    <cellStyle name="Comma 8 2 5 2 2 3 2" xfId="12467"/>
    <cellStyle name="Comma 8 2 5 2 2 3 2 2" xfId="19006"/>
    <cellStyle name="Comma 8 2 5 2 2 3 3" xfId="16154"/>
    <cellStyle name="Comma 8 2 5 2 2 4" xfId="9886"/>
    <cellStyle name="Comma 8 2 5 2 2 4 2" xfId="13038"/>
    <cellStyle name="Comma 8 2 5 2 2 4 2 2" xfId="19577"/>
    <cellStyle name="Comma 8 2 5 2 2 4 3" xfId="16725"/>
    <cellStyle name="Comma 8 2 5 2 2 5" xfId="3368"/>
    <cellStyle name="Comma 8 2 5 2 2 5 2" xfId="11325"/>
    <cellStyle name="Comma 8 2 5 2 2 5 2 2" xfId="17864"/>
    <cellStyle name="Comma 8 2 5 2 2 5 3" xfId="15012"/>
    <cellStyle name="Comma 8 2 5 2 2 6" xfId="2792"/>
    <cellStyle name="Comma 8 2 5 2 2 6 2" xfId="14440"/>
    <cellStyle name="Comma 8 2 5 2 2 7" xfId="10753"/>
    <cellStyle name="Comma 8 2 5 2 2 7 2" xfId="17292"/>
    <cellStyle name="Comma 8 2 5 2 2 8" xfId="13872"/>
    <cellStyle name="Comma 8 2 5 2 3" xfId="4207"/>
    <cellStyle name="Comma 8 2 5 2 3 2" xfId="11611"/>
    <cellStyle name="Comma 8 2 5 2 3 2 2" xfId="18150"/>
    <cellStyle name="Comma 8 2 5 2 3 3" xfId="15298"/>
    <cellStyle name="Comma 8 2 5 2 4" xfId="6479"/>
    <cellStyle name="Comma 8 2 5 2 4 2" xfId="12182"/>
    <cellStyle name="Comma 8 2 5 2 4 2 2" xfId="18721"/>
    <cellStyle name="Comma 8 2 5 2 4 3" xfId="15869"/>
    <cellStyle name="Comma 8 2 5 2 5" xfId="8751"/>
    <cellStyle name="Comma 8 2 5 2 5 2" xfId="12753"/>
    <cellStyle name="Comma 8 2 5 2 5 2 2" xfId="19292"/>
    <cellStyle name="Comma 8 2 5 2 5 3" xfId="16440"/>
    <cellStyle name="Comma 8 2 5 2 6" xfId="3083"/>
    <cellStyle name="Comma 8 2 5 2 6 2" xfId="11040"/>
    <cellStyle name="Comma 8 2 5 2 6 2 2" xfId="17579"/>
    <cellStyle name="Comma 8 2 5 2 6 3" xfId="14727"/>
    <cellStyle name="Comma 8 2 5 2 7" xfId="2512"/>
    <cellStyle name="Comma 8 2 5 2 7 2" xfId="14160"/>
    <cellStyle name="Comma 8 2 5 2 8" xfId="10473"/>
    <cellStyle name="Comma 8 2 5 2 8 2" xfId="17012"/>
    <cellStyle name="Comma 8 2 5 2 9" xfId="13587"/>
    <cellStyle name="Comma 8 2 5 3" xfId="1468"/>
    <cellStyle name="Comma 8 2 5 3 2" xfId="4888"/>
    <cellStyle name="Comma 8 2 5 3 2 2" xfId="11782"/>
    <cellStyle name="Comma 8 2 5 3 2 2 2" xfId="18321"/>
    <cellStyle name="Comma 8 2 5 3 2 3" xfId="15469"/>
    <cellStyle name="Comma 8 2 5 3 3" xfId="7160"/>
    <cellStyle name="Comma 8 2 5 3 3 2" xfId="12353"/>
    <cellStyle name="Comma 8 2 5 3 3 2 2" xfId="18892"/>
    <cellStyle name="Comma 8 2 5 3 3 3" xfId="16040"/>
    <cellStyle name="Comma 8 2 5 3 4" xfId="9432"/>
    <cellStyle name="Comma 8 2 5 3 4 2" xfId="12924"/>
    <cellStyle name="Comma 8 2 5 3 4 2 2" xfId="19463"/>
    <cellStyle name="Comma 8 2 5 3 4 3" xfId="16611"/>
    <cellStyle name="Comma 8 2 5 3 5" xfId="3254"/>
    <cellStyle name="Comma 8 2 5 3 5 2" xfId="11211"/>
    <cellStyle name="Comma 8 2 5 3 5 2 2" xfId="17750"/>
    <cellStyle name="Comma 8 2 5 3 5 3" xfId="14898"/>
    <cellStyle name="Comma 8 2 5 3 6" xfId="2680"/>
    <cellStyle name="Comma 8 2 5 3 6 2" xfId="14328"/>
    <cellStyle name="Comma 8 2 5 3 7" xfId="10641"/>
    <cellStyle name="Comma 8 2 5 3 7 2" xfId="17180"/>
    <cellStyle name="Comma 8 2 5 3 8" xfId="13758"/>
    <cellStyle name="Comma 8 2 5 4" xfId="3753"/>
    <cellStyle name="Comma 8 2 5 4 2" xfId="11497"/>
    <cellStyle name="Comma 8 2 5 4 2 2" xfId="18036"/>
    <cellStyle name="Comma 8 2 5 4 3" xfId="15184"/>
    <cellStyle name="Comma 8 2 5 5" xfId="6025"/>
    <cellStyle name="Comma 8 2 5 5 2" xfId="12068"/>
    <cellStyle name="Comma 8 2 5 5 2 2" xfId="18607"/>
    <cellStyle name="Comma 8 2 5 5 3" xfId="15755"/>
    <cellStyle name="Comma 8 2 5 6" xfId="8297"/>
    <cellStyle name="Comma 8 2 5 6 2" xfId="12639"/>
    <cellStyle name="Comma 8 2 5 6 2 2" xfId="19178"/>
    <cellStyle name="Comma 8 2 5 6 3" xfId="16326"/>
    <cellStyle name="Comma 8 2 5 7" xfId="2969"/>
    <cellStyle name="Comma 8 2 5 7 2" xfId="10926"/>
    <cellStyle name="Comma 8 2 5 7 2 2" xfId="17465"/>
    <cellStyle name="Comma 8 2 5 7 3" xfId="14613"/>
    <cellStyle name="Comma 8 2 5 8" xfId="2400"/>
    <cellStyle name="Comma 8 2 5 8 2" xfId="14048"/>
    <cellStyle name="Comma 8 2 5 9" xfId="10361"/>
    <cellStyle name="Comma 8 2 5 9 2" xfId="16900"/>
    <cellStyle name="Comma 8 2 6" xfId="1014"/>
    <cellStyle name="Comma 8 2 6 2" xfId="2149"/>
    <cellStyle name="Comma 8 2 6 2 2" xfId="5569"/>
    <cellStyle name="Comma 8 2 6 2 2 2" xfId="11953"/>
    <cellStyle name="Comma 8 2 6 2 2 2 2" xfId="18492"/>
    <cellStyle name="Comma 8 2 6 2 2 3" xfId="15640"/>
    <cellStyle name="Comma 8 2 6 2 3" xfId="7841"/>
    <cellStyle name="Comma 8 2 6 2 3 2" xfId="12524"/>
    <cellStyle name="Comma 8 2 6 2 3 2 2" xfId="19063"/>
    <cellStyle name="Comma 8 2 6 2 3 3" xfId="16211"/>
    <cellStyle name="Comma 8 2 6 2 4" xfId="10113"/>
    <cellStyle name="Comma 8 2 6 2 4 2" xfId="13095"/>
    <cellStyle name="Comma 8 2 6 2 4 2 2" xfId="19634"/>
    <cellStyle name="Comma 8 2 6 2 4 3" xfId="16782"/>
    <cellStyle name="Comma 8 2 6 2 5" xfId="3425"/>
    <cellStyle name="Comma 8 2 6 2 5 2" xfId="11382"/>
    <cellStyle name="Comma 8 2 6 2 5 2 2" xfId="17921"/>
    <cellStyle name="Comma 8 2 6 2 5 3" xfId="15069"/>
    <cellStyle name="Comma 8 2 6 2 6" xfId="2848"/>
    <cellStyle name="Comma 8 2 6 2 6 2" xfId="14496"/>
    <cellStyle name="Comma 8 2 6 2 7" xfId="10809"/>
    <cellStyle name="Comma 8 2 6 2 7 2" xfId="17348"/>
    <cellStyle name="Comma 8 2 6 2 8" xfId="13929"/>
    <cellStyle name="Comma 8 2 6 3" xfId="4434"/>
    <cellStyle name="Comma 8 2 6 3 2" xfId="11668"/>
    <cellStyle name="Comma 8 2 6 3 2 2" xfId="18207"/>
    <cellStyle name="Comma 8 2 6 3 3" xfId="15355"/>
    <cellStyle name="Comma 8 2 6 4" xfId="6706"/>
    <cellStyle name="Comma 8 2 6 4 2" xfId="12239"/>
    <cellStyle name="Comma 8 2 6 4 2 2" xfId="18778"/>
    <cellStyle name="Comma 8 2 6 4 3" xfId="15926"/>
    <cellStyle name="Comma 8 2 6 5" xfId="8978"/>
    <cellStyle name="Comma 8 2 6 5 2" xfId="12810"/>
    <cellStyle name="Comma 8 2 6 5 2 2" xfId="19349"/>
    <cellStyle name="Comma 8 2 6 5 3" xfId="16497"/>
    <cellStyle name="Comma 8 2 6 6" xfId="3140"/>
    <cellStyle name="Comma 8 2 6 6 2" xfId="11097"/>
    <cellStyle name="Comma 8 2 6 6 2 2" xfId="17636"/>
    <cellStyle name="Comma 8 2 6 6 3" xfId="14784"/>
    <cellStyle name="Comma 8 2 6 7" xfId="2568"/>
    <cellStyle name="Comma 8 2 6 7 2" xfId="14216"/>
    <cellStyle name="Comma 8 2 6 8" xfId="10529"/>
    <cellStyle name="Comma 8 2 6 8 2" xfId="17068"/>
    <cellStyle name="Comma 8 2 6 9" xfId="13644"/>
    <cellStyle name="Comma 8 2 7" xfId="560"/>
    <cellStyle name="Comma 8 2 7 2" xfId="1695"/>
    <cellStyle name="Comma 8 2 7 2 2" xfId="5115"/>
    <cellStyle name="Comma 8 2 7 2 2 2" xfId="11839"/>
    <cellStyle name="Comma 8 2 7 2 2 2 2" xfId="18378"/>
    <cellStyle name="Comma 8 2 7 2 2 3" xfId="15526"/>
    <cellStyle name="Comma 8 2 7 2 3" xfId="7387"/>
    <cellStyle name="Comma 8 2 7 2 3 2" xfId="12410"/>
    <cellStyle name="Comma 8 2 7 2 3 2 2" xfId="18949"/>
    <cellStyle name="Comma 8 2 7 2 3 3" xfId="16097"/>
    <cellStyle name="Comma 8 2 7 2 4" xfId="9659"/>
    <cellStyle name="Comma 8 2 7 2 4 2" xfId="12981"/>
    <cellStyle name="Comma 8 2 7 2 4 2 2" xfId="19520"/>
    <cellStyle name="Comma 8 2 7 2 4 3" xfId="16668"/>
    <cellStyle name="Comma 8 2 7 2 5" xfId="3311"/>
    <cellStyle name="Comma 8 2 7 2 5 2" xfId="11268"/>
    <cellStyle name="Comma 8 2 7 2 5 2 2" xfId="17807"/>
    <cellStyle name="Comma 8 2 7 2 5 3" xfId="14955"/>
    <cellStyle name="Comma 8 2 7 2 6" xfId="2736"/>
    <cellStyle name="Comma 8 2 7 2 6 2" xfId="14384"/>
    <cellStyle name="Comma 8 2 7 2 7" xfId="10697"/>
    <cellStyle name="Comma 8 2 7 2 7 2" xfId="17236"/>
    <cellStyle name="Comma 8 2 7 2 8" xfId="13815"/>
    <cellStyle name="Comma 8 2 7 3" xfId="3980"/>
    <cellStyle name="Comma 8 2 7 3 2" xfId="11554"/>
    <cellStyle name="Comma 8 2 7 3 2 2" xfId="18093"/>
    <cellStyle name="Comma 8 2 7 3 3" xfId="15241"/>
    <cellStyle name="Comma 8 2 7 4" xfId="6252"/>
    <cellStyle name="Comma 8 2 7 4 2" xfId="12125"/>
    <cellStyle name="Comma 8 2 7 4 2 2" xfId="18664"/>
    <cellStyle name="Comma 8 2 7 4 3" xfId="15812"/>
    <cellStyle name="Comma 8 2 7 5" xfId="8524"/>
    <cellStyle name="Comma 8 2 7 5 2" xfId="12696"/>
    <cellStyle name="Comma 8 2 7 5 2 2" xfId="19235"/>
    <cellStyle name="Comma 8 2 7 5 3" xfId="16383"/>
    <cellStyle name="Comma 8 2 7 6" xfId="3026"/>
    <cellStyle name="Comma 8 2 7 6 2" xfId="10983"/>
    <cellStyle name="Comma 8 2 7 6 2 2" xfId="17522"/>
    <cellStyle name="Comma 8 2 7 6 3" xfId="14670"/>
    <cellStyle name="Comma 8 2 7 7" xfId="2456"/>
    <cellStyle name="Comma 8 2 7 7 2" xfId="14104"/>
    <cellStyle name="Comma 8 2 7 8" xfId="10417"/>
    <cellStyle name="Comma 8 2 7 8 2" xfId="16956"/>
    <cellStyle name="Comma 8 2 7 9" xfId="13530"/>
    <cellStyle name="Comma 8 2 8" xfId="1241"/>
    <cellStyle name="Comma 8 2 8 2" xfId="4661"/>
    <cellStyle name="Comma 8 2 8 2 2" xfId="11725"/>
    <cellStyle name="Comma 8 2 8 2 2 2" xfId="18264"/>
    <cellStyle name="Comma 8 2 8 2 3" xfId="15412"/>
    <cellStyle name="Comma 8 2 8 3" xfId="6933"/>
    <cellStyle name="Comma 8 2 8 3 2" xfId="12296"/>
    <cellStyle name="Comma 8 2 8 3 2 2" xfId="18835"/>
    <cellStyle name="Comma 8 2 8 3 3" xfId="15983"/>
    <cellStyle name="Comma 8 2 8 4" xfId="9205"/>
    <cellStyle name="Comma 8 2 8 4 2" xfId="12867"/>
    <cellStyle name="Comma 8 2 8 4 2 2" xfId="19406"/>
    <cellStyle name="Comma 8 2 8 4 3" xfId="16554"/>
    <cellStyle name="Comma 8 2 8 5" xfId="3197"/>
    <cellStyle name="Comma 8 2 8 5 2" xfId="11154"/>
    <cellStyle name="Comma 8 2 8 5 2 2" xfId="17693"/>
    <cellStyle name="Comma 8 2 8 5 3" xfId="14841"/>
    <cellStyle name="Comma 8 2 8 6" xfId="2624"/>
    <cellStyle name="Comma 8 2 8 6 2" xfId="14272"/>
    <cellStyle name="Comma 8 2 8 7" xfId="10585"/>
    <cellStyle name="Comma 8 2 8 7 2" xfId="17124"/>
    <cellStyle name="Comma 8 2 8 8" xfId="13701"/>
    <cellStyle name="Comma 8 2 9" xfId="3526"/>
    <cellStyle name="Comma 8 2 9 2" xfId="11440"/>
    <cellStyle name="Comma 8 2 9 2 2" xfId="17979"/>
    <cellStyle name="Comma 8 2 9 3" xfId="15127"/>
    <cellStyle name="Comma 8 3" xfId="179"/>
    <cellStyle name="Comma 8 3 10" xfId="2364"/>
    <cellStyle name="Comma 8 3 10 2" xfId="14012"/>
    <cellStyle name="Comma 8 3 11" xfId="10325"/>
    <cellStyle name="Comma 8 3 11 2" xfId="16864"/>
    <cellStyle name="Comma 8 3 12" xfId="13436"/>
    <cellStyle name="Comma 8 3 13" xfId="20341"/>
    <cellStyle name="Comma 8 3 2" xfId="417"/>
    <cellStyle name="Comma 8 3 2 10" xfId="13494"/>
    <cellStyle name="Comma 8 3 2 2" xfId="871"/>
    <cellStyle name="Comma 8 3 2 2 2" xfId="2006"/>
    <cellStyle name="Comma 8 3 2 2 2 2" xfId="5426"/>
    <cellStyle name="Comma 8 3 2 2 2 2 2" xfId="11917"/>
    <cellStyle name="Comma 8 3 2 2 2 2 2 2" xfId="18456"/>
    <cellStyle name="Comma 8 3 2 2 2 2 3" xfId="15604"/>
    <cellStyle name="Comma 8 3 2 2 2 3" xfId="7698"/>
    <cellStyle name="Comma 8 3 2 2 2 3 2" xfId="12488"/>
    <cellStyle name="Comma 8 3 2 2 2 3 2 2" xfId="19027"/>
    <cellStyle name="Comma 8 3 2 2 2 3 3" xfId="16175"/>
    <cellStyle name="Comma 8 3 2 2 2 4" xfId="9970"/>
    <cellStyle name="Comma 8 3 2 2 2 4 2" xfId="13059"/>
    <cellStyle name="Comma 8 3 2 2 2 4 2 2" xfId="19598"/>
    <cellStyle name="Comma 8 3 2 2 2 4 3" xfId="16746"/>
    <cellStyle name="Comma 8 3 2 2 2 5" xfId="3389"/>
    <cellStyle name="Comma 8 3 2 2 2 5 2" xfId="11346"/>
    <cellStyle name="Comma 8 3 2 2 2 5 2 2" xfId="17885"/>
    <cellStyle name="Comma 8 3 2 2 2 5 3" xfId="15033"/>
    <cellStyle name="Comma 8 3 2 2 2 6" xfId="2813"/>
    <cellStyle name="Comma 8 3 2 2 2 6 2" xfId="14461"/>
    <cellStyle name="Comma 8 3 2 2 2 7" xfId="10774"/>
    <cellStyle name="Comma 8 3 2 2 2 7 2" xfId="17313"/>
    <cellStyle name="Comma 8 3 2 2 2 8" xfId="13893"/>
    <cellStyle name="Comma 8 3 2 2 3" xfId="4291"/>
    <cellStyle name="Comma 8 3 2 2 3 2" xfId="11632"/>
    <cellStyle name="Comma 8 3 2 2 3 2 2" xfId="18171"/>
    <cellStyle name="Comma 8 3 2 2 3 3" xfId="15319"/>
    <cellStyle name="Comma 8 3 2 2 4" xfId="6563"/>
    <cellStyle name="Comma 8 3 2 2 4 2" xfId="12203"/>
    <cellStyle name="Comma 8 3 2 2 4 2 2" xfId="18742"/>
    <cellStyle name="Comma 8 3 2 2 4 3" xfId="15890"/>
    <cellStyle name="Comma 8 3 2 2 5" xfId="8835"/>
    <cellStyle name="Comma 8 3 2 2 5 2" xfId="12774"/>
    <cellStyle name="Comma 8 3 2 2 5 2 2" xfId="19313"/>
    <cellStyle name="Comma 8 3 2 2 5 3" xfId="16461"/>
    <cellStyle name="Comma 8 3 2 2 6" xfId="3104"/>
    <cellStyle name="Comma 8 3 2 2 6 2" xfId="11061"/>
    <cellStyle name="Comma 8 3 2 2 6 2 2" xfId="17600"/>
    <cellStyle name="Comma 8 3 2 2 6 3" xfId="14748"/>
    <cellStyle name="Comma 8 3 2 2 7" xfId="2533"/>
    <cellStyle name="Comma 8 3 2 2 7 2" xfId="14181"/>
    <cellStyle name="Comma 8 3 2 2 8" xfId="10494"/>
    <cellStyle name="Comma 8 3 2 2 8 2" xfId="17033"/>
    <cellStyle name="Comma 8 3 2 2 9" xfId="13608"/>
    <cellStyle name="Comma 8 3 2 3" xfId="1552"/>
    <cellStyle name="Comma 8 3 2 3 2" xfId="4972"/>
    <cellStyle name="Comma 8 3 2 3 2 2" xfId="11803"/>
    <cellStyle name="Comma 8 3 2 3 2 2 2" xfId="18342"/>
    <cellStyle name="Comma 8 3 2 3 2 3" xfId="15490"/>
    <cellStyle name="Comma 8 3 2 3 3" xfId="7244"/>
    <cellStyle name="Comma 8 3 2 3 3 2" xfId="12374"/>
    <cellStyle name="Comma 8 3 2 3 3 2 2" xfId="18913"/>
    <cellStyle name="Comma 8 3 2 3 3 3" xfId="16061"/>
    <cellStyle name="Comma 8 3 2 3 4" xfId="9516"/>
    <cellStyle name="Comma 8 3 2 3 4 2" xfId="12945"/>
    <cellStyle name="Comma 8 3 2 3 4 2 2" xfId="19484"/>
    <cellStyle name="Comma 8 3 2 3 4 3" xfId="16632"/>
    <cellStyle name="Comma 8 3 2 3 5" xfId="3275"/>
    <cellStyle name="Comma 8 3 2 3 5 2" xfId="11232"/>
    <cellStyle name="Comma 8 3 2 3 5 2 2" xfId="17771"/>
    <cellStyle name="Comma 8 3 2 3 5 3" xfId="14919"/>
    <cellStyle name="Comma 8 3 2 3 6" xfId="2701"/>
    <cellStyle name="Comma 8 3 2 3 6 2" xfId="14349"/>
    <cellStyle name="Comma 8 3 2 3 7" xfId="10662"/>
    <cellStyle name="Comma 8 3 2 3 7 2" xfId="17201"/>
    <cellStyle name="Comma 8 3 2 3 8" xfId="13779"/>
    <cellStyle name="Comma 8 3 2 4" xfId="3837"/>
    <cellStyle name="Comma 8 3 2 4 2" xfId="11518"/>
    <cellStyle name="Comma 8 3 2 4 2 2" xfId="18057"/>
    <cellStyle name="Comma 8 3 2 4 3" xfId="15205"/>
    <cellStyle name="Comma 8 3 2 5" xfId="6109"/>
    <cellStyle name="Comma 8 3 2 5 2" xfId="12089"/>
    <cellStyle name="Comma 8 3 2 5 2 2" xfId="18628"/>
    <cellStyle name="Comma 8 3 2 5 3" xfId="15776"/>
    <cellStyle name="Comma 8 3 2 6" xfId="8381"/>
    <cellStyle name="Comma 8 3 2 6 2" xfId="12660"/>
    <cellStyle name="Comma 8 3 2 6 2 2" xfId="19199"/>
    <cellStyle name="Comma 8 3 2 6 3" xfId="16347"/>
    <cellStyle name="Comma 8 3 2 7" xfId="2990"/>
    <cellStyle name="Comma 8 3 2 7 2" xfId="10947"/>
    <cellStyle name="Comma 8 3 2 7 2 2" xfId="17486"/>
    <cellStyle name="Comma 8 3 2 7 3" xfId="14634"/>
    <cellStyle name="Comma 8 3 2 8" xfId="2421"/>
    <cellStyle name="Comma 8 3 2 8 2" xfId="14069"/>
    <cellStyle name="Comma 8 3 2 9" xfId="10382"/>
    <cellStyle name="Comma 8 3 2 9 2" xfId="16921"/>
    <cellStyle name="Comma 8 3 3" xfId="1098"/>
    <cellStyle name="Comma 8 3 3 2" xfId="2233"/>
    <cellStyle name="Comma 8 3 3 2 2" xfId="5653"/>
    <cellStyle name="Comma 8 3 3 2 2 2" xfId="11974"/>
    <cellStyle name="Comma 8 3 3 2 2 2 2" xfId="18513"/>
    <cellStyle name="Comma 8 3 3 2 2 3" xfId="15661"/>
    <cellStyle name="Comma 8 3 3 2 3" xfId="7925"/>
    <cellStyle name="Comma 8 3 3 2 3 2" xfId="12545"/>
    <cellStyle name="Comma 8 3 3 2 3 2 2" xfId="19084"/>
    <cellStyle name="Comma 8 3 3 2 3 3" xfId="16232"/>
    <cellStyle name="Comma 8 3 3 2 4" xfId="10197"/>
    <cellStyle name="Comma 8 3 3 2 4 2" xfId="13116"/>
    <cellStyle name="Comma 8 3 3 2 4 2 2" xfId="19655"/>
    <cellStyle name="Comma 8 3 3 2 4 3" xfId="16803"/>
    <cellStyle name="Comma 8 3 3 2 5" xfId="3446"/>
    <cellStyle name="Comma 8 3 3 2 5 2" xfId="11403"/>
    <cellStyle name="Comma 8 3 3 2 5 2 2" xfId="17942"/>
    <cellStyle name="Comma 8 3 3 2 5 3" xfId="15090"/>
    <cellStyle name="Comma 8 3 3 2 6" xfId="2869"/>
    <cellStyle name="Comma 8 3 3 2 6 2" xfId="14517"/>
    <cellStyle name="Comma 8 3 3 2 7" xfId="10830"/>
    <cellStyle name="Comma 8 3 3 2 7 2" xfId="17369"/>
    <cellStyle name="Comma 8 3 3 2 8" xfId="13950"/>
    <cellStyle name="Comma 8 3 3 3" xfId="4518"/>
    <cellStyle name="Comma 8 3 3 3 2" xfId="11689"/>
    <cellStyle name="Comma 8 3 3 3 2 2" xfId="18228"/>
    <cellStyle name="Comma 8 3 3 3 3" xfId="15376"/>
    <cellStyle name="Comma 8 3 3 4" xfId="6790"/>
    <cellStyle name="Comma 8 3 3 4 2" xfId="12260"/>
    <cellStyle name="Comma 8 3 3 4 2 2" xfId="18799"/>
    <cellStyle name="Comma 8 3 3 4 3" xfId="15947"/>
    <cellStyle name="Comma 8 3 3 5" xfId="9062"/>
    <cellStyle name="Comma 8 3 3 5 2" xfId="12831"/>
    <cellStyle name="Comma 8 3 3 5 2 2" xfId="19370"/>
    <cellStyle name="Comma 8 3 3 5 3" xfId="16518"/>
    <cellStyle name="Comma 8 3 3 6" xfId="3161"/>
    <cellStyle name="Comma 8 3 3 6 2" xfId="11118"/>
    <cellStyle name="Comma 8 3 3 6 2 2" xfId="17657"/>
    <cellStyle name="Comma 8 3 3 6 3" xfId="14805"/>
    <cellStyle name="Comma 8 3 3 7" xfId="2589"/>
    <cellStyle name="Comma 8 3 3 7 2" xfId="14237"/>
    <cellStyle name="Comma 8 3 3 8" xfId="10550"/>
    <cellStyle name="Comma 8 3 3 8 2" xfId="17089"/>
    <cellStyle name="Comma 8 3 3 9" xfId="13665"/>
    <cellStyle name="Comma 8 3 4" xfId="644"/>
    <cellStyle name="Comma 8 3 4 2" xfId="1779"/>
    <cellStyle name="Comma 8 3 4 2 2" xfId="5199"/>
    <cellStyle name="Comma 8 3 4 2 2 2" xfId="11860"/>
    <cellStyle name="Comma 8 3 4 2 2 2 2" xfId="18399"/>
    <cellStyle name="Comma 8 3 4 2 2 3" xfId="15547"/>
    <cellStyle name="Comma 8 3 4 2 3" xfId="7471"/>
    <cellStyle name="Comma 8 3 4 2 3 2" xfId="12431"/>
    <cellStyle name="Comma 8 3 4 2 3 2 2" xfId="18970"/>
    <cellStyle name="Comma 8 3 4 2 3 3" xfId="16118"/>
    <cellStyle name="Comma 8 3 4 2 4" xfId="9743"/>
    <cellStyle name="Comma 8 3 4 2 4 2" xfId="13002"/>
    <cellStyle name="Comma 8 3 4 2 4 2 2" xfId="19541"/>
    <cellStyle name="Comma 8 3 4 2 4 3" xfId="16689"/>
    <cellStyle name="Comma 8 3 4 2 5" xfId="3332"/>
    <cellStyle name="Comma 8 3 4 2 5 2" xfId="11289"/>
    <cellStyle name="Comma 8 3 4 2 5 2 2" xfId="17828"/>
    <cellStyle name="Comma 8 3 4 2 5 3" xfId="14976"/>
    <cellStyle name="Comma 8 3 4 2 6" xfId="2757"/>
    <cellStyle name="Comma 8 3 4 2 6 2" xfId="14405"/>
    <cellStyle name="Comma 8 3 4 2 7" xfId="10718"/>
    <cellStyle name="Comma 8 3 4 2 7 2" xfId="17257"/>
    <cellStyle name="Comma 8 3 4 2 8" xfId="13836"/>
    <cellStyle name="Comma 8 3 4 3" xfId="4064"/>
    <cellStyle name="Comma 8 3 4 3 2" xfId="11575"/>
    <cellStyle name="Comma 8 3 4 3 2 2" xfId="18114"/>
    <cellStyle name="Comma 8 3 4 3 3" xfId="15262"/>
    <cellStyle name="Comma 8 3 4 4" xfId="6336"/>
    <cellStyle name="Comma 8 3 4 4 2" xfId="12146"/>
    <cellStyle name="Comma 8 3 4 4 2 2" xfId="18685"/>
    <cellStyle name="Comma 8 3 4 4 3" xfId="15833"/>
    <cellStyle name="Comma 8 3 4 5" xfId="8608"/>
    <cellStyle name="Comma 8 3 4 5 2" xfId="12717"/>
    <cellStyle name="Comma 8 3 4 5 2 2" xfId="19256"/>
    <cellStyle name="Comma 8 3 4 5 3" xfId="16404"/>
    <cellStyle name="Comma 8 3 4 6" xfId="3047"/>
    <cellStyle name="Comma 8 3 4 6 2" xfId="11004"/>
    <cellStyle name="Comma 8 3 4 6 2 2" xfId="17543"/>
    <cellStyle name="Comma 8 3 4 6 3" xfId="14691"/>
    <cellStyle name="Comma 8 3 4 7" xfId="2477"/>
    <cellStyle name="Comma 8 3 4 7 2" xfId="14125"/>
    <cellStyle name="Comma 8 3 4 8" xfId="10438"/>
    <cellStyle name="Comma 8 3 4 8 2" xfId="16977"/>
    <cellStyle name="Comma 8 3 4 9" xfId="13551"/>
    <cellStyle name="Comma 8 3 5" xfId="1325"/>
    <cellStyle name="Comma 8 3 5 2" xfId="4745"/>
    <cellStyle name="Comma 8 3 5 2 2" xfId="11746"/>
    <cellStyle name="Comma 8 3 5 2 2 2" xfId="18285"/>
    <cellStyle name="Comma 8 3 5 2 3" xfId="15433"/>
    <cellStyle name="Comma 8 3 5 3" xfId="7017"/>
    <cellStyle name="Comma 8 3 5 3 2" xfId="12317"/>
    <cellStyle name="Comma 8 3 5 3 2 2" xfId="18856"/>
    <cellStyle name="Comma 8 3 5 3 3" xfId="16004"/>
    <cellStyle name="Comma 8 3 5 4" xfId="9289"/>
    <cellStyle name="Comma 8 3 5 4 2" xfId="12888"/>
    <cellStyle name="Comma 8 3 5 4 2 2" xfId="19427"/>
    <cellStyle name="Comma 8 3 5 4 3" xfId="16575"/>
    <cellStyle name="Comma 8 3 5 5" xfId="3218"/>
    <cellStyle name="Comma 8 3 5 5 2" xfId="11175"/>
    <cellStyle name="Comma 8 3 5 5 2 2" xfId="17714"/>
    <cellStyle name="Comma 8 3 5 5 3" xfId="14862"/>
    <cellStyle name="Comma 8 3 5 6" xfId="2645"/>
    <cellStyle name="Comma 8 3 5 6 2" xfId="14293"/>
    <cellStyle name="Comma 8 3 5 7" xfId="10606"/>
    <cellStyle name="Comma 8 3 5 7 2" xfId="17145"/>
    <cellStyle name="Comma 8 3 5 8" xfId="13722"/>
    <cellStyle name="Comma 8 3 6" xfId="3610"/>
    <cellStyle name="Comma 8 3 6 2" xfId="11461"/>
    <cellStyle name="Comma 8 3 6 2 2" xfId="18000"/>
    <cellStyle name="Comma 8 3 6 3" xfId="15148"/>
    <cellStyle name="Comma 8 3 7" xfId="5882"/>
    <cellStyle name="Comma 8 3 7 2" xfId="12032"/>
    <cellStyle name="Comma 8 3 7 2 2" xfId="18571"/>
    <cellStyle name="Comma 8 3 7 3" xfId="15719"/>
    <cellStyle name="Comma 8 3 8" xfId="8154"/>
    <cellStyle name="Comma 8 3 8 2" xfId="12603"/>
    <cellStyle name="Comma 8 3 8 2 2" xfId="19142"/>
    <cellStyle name="Comma 8 3 8 3" xfId="16290"/>
    <cellStyle name="Comma 8 3 9" xfId="2930"/>
    <cellStyle name="Comma 8 3 9 2" xfId="10889"/>
    <cellStyle name="Comma 8 3 9 2 2" xfId="17428"/>
    <cellStyle name="Comma 8 3 9 3" xfId="14576"/>
    <cellStyle name="Comma 8 4" xfId="123"/>
    <cellStyle name="Comma 8 4 10" xfId="2350"/>
    <cellStyle name="Comma 8 4 10 2" xfId="13998"/>
    <cellStyle name="Comma 8 4 11" xfId="10311"/>
    <cellStyle name="Comma 8 4 11 2" xfId="16850"/>
    <cellStyle name="Comma 8 4 12" xfId="13422"/>
    <cellStyle name="Comma 8 4 2" xfId="361"/>
    <cellStyle name="Comma 8 4 2 10" xfId="13480"/>
    <cellStyle name="Comma 8 4 2 2" xfId="815"/>
    <cellStyle name="Comma 8 4 2 2 2" xfId="1950"/>
    <cellStyle name="Comma 8 4 2 2 2 2" xfId="5370"/>
    <cellStyle name="Comma 8 4 2 2 2 2 2" xfId="11903"/>
    <cellStyle name="Comma 8 4 2 2 2 2 2 2" xfId="18442"/>
    <cellStyle name="Comma 8 4 2 2 2 2 3" xfId="15590"/>
    <cellStyle name="Comma 8 4 2 2 2 3" xfId="7642"/>
    <cellStyle name="Comma 8 4 2 2 2 3 2" xfId="12474"/>
    <cellStyle name="Comma 8 4 2 2 2 3 2 2" xfId="19013"/>
    <cellStyle name="Comma 8 4 2 2 2 3 3" xfId="16161"/>
    <cellStyle name="Comma 8 4 2 2 2 4" xfId="9914"/>
    <cellStyle name="Comma 8 4 2 2 2 4 2" xfId="13045"/>
    <cellStyle name="Comma 8 4 2 2 2 4 2 2" xfId="19584"/>
    <cellStyle name="Comma 8 4 2 2 2 4 3" xfId="16732"/>
    <cellStyle name="Comma 8 4 2 2 2 5" xfId="3375"/>
    <cellStyle name="Comma 8 4 2 2 2 5 2" xfId="11332"/>
    <cellStyle name="Comma 8 4 2 2 2 5 2 2" xfId="17871"/>
    <cellStyle name="Comma 8 4 2 2 2 5 3" xfId="15019"/>
    <cellStyle name="Comma 8 4 2 2 2 6" xfId="2799"/>
    <cellStyle name="Comma 8 4 2 2 2 6 2" xfId="14447"/>
    <cellStyle name="Comma 8 4 2 2 2 7" xfId="10760"/>
    <cellStyle name="Comma 8 4 2 2 2 7 2" xfId="17299"/>
    <cellStyle name="Comma 8 4 2 2 2 8" xfId="13879"/>
    <cellStyle name="Comma 8 4 2 2 3" xfId="4235"/>
    <cellStyle name="Comma 8 4 2 2 3 2" xfId="11618"/>
    <cellStyle name="Comma 8 4 2 2 3 2 2" xfId="18157"/>
    <cellStyle name="Comma 8 4 2 2 3 3" xfId="15305"/>
    <cellStyle name="Comma 8 4 2 2 4" xfId="6507"/>
    <cellStyle name="Comma 8 4 2 2 4 2" xfId="12189"/>
    <cellStyle name="Comma 8 4 2 2 4 2 2" xfId="18728"/>
    <cellStyle name="Comma 8 4 2 2 4 3" xfId="15876"/>
    <cellStyle name="Comma 8 4 2 2 5" xfId="8779"/>
    <cellStyle name="Comma 8 4 2 2 5 2" xfId="12760"/>
    <cellStyle name="Comma 8 4 2 2 5 2 2" xfId="19299"/>
    <cellStyle name="Comma 8 4 2 2 5 3" xfId="16447"/>
    <cellStyle name="Comma 8 4 2 2 6" xfId="3090"/>
    <cellStyle name="Comma 8 4 2 2 6 2" xfId="11047"/>
    <cellStyle name="Comma 8 4 2 2 6 2 2" xfId="17586"/>
    <cellStyle name="Comma 8 4 2 2 6 3" xfId="14734"/>
    <cellStyle name="Comma 8 4 2 2 7" xfId="2519"/>
    <cellStyle name="Comma 8 4 2 2 7 2" xfId="14167"/>
    <cellStyle name="Comma 8 4 2 2 8" xfId="10480"/>
    <cellStyle name="Comma 8 4 2 2 8 2" xfId="17019"/>
    <cellStyle name="Comma 8 4 2 2 9" xfId="13594"/>
    <cellStyle name="Comma 8 4 2 3" xfId="1496"/>
    <cellStyle name="Comma 8 4 2 3 2" xfId="4916"/>
    <cellStyle name="Comma 8 4 2 3 2 2" xfId="11789"/>
    <cellStyle name="Comma 8 4 2 3 2 2 2" xfId="18328"/>
    <cellStyle name="Comma 8 4 2 3 2 3" xfId="15476"/>
    <cellStyle name="Comma 8 4 2 3 3" xfId="7188"/>
    <cellStyle name="Comma 8 4 2 3 3 2" xfId="12360"/>
    <cellStyle name="Comma 8 4 2 3 3 2 2" xfId="18899"/>
    <cellStyle name="Comma 8 4 2 3 3 3" xfId="16047"/>
    <cellStyle name="Comma 8 4 2 3 4" xfId="9460"/>
    <cellStyle name="Comma 8 4 2 3 4 2" xfId="12931"/>
    <cellStyle name="Comma 8 4 2 3 4 2 2" xfId="19470"/>
    <cellStyle name="Comma 8 4 2 3 4 3" xfId="16618"/>
    <cellStyle name="Comma 8 4 2 3 5" xfId="3261"/>
    <cellStyle name="Comma 8 4 2 3 5 2" xfId="11218"/>
    <cellStyle name="Comma 8 4 2 3 5 2 2" xfId="17757"/>
    <cellStyle name="Comma 8 4 2 3 5 3" xfId="14905"/>
    <cellStyle name="Comma 8 4 2 3 6" xfId="2687"/>
    <cellStyle name="Comma 8 4 2 3 6 2" xfId="14335"/>
    <cellStyle name="Comma 8 4 2 3 7" xfId="10648"/>
    <cellStyle name="Comma 8 4 2 3 7 2" xfId="17187"/>
    <cellStyle name="Comma 8 4 2 3 8" xfId="13765"/>
    <cellStyle name="Comma 8 4 2 4" xfId="3781"/>
    <cellStyle name="Comma 8 4 2 4 2" xfId="11504"/>
    <cellStyle name="Comma 8 4 2 4 2 2" xfId="18043"/>
    <cellStyle name="Comma 8 4 2 4 3" xfId="15191"/>
    <cellStyle name="Comma 8 4 2 5" xfId="6053"/>
    <cellStyle name="Comma 8 4 2 5 2" xfId="12075"/>
    <cellStyle name="Comma 8 4 2 5 2 2" xfId="18614"/>
    <cellStyle name="Comma 8 4 2 5 3" xfId="15762"/>
    <cellStyle name="Comma 8 4 2 6" xfId="8325"/>
    <cellStyle name="Comma 8 4 2 6 2" xfId="12646"/>
    <cellStyle name="Comma 8 4 2 6 2 2" xfId="19185"/>
    <cellStyle name="Comma 8 4 2 6 3" xfId="16333"/>
    <cellStyle name="Comma 8 4 2 7" xfId="2976"/>
    <cellStyle name="Comma 8 4 2 7 2" xfId="10933"/>
    <cellStyle name="Comma 8 4 2 7 2 2" xfId="17472"/>
    <cellStyle name="Comma 8 4 2 7 3" xfId="14620"/>
    <cellStyle name="Comma 8 4 2 8" xfId="2407"/>
    <cellStyle name="Comma 8 4 2 8 2" xfId="14055"/>
    <cellStyle name="Comma 8 4 2 9" xfId="10368"/>
    <cellStyle name="Comma 8 4 2 9 2" xfId="16907"/>
    <cellStyle name="Comma 8 4 3" xfId="1042"/>
    <cellStyle name="Comma 8 4 3 2" xfId="2177"/>
    <cellStyle name="Comma 8 4 3 2 2" xfId="5597"/>
    <cellStyle name="Comma 8 4 3 2 2 2" xfId="11960"/>
    <cellStyle name="Comma 8 4 3 2 2 2 2" xfId="18499"/>
    <cellStyle name="Comma 8 4 3 2 2 3" xfId="15647"/>
    <cellStyle name="Comma 8 4 3 2 3" xfId="7869"/>
    <cellStyle name="Comma 8 4 3 2 3 2" xfId="12531"/>
    <cellStyle name="Comma 8 4 3 2 3 2 2" xfId="19070"/>
    <cellStyle name="Comma 8 4 3 2 3 3" xfId="16218"/>
    <cellStyle name="Comma 8 4 3 2 4" xfId="10141"/>
    <cellStyle name="Comma 8 4 3 2 4 2" xfId="13102"/>
    <cellStyle name="Comma 8 4 3 2 4 2 2" xfId="19641"/>
    <cellStyle name="Comma 8 4 3 2 4 3" xfId="16789"/>
    <cellStyle name="Comma 8 4 3 2 5" xfId="3432"/>
    <cellStyle name="Comma 8 4 3 2 5 2" xfId="11389"/>
    <cellStyle name="Comma 8 4 3 2 5 2 2" xfId="17928"/>
    <cellStyle name="Comma 8 4 3 2 5 3" xfId="15076"/>
    <cellStyle name="Comma 8 4 3 2 6" xfId="2855"/>
    <cellStyle name="Comma 8 4 3 2 6 2" xfId="14503"/>
    <cellStyle name="Comma 8 4 3 2 7" xfId="10816"/>
    <cellStyle name="Comma 8 4 3 2 7 2" xfId="17355"/>
    <cellStyle name="Comma 8 4 3 2 8" xfId="13936"/>
    <cellStyle name="Comma 8 4 3 3" xfId="4462"/>
    <cellStyle name="Comma 8 4 3 3 2" xfId="11675"/>
    <cellStyle name="Comma 8 4 3 3 2 2" xfId="18214"/>
    <cellStyle name="Comma 8 4 3 3 3" xfId="15362"/>
    <cellStyle name="Comma 8 4 3 4" xfId="6734"/>
    <cellStyle name="Comma 8 4 3 4 2" xfId="12246"/>
    <cellStyle name="Comma 8 4 3 4 2 2" xfId="18785"/>
    <cellStyle name="Comma 8 4 3 4 3" xfId="15933"/>
    <cellStyle name="Comma 8 4 3 5" xfId="9006"/>
    <cellStyle name="Comma 8 4 3 5 2" xfId="12817"/>
    <cellStyle name="Comma 8 4 3 5 2 2" xfId="19356"/>
    <cellStyle name="Comma 8 4 3 5 3" xfId="16504"/>
    <cellStyle name="Comma 8 4 3 6" xfId="3147"/>
    <cellStyle name="Comma 8 4 3 6 2" xfId="11104"/>
    <cellStyle name="Comma 8 4 3 6 2 2" xfId="17643"/>
    <cellStyle name="Comma 8 4 3 6 3" xfId="14791"/>
    <cellStyle name="Comma 8 4 3 7" xfId="2575"/>
    <cellStyle name="Comma 8 4 3 7 2" xfId="14223"/>
    <cellStyle name="Comma 8 4 3 8" xfId="10536"/>
    <cellStyle name="Comma 8 4 3 8 2" xfId="17075"/>
    <cellStyle name="Comma 8 4 3 9" xfId="13651"/>
    <cellStyle name="Comma 8 4 4" xfId="588"/>
    <cellStyle name="Comma 8 4 4 2" xfId="1723"/>
    <cellStyle name="Comma 8 4 4 2 2" xfId="5143"/>
    <cellStyle name="Comma 8 4 4 2 2 2" xfId="11846"/>
    <cellStyle name="Comma 8 4 4 2 2 2 2" xfId="18385"/>
    <cellStyle name="Comma 8 4 4 2 2 3" xfId="15533"/>
    <cellStyle name="Comma 8 4 4 2 3" xfId="7415"/>
    <cellStyle name="Comma 8 4 4 2 3 2" xfId="12417"/>
    <cellStyle name="Comma 8 4 4 2 3 2 2" xfId="18956"/>
    <cellStyle name="Comma 8 4 4 2 3 3" xfId="16104"/>
    <cellStyle name="Comma 8 4 4 2 4" xfId="9687"/>
    <cellStyle name="Comma 8 4 4 2 4 2" xfId="12988"/>
    <cellStyle name="Comma 8 4 4 2 4 2 2" xfId="19527"/>
    <cellStyle name="Comma 8 4 4 2 4 3" xfId="16675"/>
    <cellStyle name="Comma 8 4 4 2 5" xfId="3318"/>
    <cellStyle name="Comma 8 4 4 2 5 2" xfId="11275"/>
    <cellStyle name="Comma 8 4 4 2 5 2 2" xfId="17814"/>
    <cellStyle name="Comma 8 4 4 2 5 3" xfId="14962"/>
    <cellStyle name="Comma 8 4 4 2 6" xfId="2743"/>
    <cellStyle name="Comma 8 4 4 2 6 2" xfId="14391"/>
    <cellStyle name="Comma 8 4 4 2 7" xfId="10704"/>
    <cellStyle name="Comma 8 4 4 2 7 2" xfId="17243"/>
    <cellStyle name="Comma 8 4 4 2 8" xfId="13822"/>
    <cellStyle name="Comma 8 4 4 3" xfId="4008"/>
    <cellStyle name="Comma 8 4 4 3 2" xfId="11561"/>
    <cellStyle name="Comma 8 4 4 3 2 2" xfId="18100"/>
    <cellStyle name="Comma 8 4 4 3 3" xfId="15248"/>
    <cellStyle name="Comma 8 4 4 4" xfId="6280"/>
    <cellStyle name="Comma 8 4 4 4 2" xfId="12132"/>
    <cellStyle name="Comma 8 4 4 4 2 2" xfId="18671"/>
    <cellStyle name="Comma 8 4 4 4 3" xfId="15819"/>
    <cellStyle name="Comma 8 4 4 5" xfId="8552"/>
    <cellStyle name="Comma 8 4 4 5 2" xfId="12703"/>
    <cellStyle name="Comma 8 4 4 5 2 2" xfId="19242"/>
    <cellStyle name="Comma 8 4 4 5 3" xfId="16390"/>
    <cellStyle name="Comma 8 4 4 6" xfId="3033"/>
    <cellStyle name="Comma 8 4 4 6 2" xfId="10990"/>
    <cellStyle name="Comma 8 4 4 6 2 2" xfId="17529"/>
    <cellStyle name="Comma 8 4 4 6 3" xfId="14677"/>
    <cellStyle name="Comma 8 4 4 7" xfId="2463"/>
    <cellStyle name="Comma 8 4 4 7 2" xfId="14111"/>
    <cellStyle name="Comma 8 4 4 8" xfId="10424"/>
    <cellStyle name="Comma 8 4 4 8 2" xfId="16963"/>
    <cellStyle name="Comma 8 4 4 9" xfId="13537"/>
    <cellStyle name="Comma 8 4 5" xfId="1269"/>
    <cellStyle name="Comma 8 4 5 2" xfId="4689"/>
    <cellStyle name="Comma 8 4 5 2 2" xfId="11732"/>
    <cellStyle name="Comma 8 4 5 2 2 2" xfId="18271"/>
    <cellStyle name="Comma 8 4 5 2 3" xfId="15419"/>
    <cellStyle name="Comma 8 4 5 3" xfId="6961"/>
    <cellStyle name="Comma 8 4 5 3 2" xfId="12303"/>
    <cellStyle name="Comma 8 4 5 3 2 2" xfId="18842"/>
    <cellStyle name="Comma 8 4 5 3 3" xfId="15990"/>
    <cellStyle name="Comma 8 4 5 4" xfId="9233"/>
    <cellStyle name="Comma 8 4 5 4 2" xfId="12874"/>
    <cellStyle name="Comma 8 4 5 4 2 2" xfId="19413"/>
    <cellStyle name="Comma 8 4 5 4 3" xfId="16561"/>
    <cellStyle name="Comma 8 4 5 5" xfId="3204"/>
    <cellStyle name="Comma 8 4 5 5 2" xfId="11161"/>
    <cellStyle name="Comma 8 4 5 5 2 2" xfId="17700"/>
    <cellStyle name="Comma 8 4 5 5 3" xfId="14848"/>
    <cellStyle name="Comma 8 4 5 6" xfId="2631"/>
    <cellStyle name="Comma 8 4 5 6 2" xfId="14279"/>
    <cellStyle name="Comma 8 4 5 7" xfId="10592"/>
    <cellStyle name="Comma 8 4 5 7 2" xfId="17131"/>
    <cellStyle name="Comma 8 4 5 8" xfId="13708"/>
    <cellStyle name="Comma 8 4 6" xfId="3554"/>
    <cellStyle name="Comma 8 4 6 2" xfId="11447"/>
    <cellStyle name="Comma 8 4 6 2 2" xfId="17986"/>
    <cellStyle name="Comma 8 4 6 3" xfId="15134"/>
    <cellStyle name="Comma 8 4 7" xfId="5826"/>
    <cellStyle name="Comma 8 4 7 2" xfId="12018"/>
    <cellStyle name="Comma 8 4 7 2 2" xfId="18557"/>
    <cellStyle name="Comma 8 4 7 3" xfId="15705"/>
    <cellStyle name="Comma 8 4 8" xfId="8098"/>
    <cellStyle name="Comma 8 4 8 2" xfId="12589"/>
    <cellStyle name="Comma 8 4 8 2 2" xfId="19128"/>
    <cellStyle name="Comma 8 4 8 3" xfId="16276"/>
    <cellStyle name="Comma 8 4 9" xfId="2916"/>
    <cellStyle name="Comma 8 4 9 2" xfId="10875"/>
    <cellStyle name="Comma 8 4 9 2 2" xfId="17414"/>
    <cellStyle name="Comma 8 4 9 3" xfId="14562"/>
    <cellStyle name="Comma 8 5" xfId="249"/>
    <cellStyle name="Comma 8 5 10" xfId="2379"/>
    <cellStyle name="Comma 8 5 10 2" xfId="14027"/>
    <cellStyle name="Comma 8 5 11" xfId="10340"/>
    <cellStyle name="Comma 8 5 11 2" xfId="16879"/>
    <cellStyle name="Comma 8 5 12" xfId="13452"/>
    <cellStyle name="Comma 8 5 2" xfId="476"/>
    <cellStyle name="Comma 8 5 2 10" xfId="13509"/>
    <cellStyle name="Comma 8 5 2 2" xfId="930"/>
    <cellStyle name="Comma 8 5 2 2 2" xfId="2065"/>
    <cellStyle name="Comma 8 5 2 2 2 2" xfId="5485"/>
    <cellStyle name="Comma 8 5 2 2 2 2 2" xfId="11932"/>
    <cellStyle name="Comma 8 5 2 2 2 2 2 2" xfId="18471"/>
    <cellStyle name="Comma 8 5 2 2 2 2 3" xfId="15619"/>
    <cellStyle name="Comma 8 5 2 2 2 3" xfId="7757"/>
    <cellStyle name="Comma 8 5 2 2 2 3 2" xfId="12503"/>
    <cellStyle name="Comma 8 5 2 2 2 3 2 2" xfId="19042"/>
    <cellStyle name="Comma 8 5 2 2 2 3 3" xfId="16190"/>
    <cellStyle name="Comma 8 5 2 2 2 4" xfId="10029"/>
    <cellStyle name="Comma 8 5 2 2 2 4 2" xfId="13074"/>
    <cellStyle name="Comma 8 5 2 2 2 4 2 2" xfId="19613"/>
    <cellStyle name="Comma 8 5 2 2 2 4 3" xfId="16761"/>
    <cellStyle name="Comma 8 5 2 2 2 5" xfId="3404"/>
    <cellStyle name="Comma 8 5 2 2 2 5 2" xfId="11361"/>
    <cellStyle name="Comma 8 5 2 2 2 5 2 2" xfId="17900"/>
    <cellStyle name="Comma 8 5 2 2 2 5 3" xfId="15048"/>
    <cellStyle name="Comma 8 5 2 2 2 6" xfId="2827"/>
    <cellStyle name="Comma 8 5 2 2 2 6 2" xfId="14475"/>
    <cellStyle name="Comma 8 5 2 2 2 7" xfId="10788"/>
    <cellStyle name="Comma 8 5 2 2 2 7 2" xfId="17327"/>
    <cellStyle name="Comma 8 5 2 2 2 8" xfId="13908"/>
    <cellStyle name="Comma 8 5 2 2 3" xfId="4350"/>
    <cellStyle name="Comma 8 5 2 2 3 2" xfId="11647"/>
    <cellStyle name="Comma 8 5 2 2 3 2 2" xfId="18186"/>
    <cellStyle name="Comma 8 5 2 2 3 3" xfId="15334"/>
    <cellStyle name="Comma 8 5 2 2 4" xfId="6622"/>
    <cellStyle name="Comma 8 5 2 2 4 2" xfId="12218"/>
    <cellStyle name="Comma 8 5 2 2 4 2 2" xfId="18757"/>
    <cellStyle name="Comma 8 5 2 2 4 3" xfId="15905"/>
    <cellStyle name="Comma 8 5 2 2 5" xfId="8894"/>
    <cellStyle name="Comma 8 5 2 2 5 2" xfId="12789"/>
    <cellStyle name="Comma 8 5 2 2 5 2 2" xfId="19328"/>
    <cellStyle name="Comma 8 5 2 2 5 3" xfId="16476"/>
    <cellStyle name="Comma 8 5 2 2 6" xfId="3119"/>
    <cellStyle name="Comma 8 5 2 2 6 2" xfId="11076"/>
    <cellStyle name="Comma 8 5 2 2 6 2 2" xfId="17615"/>
    <cellStyle name="Comma 8 5 2 2 6 3" xfId="14763"/>
    <cellStyle name="Comma 8 5 2 2 7" xfId="2547"/>
    <cellStyle name="Comma 8 5 2 2 7 2" xfId="14195"/>
    <cellStyle name="Comma 8 5 2 2 8" xfId="10508"/>
    <cellStyle name="Comma 8 5 2 2 8 2" xfId="17047"/>
    <cellStyle name="Comma 8 5 2 2 9" xfId="13623"/>
    <cellStyle name="Comma 8 5 2 3" xfId="1611"/>
    <cellStyle name="Comma 8 5 2 3 2" xfId="5031"/>
    <cellStyle name="Comma 8 5 2 3 2 2" xfId="11818"/>
    <cellStyle name="Comma 8 5 2 3 2 2 2" xfId="18357"/>
    <cellStyle name="Comma 8 5 2 3 2 3" xfId="15505"/>
    <cellStyle name="Comma 8 5 2 3 3" xfId="7303"/>
    <cellStyle name="Comma 8 5 2 3 3 2" xfId="12389"/>
    <cellStyle name="Comma 8 5 2 3 3 2 2" xfId="18928"/>
    <cellStyle name="Comma 8 5 2 3 3 3" xfId="16076"/>
    <cellStyle name="Comma 8 5 2 3 4" xfId="9575"/>
    <cellStyle name="Comma 8 5 2 3 4 2" xfId="12960"/>
    <cellStyle name="Comma 8 5 2 3 4 2 2" xfId="19499"/>
    <cellStyle name="Comma 8 5 2 3 4 3" xfId="16647"/>
    <cellStyle name="Comma 8 5 2 3 5" xfId="3290"/>
    <cellStyle name="Comma 8 5 2 3 5 2" xfId="11247"/>
    <cellStyle name="Comma 8 5 2 3 5 2 2" xfId="17786"/>
    <cellStyle name="Comma 8 5 2 3 5 3" xfId="14934"/>
    <cellStyle name="Comma 8 5 2 3 6" xfId="2715"/>
    <cellStyle name="Comma 8 5 2 3 6 2" xfId="14363"/>
    <cellStyle name="Comma 8 5 2 3 7" xfId="10676"/>
    <cellStyle name="Comma 8 5 2 3 7 2" xfId="17215"/>
    <cellStyle name="Comma 8 5 2 3 8" xfId="13794"/>
    <cellStyle name="Comma 8 5 2 4" xfId="3896"/>
    <cellStyle name="Comma 8 5 2 4 2" xfId="11533"/>
    <cellStyle name="Comma 8 5 2 4 2 2" xfId="18072"/>
    <cellStyle name="Comma 8 5 2 4 3" xfId="15220"/>
    <cellStyle name="Comma 8 5 2 5" xfId="6168"/>
    <cellStyle name="Comma 8 5 2 5 2" xfId="12104"/>
    <cellStyle name="Comma 8 5 2 5 2 2" xfId="18643"/>
    <cellStyle name="Comma 8 5 2 5 3" xfId="15791"/>
    <cellStyle name="Comma 8 5 2 6" xfId="8440"/>
    <cellStyle name="Comma 8 5 2 6 2" xfId="12675"/>
    <cellStyle name="Comma 8 5 2 6 2 2" xfId="19214"/>
    <cellStyle name="Comma 8 5 2 6 3" xfId="16362"/>
    <cellStyle name="Comma 8 5 2 7" xfId="3005"/>
    <cellStyle name="Comma 8 5 2 7 2" xfId="10962"/>
    <cellStyle name="Comma 8 5 2 7 2 2" xfId="17501"/>
    <cellStyle name="Comma 8 5 2 7 3" xfId="14649"/>
    <cellStyle name="Comma 8 5 2 8" xfId="2435"/>
    <cellStyle name="Comma 8 5 2 8 2" xfId="14083"/>
    <cellStyle name="Comma 8 5 2 9" xfId="10396"/>
    <cellStyle name="Comma 8 5 2 9 2" xfId="16935"/>
    <cellStyle name="Comma 8 5 3" xfId="1157"/>
    <cellStyle name="Comma 8 5 3 2" xfId="2292"/>
    <cellStyle name="Comma 8 5 3 2 2" xfId="5712"/>
    <cellStyle name="Comma 8 5 3 2 2 2" xfId="11989"/>
    <cellStyle name="Comma 8 5 3 2 2 2 2" xfId="18528"/>
    <cellStyle name="Comma 8 5 3 2 2 3" xfId="15676"/>
    <cellStyle name="Comma 8 5 3 2 3" xfId="7984"/>
    <cellStyle name="Comma 8 5 3 2 3 2" xfId="12560"/>
    <cellStyle name="Comma 8 5 3 2 3 2 2" xfId="19099"/>
    <cellStyle name="Comma 8 5 3 2 3 3" xfId="16247"/>
    <cellStyle name="Comma 8 5 3 2 4" xfId="10256"/>
    <cellStyle name="Comma 8 5 3 2 4 2" xfId="13131"/>
    <cellStyle name="Comma 8 5 3 2 4 2 2" xfId="19670"/>
    <cellStyle name="Comma 8 5 3 2 4 3" xfId="16818"/>
    <cellStyle name="Comma 8 5 3 2 5" xfId="3461"/>
    <cellStyle name="Comma 8 5 3 2 5 2" xfId="11418"/>
    <cellStyle name="Comma 8 5 3 2 5 2 2" xfId="17957"/>
    <cellStyle name="Comma 8 5 3 2 5 3" xfId="15105"/>
    <cellStyle name="Comma 8 5 3 2 6" xfId="2883"/>
    <cellStyle name="Comma 8 5 3 2 6 2" xfId="14531"/>
    <cellStyle name="Comma 8 5 3 2 7" xfId="10844"/>
    <cellStyle name="Comma 8 5 3 2 7 2" xfId="17383"/>
    <cellStyle name="Comma 8 5 3 2 8" xfId="13965"/>
    <cellStyle name="Comma 8 5 3 3" xfId="4577"/>
    <cellStyle name="Comma 8 5 3 3 2" xfId="11704"/>
    <cellStyle name="Comma 8 5 3 3 2 2" xfId="18243"/>
    <cellStyle name="Comma 8 5 3 3 3" xfId="15391"/>
    <cellStyle name="Comma 8 5 3 4" xfId="6849"/>
    <cellStyle name="Comma 8 5 3 4 2" xfId="12275"/>
    <cellStyle name="Comma 8 5 3 4 2 2" xfId="18814"/>
    <cellStyle name="Comma 8 5 3 4 3" xfId="15962"/>
    <cellStyle name="Comma 8 5 3 5" xfId="9121"/>
    <cellStyle name="Comma 8 5 3 5 2" xfId="12846"/>
    <cellStyle name="Comma 8 5 3 5 2 2" xfId="19385"/>
    <cellStyle name="Comma 8 5 3 5 3" xfId="16533"/>
    <cellStyle name="Comma 8 5 3 6" xfId="3176"/>
    <cellStyle name="Comma 8 5 3 6 2" xfId="11133"/>
    <cellStyle name="Comma 8 5 3 6 2 2" xfId="17672"/>
    <cellStyle name="Comma 8 5 3 6 3" xfId="14820"/>
    <cellStyle name="Comma 8 5 3 7" xfId="2603"/>
    <cellStyle name="Comma 8 5 3 7 2" xfId="14251"/>
    <cellStyle name="Comma 8 5 3 8" xfId="10564"/>
    <cellStyle name="Comma 8 5 3 8 2" xfId="17103"/>
    <cellStyle name="Comma 8 5 3 9" xfId="13680"/>
    <cellStyle name="Comma 8 5 4" xfId="703"/>
    <cellStyle name="Comma 8 5 4 2" xfId="1838"/>
    <cellStyle name="Comma 8 5 4 2 2" xfId="5258"/>
    <cellStyle name="Comma 8 5 4 2 2 2" xfId="11875"/>
    <cellStyle name="Comma 8 5 4 2 2 2 2" xfId="18414"/>
    <cellStyle name="Comma 8 5 4 2 2 3" xfId="15562"/>
    <cellStyle name="Comma 8 5 4 2 3" xfId="7530"/>
    <cellStyle name="Comma 8 5 4 2 3 2" xfId="12446"/>
    <cellStyle name="Comma 8 5 4 2 3 2 2" xfId="18985"/>
    <cellStyle name="Comma 8 5 4 2 3 3" xfId="16133"/>
    <cellStyle name="Comma 8 5 4 2 4" xfId="9802"/>
    <cellStyle name="Comma 8 5 4 2 4 2" xfId="13017"/>
    <cellStyle name="Comma 8 5 4 2 4 2 2" xfId="19556"/>
    <cellStyle name="Comma 8 5 4 2 4 3" xfId="16704"/>
    <cellStyle name="Comma 8 5 4 2 5" xfId="3347"/>
    <cellStyle name="Comma 8 5 4 2 5 2" xfId="11304"/>
    <cellStyle name="Comma 8 5 4 2 5 2 2" xfId="17843"/>
    <cellStyle name="Comma 8 5 4 2 5 3" xfId="14991"/>
    <cellStyle name="Comma 8 5 4 2 6" xfId="2771"/>
    <cellStyle name="Comma 8 5 4 2 6 2" xfId="14419"/>
    <cellStyle name="Comma 8 5 4 2 7" xfId="10732"/>
    <cellStyle name="Comma 8 5 4 2 7 2" xfId="17271"/>
    <cellStyle name="Comma 8 5 4 2 8" xfId="13851"/>
    <cellStyle name="Comma 8 5 4 3" xfId="4123"/>
    <cellStyle name="Comma 8 5 4 3 2" xfId="11590"/>
    <cellStyle name="Comma 8 5 4 3 2 2" xfId="18129"/>
    <cellStyle name="Comma 8 5 4 3 3" xfId="15277"/>
    <cellStyle name="Comma 8 5 4 4" xfId="6395"/>
    <cellStyle name="Comma 8 5 4 4 2" xfId="12161"/>
    <cellStyle name="Comma 8 5 4 4 2 2" xfId="18700"/>
    <cellStyle name="Comma 8 5 4 4 3" xfId="15848"/>
    <cellStyle name="Comma 8 5 4 5" xfId="8667"/>
    <cellStyle name="Comma 8 5 4 5 2" xfId="12732"/>
    <cellStyle name="Comma 8 5 4 5 2 2" xfId="19271"/>
    <cellStyle name="Comma 8 5 4 5 3" xfId="16419"/>
    <cellStyle name="Comma 8 5 4 6" xfId="3062"/>
    <cellStyle name="Comma 8 5 4 6 2" xfId="11019"/>
    <cellStyle name="Comma 8 5 4 6 2 2" xfId="17558"/>
    <cellStyle name="Comma 8 5 4 6 3" xfId="14706"/>
    <cellStyle name="Comma 8 5 4 7" xfId="2491"/>
    <cellStyle name="Comma 8 5 4 7 2" xfId="14139"/>
    <cellStyle name="Comma 8 5 4 8" xfId="10452"/>
    <cellStyle name="Comma 8 5 4 8 2" xfId="16991"/>
    <cellStyle name="Comma 8 5 4 9" xfId="13566"/>
    <cellStyle name="Comma 8 5 5" xfId="1384"/>
    <cellStyle name="Comma 8 5 5 2" xfId="4804"/>
    <cellStyle name="Comma 8 5 5 2 2" xfId="11761"/>
    <cellStyle name="Comma 8 5 5 2 2 2" xfId="18300"/>
    <cellStyle name="Comma 8 5 5 2 3" xfId="15448"/>
    <cellStyle name="Comma 8 5 5 3" xfId="7076"/>
    <cellStyle name="Comma 8 5 5 3 2" xfId="12332"/>
    <cellStyle name="Comma 8 5 5 3 2 2" xfId="18871"/>
    <cellStyle name="Comma 8 5 5 3 3" xfId="16019"/>
    <cellStyle name="Comma 8 5 5 4" xfId="9348"/>
    <cellStyle name="Comma 8 5 5 4 2" xfId="12903"/>
    <cellStyle name="Comma 8 5 5 4 2 2" xfId="19442"/>
    <cellStyle name="Comma 8 5 5 4 3" xfId="16590"/>
    <cellStyle name="Comma 8 5 5 5" xfId="3233"/>
    <cellStyle name="Comma 8 5 5 5 2" xfId="11190"/>
    <cellStyle name="Comma 8 5 5 5 2 2" xfId="17729"/>
    <cellStyle name="Comma 8 5 5 5 3" xfId="14877"/>
    <cellStyle name="Comma 8 5 5 6" xfId="2659"/>
    <cellStyle name="Comma 8 5 5 6 2" xfId="14307"/>
    <cellStyle name="Comma 8 5 5 7" xfId="10620"/>
    <cellStyle name="Comma 8 5 5 7 2" xfId="17159"/>
    <cellStyle name="Comma 8 5 5 8" xfId="13737"/>
    <cellStyle name="Comma 8 5 6" xfId="3669"/>
    <cellStyle name="Comma 8 5 6 2" xfId="11476"/>
    <cellStyle name="Comma 8 5 6 2 2" xfId="18015"/>
    <cellStyle name="Comma 8 5 6 3" xfId="15163"/>
    <cellStyle name="Comma 8 5 7" xfId="5941"/>
    <cellStyle name="Comma 8 5 7 2" xfId="12047"/>
    <cellStyle name="Comma 8 5 7 2 2" xfId="18586"/>
    <cellStyle name="Comma 8 5 7 3" xfId="15734"/>
    <cellStyle name="Comma 8 5 8" xfId="8213"/>
    <cellStyle name="Comma 8 5 8 2" xfId="12618"/>
    <cellStyle name="Comma 8 5 8 2 2" xfId="19157"/>
    <cellStyle name="Comma 8 5 8 3" xfId="16305"/>
    <cellStyle name="Comma 8 5 9" xfId="2948"/>
    <cellStyle name="Comma 8 5 9 2" xfId="10905"/>
    <cellStyle name="Comma 8 5 9 2 2" xfId="17444"/>
    <cellStyle name="Comma 8 5 9 3" xfId="14592"/>
    <cellStyle name="Comma 8 6" xfId="305"/>
    <cellStyle name="Comma 8 6 10" xfId="13466"/>
    <cellStyle name="Comma 8 6 2" xfId="759"/>
    <cellStyle name="Comma 8 6 2 2" xfId="1894"/>
    <cellStyle name="Comma 8 6 2 2 2" xfId="5314"/>
    <cellStyle name="Comma 8 6 2 2 2 2" xfId="11889"/>
    <cellStyle name="Comma 8 6 2 2 2 2 2" xfId="18428"/>
    <cellStyle name="Comma 8 6 2 2 2 3" xfId="15576"/>
    <cellStyle name="Comma 8 6 2 2 3" xfId="7586"/>
    <cellStyle name="Comma 8 6 2 2 3 2" xfId="12460"/>
    <cellStyle name="Comma 8 6 2 2 3 2 2" xfId="18999"/>
    <cellStyle name="Comma 8 6 2 2 3 3" xfId="16147"/>
    <cellStyle name="Comma 8 6 2 2 4" xfId="9858"/>
    <cellStyle name="Comma 8 6 2 2 4 2" xfId="13031"/>
    <cellStyle name="Comma 8 6 2 2 4 2 2" xfId="19570"/>
    <cellStyle name="Comma 8 6 2 2 4 3" xfId="16718"/>
    <cellStyle name="Comma 8 6 2 2 5" xfId="3361"/>
    <cellStyle name="Comma 8 6 2 2 5 2" xfId="11318"/>
    <cellStyle name="Comma 8 6 2 2 5 2 2" xfId="17857"/>
    <cellStyle name="Comma 8 6 2 2 5 3" xfId="15005"/>
    <cellStyle name="Comma 8 6 2 2 6" xfId="2785"/>
    <cellStyle name="Comma 8 6 2 2 6 2" xfId="14433"/>
    <cellStyle name="Comma 8 6 2 2 7" xfId="10746"/>
    <cellStyle name="Comma 8 6 2 2 7 2" xfId="17285"/>
    <cellStyle name="Comma 8 6 2 2 8" xfId="13865"/>
    <cellStyle name="Comma 8 6 2 3" xfId="4179"/>
    <cellStyle name="Comma 8 6 2 3 2" xfId="11604"/>
    <cellStyle name="Comma 8 6 2 3 2 2" xfId="18143"/>
    <cellStyle name="Comma 8 6 2 3 3" xfId="15291"/>
    <cellStyle name="Comma 8 6 2 4" xfId="6451"/>
    <cellStyle name="Comma 8 6 2 4 2" xfId="12175"/>
    <cellStyle name="Comma 8 6 2 4 2 2" xfId="18714"/>
    <cellStyle name="Comma 8 6 2 4 3" xfId="15862"/>
    <cellStyle name="Comma 8 6 2 5" xfId="8723"/>
    <cellStyle name="Comma 8 6 2 5 2" xfId="12746"/>
    <cellStyle name="Comma 8 6 2 5 2 2" xfId="19285"/>
    <cellStyle name="Comma 8 6 2 5 3" xfId="16433"/>
    <cellStyle name="Comma 8 6 2 6" xfId="3076"/>
    <cellStyle name="Comma 8 6 2 6 2" xfId="11033"/>
    <cellStyle name="Comma 8 6 2 6 2 2" xfId="17572"/>
    <cellStyle name="Comma 8 6 2 6 3" xfId="14720"/>
    <cellStyle name="Comma 8 6 2 7" xfId="2505"/>
    <cellStyle name="Comma 8 6 2 7 2" xfId="14153"/>
    <cellStyle name="Comma 8 6 2 8" xfId="10466"/>
    <cellStyle name="Comma 8 6 2 8 2" xfId="17005"/>
    <cellStyle name="Comma 8 6 2 9" xfId="13580"/>
    <cellStyle name="Comma 8 6 3" xfId="1440"/>
    <cellStyle name="Comma 8 6 3 2" xfId="4860"/>
    <cellStyle name="Comma 8 6 3 2 2" xfId="11775"/>
    <cellStyle name="Comma 8 6 3 2 2 2" xfId="18314"/>
    <cellStyle name="Comma 8 6 3 2 3" xfId="15462"/>
    <cellStyle name="Comma 8 6 3 3" xfId="7132"/>
    <cellStyle name="Comma 8 6 3 3 2" xfId="12346"/>
    <cellStyle name="Comma 8 6 3 3 2 2" xfId="18885"/>
    <cellStyle name="Comma 8 6 3 3 3" xfId="16033"/>
    <cellStyle name="Comma 8 6 3 4" xfId="9404"/>
    <cellStyle name="Comma 8 6 3 4 2" xfId="12917"/>
    <cellStyle name="Comma 8 6 3 4 2 2" xfId="19456"/>
    <cellStyle name="Comma 8 6 3 4 3" xfId="16604"/>
    <cellStyle name="Comma 8 6 3 5" xfId="3247"/>
    <cellStyle name="Comma 8 6 3 5 2" xfId="11204"/>
    <cellStyle name="Comma 8 6 3 5 2 2" xfId="17743"/>
    <cellStyle name="Comma 8 6 3 5 3" xfId="14891"/>
    <cellStyle name="Comma 8 6 3 6" xfId="2673"/>
    <cellStyle name="Comma 8 6 3 6 2" xfId="14321"/>
    <cellStyle name="Comma 8 6 3 7" xfId="10634"/>
    <cellStyle name="Comma 8 6 3 7 2" xfId="17173"/>
    <cellStyle name="Comma 8 6 3 8" xfId="13751"/>
    <cellStyle name="Comma 8 6 4" xfId="3725"/>
    <cellStyle name="Comma 8 6 4 2" xfId="11490"/>
    <cellStyle name="Comma 8 6 4 2 2" xfId="18029"/>
    <cellStyle name="Comma 8 6 4 3" xfId="15177"/>
    <cellStyle name="Comma 8 6 5" xfId="5997"/>
    <cellStyle name="Comma 8 6 5 2" xfId="12061"/>
    <cellStyle name="Comma 8 6 5 2 2" xfId="18600"/>
    <cellStyle name="Comma 8 6 5 3" xfId="15748"/>
    <cellStyle name="Comma 8 6 6" xfId="8269"/>
    <cellStyle name="Comma 8 6 6 2" xfId="12632"/>
    <cellStyle name="Comma 8 6 6 2 2" xfId="19171"/>
    <cellStyle name="Comma 8 6 6 3" xfId="16319"/>
    <cellStyle name="Comma 8 6 7" xfId="2962"/>
    <cellStyle name="Comma 8 6 7 2" xfId="10919"/>
    <cellStyle name="Comma 8 6 7 2 2" xfId="17458"/>
    <cellStyle name="Comma 8 6 7 3" xfId="14606"/>
    <cellStyle name="Comma 8 6 8" xfId="2393"/>
    <cellStyle name="Comma 8 6 8 2" xfId="14041"/>
    <cellStyle name="Comma 8 6 9" xfId="10354"/>
    <cellStyle name="Comma 8 6 9 2" xfId="16893"/>
    <cellStyle name="Comma 8 7" xfId="986"/>
    <cellStyle name="Comma 8 7 2" xfId="2121"/>
    <cellStyle name="Comma 8 7 2 2" xfId="5541"/>
    <cellStyle name="Comma 8 7 2 2 2" xfId="11946"/>
    <cellStyle name="Comma 8 7 2 2 2 2" xfId="18485"/>
    <cellStyle name="Comma 8 7 2 2 3" xfId="15633"/>
    <cellStyle name="Comma 8 7 2 3" xfId="7813"/>
    <cellStyle name="Comma 8 7 2 3 2" xfId="12517"/>
    <cellStyle name="Comma 8 7 2 3 2 2" xfId="19056"/>
    <cellStyle name="Comma 8 7 2 3 3" xfId="16204"/>
    <cellStyle name="Comma 8 7 2 4" xfId="10085"/>
    <cellStyle name="Comma 8 7 2 4 2" xfId="13088"/>
    <cellStyle name="Comma 8 7 2 4 2 2" xfId="19627"/>
    <cellStyle name="Comma 8 7 2 4 3" xfId="16775"/>
    <cellStyle name="Comma 8 7 2 5" xfId="3418"/>
    <cellStyle name="Comma 8 7 2 5 2" xfId="11375"/>
    <cellStyle name="Comma 8 7 2 5 2 2" xfId="17914"/>
    <cellStyle name="Comma 8 7 2 5 3" xfId="15062"/>
    <cellStyle name="Comma 8 7 2 6" xfId="2841"/>
    <cellStyle name="Comma 8 7 2 6 2" xfId="14489"/>
    <cellStyle name="Comma 8 7 2 7" xfId="10802"/>
    <cellStyle name="Comma 8 7 2 7 2" xfId="17341"/>
    <cellStyle name="Comma 8 7 2 8" xfId="13922"/>
    <cellStyle name="Comma 8 7 3" xfId="4406"/>
    <cellStyle name="Comma 8 7 3 2" xfId="11661"/>
    <cellStyle name="Comma 8 7 3 2 2" xfId="18200"/>
    <cellStyle name="Comma 8 7 3 3" xfId="15348"/>
    <cellStyle name="Comma 8 7 4" xfId="6678"/>
    <cellStyle name="Comma 8 7 4 2" xfId="12232"/>
    <cellStyle name="Comma 8 7 4 2 2" xfId="18771"/>
    <cellStyle name="Comma 8 7 4 3" xfId="15919"/>
    <cellStyle name="Comma 8 7 5" xfId="8950"/>
    <cellStyle name="Comma 8 7 5 2" xfId="12803"/>
    <cellStyle name="Comma 8 7 5 2 2" xfId="19342"/>
    <cellStyle name="Comma 8 7 5 3" xfId="16490"/>
    <cellStyle name="Comma 8 7 6" xfId="3133"/>
    <cellStyle name="Comma 8 7 6 2" xfId="11090"/>
    <cellStyle name="Comma 8 7 6 2 2" xfId="17629"/>
    <cellStyle name="Comma 8 7 6 3" xfId="14777"/>
    <cellStyle name="Comma 8 7 7" xfId="2561"/>
    <cellStyle name="Comma 8 7 7 2" xfId="14209"/>
    <cellStyle name="Comma 8 7 8" xfId="10522"/>
    <cellStyle name="Comma 8 7 8 2" xfId="17061"/>
    <cellStyle name="Comma 8 7 9" xfId="13637"/>
    <cellStyle name="Comma 8 8" xfId="532"/>
    <cellStyle name="Comma 8 8 2" xfId="1667"/>
    <cellStyle name="Comma 8 8 2 2" xfId="5087"/>
    <cellStyle name="Comma 8 8 2 2 2" xfId="11832"/>
    <cellStyle name="Comma 8 8 2 2 2 2" xfId="18371"/>
    <cellStyle name="Comma 8 8 2 2 3" xfId="15519"/>
    <cellStyle name="Comma 8 8 2 3" xfId="7359"/>
    <cellStyle name="Comma 8 8 2 3 2" xfId="12403"/>
    <cellStyle name="Comma 8 8 2 3 2 2" xfId="18942"/>
    <cellStyle name="Comma 8 8 2 3 3" xfId="16090"/>
    <cellStyle name="Comma 8 8 2 4" xfId="9631"/>
    <cellStyle name="Comma 8 8 2 4 2" xfId="12974"/>
    <cellStyle name="Comma 8 8 2 4 2 2" xfId="19513"/>
    <cellStyle name="Comma 8 8 2 4 3" xfId="16661"/>
    <cellStyle name="Comma 8 8 2 5" xfId="3304"/>
    <cellStyle name="Comma 8 8 2 5 2" xfId="11261"/>
    <cellStyle name="Comma 8 8 2 5 2 2" xfId="17800"/>
    <cellStyle name="Comma 8 8 2 5 3" xfId="14948"/>
    <cellStyle name="Comma 8 8 2 6" xfId="2729"/>
    <cellStyle name="Comma 8 8 2 6 2" xfId="14377"/>
    <cellStyle name="Comma 8 8 2 7" xfId="10690"/>
    <cellStyle name="Comma 8 8 2 7 2" xfId="17229"/>
    <cellStyle name="Comma 8 8 2 8" xfId="13808"/>
    <cellStyle name="Comma 8 8 3" xfId="3952"/>
    <cellStyle name="Comma 8 8 3 2" xfId="11547"/>
    <cellStyle name="Comma 8 8 3 2 2" xfId="18086"/>
    <cellStyle name="Comma 8 8 3 3" xfId="15234"/>
    <cellStyle name="Comma 8 8 4" xfId="6224"/>
    <cellStyle name="Comma 8 8 4 2" xfId="12118"/>
    <cellStyle name="Comma 8 8 4 2 2" xfId="18657"/>
    <cellStyle name="Comma 8 8 4 3" xfId="15805"/>
    <cellStyle name="Comma 8 8 5" xfId="8496"/>
    <cellStyle name="Comma 8 8 5 2" xfId="12689"/>
    <cellStyle name="Comma 8 8 5 2 2" xfId="19228"/>
    <cellStyle name="Comma 8 8 5 3" xfId="16376"/>
    <cellStyle name="Comma 8 8 6" xfId="3019"/>
    <cellStyle name="Comma 8 8 6 2" xfId="10976"/>
    <cellStyle name="Comma 8 8 6 2 2" xfId="17515"/>
    <cellStyle name="Comma 8 8 6 3" xfId="14663"/>
    <cellStyle name="Comma 8 8 7" xfId="2449"/>
    <cellStyle name="Comma 8 8 7 2" xfId="14097"/>
    <cellStyle name="Comma 8 8 8" xfId="10410"/>
    <cellStyle name="Comma 8 8 8 2" xfId="16949"/>
    <cellStyle name="Comma 8 8 9" xfId="13523"/>
    <cellStyle name="Comma 8 9" xfId="1213"/>
    <cellStyle name="Comma 8 9 2" xfId="4633"/>
    <cellStyle name="Comma 8 9 2 2" xfId="11718"/>
    <cellStyle name="Comma 8 9 2 2 2" xfId="18257"/>
    <cellStyle name="Comma 8 9 2 3" xfId="15405"/>
    <cellStyle name="Comma 8 9 3" xfId="6905"/>
    <cellStyle name="Comma 8 9 3 2" xfId="12289"/>
    <cellStyle name="Comma 8 9 3 2 2" xfId="18828"/>
    <cellStyle name="Comma 8 9 3 3" xfId="15976"/>
    <cellStyle name="Comma 8 9 4" xfId="9177"/>
    <cellStyle name="Comma 8 9 4 2" xfId="12860"/>
    <cellStyle name="Comma 8 9 4 2 2" xfId="19399"/>
    <cellStyle name="Comma 8 9 4 3" xfId="16547"/>
    <cellStyle name="Comma 8 9 5" xfId="3190"/>
    <cellStyle name="Comma 8 9 5 2" xfId="11147"/>
    <cellStyle name="Comma 8 9 5 2 2" xfId="17686"/>
    <cellStyle name="Comma 8 9 5 3" xfId="14834"/>
    <cellStyle name="Comma 8 9 6" xfId="2617"/>
    <cellStyle name="Comma 8 9 6 2" xfId="14265"/>
    <cellStyle name="Comma 8 9 7" xfId="10578"/>
    <cellStyle name="Comma 8 9 7 2" xfId="17117"/>
    <cellStyle name="Comma 8 9 8" xfId="13694"/>
    <cellStyle name="Comma 9" xfId="67"/>
    <cellStyle name="Comma 9 10" xfId="3500"/>
    <cellStyle name="Comma 9 10 2" xfId="11434"/>
    <cellStyle name="Comma 9 10 2 2" xfId="17973"/>
    <cellStyle name="Comma 9 10 3" xfId="15121"/>
    <cellStyle name="Comma 9 11" xfId="5772"/>
    <cellStyle name="Comma 9 11 2" xfId="12005"/>
    <cellStyle name="Comma 9 11 2 2" xfId="18544"/>
    <cellStyle name="Comma 9 11 3" xfId="15692"/>
    <cellStyle name="Comma 9 12" xfId="8044"/>
    <cellStyle name="Comma 9 12 2" xfId="12576"/>
    <cellStyle name="Comma 9 12 2 2" xfId="19115"/>
    <cellStyle name="Comma 9 12 3" xfId="16263"/>
    <cellStyle name="Comma 9 13" xfId="2901"/>
    <cellStyle name="Comma 9 13 2" xfId="10861"/>
    <cellStyle name="Comma 9 13 2 2" xfId="17400"/>
    <cellStyle name="Comma 9 13 3" xfId="14548"/>
    <cellStyle name="Comma 9 14" xfId="2336"/>
    <cellStyle name="Comma 9 14 2" xfId="13984"/>
    <cellStyle name="Comma 9 15" xfId="10297"/>
    <cellStyle name="Comma 9 15 2" xfId="16836"/>
    <cellStyle name="Comma 9 16" xfId="13265"/>
    <cellStyle name="Comma 9 16 2" xfId="19774"/>
    <cellStyle name="Comma 9 17" xfId="13408"/>
    <cellStyle name="Comma 9 18" xfId="19868"/>
    <cellStyle name="Comma 9 19" xfId="20107"/>
    <cellStyle name="Comma 9 2" xfId="97"/>
    <cellStyle name="Comma 9 2 10" xfId="5800"/>
    <cellStyle name="Comma 9 2 10 2" xfId="12012"/>
    <cellStyle name="Comma 9 2 10 2 2" xfId="18551"/>
    <cellStyle name="Comma 9 2 10 3" xfId="15699"/>
    <cellStyle name="Comma 9 2 11" xfId="8072"/>
    <cellStyle name="Comma 9 2 11 2" xfId="12583"/>
    <cellStyle name="Comma 9 2 11 2 2" xfId="19122"/>
    <cellStyle name="Comma 9 2 11 3" xfId="16270"/>
    <cellStyle name="Comma 9 2 12" xfId="2910"/>
    <cellStyle name="Comma 9 2 12 2" xfId="10869"/>
    <cellStyle name="Comma 9 2 12 2 2" xfId="17408"/>
    <cellStyle name="Comma 9 2 12 3" xfId="14556"/>
    <cellStyle name="Comma 9 2 13" xfId="2344"/>
    <cellStyle name="Comma 9 2 13 2" xfId="13992"/>
    <cellStyle name="Comma 9 2 14" xfId="10305"/>
    <cellStyle name="Comma 9 2 14 2" xfId="16844"/>
    <cellStyle name="Comma 9 2 15" xfId="13266"/>
    <cellStyle name="Comma 9 2 15 2" xfId="19775"/>
    <cellStyle name="Comma 9 2 16" xfId="13416"/>
    <cellStyle name="Comma 9 2 17" xfId="19869"/>
    <cellStyle name="Comma 9 2 18" xfId="20269"/>
    <cellStyle name="Comma 9 2 2" xfId="209"/>
    <cellStyle name="Comma 9 2 2 10" xfId="2372"/>
    <cellStyle name="Comma 9 2 2 10 2" xfId="14020"/>
    <cellStyle name="Comma 9 2 2 11" xfId="10333"/>
    <cellStyle name="Comma 9 2 2 11 2" xfId="16872"/>
    <cellStyle name="Comma 9 2 2 12" xfId="13444"/>
    <cellStyle name="Comma 9 2 2 2" xfId="447"/>
    <cellStyle name="Comma 9 2 2 2 10" xfId="13502"/>
    <cellStyle name="Comma 9 2 2 2 2" xfId="901"/>
    <cellStyle name="Comma 9 2 2 2 2 2" xfId="2036"/>
    <cellStyle name="Comma 9 2 2 2 2 2 2" xfId="5456"/>
    <cellStyle name="Comma 9 2 2 2 2 2 2 2" xfId="11925"/>
    <cellStyle name="Comma 9 2 2 2 2 2 2 2 2" xfId="18464"/>
    <cellStyle name="Comma 9 2 2 2 2 2 2 3" xfId="15612"/>
    <cellStyle name="Comma 9 2 2 2 2 2 3" xfId="7728"/>
    <cellStyle name="Comma 9 2 2 2 2 2 3 2" xfId="12496"/>
    <cellStyle name="Comma 9 2 2 2 2 2 3 2 2" xfId="19035"/>
    <cellStyle name="Comma 9 2 2 2 2 2 3 3" xfId="16183"/>
    <cellStyle name="Comma 9 2 2 2 2 2 4" xfId="10000"/>
    <cellStyle name="Comma 9 2 2 2 2 2 4 2" xfId="13067"/>
    <cellStyle name="Comma 9 2 2 2 2 2 4 2 2" xfId="19606"/>
    <cellStyle name="Comma 9 2 2 2 2 2 4 3" xfId="16754"/>
    <cellStyle name="Comma 9 2 2 2 2 2 5" xfId="3397"/>
    <cellStyle name="Comma 9 2 2 2 2 2 5 2" xfId="11354"/>
    <cellStyle name="Comma 9 2 2 2 2 2 5 2 2" xfId="17893"/>
    <cellStyle name="Comma 9 2 2 2 2 2 5 3" xfId="15041"/>
    <cellStyle name="Comma 9 2 2 2 2 2 6" xfId="2821"/>
    <cellStyle name="Comma 9 2 2 2 2 2 6 2" xfId="14469"/>
    <cellStyle name="Comma 9 2 2 2 2 2 7" xfId="10782"/>
    <cellStyle name="Comma 9 2 2 2 2 2 7 2" xfId="17321"/>
    <cellStyle name="Comma 9 2 2 2 2 2 8" xfId="13901"/>
    <cellStyle name="Comma 9 2 2 2 2 3" xfId="4321"/>
    <cellStyle name="Comma 9 2 2 2 2 3 2" xfId="11640"/>
    <cellStyle name="Comma 9 2 2 2 2 3 2 2" xfId="18179"/>
    <cellStyle name="Comma 9 2 2 2 2 3 3" xfId="15327"/>
    <cellStyle name="Comma 9 2 2 2 2 4" xfId="6593"/>
    <cellStyle name="Comma 9 2 2 2 2 4 2" xfId="12211"/>
    <cellStyle name="Comma 9 2 2 2 2 4 2 2" xfId="18750"/>
    <cellStyle name="Comma 9 2 2 2 2 4 3" xfId="15898"/>
    <cellStyle name="Comma 9 2 2 2 2 5" xfId="8865"/>
    <cellStyle name="Comma 9 2 2 2 2 5 2" xfId="12782"/>
    <cellStyle name="Comma 9 2 2 2 2 5 2 2" xfId="19321"/>
    <cellStyle name="Comma 9 2 2 2 2 5 3" xfId="16469"/>
    <cellStyle name="Comma 9 2 2 2 2 6" xfId="3112"/>
    <cellStyle name="Comma 9 2 2 2 2 6 2" xfId="11069"/>
    <cellStyle name="Comma 9 2 2 2 2 6 2 2" xfId="17608"/>
    <cellStyle name="Comma 9 2 2 2 2 6 3" xfId="14756"/>
    <cellStyle name="Comma 9 2 2 2 2 7" xfId="2541"/>
    <cellStyle name="Comma 9 2 2 2 2 7 2" xfId="14189"/>
    <cellStyle name="Comma 9 2 2 2 2 8" xfId="10502"/>
    <cellStyle name="Comma 9 2 2 2 2 8 2" xfId="17041"/>
    <cellStyle name="Comma 9 2 2 2 2 9" xfId="13616"/>
    <cellStyle name="Comma 9 2 2 2 3" xfId="1582"/>
    <cellStyle name="Comma 9 2 2 2 3 2" xfId="5002"/>
    <cellStyle name="Comma 9 2 2 2 3 2 2" xfId="11811"/>
    <cellStyle name="Comma 9 2 2 2 3 2 2 2" xfId="18350"/>
    <cellStyle name="Comma 9 2 2 2 3 2 3" xfId="15498"/>
    <cellStyle name="Comma 9 2 2 2 3 3" xfId="7274"/>
    <cellStyle name="Comma 9 2 2 2 3 3 2" xfId="12382"/>
    <cellStyle name="Comma 9 2 2 2 3 3 2 2" xfId="18921"/>
    <cellStyle name="Comma 9 2 2 2 3 3 3" xfId="16069"/>
    <cellStyle name="Comma 9 2 2 2 3 4" xfId="9546"/>
    <cellStyle name="Comma 9 2 2 2 3 4 2" xfId="12953"/>
    <cellStyle name="Comma 9 2 2 2 3 4 2 2" xfId="19492"/>
    <cellStyle name="Comma 9 2 2 2 3 4 3" xfId="16640"/>
    <cellStyle name="Comma 9 2 2 2 3 5" xfId="3283"/>
    <cellStyle name="Comma 9 2 2 2 3 5 2" xfId="11240"/>
    <cellStyle name="Comma 9 2 2 2 3 5 2 2" xfId="17779"/>
    <cellStyle name="Comma 9 2 2 2 3 5 3" xfId="14927"/>
    <cellStyle name="Comma 9 2 2 2 3 6" xfId="2709"/>
    <cellStyle name="Comma 9 2 2 2 3 6 2" xfId="14357"/>
    <cellStyle name="Comma 9 2 2 2 3 7" xfId="10670"/>
    <cellStyle name="Comma 9 2 2 2 3 7 2" xfId="17209"/>
    <cellStyle name="Comma 9 2 2 2 3 8" xfId="13787"/>
    <cellStyle name="Comma 9 2 2 2 4" xfId="3867"/>
    <cellStyle name="Comma 9 2 2 2 4 2" xfId="11526"/>
    <cellStyle name="Comma 9 2 2 2 4 2 2" xfId="18065"/>
    <cellStyle name="Comma 9 2 2 2 4 3" xfId="15213"/>
    <cellStyle name="Comma 9 2 2 2 5" xfId="6139"/>
    <cellStyle name="Comma 9 2 2 2 5 2" xfId="12097"/>
    <cellStyle name="Comma 9 2 2 2 5 2 2" xfId="18636"/>
    <cellStyle name="Comma 9 2 2 2 5 3" xfId="15784"/>
    <cellStyle name="Comma 9 2 2 2 6" xfId="8411"/>
    <cellStyle name="Comma 9 2 2 2 6 2" xfId="12668"/>
    <cellStyle name="Comma 9 2 2 2 6 2 2" xfId="19207"/>
    <cellStyle name="Comma 9 2 2 2 6 3" xfId="16355"/>
    <cellStyle name="Comma 9 2 2 2 7" xfId="2998"/>
    <cellStyle name="Comma 9 2 2 2 7 2" xfId="10955"/>
    <cellStyle name="Comma 9 2 2 2 7 2 2" xfId="17494"/>
    <cellStyle name="Comma 9 2 2 2 7 3" xfId="14642"/>
    <cellStyle name="Comma 9 2 2 2 8" xfId="2429"/>
    <cellStyle name="Comma 9 2 2 2 8 2" xfId="14077"/>
    <cellStyle name="Comma 9 2 2 2 9" xfId="10390"/>
    <cellStyle name="Comma 9 2 2 2 9 2" xfId="16929"/>
    <cellStyle name="Comma 9 2 2 3" xfId="1128"/>
    <cellStyle name="Comma 9 2 2 3 2" xfId="2263"/>
    <cellStyle name="Comma 9 2 2 3 2 2" xfId="5683"/>
    <cellStyle name="Comma 9 2 2 3 2 2 2" xfId="11982"/>
    <cellStyle name="Comma 9 2 2 3 2 2 2 2" xfId="18521"/>
    <cellStyle name="Comma 9 2 2 3 2 2 3" xfId="15669"/>
    <cellStyle name="Comma 9 2 2 3 2 3" xfId="7955"/>
    <cellStyle name="Comma 9 2 2 3 2 3 2" xfId="12553"/>
    <cellStyle name="Comma 9 2 2 3 2 3 2 2" xfId="19092"/>
    <cellStyle name="Comma 9 2 2 3 2 3 3" xfId="16240"/>
    <cellStyle name="Comma 9 2 2 3 2 4" xfId="10227"/>
    <cellStyle name="Comma 9 2 2 3 2 4 2" xfId="13124"/>
    <cellStyle name="Comma 9 2 2 3 2 4 2 2" xfId="19663"/>
    <cellStyle name="Comma 9 2 2 3 2 4 3" xfId="16811"/>
    <cellStyle name="Comma 9 2 2 3 2 5" xfId="3454"/>
    <cellStyle name="Comma 9 2 2 3 2 5 2" xfId="11411"/>
    <cellStyle name="Comma 9 2 2 3 2 5 2 2" xfId="17950"/>
    <cellStyle name="Comma 9 2 2 3 2 5 3" xfId="15098"/>
    <cellStyle name="Comma 9 2 2 3 2 6" xfId="2877"/>
    <cellStyle name="Comma 9 2 2 3 2 6 2" xfId="14525"/>
    <cellStyle name="Comma 9 2 2 3 2 7" xfId="10838"/>
    <cellStyle name="Comma 9 2 2 3 2 7 2" xfId="17377"/>
    <cellStyle name="Comma 9 2 2 3 2 8" xfId="13958"/>
    <cellStyle name="Comma 9 2 2 3 3" xfId="4548"/>
    <cellStyle name="Comma 9 2 2 3 3 2" xfId="11697"/>
    <cellStyle name="Comma 9 2 2 3 3 2 2" xfId="18236"/>
    <cellStyle name="Comma 9 2 2 3 3 3" xfId="15384"/>
    <cellStyle name="Comma 9 2 2 3 4" xfId="6820"/>
    <cellStyle name="Comma 9 2 2 3 4 2" xfId="12268"/>
    <cellStyle name="Comma 9 2 2 3 4 2 2" xfId="18807"/>
    <cellStyle name="Comma 9 2 2 3 4 3" xfId="15955"/>
    <cellStyle name="Comma 9 2 2 3 5" xfId="9092"/>
    <cellStyle name="Comma 9 2 2 3 5 2" xfId="12839"/>
    <cellStyle name="Comma 9 2 2 3 5 2 2" xfId="19378"/>
    <cellStyle name="Comma 9 2 2 3 5 3" xfId="16526"/>
    <cellStyle name="Comma 9 2 2 3 6" xfId="3169"/>
    <cellStyle name="Comma 9 2 2 3 6 2" xfId="11126"/>
    <cellStyle name="Comma 9 2 2 3 6 2 2" xfId="17665"/>
    <cellStyle name="Comma 9 2 2 3 6 3" xfId="14813"/>
    <cellStyle name="Comma 9 2 2 3 7" xfId="2597"/>
    <cellStyle name="Comma 9 2 2 3 7 2" xfId="14245"/>
    <cellStyle name="Comma 9 2 2 3 8" xfId="10558"/>
    <cellStyle name="Comma 9 2 2 3 8 2" xfId="17097"/>
    <cellStyle name="Comma 9 2 2 3 9" xfId="13673"/>
    <cellStyle name="Comma 9 2 2 4" xfId="674"/>
    <cellStyle name="Comma 9 2 2 4 2" xfId="1809"/>
    <cellStyle name="Comma 9 2 2 4 2 2" xfId="5229"/>
    <cellStyle name="Comma 9 2 2 4 2 2 2" xfId="11868"/>
    <cellStyle name="Comma 9 2 2 4 2 2 2 2" xfId="18407"/>
    <cellStyle name="Comma 9 2 2 4 2 2 3" xfId="15555"/>
    <cellStyle name="Comma 9 2 2 4 2 3" xfId="7501"/>
    <cellStyle name="Comma 9 2 2 4 2 3 2" xfId="12439"/>
    <cellStyle name="Comma 9 2 2 4 2 3 2 2" xfId="18978"/>
    <cellStyle name="Comma 9 2 2 4 2 3 3" xfId="16126"/>
    <cellStyle name="Comma 9 2 2 4 2 4" xfId="9773"/>
    <cellStyle name="Comma 9 2 2 4 2 4 2" xfId="13010"/>
    <cellStyle name="Comma 9 2 2 4 2 4 2 2" xfId="19549"/>
    <cellStyle name="Comma 9 2 2 4 2 4 3" xfId="16697"/>
    <cellStyle name="Comma 9 2 2 4 2 5" xfId="3340"/>
    <cellStyle name="Comma 9 2 2 4 2 5 2" xfId="11297"/>
    <cellStyle name="Comma 9 2 2 4 2 5 2 2" xfId="17836"/>
    <cellStyle name="Comma 9 2 2 4 2 5 3" xfId="14984"/>
    <cellStyle name="Comma 9 2 2 4 2 6" xfId="2765"/>
    <cellStyle name="Comma 9 2 2 4 2 6 2" xfId="14413"/>
    <cellStyle name="Comma 9 2 2 4 2 7" xfId="10726"/>
    <cellStyle name="Comma 9 2 2 4 2 7 2" xfId="17265"/>
    <cellStyle name="Comma 9 2 2 4 2 8" xfId="13844"/>
    <cellStyle name="Comma 9 2 2 4 3" xfId="4094"/>
    <cellStyle name="Comma 9 2 2 4 3 2" xfId="11583"/>
    <cellStyle name="Comma 9 2 2 4 3 2 2" xfId="18122"/>
    <cellStyle name="Comma 9 2 2 4 3 3" xfId="15270"/>
    <cellStyle name="Comma 9 2 2 4 4" xfId="6366"/>
    <cellStyle name="Comma 9 2 2 4 4 2" xfId="12154"/>
    <cellStyle name="Comma 9 2 2 4 4 2 2" xfId="18693"/>
    <cellStyle name="Comma 9 2 2 4 4 3" xfId="15841"/>
    <cellStyle name="Comma 9 2 2 4 5" xfId="8638"/>
    <cellStyle name="Comma 9 2 2 4 5 2" xfId="12725"/>
    <cellStyle name="Comma 9 2 2 4 5 2 2" xfId="19264"/>
    <cellStyle name="Comma 9 2 2 4 5 3" xfId="16412"/>
    <cellStyle name="Comma 9 2 2 4 6" xfId="3055"/>
    <cellStyle name="Comma 9 2 2 4 6 2" xfId="11012"/>
    <cellStyle name="Comma 9 2 2 4 6 2 2" xfId="17551"/>
    <cellStyle name="Comma 9 2 2 4 6 3" xfId="14699"/>
    <cellStyle name="Comma 9 2 2 4 7" xfId="2485"/>
    <cellStyle name="Comma 9 2 2 4 7 2" xfId="14133"/>
    <cellStyle name="Comma 9 2 2 4 8" xfId="10446"/>
    <cellStyle name="Comma 9 2 2 4 8 2" xfId="16985"/>
    <cellStyle name="Comma 9 2 2 4 9" xfId="13559"/>
    <cellStyle name="Comma 9 2 2 5" xfId="1355"/>
    <cellStyle name="Comma 9 2 2 5 2" xfId="4775"/>
    <cellStyle name="Comma 9 2 2 5 2 2" xfId="11754"/>
    <cellStyle name="Comma 9 2 2 5 2 2 2" xfId="18293"/>
    <cellStyle name="Comma 9 2 2 5 2 3" xfId="15441"/>
    <cellStyle name="Comma 9 2 2 5 3" xfId="7047"/>
    <cellStyle name="Comma 9 2 2 5 3 2" xfId="12325"/>
    <cellStyle name="Comma 9 2 2 5 3 2 2" xfId="18864"/>
    <cellStyle name="Comma 9 2 2 5 3 3" xfId="16012"/>
    <cellStyle name="Comma 9 2 2 5 4" xfId="9319"/>
    <cellStyle name="Comma 9 2 2 5 4 2" xfId="12896"/>
    <cellStyle name="Comma 9 2 2 5 4 2 2" xfId="19435"/>
    <cellStyle name="Comma 9 2 2 5 4 3" xfId="16583"/>
    <cellStyle name="Comma 9 2 2 5 5" xfId="3226"/>
    <cellStyle name="Comma 9 2 2 5 5 2" xfId="11183"/>
    <cellStyle name="Comma 9 2 2 5 5 2 2" xfId="17722"/>
    <cellStyle name="Comma 9 2 2 5 5 3" xfId="14870"/>
    <cellStyle name="Comma 9 2 2 5 6" xfId="2653"/>
    <cellStyle name="Comma 9 2 2 5 6 2" xfId="14301"/>
    <cellStyle name="Comma 9 2 2 5 7" xfId="10614"/>
    <cellStyle name="Comma 9 2 2 5 7 2" xfId="17153"/>
    <cellStyle name="Comma 9 2 2 5 8" xfId="13730"/>
    <cellStyle name="Comma 9 2 2 6" xfId="3640"/>
    <cellStyle name="Comma 9 2 2 6 2" xfId="11469"/>
    <cellStyle name="Comma 9 2 2 6 2 2" xfId="18008"/>
    <cellStyle name="Comma 9 2 2 6 3" xfId="15156"/>
    <cellStyle name="Comma 9 2 2 7" xfId="5912"/>
    <cellStyle name="Comma 9 2 2 7 2" xfId="12040"/>
    <cellStyle name="Comma 9 2 2 7 2 2" xfId="18579"/>
    <cellStyle name="Comma 9 2 2 7 3" xfId="15727"/>
    <cellStyle name="Comma 9 2 2 8" xfId="8184"/>
    <cellStyle name="Comma 9 2 2 8 2" xfId="12611"/>
    <cellStyle name="Comma 9 2 2 8 2 2" xfId="19150"/>
    <cellStyle name="Comma 9 2 2 8 3" xfId="16298"/>
    <cellStyle name="Comma 9 2 2 9" xfId="2938"/>
    <cellStyle name="Comma 9 2 2 9 2" xfId="10897"/>
    <cellStyle name="Comma 9 2 2 9 2 2" xfId="17436"/>
    <cellStyle name="Comma 9 2 2 9 3" xfId="14584"/>
    <cellStyle name="Comma 9 2 3" xfId="153"/>
    <cellStyle name="Comma 9 2 3 10" xfId="2358"/>
    <cellStyle name="Comma 9 2 3 10 2" xfId="14006"/>
    <cellStyle name="Comma 9 2 3 11" xfId="10319"/>
    <cellStyle name="Comma 9 2 3 11 2" xfId="16858"/>
    <cellStyle name="Comma 9 2 3 12" xfId="13430"/>
    <cellStyle name="Comma 9 2 3 2" xfId="391"/>
    <cellStyle name="Comma 9 2 3 2 10" xfId="13488"/>
    <cellStyle name="Comma 9 2 3 2 2" xfId="845"/>
    <cellStyle name="Comma 9 2 3 2 2 2" xfId="1980"/>
    <cellStyle name="Comma 9 2 3 2 2 2 2" xfId="5400"/>
    <cellStyle name="Comma 9 2 3 2 2 2 2 2" xfId="11911"/>
    <cellStyle name="Comma 9 2 3 2 2 2 2 2 2" xfId="18450"/>
    <cellStyle name="Comma 9 2 3 2 2 2 2 3" xfId="15598"/>
    <cellStyle name="Comma 9 2 3 2 2 2 3" xfId="7672"/>
    <cellStyle name="Comma 9 2 3 2 2 2 3 2" xfId="12482"/>
    <cellStyle name="Comma 9 2 3 2 2 2 3 2 2" xfId="19021"/>
    <cellStyle name="Comma 9 2 3 2 2 2 3 3" xfId="16169"/>
    <cellStyle name="Comma 9 2 3 2 2 2 4" xfId="9944"/>
    <cellStyle name="Comma 9 2 3 2 2 2 4 2" xfId="13053"/>
    <cellStyle name="Comma 9 2 3 2 2 2 4 2 2" xfId="19592"/>
    <cellStyle name="Comma 9 2 3 2 2 2 4 3" xfId="16740"/>
    <cellStyle name="Comma 9 2 3 2 2 2 5" xfId="3383"/>
    <cellStyle name="Comma 9 2 3 2 2 2 5 2" xfId="11340"/>
    <cellStyle name="Comma 9 2 3 2 2 2 5 2 2" xfId="17879"/>
    <cellStyle name="Comma 9 2 3 2 2 2 5 3" xfId="15027"/>
    <cellStyle name="Comma 9 2 3 2 2 2 6" xfId="2807"/>
    <cellStyle name="Comma 9 2 3 2 2 2 6 2" xfId="14455"/>
    <cellStyle name="Comma 9 2 3 2 2 2 7" xfId="10768"/>
    <cellStyle name="Comma 9 2 3 2 2 2 7 2" xfId="17307"/>
    <cellStyle name="Comma 9 2 3 2 2 2 8" xfId="13887"/>
    <cellStyle name="Comma 9 2 3 2 2 3" xfId="4265"/>
    <cellStyle name="Comma 9 2 3 2 2 3 2" xfId="11626"/>
    <cellStyle name="Comma 9 2 3 2 2 3 2 2" xfId="18165"/>
    <cellStyle name="Comma 9 2 3 2 2 3 3" xfId="15313"/>
    <cellStyle name="Comma 9 2 3 2 2 4" xfId="6537"/>
    <cellStyle name="Comma 9 2 3 2 2 4 2" xfId="12197"/>
    <cellStyle name="Comma 9 2 3 2 2 4 2 2" xfId="18736"/>
    <cellStyle name="Comma 9 2 3 2 2 4 3" xfId="15884"/>
    <cellStyle name="Comma 9 2 3 2 2 5" xfId="8809"/>
    <cellStyle name="Comma 9 2 3 2 2 5 2" xfId="12768"/>
    <cellStyle name="Comma 9 2 3 2 2 5 2 2" xfId="19307"/>
    <cellStyle name="Comma 9 2 3 2 2 5 3" xfId="16455"/>
    <cellStyle name="Comma 9 2 3 2 2 6" xfId="3098"/>
    <cellStyle name="Comma 9 2 3 2 2 6 2" xfId="11055"/>
    <cellStyle name="Comma 9 2 3 2 2 6 2 2" xfId="17594"/>
    <cellStyle name="Comma 9 2 3 2 2 6 3" xfId="14742"/>
    <cellStyle name="Comma 9 2 3 2 2 7" xfId="2527"/>
    <cellStyle name="Comma 9 2 3 2 2 7 2" xfId="14175"/>
    <cellStyle name="Comma 9 2 3 2 2 8" xfId="10488"/>
    <cellStyle name="Comma 9 2 3 2 2 8 2" xfId="17027"/>
    <cellStyle name="Comma 9 2 3 2 2 9" xfId="13602"/>
    <cellStyle name="Comma 9 2 3 2 3" xfId="1526"/>
    <cellStyle name="Comma 9 2 3 2 3 2" xfId="4946"/>
    <cellStyle name="Comma 9 2 3 2 3 2 2" xfId="11797"/>
    <cellStyle name="Comma 9 2 3 2 3 2 2 2" xfId="18336"/>
    <cellStyle name="Comma 9 2 3 2 3 2 3" xfId="15484"/>
    <cellStyle name="Comma 9 2 3 2 3 3" xfId="7218"/>
    <cellStyle name="Comma 9 2 3 2 3 3 2" xfId="12368"/>
    <cellStyle name="Comma 9 2 3 2 3 3 2 2" xfId="18907"/>
    <cellStyle name="Comma 9 2 3 2 3 3 3" xfId="16055"/>
    <cellStyle name="Comma 9 2 3 2 3 4" xfId="9490"/>
    <cellStyle name="Comma 9 2 3 2 3 4 2" xfId="12939"/>
    <cellStyle name="Comma 9 2 3 2 3 4 2 2" xfId="19478"/>
    <cellStyle name="Comma 9 2 3 2 3 4 3" xfId="16626"/>
    <cellStyle name="Comma 9 2 3 2 3 5" xfId="3269"/>
    <cellStyle name="Comma 9 2 3 2 3 5 2" xfId="11226"/>
    <cellStyle name="Comma 9 2 3 2 3 5 2 2" xfId="17765"/>
    <cellStyle name="Comma 9 2 3 2 3 5 3" xfId="14913"/>
    <cellStyle name="Comma 9 2 3 2 3 6" xfId="2695"/>
    <cellStyle name="Comma 9 2 3 2 3 6 2" xfId="14343"/>
    <cellStyle name="Comma 9 2 3 2 3 7" xfId="10656"/>
    <cellStyle name="Comma 9 2 3 2 3 7 2" xfId="17195"/>
    <cellStyle name="Comma 9 2 3 2 3 8" xfId="13773"/>
    <cellStyle name="Comma 9 2 3 2 4" xfId="3811"/>
    <cellStyle name="Comma 9 2 3 2 4 2" xfId="11512"/>
    <cellStyle name="Comma 9 2 3 2 4 2 2" xfId="18051"/>
    <cellStyle name="Comma 9 2 3 2 4 3" xfId="15199"/>
    <cellStyle name="Comma 9 2 3 2 5" xfId="6083"/>
    <cellStyle name="Comma 9 2 3 2 5 2" xfId="12083"/>
    <cellStyle name="Comma 9 2 3 2 5 2 2" xfId="18622"/>
    <cellStyle name="Comma 9 2 3 2 5 3" xfId="15770"/>
    <cellStyle name="Comma 9 2 3 2 6" xfId="8355"/>
    <cellStyle name="Comma 9 2 3 2 6 2" xfId="12654"/>
    <cellStyle name="Comma 9 2 3 2 6 2 2" xfId="19193"/>
    <cellStyle name="Comma 9 2 3 2 6 3" xfId="16341"/>
    <cellStyle name="Comma 9 2 3 2 7" xfId="2984"/>
    <cellStyle name="Comma 9 2 3 2 7 2" xfId="10941"/>
    <cellStyle name="Comma 9 2 3 2 7 2 2" xfId="17480"/>
    <cellStyle name="Comma 9 2 3 2 7 3" xfId="14628"/>
    <cellStyle name="Comma 9 2 3 2 8" xfId="2415"/>
    <cellStyle name="Comma 9 2 3 2 8 2" xfId="14063"/>
    <cellStyle name="Comma 9 2 3 2 9" xfId="10376"/>
    <cellStyle name="Comma 9 2 3 2 9 2" xfId="16915"/>
    <cellStyle name="Comma 9 2 3 3" xfId="1072"/>
    <cellStyle name="Comma 9 2 3 3 2" xfId="2207"/>
    <cellStyle name="Comma 9 2 3 3 2 2" xfId="5627"/>
    <cellStyle name="Comma 9 2 3 3 2 2 2" xfId="11968"/>
    <cellStyle name="Comma 9 2 3 3 2 2 2 2" xfId="18507"/>
    <cellStyle name="Comma 9 2 3 3 2 2 3" xfId="15655"/>
    <cellStyle name="Comma 9 2 3 3 2 3" xfId="7899"/>
    <cellStyle name="Comma 9 2 3 3 2 3 2" xfId="12539"/>
    <cellStyle name="Comma 9 2 3 3 2 3 2 2" xfId="19078"/>
    <cellStyle name="Comma 9 2 3 3 2 3 3" xfId="16226"/>
    <cellStyle name="Comma 9 2 3 3 2 4" xfId="10171"/>
    <cellStyle name="Comma 9 2 3 3 2 4 2" xfId="13110"/>
    <cellStyle name="Comma 9 2 3 3 2 4 2 2" xfId="19649"/>
    <cellStyle name="Comma 9 2 3 3 2 4 3" xfId="16797"/>
    <cellStyle name="Comma 9 2 3 3 2 5" xfId="3440"/>
    <cellStyle name="Comma 9 2 3 3 2 5 2" xfId="11397"/>
    <cellStyle name="Comma 9 2 3 3 2 5 2 2" xfId="17936"/>
    <cellStyle name="Comma 9 2 3 3 2 5 3" xfId="15084"/>
    <cellStyle name="Comma 9 2 3 3 2 6" xfId="2863"/>
    <cellStyle name="Comma 9 2 3 3 2 6 2" xfId="14511"/>
    <cellStyle name="Comma 9 2 3 3 2 7" xfId="10824"/>
    <cellStyle name="Comma 9 2 3 3 2 7 2" xfId="17363"/>
    <cellStyle name="Comma 9 2 3 3 2 8" xfId="13944"/>
    <cellStyle name="Comma 9 2 3 3 3" xfId="4492"/>
    <cellStyle name="Comma 9 2 3 3 3 2" xfId="11683"/>
    <cellStyle name="Comma 9 2 3 3 3 2 2" xfId="18222"/>
    <cellStyle name="Comma 9 2 3 3 3 3" xfId="15370"/>
    <cellStyle name="Comma 9 2 3 3 4" xfId="6764"/>
    <cellStyle name="Comma 9 2 3 3 4 2" xfId="12254"/>
    <cellStyle name="Comma 9 2 3 3 4 2 2" xfId="18793"/>
    <cellStyle name="Comma 9 2 3 3 4 3" xfId="15941"/>
    <cellStyle name="Comma 9 2 3 3 5" xfId="9036"/>
    <cellStyle name="Comma 9 2 3 3 5 2" xfId="12825"/>
    <cellStyle name="Comma 9 2 3 3 5 2 2" xfId="19364"/>
    <cellStyle name="Comma 9 2 3 3 5 3" xfId="16512"/>
    <cellStyle name="Comma 9 2 3 3 6" xfId="3155"/>
    <cellStyle name="Comma 9 2 3 3 6 2" xfId="11112"/>
    <cellStyle name="Comma 9 2 3 3 6 2 2" xfId="17651"/>
    <cellStyle name="Comma 9 2 3 3 6 3" xfId="14799"/>
    <cellStyle name="Comma 9 2 3 3 7" xfId="2583"/>
    <cellStyle name="Comma 9 2 3 3 7 2" xfId="14231"/>
    <cellStyle name="Comma 9 2 3 3 8" xfId="10544"/>
    <cellStyle name="Comma 9 2 3 3 8 2" xfId="17083"/>
    <cellStyle name="Comma 9 2 3 3 9" xfId="13659"/>
    <cellStyle name="Comma 9 2 3 4" xfId="618"/>
    <cellStyle name="Comma 9 2 3 4 2" xfId="1753"/>
    <cellStyle name="Comma 9 2 3 4 2 2" xfId="5173"/>
    <cellStyle name="Comma 9 2 3 4 2 2 2" xfId="11854"/>
    <cellStyle name="Comma 9 2 3 4 2 2 2 2" xfId="18393"/>
    <cellStyle name="Comma 9 2 3 4 2 2 3" xfId="15541"/>
    <cellStyle name="Comma 9 2 3 4 2 3" xfId="7445"/>
    <cellStyle name="Comma 9 2 3 4 2 3 2" xfId="12425"/>
    <cellStyle name="Comma 9 2 3 4 2 3 2 2" xfId="18964"/>
    <cellStyle name="Comma 9 2 3 4 2 3 3" xfId="16112"/>
    <cellStyle name="Comma 9 2 3 4 2 4" xfId="9717"/>
    <cellStyle name="Comma 9 2 3 4 2 4 2" xfId="12996"/>
    <cellStyle name="Comma 9 2 3 4 2 4 2 2" xfId="19535"/>
    <cellStyle name="Comma 9 2 3 4 2 4 3" xfId="16683"/>
    <cellStyle name="Comma 9 2 3 4 2 5" xfId="3326"/>
    <cellStyle name="Comma 9 2 3 4 2 5 2" xfId="11283"/>
    <cellStyle name="Comma 9 2 3 4 2 5 2 2" xfId="17822"/>
    <cellStyle name="Comma 9 2 3 4 2 5 3" xfId="14970"/>
    <cellStyle name="Comma 9 2 3 4 2 6" xfId="2751"/>
    <cellStyle name="Comma 9 2 3 4 2 6 2" xfId="14399"/>
    <cellStyle name="Comma 9 2 3 4 2 7" xfId="10712"/>
    <cellStyle name="Comma 9 2 3 4 2 7 2" xfId="17251"/>
    <cellStyle name="Comma 9 2 3 4 2 8" xfId="13830"/>
    <cellStyle name="Comma 9 2 3 4 3" xfId="4038"/>
    <cellStyle name="Comma 9 2 3 4 3 2" xfId="11569"/>
    <cellStyle name="Comma 9 2 3 4 3 2 2" xfId="18108"/>
    <cellStyle name="Comma 9 2 3 4 3 3" xfId="15256"/>
    <cellStyle name="Comma 9 2 3 4 4" xfId="6310"/>
    <cellStyle name="Comma 9 2 3 4 4 2" xfId="12140"/>
    <cellStyle name="Comma 9 2 3 4 4 2 2" xfId="18679"/>
    <cellStyle name="Comma 9 2 3 4 4 3" xfId="15827"/>
    <cellStyle name="Comma 9 2 3 4 5" xfId="8582"/>
    <cellStyle name="Comma 9 2 3 4 5 2" xfId="12711"/>
    <cellStyle name="Comma 9 2 3 4 5 2 2" xfId="19250"/>
    <cellStyle name="Comma 9 2 3 4 5 3" xfId="16398"/>
    <cellStyle name="Comma 9 2 3 4 6" xfId="3041"/>
    <cellStyle name="Comma 9 2 3 4 6 2" xfId="10998"/>
    <cellStyle name="Comma 9 2 3 4 6 2 2" xfId="17537"/>
    <cellStyle name="Comma 9 2 3 4 6 3" xfId="14685"/>
    <cellStyle name="Comma 9 2 3 4 7" xfId="2471"/>
    <cellStyle name="Comma 9 2 3 4 7 2" xfId="14119"/>
    <cellStyle name="Comma 9 2 3 4 8" xfId="10432"/>
    <cellStyle name="Comma 9 2 3 4 8 2" xfId="16971"/>
    <cellStyle name="Comma 9 2 3 4 9" xfId="13545"/>
    <cellStyle name="Comma 9 2 3 5" xfId="1299"/>
    <cellStyle name="Comma 9 2 3 5 2" xfId="4719"/>
    <cellStyle name="Comma 9 2 3 5 2 2" xfId="11740"/>
    <cellStyle name="Comma 9 2 3 5 2 2 2" xfId="18279"/>
    <cellStyle name="Comma 9 2 3 5 2 3" xfId="15427"/>
    <cellStyle name="Comma 9 2 3 5 3" xfId="6991"/>
    <cellStyle name="Comma 9 2 3 5 3 2" xfId="12311"/>
    <cellStyle name="Comma 9 2 3 5 3 2 2" xfId="18850"/>
    <cellStyle name="Comma 9 2 3 5 3 3" xfId="15998"/>
    <cellStyle name="Comma 9 2 3 5 4" xfId="9263"/>
    <cellStyle name="Comma 9 2 3 5 4 2" xfId="12882"/>
    <cellStyle name="Comma 9 2 3 5 4 2 2" xfId="19421"/>
    <cellStyle name="Comma 9 2 3 5 4 3" xfId="16569"/>
    <cellStyle name="Comma 9 2 3 5 5" xfId="3212"/>
    <cellStyle name="Comma 9 2 3 5 5 2" xfId="11169"/>
    <cellStyle name="Comma 9 2 3 5 5 2 2" xfId="17708"/>
    <cellStyle name="Comma 9 2 3 5 5 3" xfId="14856"/>
    <cellStyle name="Comma 9 2 3 5 6" xfId="2639"/>
    <cellStyle name="Comma 9 2 3 5 6 2" xfId="14287"/>
    <cellStyle name="Comma 9 2 3 5 7" xfId="10600"/>
    <cellStyle name="Comma 9 2 3 5 7 2" xfId="17139"/>
    <cellStyle name="Comma 9 2 3 5 8" xfId="13716"/>
    <cellStyle name="Comma 9 2 3 6" xfId="3584"/>
    <cellStyle name="Comma 9 2 3 6 2" xfId="11455"/>
    <cellStyle name="Comma 9 2 3 6 2 2" xfId="17994"/>
    <cellStyle name="Comma 9 2 3 6 3" xfId="15142"/>
    <cellStyle name="Comma 9 2 3 7" xfId="5856"/>
    <cellStyle name="Comma 9 2 3 7 2" xfId="12026"/>
    <cellStyle name="Comma 9 2 3 7 2 2" xfId="18565"/>
    <cellStyle name="Comma 9 2 3 7 3" xfId="15713"/>
    <cellStyle name="Comma 9 2 3 8" xfId="8128"/>
    <cellStyle name="Comma 9 2 3 8 2" xfId="12597"/>
    <cellStyle name="Comma 9 2 3 8 2 2" xfId="19136"/>
    <cellStyle name="Comma 9 2 3 8 3" xfId="16284"/>
    <cellStyle name="Comma 9 2 3 9" xfId="2924"/>
    <cellStyle name="Comma 9 2 3 9 2" xfId="10883"/>
    <cellStyle name="Comma 9 2 3 9 2 2" xfId="17422"/>
    <cellStyle name="Comma 9 2 3 9 3" xfId="14570"/>
    <cellStyle name="Comma 9 2 4" xfId="279"/>
    <cellStyle name="Comma 9 2 4 10" xfId="2387"/>
    <cellStyle name="Comma 9 2 4 10 2" xfId="14035"/>
    <cellStyle name="Comma 9 2 4 11" xfId="10348"/>
    <cellStyle name="Comma 9 2 4 11 2" xfId="16887"/>
    <cellStyle name="Comma 9 2 4 12" xfId="13460"/>
    <cellStyle name="Comma 9 2 4 2" xfId="506"/>
    <cellStyle name="Comma 9 2 4 2 10" xfId="13517"/>
    <cellStyle name="Comma 9 2 4 2 2" xfId="960"/>
    <cellStyle name="Comma 9 2 4 2 2 2" xfId="2095"/>
    <cellStyle name="Comma 9 2 4 2 2 2 2" xfId="5515"/>
    <cellStyle name="Comma 9 2 4 2 2 2 2 2" xfId="11940"/>
    <cellStyle name="Comma 9 2 4 2 2 2 2 2 2" xfId="18479"/>
    <cellStyle name="Comma 9 2 4 2 2 2 2 3" xfId="15627"/>
    <cellStyle name="Comma 9 2 4 2 2 2 3" xfId="7787"/>
    <cellStyle name="Comma 9 2 4 2 2 2 3 2" xfId="12511"/>
    <cellStyle name="Comma 9 2 4 2 2 2 3 2 2" xfId="19050"/>
    <cellStyle name="Comma 9 2 4 2 2 2 3 3" xfId="16198"/>
    <cellStyle name="Comma 9 2 4 2 2 2 4" xfId="10059"/>
    <cellStyle name="Comma 9 2 4 2 2 2 4 2" xfId="13082"/>
    <cellStyle name="Comma 9 2 4 2 2 2 4 2 2" xfId="19621"/>
    <cellStyle name="Comma 9 2 4 2 2 2 4 3" xfId="16769"/>
    <cellStyle name="Comma 9 2 4 2 2 2 5" xfId="3412"/>
    <cellStyle name="Comma 9 2 4 2 2 2 5 2" xfId="11369"/>
    <cellStyle name="Comma 9 2 4 2 2 2 5 2 2" xfId="17908"/>
    <cellStyle name="Comma 9 2 4 2 2 2 5 3" xfId="15056"/>
    <cellStyle name="Comma 9 2 4 2 2 2 6" xfId="2835"/>
    <cellStyle name="Comma 9 2 4 2 2 2 6 2" xfId="14483"/>
    <cellStyle name="Comma 9 2 4 2 2 2 7" xfId="10796"/>
    <cellStyle name="Comma 9 2 4 2 2 2 7 2" xfId="17335"/>
    <cellStyle name="Comma 9 2 4 2 2 2 8" xfId="13916"/>
    <cellStyle name="Comma 9 2 4 2 2 3" xfId="4380"/>
    <cellStyle name="Comma 9 2 4 2 2 3 2" xfId="11655"/>
    <cellStyle name="Comma 9 2 4 2 2 3 2 2" xfId="18194"/>
    <cellStyle name="Comma 9 2 4 2 2 3 3" xfId="15342"/>
    <cellStyle name="Comma 9 2 4 2 2 4" xfId="6652"/>
    <cellStyle name="Comma 9 2 4 2 2 4 2" xfId="12226"/>
    <cellStyle name="Comma 9 2 4 2 2 4 2 2" xfId="18765"/>
    <cellStyle name="Comma 9 2 4 2 2 4 3" xfId="15913"/>
    <cellStyle name="Comma 9 2 4 2 2 5" xfId="8924"/>
    <cellStyle name="Comma 9 2 4 2 2 5 2" xfId="12797"/>
    <cellStyle name="Comma 9 2 4 2 2 5 2 2" xfId="19336"/>
    <cellStyle name="Comma 9 2 4 2 2 5 3" xfId="16484"/>
    <cellStyle name="Comma 9 2 4 2 2 6" xfId="3127"/>
    <cellStyle name="Comma 9 2 4 2 2 6 2" xfId="11084"/>
    <cellStyle name="Comma 9 2 4 2 2 6 2 2" xfId="17623"/>
    <cellStyle name="Comma 9 2 4 2 2 6 3" xfId="14771"/>
    <cellStyle name="Comma 9 2 4 2 2 7" xfId="2555"/>
    <cellStyle name="Comma 9 2 4 2 2 7 2" xfId="14203"/>
    <cellStyle name="Comma 9 2 4 2 2 8" xfId="10516"/>
    <cellStyle name="Comma 9 2 4 2 2 8 2" xfId="17055"/>
    <cellStyle name="Comma 9 2 4 2 2 9" xfId="13631"/>
    <cellStyle name="Comma 9 2 4 2 3" xfId="1641"/>
    <cellStyle name="Comma 9 2 4 2 3 2" xfId="5061"/>
    <cellStyle name="Comma 9 2 4 2 3 2 2" xfId="11826"/>
    <cellStyle name="Comma 9 2 4 2 3 2 2 2" xfId="18365"/>
    <cellStyle name="Comma 9 2 4 2 3 2 3" xfId="15513"/>
    <cellStyle name="Comma 9 2 4 2 3 3" xfId="7333"/>
    <cellStyle name="Comma 9 2 4 2 3 3 2" xfId="12397"/>
    <cellStyle name="Comma 9 2 4 2 3 3 2 2" xfId="18936"/>
    <cellStyle name="Comma 9 2 4 2 3 3 3" xfId="16084"/>
    <cellStyle name="Comma 9 2 4 2 3 4" xfId="9605"/>
    <cellStyle name="Comma 9 2 4 2 3 4 2" xfId="12968"/>
    <cellStyle name="Comma 9 2 4 2 3 4 2 2" xfId="19507"/>
    <cellStyle name="Comma 9 2 4 2 3 4 3" xfId="16655"/>
    <cellStyle name="Comma 9 2 4 2 3 5" xfId="3298"/>
    <cellStyle name="Comma 9 2 4 2 3 5 2" xfId="11255"/>
    <cellStyle name="Comma 9 2 4 2 3 5 2 2" xfId="17794"/>
    <cellStyle name="Comma 9 2 4 2 3 5 3" xfId="14942"/>
    <cellStyle name="Comma 9 2 4 2 3 6" xfId="2723"/>
    <cellStyle name="Comma 9 2 4 2 3 6 2" xfId="14371"/>
    <cellStyle name="Comma 9 2 4 2 3 7" xfId="10684"/>
    <cellStyle name="Comma 9 2 4 2 3 7 2" xfId="17223"/>
    <cellStyle name="Comma 9 2 4 2 3 8" xfId="13802"/>
    <cellStyle name="Comma 9 2 4 2 4" xfId="3926"/>
    <cellStyle name="Comma 9 2 4 2 4 2" xfId="11541"/>
    <cellStyle name="Comma 9 2 4 2 4 2 2" xfId="18080"/>
    <cellStyle name="Comma 9 2 4 2 4 3" xfId="15228"/>
    <cellStyle name="Comma 9 2 4 2 5" xfId="6198"/>
    <cellStyle name="Comma 9 2 4 2 5 2" xfId="12112"/>
    <cellStyle name="Comma 9 2 4 2 5 2 2" xfId="18651"/>
    <cellStyle name="Comma 9 2 4 2 5 3" xfId="15799"/>
    <cellStyle name="Comma 9 2 4 2 6" xfId="8470"/>
    <cellStyle name="Comma 9 2 4 2 6 2" xfId="12683"/>
    <cellStyle name="Comma 9 2 4 2 6 2 2" xfId="19222"/>
    <cellStyle name="Comma 9 2 4 2 6 3" xfId="16370"/>
    <cellStyle name="Comma 9 2 4 2 7" xfId="3013"/>
    <cellStyle name="Comma 9 2 4 2 7 2" xfId="10970"/>
    <cellStyle name="Comma 9 2 4 2 7 2 2" xfId="17509"/>
    <cellStyle name="Comma 9 2 4 2 7 3" xfId="14657"/>
    <cellStyle name="Comma 9 2 4 2 8" xfId="2443"/>
    <cellStyle name="Comma 9 2 4 2 8 2" xfId="14091"/>
    <cellStyle name="Comma 9 2 4 2 9" xfId="10404"/>
    <cellStyle name="Comma 9 2 4 2 9 2" xfId="16943"/>
    <cellStyle name="Comma 9 2 4 3" xfId="1187"/>
    <cellStyle name="Comma 9 2 4 3 2" xfId="2322"/>
    <cellStyle name="Comma 9 2 4 3 2 2" xfId="5742"/>
    <cellStyle name="Comma 9 2 4 3 2 2 2" xfId="11997"/>
    <cellStyle name="Comma 9 2 4 3 2 2 2 2" xfId="18536"/>
    <cellStyle name="Comma 9 2 4 3 2 2 3" xfId="15684"/>
    <cellStyle name="Comma 9 2 4 3 2 3" xfId="8014"/>
    <cellStyle name="Comma 9 2 4 3 2 3 2" xfId="12568"/>
    <cellStyle name="Comma 9 2 4 3 2 3 2 2" xfId="19107"/>
    <cellStyle name="Comma 9 2 4 3 2 3 3" xfId="16255"/>
    <cellStyle name="Comma 9 2 4 3 2 4" xfId="10286"/>
    <cellStyle name="Comma 9 2 4 3 2 4 2" xfId="13139"/>
    <cellStyle name="Comma 9 2 4 3 2 4 2 2" xfId="19678"/>
    <cellStyle name="Comma 9 2 4 3 2 4 3" xfId="16826"/>
    <cellStyle name="Comma 9 2 4 3 2 5" xfId="3469"/>
    <cellStyle name="Comma 9 2 4 3 2 5 2" xfId="11426"/>
    <cellStyle name="Comma 9 2 4 3 2 5 2 2" xfId="17965"/>
    <cellStyle name="Comma 9 2 4 3 2 5 3" xfId="15113"/>
    <cellStyle name="Comma 9 2 4 3 2 6" xfId="2891"/>
    <cellStyle name="Comma 9 2 4 3 2 6 2" xfId="14539"/>
    <cellStyle name="Comma 9 2 4 3 2 7" xfId="10852"/>
    <cellStyle name="Comma 9 2 4 3 2 7 2" xfId="17391"/>
    <cellStyle name="Comma 9 2 4 3 2 8" xfId="13973"/>
    <cellStyle name="Comma 9 2 4 3 3" xfId="4607"/>
    <cellStyle name="Comma 9 2 4 3 3 2" xfId="11712"/>
    <cellStyle name="Comma 9 2 4 3 3 2 2" xfId="18251"/>
    <cellStyle name="Comma 9 2 4 3 3 3" xfId="15399"/>
    <cellStyle name="Comma 9 2 4 3 4" xfId="6879"/>
    <cellStyle name="Comma 9 2 4 3 4 2" xfId="12283"/>
    <cellStyle name="Comma 9 2 4 3 4 2 2" xfId="18822"/>
    <cellStyle name="Comma 9 2 4 3 4 3" xfId="15970"/>
    <cellStyle name="Comma 9 2 4 3 5" xfId="9151"/>
    <cellStyle name="Comma 9 2 4 3 5 2" xfId="12854"/>
    <cellStyle name="Comma 9 2 4 3 5 2 2" xfId="19393"/>
    <cellStyle name="Comma 9 2 4 3 5 3" xfId="16541"/>
    <cellStyle name="Comma 9 2 4 3 6" xfId="3184"/>
    <cellStyle name="Comma 9 2 4 3 6 2" xfId="11141"/>
    <cellStyle name="Comma 9 2 4 3 6 2 2" xfId="17680"/>
    <cellStyle name="Comma 9 2 4 3 6 3" xfId="14828"/>
    <cellStyle name="Comma 9 2 4 3 7" xfId="2611"/>
    <cellStyle name="Comma 9 2 4 3 7 2" xfId="14259"/>
    <cellStyle name="Comma 9 2 4 3 8" xfId="10572"/>
    <cellStyle name="Comma 9 2 4 3 8 2" xfId="17111"/>
    <cellStyle name="Comma 9 2 4 3 9" xfId="13688"/>
    <cellStyle name="Comma 9 2 4 4" xfId="733"/>
    <cellStyle name="Comma 9 2 4 4 2" xfId="1868"/>
    <cellStyle name="Comma 9 2 4 4 2 2" xfId="5288"/>
    <cellStyle name="Comma 9 2 4 4 2 2 2" xfId="11883"/>
    <cellStyle name="Comma 9 2 4 4 2 2 2 2" xfId="18422"/>
    <cellStyle name="Comma 9 2 4 4 2 2 3" xfId="15570"/>
    <cellStyle name="Comma 9 2 4 4 2 3" xfId="7560"/>
    <cellStyle name="Comma 9 2 4 4 2 3 2" xfId="12454"/>
    <cellStyle name="Comma 9 2 4 4 2 3 2 2" xfId="18993"/>
    <cellStyle name="Comma 9 2 4 4 2 3 3" xfId="16141"/>
    <cellStyle name="Comma 9 2 4 4 2 4" xfId="9832"/>
    <cellStyle name="Comma 9 2 4 4 2 4 2" xfId="13025"/>
    <cellStyle name="Comma 9 2 4 4 2 4 2 2" xfId="19564"/>
    <cellStyle name="Comma 9 2 4 4 2 4 3" xfId="16712"/>
    <cellStyle name="Comma 9 2 4 4 2 5" xfId="3355"/>
    <cellStyle name="Comma 9 2 4 4 2 5 2" xfId="11312"/>
    <cellStyle name="Comma 9 2 4 4 2 5 2 2" xfId="17851"/>
    <cellStyle name="Comma 9 2 4 4 2 5 3" xfId="14999"/>
    <cellStyle name="Comma 9 2 4 4 2 6" xfId="2779"/>
    <cellStyle name="Comma 9 2 4 4 2 6 2" xfId="14427"/>
    <cellStyle name="Comma 9 2 4 4 2 7" xfId="10740"/>
    <cellStyle name="Comma 9 2 4 4 2 7 2" xfId="17279"/>
    <cellStyle name="Comma 9 2 4 4 2 8" xfId="13859"/>
    <cellStyle name="Comma 9 2 4 4 3" xfId="4153"/>
    <cellStyle name="Comma 9 2 4 4 3 2" xfId="11598"/>
    <cellStyle name="Comma 9 2 4 4 3 2 2" xfId="18137"/>
    <cellStyle name="Comma 9 2 4 4 3 3" xfId="15285"/>
    <cellStyle name="Comma 9 2 4 4 4" xfId="6425"/>
    <cellStyle name="Comma 9 2 4 4 4 2" xfId="12169"/>
    <cellStyle name="Comma 9 2 4 4 4 2 2" xfId="18708"/>
    <cellStyle name="Comma 9 2 4 4 4 3" xfId="15856"/>
    <cellStyle name="Comma 9 2 4 4 5" xfId="8697"/>
    <cellStyle name="Comma 9 2 4 4 5 2" xfId="12740"/>
    <cellStyle name="Comma 9 2 4 4 5 2 2" xfId="19279"/>
    <cellStyle name="Comma 9 2 4 4 5 3" xfId="16427"/>
    <cellStyle name="Comma 9 2 4 4 6" xfId="3070"/>
    <cellStyle name="Comma 9 2 4 4 6 2" xfId="11027"/>
    <cellStyle name="Comma 9 2 4 4 6 2 2" xfId="17566"/>
    <cellStyle name="Comma 9 2 4 4 6 3" xfId="14714"/>
    <cellStyle name="Comma 9 2 4 4 7" xfId="2499"/>
    <cellStyle name="Comma 9 2 4 4 7 2" xfId="14147"/>
    <cellStyle name="Comma 9 2 4 4 8" xfId="10460"/>
    <cellStyle name="Comma 9 2 4 4 8 2" xfId="16999"/>
    <cellStyle name="Comma 9 2 4 4 9" xfId="13574"/>
    <cellStyle name="Comma 9 2 4 5" xfId="1414"/>
    <cellStyle name="Comma 9 2 4 5 2" xfId="4834"/>
    <cellStyle name="Comma 9 2 4 5 2 2" xfId="11769"/>
    <cellStyle name="Comma 9 2 4 5 2 2 2" xfId="18308"/>
    <cellStyle name="Comma 9 2 4 5 2 3" xfId="15456"/>
    <cellStyle name="Comma 9 2 4 5 3" xfId="7106"/>
    <cellStyle name="Comma 9 2 4 5 3 2" xfId="12340"/>
    <cellStyle name="Comma 9 2 4 5 3 2 2" xfId="18879"/>
    <cellStyle name="Comma 9 2 4 5 3 3" xfId="16027"/>
    <cellStyle name="Comma 9 2 4 5 4" xfId="9378"/>
    <cellStyle name="Comma 9 2 4 5 4 2" xfId="12911"/>
    <cellStyle name="Comma 9 2 4 5 4 2 2" xfId="19450"/>
    <cellStyle name="Comma 9 2 4 5 4 3" xfId="16598"/>
    <cellStyle name="Comma 9 2 4 5 5" xfId="3241"/>
    <cellStyle name="Comma 9 2 4 5 5 2" xfId="11198"/>
    <cellStyle name="Comma 9 2 4 5 5 2 2" xfId="17737"/>
    <cellStyle name="Comma 9 2 4 5 5 3" xfId="14885"/>
    <cellStyle name="Comma 9 2 4 5 6" xfId="2667"/>
    <cellStyle name="Comma 9 2 4 5 6 2" xfId="14315"/>
    <cellStyle name="Comma 9 2 4 5 7" xfId="10628"/>
    <cellStyle name="Comma 9 2 4 5 7 2" xfId="17167"/>
    <cellStyle name="Comma 9 2 4 5 8" xfId="13745"/>
    <cellStyle name="Comma 9 2 4 6" xfId="3699"/>
    <cellStyle name="Comma 9 2 4 6 2" xfId="11484"/>
    <cellStyle name="Comma 9 2 4 6 2 2" xfId="18023"/>
    <cellStyle name="Comma 9 2 4 6 3" xfId="15171"/>
    <cellStyle name="Comma 9 2 4 7" xfId="5971"/>
    <cellStyle name="Comma 9 2 4 7 2" xfId="12055"/>
    <cellStyle name="Comma 9 2 4 7 2 2" xfId="18594"/>
    <cellStyle name="Comma 9 2 4 7 3" xfId="15742"/>
    <cellStyle name="Comma 9 2 4 8" xfId="8243"/>
    <cellStyle name="Comma 9 2 4 8 2" xfId="12626"/>
    <cellStyle name="Comma 9 2 4 8 2 2" xfId="19165"/>
    <cellStyle name="Comma 9 2 4 8 3" xfId="16313"/>
    <cellStyle name="Comma 9 2 4 9" xfId="2956"/>
    <cellStyle name="Comma 9 2 4 9 2" xfId="10913"/>
    <cellStyle name="Comma 9 2 4 9 2 2" xfId="17452"/>
    <cellStyle name="Comma 9 2 4 9 3" xfId="14600"/>
    <cellStyle name="Comma 9 2 5" xfId="335"/>
    <cellStyle name="Comma 9 2 5 10" xfId="13474"/>
    <cellStyle name="Comma 9 2 5 2" xfId="789"/>
    <cellStyle name="Comma 9 2 5 2 2" xfId="1924"/>
    <cellStyle name="Comma 9 2 5 2 2 2" xfId="5344"/>
    <cellStyle name="Comma 9 2 5 2 2 2 2" xfId="11897"/>
    <cellStyle name="Comma 9 2 5 2 2 2 2 2" xfId="18436"/>
    <cellStyle name="Comma 9 2 5 2 2 2 3" xfId="15584"/>
    <cellStyle name="Comma 9 2 5 2 2 3" xfId="7616"/>
    <cellStyle name="Comma 9 2 5 2 2 3 2" xfId="12468"/>
    <cellStyle name="Comma 9 2 5 2 2 3 2 2" xfId="19007"/>
    <cellStyle name="Comma 9 2 5 2 2 3 3" xfId="16155"/>
    <cellStyle name="Comma 9 2 5 2 2 4" xfId="9888"/>
    <cellStyle name="Comma 9 2 5 2 2 4 2" xfId="13039"/>
    <cellStyle name="Comma 9 2 5 2 2 4 2 2" xfId="19578"/>
    <cellStyle name="Comma 9 2 5 2 2 4 3" xfId="16726"/>
    <cellStyle name="Comma 9 2 5 2 2 5" xfId="3369"/>
    <cellStyle name="Comma 9 2 5 2 2 5 2" xfId="11326"/>
    <cellStyle name="Comma 9 2 5 2 2 5 2 2" xfId="17865"/>
    <cellStyle name="Comma 9 2 5 2 2 5 3" xfId="15013"/>
    <cellStyle name="Comma 9 2 5 2 2 6" xfId="2793"/>
    <cellStyle name="Comma 9 2 5 2 2 6 2" xfId="14441"/>
    <cellStyle name="Comma 9 2 5 2 2 7" xfId="10754"/>
    <cellStyle name="Comma 9 2 5 2 2 7 2" xfId="17293"/>
    <cellStyle name="Comma 9 2 5 2 2 8" xfId="13873"/>
    <cellStyle name="Comma 9 2 5 2 3" xfId="4209"/>
    <cellStyle name="Comma 9 2 5 2 3 2" xfId="11612"/>
    <cellStyle name="Comma 9 2 5 2 3 2 2" xfId="18151"/>
    <cellStyle name="Comma 9 2 5 2 3 3" xfId="15299"/>
    <cellStyle name="Comma 9 2 5 2 4" xfId="6481"/>
    <cellStyle name="Comma 9 2 5 2 4 2" xfId="12183"/>
    <cellStyle name="Comma 9 2 5 2 4 2 2" xfId="18722"/>
    <cellStyle name="Comma 9 2 5 2 4 3" xfId="15870"/>
    <cellStyle name="Comma 9 2 5 2 5" xfId="8753"/>
    <cellStyle name="Comma 9 2 5 2 5 2" xfId="12754"/>
    <cellStyle name="Comma 9 2 5 2 5 2 2" xfId="19293"/>
    <cellStyle name="Comma 9 2 5 2 5 3" xfId="16441"/>
    <cellStyle name="Comma 9 2 5 2 6" xfId="3084"/>
    <cellStyle name="Comma 9 2 5 2 6 2" xfId="11041"/>
    <cellStyle name="Comma 9 2 5 2 6 2 2" xfId="17580"/>
    <cellStyle name="Comma 9 2 5 2 6 3" xfId="14728"/>
    <cellStyle name="Comma 9 2 5 2 7" xfId="2513"/>
    <cellStyle name="Comma 9 2 5 2 7 2" xfId="14161"/>
    <cellStyle name="Comma 9 2 5 2 8" xfId="10474"/>
    <cellStyle name="Comma 9 2 5 2 8 2" xfId="17013"/>
    <cellStyle name="Comma 9 2 5 2 9" xfId="13588"/>
    <cellStyle name="Comma 9 2 5 3" xfId="1470"/>
    <cellStyle name="Comma 9 2 5 3 2" xfId="4890"/>
    <cellStyle name="Comma 9 2 5 3 2 2" xfId="11783"/>
    <cellStyle name="Comma 9 2 5 3 2 2 2" xfId="18322"/>
    <cellStyle name="Comma 9 2 5 3 2 3" xfId="15470"/>
    <cellStyle name="Comma 9 2 5 3 3" xfId="7162"/>
    <cellStyle name="Comma 9 2 5 3 3 2" xfId="12354"/>
    <cellStyle name="Comma 9 2 5 3 3 2 2" xfId="18893"/>
    <cellStyle name="Comma 9 2 5 3 3 3" xfId="16041"/>
    <cellStyle name="Comma 9 2 5 3 4" xfId="9434"/>
    <cellStyle name="Comma 9 2 5 3 4 2" xfId="12925"/>
    <cellStyle name="Comma 9 2 5 3 4 2 2" xfId="19464"/>
    <cellStyle name="Comma 9 2 5 3 4 3" xfId="16612"/>
    <cellStyle name="Comma 9 2 5 3 5" xfId="3255"/>
    <cellStyle name="Comma 9 2 5 3 5 2" xfId="11212"/>
    <cellStyle name="Comma 9 2 5 3 5 2 2" xfId="17751"/>
    <cellStyle name="Comma 9 2 5 3 5 3" xfId="14899"/>
    <cellStyle name="Comma 9 2 5 3 6" xfId="2681"/>
    <cellStyle name="Comma 9 2 5 3 6 2" xfId="14329"/>
    <cellStyle name="Comma 9 2 5 3 7" xfId="10642"/>
    <cellStyle name="Comma 9 2 5 3 7 2" xfId="17181"/>
    <cellStyle name="Comma 9 2 5 3 8" xfId="13759"/>
    <cellStyle name="Comma 9 2 5 4" xfId="3755"/>
    <cellStyle name="Comma 9 2 5 4 2" xfId="11498"/>
    <cellStyle name="Comma 9 2 5 4 2 2" xfId="18037"/>
    <cellStyle name="Comma 9 2 5 4 3" xfId="15185"/>
    <cellStyle name="Comma 9 2 5 5" xfId="6027"/>
    <cellStyle name="Comma 9 2 5 5 2" xfId="12069"/>
    <cellStyle name="Comma 9 2 5 5 2 2" xfId="18608"/>
    <cellStyle name="Comma 9 2 5 5 3" xfId="15756"/>
    <cellStyle name="Comma 9 2 5 6" xfId="8299"/>
    <cellStyle name="Comma 9 2 5 6 2" xfId="12640"/>
    <cellStyle name="Comma 9 2 5 6 2 2" xfId="19179"/>
    <cellStyle name="Comma 9 2 5 6 3" xfId="16327"/>
    <cellStyle name="Comma 9 2 5 7" xfId="2970"/>
    <cellStyle name="Comma 9 2 5 7 2" xfId="10927"/>
    <cellStyle name="Comma 9 2 5 7 2 2" xfId="17466"/>
    <cellStyle name="Comma 9 2 5 7 3" xfId="14614"/>
    <cellStyle name="Comma 9 2 5 8" xfId="2401"/>
    <cellStyle name="Comma 9 2 5 8 2" xfId="14049"/>
    <cellStyle name="Comma 9 2 5 9" xfId="10362"/>
    <cellStyle name="Comma 9 2 5 9 2" xfId="16901"/>
    <cellStyle name="Comma 9 2 6" xfId="1016"/>
    <cellStyle name="Comma 9 2 6 2" xfId="2151"/>
    <cellStyle name="Comma 9 2 6 2 2" xfId="5571"/>
    <cellStyle name="Comma 9 2 6 2 2 2" xfId="11954"/>
    <cellStyle name="Comma 9 2 6 2 2 2 2" xfId="18493"/>
    <cellStyle name="Comma 9 2 6 2 2 3" xfId="15641"/>
    <cellStyle name="Comma 9 2 6 2 3" xfId="7843"/>
    <cellStyle name="Comma 9 2 6 2 3 2" xfId="12525"/>
    <cellStyle name="Comma 9 2 6 2 3 2 2" xfId="19064"/>
    <cellStyle name="Comma 9 2 6 2 3 3" xfId="16212"/>
    <cellStyle name="Comma 9 2 6 2 4" xfId="10115"/>
    <cellStyle name="Comma 9 2 6 2 4 2" xfId="13096"/>
    <cellStyle name="Comma 9 2 6 2 4 2 2" xfId="19635"/>
    <cellStyle name="Comma 9 2 6 2 4 3" xfId="16783"/>
    <cellStyle name="Comma 9 2 6 2 5" xfId="3426"/>
    <cellStyle name="Comma 9 2 6 2 5 2" xfId="11383"/>
    <cellStyle name="Comma 9 2 6 2 5 2 2" xfId="17922"/>
    <cellStyle name="Comma 9 2 6 2 5 3" xfId="15070"/>
    <cellStyle name="Comma 9 2 6 2 6" xfId="2849"/>
    <cellStyle name="Comma 9 2 6 2 6 2" xfId="14497"/>
    <cellStyle name="Comma 9 2 6 2 7" xfId="10810"/>
    <cellStyle name="Comma 9 2 6 2 7 2" xfId="17349"/>
    <cellStyle name="Comma 9 2 6 2 8" xfId="13930"/>
    <cellStyle name="Comma 9 2 6 3" xfId="4436"/>
    <cellStyle name="Comma 9 2 6 3 2" xfId="11669"/>
    <cellStyle name="Comma 9 2 6 3 2 2" xfId="18208"/>
    <cellStyle name="Comma 9 2 6 3 3" xfId="15356"/>
    <cellStyle name="Comma 9 2 6 4" xfId="6708"/>
    <cellStyle name="Comma 9 2 6 4 2" xfId="12240"/>
    <cellStyle name="Comma 9 2 6 4 2 2" xfId="18779"/>
    <cellStyle name="Comma 9 2 6 4 3" xfId="15927"/>
    <cellStyle name="Comma 9 2 6 5" xfId="8980"/>
    <cellStyle name="Comma 9 2 6 5 2" xfId="12811"/>
    <cellStyle name="Comma 9 2 6 5 2 2" xfId="19350"/>
    <cellStyle name="Comma 9 2 6 5 3" xfId="16498"/>
    <cellStyle name="Comma 9 2 6 6" xfId="3141"/>
    <cellStyle name="Comma 9 2 6 6 2" xfId="11098"/>
    <cellStyle name="Comma 9 2 6 6 2 2" xfId="17637"/>
    <cellStyle name="Comma 9 2 6 6 3" xfId="14785"/>
    <cellStyle name="Comma 9 2 6 7" xfId="2569"/>
    <cellStyle name="Comma 9 2 6 7 2" xfId="14217"/>
    <cellStyle name="Comma 9 2 6 8" xfId="10530"/>
    <cellStyle name="Comma 9 2 6 8 2" xfId="17069"/>
    <cellStyle name="Comma 9 2 6 9" xfId="13645"/>
    <cellStyle name="Comma 9 2 7" xfId="562"/>
    <cellStyle name="Comma 9 2 7 2" xfId="1697"/>
    <cellStyle name="Comma 9 2 7 2 2" xfId="5117"/>
    <cellStyle name="Comma 9 2 7 2 2 2" xfId="11840"/>
    <cellStyle name="Comma 9 2 7 2 2 2 2" xfId="18379"/>
    <cellStyle name="Comma 9 2 7 2 2 3" xfId="15527"/>
    <cellStyle name="Comma 9 2 7 2 3" xfId="7389"/>
    <cellStyle name="Comma 9 2 7 2 3 2" xfId="12411"/>
    <cellStyle name="Comma 9 2 7 2 3 2 2" xfId="18950"/>
    <cellStyle name="Comma 9 2 7 2 3 3" xfId="16098"/>
    <cellStyle name="Comma 9 2 7 2 4" xfId="9661"/>
    <cellStyle name="Comma 9 2 7 2 4 2" xfId="12982"/>
    <cellStyle name="Comma 9 2 7 2 4 2 2" xfId="19521"/>
    <cellStyle name="Comma 9 2 7 2 4 3" xfId="16669"/>
    <cellStyle name="Comma 9 2 7 2 5" xfId="3312"/>
    <cellStyle name="Comma 9 2 7 2 5 2" xfId="11269"/>
    <cellStyle name="Comma 9 2 7 2 5 2 2" xfId="17808"/>
    <cellStyle name="Comma 9 2 7 2 5 3" xfId="14956"/>
    <cellStyle name="Comma 9 2 7 2 6" xfId="2737"/>
    <cellStyle name="Comma 9 2 7 2 6 2" xfId="14385"/>
    <cellStyle name="Comma 9 2 7 2 7" xfId="10698"/>
    <cellStyle name="Comma 9 2 7 2 7 2" xfId="17237"/>
    <cellStyle name="Comma 9 2 7 2 8" xfId="13816"/>
    <cellStyle name="Comma 9 2 7 3" xfId="3982"/>
    <cellStyle name="Comma 9 2 7 3 2" xfId="11555"/>
    <cellStyle name="Comma 9 2 7 3 2 2" xfId="18094"/>
    <cellStyle name="Comma 9 2 7 3 3" xfId="15242"/>
    <cellStyle name="Comma 9 2 7 4" xfId="6254"/>
    <cellStyle name="Comma 9 2 7 4 2" xfId="12126"/>
    <cellStyle name="Comma 9 2 7 4 2 2" xfId="18665"/>
    <cellStyle name="Comma 9 2 7 4 3" xfId="15813"/>
    <cellStyle name="Comma 9 2 7 5" xfId="8526"/>
    <cellStyle name="Comma 9 2 7 5 2" xfId="12697"/>
    <cellStyle name="Comma 9 2 7 5 2 2" xfId="19236"/>
    <cellStyle name="Comma 9 2 7 5 3" xfId="16384"/>
    <cellStyle name="Comma 9 2 7 6" xfId="3027"/>
    <cellStyle name="Comma 9 2 7 6 2" xfId="10984"/>
    <cellStyle name="Comma 9 2 7 6 2 2" xfId="17523"/>
    <cellStyle name="Comma 9 2 7 6 3" xfId="14671"/>
    <cellStyle name="Comma 9 2 7 7" xfId="2457"/>
    <cellStyle name="Comma 9 2 7 7 2" xfId="14105"/>
    <cellStyle name="Comma 9 2 7 8" xfId="10418"/>
    <cellStyle name="Comma 9 2 7 8 2" xfId="16957"/>
    <cellStyle name="Comma 9 2 7 9" xfId="13531"/>
    <cellStyle name="Comma 9 2 8" xfId="1243"/>
    <cellStyle name="Comma 9 2 8 2" xfId="4663"/>
    <cellStyle name="Comma 9 2 8 2 2" xfId="11726"/>
    <cellStyle name="Comma 9 2 8 2 2 2" xfId="18265"/>
    <cellStyle name="Comma 9 2 8 2 3" xfId="15413"/>
    <cellStyle name="Comma 9 2 8 3" xfId="6935"/>
    <cellStyle name="Comma 9 2 8 3 2" xfId="12297"/>
    <cellStyle name="Comma 9 2 8 3 2 2" xfId="18836"/>
    <cellStyle name="Comma 9 2 8 3 3" xfId="15984"/>
    <cellStyle name="Comma 9 2 8 4" xfId="9207"/>
    <cellStyle name="Comma 9 2 8 4 2" xfId="12868"/>
    <cellStyle name="Comma 9 2 8 4 2 2" xfId="19407"/>
    <cellStyle name="Comma 9 2 8 4 3" xfId="16555"/>
    <cellStyle name="Comma 9 2 8 5" xfId="3198"/>
    <cellStyle name="Comma 9 2 8 5 2" xfId="11155"/>
    <cellStyle name="Comma 9 2 8 5 2 2" xfId="17694"/>
    <cellStyle name="Comma 9 2 8 5 3" xfId="14842"/>
    <cellStyle name="Comma 9 2 8 6" xfId="2625"/>
    <cellStyle name="Comma 9 2 8 6 2" xfId="14273"/>
    <cellStyle name="Comma 9 2 8 7" xfId="10586"/>
    <cellStyle name="Comma 9 2 8 7 2" xfId="17125"/>
    <cellStyle name="Comma 9 2 8 8" xfId="13702"/>
    <cellStyle name="Comma 9 2 9" xfId="3528"/>
    <cellStyle name="Comma 9 2 9 2" xfId="11441"/>
    <cellStyle name="Comma 9 2 9 2 2" xfId="17980"/>
    <cellStyle name="Comma 9 2 9 3" xfId="15128"/>
    <cellStyle name="Comma 9 3" xfId="181"/>
    <cellStyle name="Comma 9 3 10" xfId="2365"/>
    <cellStyle name="Comma 9 3 10 2" xfId="14013"/>
    <cellStyle name="Comma 9 3 11" xfId="10326"/>
    <cellStyle name="Comma 9 3 11 2" xfId="16865"/>
    <cellStyle name="Comma 9 3 12" xfId="13437"/>
    <cellStyle name="Comma 9 3 13" xfId="20342"/>
    <cellStyle name="Comma 9 3 2" xfId="419"/>
    <cellStyle name="Comma 9 3 2 10" xfId="13495"/>
    <cellStyle name="Comma 9 3 2 2" xfId="873"/>
    <cellStyle name="Comma 9 3 2 2 2" xfId="2008"/>
    <cellStyle name="Comma 9 3 2 2 2 2" xfId="5428"/>
    <cellStyle name="Comma 9 3 2 2 2 2 2" xfId="11918"/>
    <cellStyle name="Comma 9 3 2 2 2 2 2 2" xfId="18457"/>
    <cellStyle name="Comma 9 3 2 2 2 2 3" xfId="15605"/>
    <cellStyle name="Comma 9 3 2 2 2 3" xfId="7700"/>
    <cellStyle name="Comma 9 3 2 2 2 3 2" xfId="12489"/>
    <cellStyle name="Comma 9 3 2 2 2 3 2 2" xfId="19028"/>
    <cellStyle name="Comma 9 3 2 2 2 3 3" xfId="16176"/>
    <cellStyle name="Comma 9 3 2 2 2 4" xfId="9972"/>
    <cellStyle name="Comma 9 3 2 2 2 4 2" xfId="13060"/>
    <cellStyle name="Comma 9 3 2 2 2 4 2 2" xfId="19599"/>
    <cellStyle name="Comma 9 3 2 2 2 4 3" xfId="16747"/>
    <cellStyle name="Comma 9 3 2 2 2 5" xfId="3390"/>
    <cellStyle name="Comma 9 3 2 2 2 5 2" xfId="11347"/>
    <cellStyle name="Comma 9 3 2 2 2 5 2 2" xfId="17886"/>
    <cellStyle name="Comma 9 3 2 2 2 5 3" xfId="15034"/>
    <cellStyle name="Comma 9 3 2 2 2 6" xfId="2814"/>
    <cellStyle name="Comma 9 3 2 2 2 6 2" xfId="14462"/>
    <cellStyle name="Comma 9 3 2 2 2 7" xfId="10775"/>
    <cellStyle name="Comma 9 3 2 2 2 7 2" xfId="17314"/>
    <cellStyle name="Comma 9 3 2 2 2 8" xfId="13894"/>
    <cellStyle name="Comma 9 3 2 2 3" xfId="4293"/>
    <cellStyle name="Comma 9 3 2 2 3 2" xfId="11633"/>
    <cellStyle name="Comma 9 3 2 2 3 2 2" xfId="18172"/>
    <cellStyle name="Comma 9 3 2 2 3 3" xfId="15320"/>
    <cellStyle name="Comma 9 3 2 2 4" xfId="6565"/>
    <cellStyle name="Comma 9 3 2 2 4 2" xfId="12204"/>
    <cellStyle name="Comma 9 3 2 2 4 2 2" xfId="18743"/>
    <cellStyle name="Comma 9 3 2 2 4 3" xfId="15891"/>
    <cellStyle name="Comma 9 3 2 2 5" xfId="8837"/>
    <cellStyle name="Comma 9 3 2 2 5 2" xfId="12775"/>
    <cellStyle name="Comma 9 3 2 2 5 2 2" xfId="19314"/>
    <cellStyle name="Comma 9 3 2 2 5 3" xfId="16462"/>
    <cellStyle name="Comma 9 3 2 2 6" xfId="3105"/>
    <cellStyle name="Comma 9 3 2 2 6 2" xfId="11062"/>
    <cellStyle name="Comma 9 3 2 2 6 2 2" xfId="17601"/>
    <cellStyle name="Comma 9 3 2 2 6 3" xfId="14749"/>
    <cellStyle name="Comma 9 3 2 2 7" xfId="2534"/>
    <cellStyle name="Comma 9 3 2 2 7 2" xfId="14182"/>
    <cellStyle name="Comma 9 3 2 2 8" xfId="10495"/>
    <cellStyle name="Comma 9 3 2 2 8 2" xfId="17034"/>
    <cellStyle name="Comma 9 3 2 2 9" xfId="13609"/>
    <cellStyle name="Comma 9 3 2 3" xfId="1554"/>
    <cellStyle name="Comma 9 3 2 3 2" xfId="4974"/>
    <cellStyle name="Comma 9 3 2 3 2 2" xfId="11804"/>
    <cellStyle name="Comma 9 3 2 3 2 2 2" xfId="18343"/>
    <cellStyle name="Comma 9 3 2 3 2 3" xfId="15491"/>
    <cellStyle name="Comma 9 3 2 3 3" xfId="7246"/>
    <cellStyle name="Comma 9 3 2 3 3 2" xfId="12375"/>
    <cellStyle name="Comma 9 3 2 3 3 2 2" xfId="18914"/>
    <cellStyle name="Comma 9 3 2 3 3 3" xfId="16062"/>
    <cellStyle name="Comma 9 3 2 3 4" xfId="9518"/>
    <cellStyle name="Comma 9 3 2 3 4 2" xfId="12946"/>
    <cellStyle name="Comma 9 3 2 3 4 2 2" xfId="19485"/>
    <cellStyle name="Comma 9 3 2 3 4 3" xfId="16633"/>
    <cellStyle name="Comma 9 3 2 3 5" xfId="3276"/>
    <cellStyle name="Comma 9 3 2 3 5 2" xfId="11233"/>
    <cellStyle name="Comma 9 3 2 3 5 2 2" xfId="17772"/>
    <cellStyle name="Comma 9 3 2 3 5 3" xfId="14920"/>
    <cellStyle name="Comma 9 3 2 3 6" xfId="2702"/>
    <cellStyle name="Comma 9 3 2 3 6 2" xfId="14350"/>
    <cellStyle name="Comma 9 3 2 3 7" xfId="10663"/>
    <cellStyle name="Comma 9 3 2 3 7 2" xfId="17202"/>
    <cellStyle name="Comma 9 3 2 3 8" xfId="13780"/>
    <cellStyle name="Comma 9 3 2 4" xfId="3839"/>
    <cellStyle name="Comma 9 3 2 4 2" xfId="11519"/>
    <cellStyle name="Comma 9 3 2 4 2 2" xfId="18058"/>
    <cellStyle name="Comma 9 3 2 4 3" xfId="15206"/>
    <cellStyle name="Comma 9 3 2 5" xfId="6111"/>
    <cellStyle name="Comma 9 3 2 5 2" xfId="12090"/>
    <cellStyle name="Comma 9 3 2 5 2 2" xfId="18629"/>
    <cellStyle name="Comma 9 3 2 5 3" xfId="15777"/>
    <cellStyle name="Comma 9 3 2 6" xfId="8383"/>
    <cellStyle name="Comma 9 3 2 6 2" xfId="12661"/>
    <cellStyle name="Comma 9 3 2 6 2 2" xfId="19200"/>
    <cellStyle name="Comma 9 3 2 6 3" xfId="16348"/>
    <cellStyle name="Comma 9 3 2 7" xfId="2991"/>
    <cellStyle name="Comma 9 3 2 7 2" xfId="10948"/>
    <cellStyle name="Comma 9 3 2 7 2 2" xfId="17487"/>
    <cellStyle name="Comma 9 3 2 7 3" xfId="14635"/>
    <cellStyle name="Comma 9 3 2 8" xfId="2422"/>
    <cellStyle name="Comma 9 3 2 8 2" xfId="14070"/>
    <cellStyle name="Comma 9 3 2 9" xfId="10383"/>
    <cellStyle name="Comma 9 3 2 9 2" xfId="16922"/>
    <cellStyle name="Comma 9 3 3" xfId="1100"/>
    <cellStyle name="Comma 9 3 3 2" xfId="2235"/>
    <cellStyle name="Comma 9 3 3 2 2" xfId="5655"/>
    <cellStyle name="Comma 9 3 3 2 2 2" xfId="11975"/>
    <cellStyle name="Comma 9 3 3 2 2 2 2" xfId="18514"/>
    <cellStyle name="Comma 9 3 3 2 2 3" xfId="15662"/>
    <cellStyle name="Comma 9 3 3 2 3" xfId="7927"/>
    <cellStyle name="Comma 9 3 3 2 3 2" xfId="12546"/>
    <cellStyle name="Comma 9 3 3 2 3 2 2" xfId="19085"/>
    <cellStyle name="Comma 9 3 3 2 3 3" xfId="16233"/>
    <cellStyle name="Comma 9 3 3 2 4" xfId="10199"/>
    <cellStyle name="Comma 9 3 3 2 4 2" xfId="13117"/>
    <cellStyle name="Comma 9 3 3 2 4 2 2" xfId="19656"/>
    <cellStyle name="Comma 9 3 3 2 4 3" xfId="16804"/>
    <cellStyle name="Comma 9 3 3 2 5" xfId="3447"/>
    <cellStyle name="Comma 9 3 3 2 5 2" xfId="11404"/>
    <cellStyle name="Comma 9 3 3 2 5 2 2" xfId="17943"/>
    <cellStyle name="Comma 9 3 3 2 5 3" xfId="15091"/>
    <cellStyle name="Comma 9 3 3 2 6" xfId="2870"/>
    <cellStyle name="Comma 9 3 3 2 6 2" xfId="14518"/>
    <cellStyle name="Comma 9 3 3 2 7" xfId="10831"/>
    <cellStyle name="Comma 9 3 3 2 7 2" xfId="17370"/>
    <cellStyle name="Comma 9 3 3 2 8" xfId="13951"/>
    <cellStyle name="Comma 9 3 3 3" xfId="4520"/>
    <cellStyle name="Comma 9 3 3 3 2" xfId="11690"/>
    <cellStyle name="Comma 9 3 3 3 2 2" xfId="18229"/>
    <cellStyle name="Comma 9 3 3 3 3" xfId="15377"/>
    <cellStyle name="Comma 9 3 3 4" xfId="6792"/>
    <cellStyle name="Comma 9 3 3 4 2" xfId="12261"/>
    <cellStyle name="Comma 9 3 3 4 2 2" xfId="18800"/>
    <cellStyle name="Comma 9 3 3 4 3" xfId="15948"/>
    <cellStyle name="Comma 9 3 3 5" xfId="9064"/>
    <cellStyle name="Comma 9 3 3 5 2" xfId="12832"/>
    <cellStyle name="Comma 9 3 3 5 2 2" xfId="19371"/>
    <cellStyle name="Comma 9 3 3 5 3" xfId="16519"/>
    <cellStyle name="Comma 9 3 3 6" xfId="3162"/>
    <cellStyle name="Comma 9 3 3 6 2" xfId="11119"/>
    <cellStyle name="Comma 9 3 3 6 2 2" xfId="17658"/>
    <cellStyle name="Comma 9 3 3 6 3" xfId="14806"/>
    <cellStyle name="Comma 9 3 3 7" xfId="2590"/>
    <cellStyle name="Comma 9 3 3 7 2" xfId="14238"/>
    <cellStyle name="Comma 9 3 3 8" xfId="10551"/>
    <cellStyle name="Comma 9 3 3 8 2" xfId="17090"/>
    <cellStyle name="Comma 9 3 3 9" xfId="13666"/>
    <cellStyle name="Comma 9 3 4" xfId="646"/>
    <cellStyle name="Comma 9 3 4 2" xfId="1781"/>
    <cellStyle name="Comma 9 3 4 2 2" xfId="5201"/>
    <cellStyle name="Comma 9 3 4 2 2 2" xfId="11861"/>
    <cellStyle name="Comma 9 3 4 2 2 2 2" xfId="18400"/>
    <cellStyle name="Comma 9 3 4 2 2 3" xfId="15548"/>
    <cellStyle name="Comma 9 3 4 2 3" xfId="7473"/>
    <cellStyle name="Comma 9 3 4 2 3 2" xfId="12432"/>
    <cellStyle name="Comma 9 3 4 2 3 2 2" xfId="18971"/>
    <cellStyle name="Comma 9 3 4 2 3 3" xfId="16119"/>
    <cellStyle name="Comma 9 3 4 2 4" xfId="9745"/>
    <cellStyle name="Comma 9 3 4 2 4 2" xfId="13003"/>
    <cellStyle name="Comma 9 3 4 2 4 2 2" xfId="19542"/>
    <cellStyle name="Comma 9 3 4 2 4 3" xfId="16690"/>
    <cellStyle name="Comma 9 3 4 2 5" xfId="3333"/>
    <cellStyle name="Comma 9 3 4 2 5 2" xfId="11290"/>
    <cellStyle name="Comma 9 3 4 2 5 2 2" xfId="17829"/>
    <cellStyle name="Comma 9 3 4 2 5 3" xfId="14977"/>
    <cellStyle name="Comma 9 3 4 2 6" xfId="2758"/>
    <cellStyle name="Comma 9 3 4 2 6 2" xfId="14406"/>
    <cellStyle name="Comma 9 3 4 2 7" xfId="10719"/>
    <cellStyle name="Comma 9 3 4 2 7 2" xfId="17258"/>
    <cellStyle name="Comma 9 3 4 2 8" xfId="13837"/>
    <cellStyle name="Comma 9 3 4 3" xfId="4066"/>
    <cellStyle name="Comma 9 3 4 3 2" xfId="11576"/>
    <cellStyle name="Comma 9 3 4 3 2 2" xfId="18115"/>
    <cellStyle name="Comma 9 3 4 3 3" xfId="15263"/>
    <cellStyle name="Comma 9 3 4 4" xfId="6338"/>
    <cellStyle name="Comma 9 3 4 4 2" xfId="12147"/>
    <cellStyle name="Comma 9 3 4 4 2 2" xfId="18686"/>
    <cellStyle name="Comma 9 3 4 4 3" xfId="15834"/>
    <cellStyle name="Comma 9 3 4 5" xfId="8610"/>
    <cellStyle name="Comma 9 3 4 5 2" xfId="12718"/>
    <cellStyle name="Comma 9 3 4 5 2 2" xfId="19257"/>
    <cellStyle name="Comma 9 3 4 5 3" xfId="16405"/>
    <cellStyle name="Comma 9 3 4 6" xfId="3048"/>
    <cellStyle name="Comma 9 3 4 6 2" xfId="11005"/>
    <cellStyle name="Comma 9 3 4 6 2 2" xfId="17544"/>
    <cellStyle name="Comma 9 3 4 6 3" xfId="14692"/>
    <cellStyle name="Comma 9 3 4 7" xfId="2478"/>
    <cellStyle name="Comma 9 3 4 7 2" xfId="14126"/>
    <cellStyle name="Comma 9 3 4 8" xfId="10439"/>
    <cellStyle name="Comma 9 3 4 8 2" xfId="16978"/>
    <cellStyle name="Comma 9 3 4 9" xfId="13552"/>
    <cellStyle name="Comma 9 3 5" xfId="1327"/>
    <cellStyle name="Comma 9 3 5 2" xfId="4747"/>
    <cellStyle name="Comma 9 3 5 2 2" xfId="11747"/>
    <cellStyle name="Comma 9 3 5 2 2 2" xfId="18286"/>
    <cellStyle name="Comma 9 3 5 2 3" xfId="15434"/>
    <cellStyle name="Comma 9 3 5 3" xfId="7019"/>
    <cellStyle name="Comma 9 3 5 3 2" xfId="12318"/>
    <cellStyle name="Comma 9 3 5 3 2 2" xfId="18857"/>
    <cellStyle name="Comma 9 3 5 3 3" xfId="16005"/>
    <cellStyle name="Comma 9 3 5 4" xfId="9291"/>
    <cellStyle name="Comma 9 3 5 4 2" xfId="12889"/>
    <cellStyle name="Comma 9 3 5 4 2 2" xfId="19428"/>
    <cellStyle name="Comma 9 3 5 4 3" xfId="16576"/>
    <cellStyle name="Comma 9 3 5 5" xfId="3219"/>
    <cellStyle name="Comma 9 3 5 5 2" xfId="11176"/>
    <cellStyle name="Comma 9 3 5 5 2 2" xfId="17715"/>
    <cellStyle name="Comma 9 3 5 5 3" xfId="14863"/>
    <cellStyle name="Comma 9 3 5 6" xfId="2646"/>
    <cellStyle name="Comma 9 3 5 6 2" xfId="14294"/>
    <cellStyle name="Comma 9 3 5 7" xfId="10607"/>
    <cellStyle name="Comma 9 3 5 7 2" xfId="17146"/>
    <cellStyle name="Comma 9 3 5 8" xfId="13723"/>
    <cellStyle name="Comma 9 3 6" xfId="3612"/>
    <cellStyle name="Comma 9 3 6 2" xfId="11462"/>
    <cellStyle name="Comma 9 3 6 2 2" xfId="18001"/>
    <cellStyle name="Comma 9 3 6 3" xfId="15149"/>
    <cellStyle name="Comma 9 3 7" xfId="5884"/>
    <cellStyle name="Comma 9 3 7 2" xfId="12033"/>
    <cellStyle name="Comma 9 3 7 2 2" xfId="18572"/>
    <cellStyle name="Comma 9 3 7 3" xfId="15720"/>
    <cellStyle name="Comma 9 3 8" xfId="8156"/>
    <cellStyle name="Comma 9 3 8 2" xfId="12604"/>
    <cellStyle name="Comma 9 3 8 2 2" xfId="19143"/>
    <cellStyle name="Comma 9 3 8 3" xfId="16291"/>
    <cellStyle name="Comma 9 3 9" xfId="2931"/>
    <cellStyle name="Comma 9 3 9 2" xfId="10890"/>
    <cellStyle name="Comma 9 3 9 2 2" xfId="17429"/>
    <cellStyle name="Comma 9 3 9 3" xfId="14577"/>
    <cellStyle name="Comma 9 4" xfId="125"/>
    <cellStyle name="Comma 9 4 10" xfId="2351"/>
    <cellStyle name="Comma 9 4 10 2" xfId="13999"/>
    <cellStyle name="Comma 9 4 11" xfId="10312"/>
    <cellStyle name="Comma 9 4 11 2" xfId="16851"/>
    <cellStyle name="Comma 9 4 12" xfId="13423"/>
    <cellStyle name="Comma 9 4 2" xfId="363"/>
    <cellStyle name="Comma 9 4 2 10" xfId="13481"/>
    <cellStyle name="Comma 9 4 2 2" xfId="817"/>
    <cellStyle name="Comma 9 4 2 2 2" xfId="1952"/>
    <cellStyle name="Comma 9 4 2 2 2 2" xfId="5372"/>
    <cellStyle name="Comma 9 4 2 2 2 2 2" xfId="11904"/>
    <cellStyle name="Comma 9 4 2 2 2 2 2 2" xfId="18443"/>
    <cellStyle name="Comma 9 4 2 2 2 2 3" xfId="15591"/>
    <cellStyle name="Comma 9 4 2 2 2 3" xfId="7644"/>
    <cellStyle name="Comma 9 4 2 2 2 3 2" xfId="12475"/>
    <cellStyle name="Comma 9 4 2 2 2 3 2 2" xfId="19014"/>
    <cellStyle name="Comma 9 4 2 2 2 3 3" xfId="16162"/>
    <cellStyle name="Comma 9 4 2 2 2 4" xfId="9916"/>
    <cellStyle name="Comma 9 4 2 2 2 4 2" xfId="13046"/>
    <cellStyle name="Comma 9 4 2 2 2 4 2 2" xfId="19585"/>
    <cellStyle name="Comma 9 4 2 2 2 4 3" xfId="16733"/>
    <cellStyle name="Comma 9 4 2 2 2 5" xfId="3376"/>
    <cellStyle name="Comma 9 4 2 2 2 5 2" xfId="11333"/>
    <cellStyle name="Comma 9 4 2 2 2 5 2 2" xfId="17872"/>
    <cellStyle name="Comma 9 4 2 2 2 5 3" xfId="15020"/>
    <cellStyle name="Comma 9 4 2 2 2 6" xfId="2800"/>
    <cellStyle name="Comma 9 4 2 2 2 6 2" xfId="14448"/>
    <cellStyle name="Comma 9 4 2 2 2 7" xfId="10761"/>
    <cellStyle name="Comma 9 4 2 2 2 7 2" xfId="17300"/>
    <cellStyle name="Comma 9 4 2 2 2 8" xfId="13880"/>
    <cellStyle name="Comma 9 4 2 2 3" xfId="4237"/>
    <cellStyle name="Comma 9 4 2 2 3 2" xfId="11619"/>
    <cellStyle name="Comma 9 4 2 2 3 2 2" xfId="18158"/>
    <cellStyle name="Comma 9 4 2 2 3 3" xfId="15306"/>
    <cellStyle name="Comma 9 4 2 2 4" xfId="6509"/>
    <cellStyle name="Comma 9 4 2 2 4 2" xfId="12190"/>
    <cellStyle name="Comma 9 4 2 2 4 2 2" xfId="18729"/>
    <cellStyle name="Comma 9 4 2 2 4 3" xfId="15877"/>
    <cellStyle name="Comma 9 4 2 2 5" xfId="8781"/>
    <cellStyle name="Comma 9 4 2 2 5 2" xfId="12761"/>
    <cellStyle name="Comma 9 4 2 2 5 2 2" xfId="19300"/>
    <cellStyle name="Comma 9 4 2 2 5 3" xfId="16448"/>
    <cellStyle name="Comma 9 4 2 2 6" xfId="3091"/>
    <cellStyle name="Comma 9 4 2 2 6 2" xfId="11048"/>
    <cellStyle name="Comma 9 4 2 2 6 2 2" xfId="17587"/>
    <cellStyle name="Comma 9 4 2 2 6 3" xfId="14735"/>
    <cellStyle name="Comma 9 4 2 2 7" xfId="2520"/>
    <cellStyle name="Comma 9 4 2 2 7 2" xfId="14168"/>
    <cellStyle name="Comma 9 4 2 2 8" xfId="10481"/>
    <cellStyle name="Comma 9 4 2 2 8 2" xfId="17020"/>
    <cellStyle name="Comma 9 4 2 2 9" xfId="13595"/>
    <cellStyle name="Comma 9 4 2 3" xfId="1498"/>
    <cellStyle name="Comma 9 4 2 3 2" xfId="4918"/>
    <cellStyle name="Comma 9 4 2 3 2 2" xfId="11790"/>
    <cellStyle name="Comma 9 4 2 3 2 2 2" xfId="18329"/>
    <cellStyle name="Comma 9 4 2 3 2 3" xfId="15477"/>
    <cellStyle name="Comma 9 4 2 3 3" xfId="7190"/>
    <cellStyle name="Comma 9 4 2 3 3 2" xfId="12361"/>
    <cellStyle name="Comma 9 4 2 3 3 2 2" xfId="18900"/>
    <cellStyle name="Comma 9 4 2 3 3 3" xfId="16048"/>
    <cellStyle name="Comma 9 4 2 3 4" xfId="9462"/>
    <cellStyle name="Comma 9 4 2 3 4 2" xfId="12932"/>
    <cellStyle name="Comma 9 4 2 3 4 2 2" xfId="19471"/>
    <cellStyle name="Comma 9 4 2 3 4 3" xfId="16619"/>
    <cellStyle name="Comma 9 4 2 3 5" xfId="3262"/>
    <cellStyle name="Comma 9 4 2 3 5 2" xfId="11219"/>
    <cellStyle name="Comma 9 4 2 3 5 2 2" xfId="17758"/>
    <cellStyle name="Comma 9 4 2 3 5 3" xfId="14906"/>
    <cellStyle name="Comma 9 4 2 3 6" xfId="2688"/>
    <cellStyle name="Comma 9 4 2 3 6 2" xfId="14336"/>
    <cellStyle name="Comma 9 4 2 3 7" xfId="10649"/>
    <cellStyle name="Comma 9 4 2 3 7 2" xfId="17188"/>
    <cellStyle name="Comma 9 4 2 3 8" xfId="13766"/>
    <cellStyle name="Comma 9 4 2 4" xfId="3783"/>
    <cellStyle name="Comma 9 4 2 4 2" xfId="11505"/>
    <cellStyle name="Comma 9 4 2 4 2 2" xfId="18044"/>
    <cellStyle name="Comma 9 4 2 4 3" xfId="15192"/>
    <cellStyle name="Comma 9 4 2 5" xfId="6055"/>
    <cellStyle name="Comma 9 4 2 5 2" xfId="12076"/>
    <cellStyle name="Comma 9 4 2 5 2 2" xfId="18615"/>
    <cellStyle name="Comma 9 4 2 5 3" xfId="15763"/>
    <cellStyle name="Comma 9 4 2 6" xfId="8327"/>
    <cellStyle name="Comma 9 4 2 6 2" xfId="12647"/>
    <cellStyle name="Comma 9 4 2 6 2 2" xfId="19186"/>
    <cellStyle name="Comma 9 4 2 6 3" xfId="16334"/>
    <cellStyle name="Comma 9 4 2 7" xfId="2977"/>
    <cellStyle name="Comma 9 4 2 7 2" xfId="10934"/>
    <cellStyle name="Comma 9 4 2 7 2 2" xfId="17473"/>
    <cellStyle name="Comma 9 4 2 7 3" xfId="14621"/>
    <cellStyle name="Comma 9 4 2 8" xfId="2408"/>
    <cellStyle name="Comma 9 4 2 8 2" xfId="14056"/>
    <cellStyle name="Comma 9 4 2 9" xfId="10369"/>
    <cellStyle name="Comma 9 4 2 9 2" xfId="16908"/>
    <cellStyle name="Comma 9 4 3" xfId="1044"/>
    <cellStyle name="Comma 9 4 3 2" xfId="2179"/>
    <cellStyle name="Comma 9 4 3 2 2" xfId="5599"/>
    <cellStyle name="Comma 9 4 3 2 2 2" xfId="11961"/>
    <cellStyle name="Comma 9 4 3 2 2 2 2" xfId="18500"/>
    <cellStyle name="Comma 9 4 3 2 2 3" xfId="15648"/>
    <cellStyle name="Comma 9 4 3 2 3" xfId="7871"/>
    <cellStyle name="Comma 9 4 3 2 3 2" xfId="12532"/>
    <cellStyle name="Comma 9 4 3 2 3 2 2" xfId="19071"/>
    <cellStyle name="Comma 9 4 3 2 3 3" xfId="16219"/>
    <cellStyle name="Comma 9 4 3 2 4" xfId="10143"/>
    <cellStyle name="Comma 9 4 3 2 4 2" xfId="13103"/>
    <cellStyle name="Comma 9 4 3 2 4 2 2" xfId="19642"/>
    <cellStyle name="Comma 9 4 3 2 4 3" xfId="16790"/>
    <cellStyle name="Comma 9 4 3 2 5" xfId="3433"/>
    <cellStyle name="Comma 9 4 3 2 5 2" xfId="11390"/>
    <cellStyle name="Comma 9 4 3 2 5 2 2" xfId="17929"/>
    <cellStyle name="Comma 9 4 3 2 5 3" xfId="15077"/>
    <cellStyle name="Comma 9 4 3 2 6" xfId="2856"/>
    <cellStyle name="Comma 9 4 3 2 6 2" xfId="14504"/>
    <cellStyle name="Comma 9 4 3 2 7" xfId="10817"/>
    <cellStyle name="Comma 9 4 3 2 7 2" xfId="17356"/>
    <cellStyle name="Comma 9 4 3 2 8" xfId="13937"/>
    <cellStyle name="Comma 9 4 3 3" xfId="4464"/>
    <cellStyle name="Comma 9 4 3 3 2" xfId="11676"/>
    <cellStyle name="Comma 9 4 3 3 2 2" xfId="18215"/>
    <cellStyle name="Comma 9 4 3 3 3" xfId="15363"/>
    <cellStyle name="Comma 9 4 3 4" xfId="6736"/>
    <cellStyle name="Comma 9 4 3 4 2" xfId="12247"/>
    <cellStyle name="Comma 9 4 3 4 2 2" xfId="18786"/>
    <cellStyle name="Comma 9 4 3 4 3" xfId="15934"/>
    <cellStyle name="Comma 9 4 3 5" xfId="9008"/>
    <cellStyle name="Comma 9 4 3 5 2" xfId="12818"/>
    <cellStyle name="Comma 9 4 3 5 2 2" xfId="19357"/>
    <cellStyle name="Comma 9 4 3 5 3" xfId="16505"/>
    <cellStyle name="Comma 9 4 3 6" xfId="3148"/>
    <cellStyle name="Comma 9 4 3 6 2" xfId="11105"/>
    <cellStyle name="Comma 9 4 3 6 2 2" xfId="17644"/>
    <cellStyle name="Comma 9 4 3 6 3" xfId="14792"/>
    <cellStyle name="Comma 9 4 3 7" xfId="2576"/>
    <cellStyle name="Comma 9 4 3 7 2" xfId="14224"/>
    <cellStyle name="Comma 9 4 3 8" xfId="10537"/>
    <cellStyle name="Comma 9 4 3 8 2" xfId="17076"/>
    <cellStyle name="Comma 9 4 3 9" xfId="13652"/>
    <cellStyle name="Comma 9 4 4" xfId="590"/>
    <cellStyle name="Comma 9 4 4 2" xfId="1725"/>
    <cellStyle name="Comma 9 4 4 2 2" xfId="5145"/>
    <cellStyle name="Comma 9 4 4 2 2 2" xfId="11847"/>
    <cellStyle name="Comma 9 4 4 2 2 2 2" xfId="18386"/>
    <cellStyle name="Comma 9 4 4 2 2 3" xfId="15534"/>
    <cellStyle name="Comma 9 4 4 2 3" xfId="7417"/>
    <cellStyle name="Comma 9 4 4 2 3 2" xfId="12418"/>
    <cellStyle name="Comma 9 4 4 2 3 2 2" xfId="18957"/>
    <cellStyle name="Comma 9 4 4 2 3 3" xfId="16105"/>
    <cellStyle name="Comma 9 4 4 2 4" xfId="9689"/>
    <cellStyle name="Comma 9 4 4 2 4 2" xfId="12989"/>
    <cellStyle name="Comma 9 4 4 2 4 2 2" xfId="19528"/>
    <cellStyle name="Comma 9 4 4 2 4 3" xfId="16676"/>
    <cellStyle name="Comma 9 4 4 2 5" xfId="3319"/>
    <cellStyle name="Comma 9 4 4 2 5 2" xfId="11276"/>
    <cellStyle name="Comma 9 4 4 2 5 2 2" xfId="17815"/>
    <cellStyle name="Comma 9 4 4 2 5 3" xfId="14963"/>
    <cellStyle name="Comma 9 4 4 2 6" xfId="2744"/>
    <cellStyle name="Comma 9 4 4 2 6 2" xfId="14392"/>
    <cellStyle name="Comma 9 4 4 2 7" xfId="10705"/>
    <cellStyle name="Comma 9 4 4 2 7 2" xfId="17244"/>
    <cellStyle name="Comma 9 4 4 2 8" xfId="13823"/>
    <cellStyle name="Comma 9 4 4 3" xfId="4010"/>
    <cellStyle name="Comma 9 4 4 3 2" xfId="11562"/>
    <cellStyle name="Comma 9 4 4 3 2 2" xfId="18101"/>
    <cellStyle name="Comma 9 4 4 3 3" xfId="15249"/>
    <cellStyle name="Comma 9 4 4 4" xfId="6282"/>
    <cellStyle name="Comma 9 4 4 4 2" xfId="12133"/>
    <cellStyle name="Comma 9 4 4 4 2 2" xfId="18672"/>
    <cellStyle name="Comma 9 4 4 4 3" xfId="15820"/>
    <cellStyle name="Comma 9 4 4 5" xfId="8554"/>
    <cellStyle name="Comma 9 4 4 5 2" xfId="12704"/>
    <cellStyle name="Comma 9 4 4 5 2 2" xfId="19243"/>
    <cellStyle name="Comma 9 4 4 5 3" xfId="16391"/>
    <cellStyle name="Comma 9 4 4 6" xfId="3034"/>
    <cellStyle name="Comma 9 4 4 6 2" xfId="10991"/>
    <cellStyle name="Comma 9 4 4 6 2 2" xfId="17530"/>
    <cellStyle name="Comma 9 4 4 6 3" xfId="14678"/>
    <cellStyle name="Comma 9 4 4 7" xfId="2464"/>
    <cellStyle name="Comma 9 4 4 7 2" xfId="14112"/>
    <cellStyle name="Comma 9 4 4 8" xfId="10425"/>
    <cellStyle name="Comma 9 4 4 8 2" xfId="16964"/>
    <cellStyle name="Comma 9 4 4 9" xfId="13538"/>
    <cellStyle name="Comma 9 4 5" xfId="1271"/>
    <cellStyle name="Comma 9 4 5 2" xfId="4691"/>
    <cellStyle name="Comma 9 4 5 2 2" xfId="11733"/>
    <cellStyle name="Comma 9 4 5 2 2 2" xfId="18272"/>
    <cellStyle name="Comma 9 4 5 2 3" xfId="15420"/>
    <cellStyle name="Comma 9 4 5 3" xfId="6963"/>
    <cellStyle name="Comma 9 4 5 3 2" xfId="12304"/>
    <cellStyle name="Comma 9 4 5 3 2 2" xfId="18843"/>
    <cellStyle name="Comma 9 4 5 3 3" xfId="15991"/>
    <cellStyle name="Comma 9 4 5 4" xfId="9235"/>
    <cellStyle name="Comma 9 4 5 4 2" xfId="12875"/>
    <cellStyle name="Comma 9 4 5 4 2 2" xfId="19414"/>
    <cellStyle name="Comma 9 4 5 4 3" xfId="16562"/>
    <cellStyle name="Comma 9 4 5 5" xfId="3205"/>
    <cellStyle name="Comma 9 4 5 5 2" xfId="11162"/>
    <cellStyle name="Comma 9 4 5 5 2 2" xfId="17701"/>
    <cellStyle name="Comma 9 4 5 5 3" xfId="14849"/>
    <cellStyle name="Comma 9 4 5 6" xfId="2632"/>
    <cellStyle name="Comma 9 4 5 6 2" xfId="14280"/>
    <cellStyle name="Comma 9 4 5 7" xfId="10593"/>
    <cellStyle name="Comma 9 4 5 7 2" xfId="17132"/>
    <cellStyle name="Comma 9 4 5 8" xfId="13709"/>
    <cellStyle name="Comma 9 4 6" xfId="3556"/>
    <cellStyle name="Comma 9 4 6 2" xfId="11448"/>
    <cellStyle name="Comma 9 4 6 2 2" xfId="17987"/>
    <cellStyle name="Comma 9 4 6 3" xfId="15135"/>
    <cellStyle name="Comma 9 4 7" xfId="5828"/>
    <cellStyle name="Comma 9 4 7 2" xfId="12019"/>
    <cellStyle name="Comma 9 4 7 2 2" xfId="18558"/>
    <cellStyle name="Comma 9 4 7 3" xfId="15706"/>
    <cellStyle name="Comma 9 4 8" xfId="8100"/>
    <cellStyle name="Comma 9 4 8 2" xfId="12590"/>
    <cellStyle name="Comma 9 4 8 2 2" xfId="19129"/>
    <cellStyle name="Comma 9 4 8 3" xfId="16277"/>
    <cellStyle name="Comma 9 4 9" xfId="2917"/>
    <cellStyle name="Comma 9 4 9 2" xfId="10876"/>
    <cellStyle name="Comma 9 4 9 2 2" xfId="17415"/>
    <cellStyle name="Comma 9 4 9 3" xfId="14563"/>
    <cellStyle name="Comma 9 5" xfId="251"/>
    <cellStyle name="Comma 9 5 10" xfId="2380"/>
    <cellStyle name="Comma 9 5 10 2" xfId="14028"/>
    <cellStyle name="Comma 9 5 11" xfId="10341"/>
    <cellStyle name="Comma 9 5 11 2" xfId="16880"/>
    <cellStyle name="Comma 9 5 12" xfId="13453"/>
    <cellStyle name="Comma 9 5 2" xfId="478"/>
    <cellStyle name="Comma 9 5 2 10" xfId="13510"/>
    <cellStyle name="Comma 9 5 2 2" xfId="932"/>
    <cellStyle name="Comma 9 5 2 2 2" xfId="2067"/>
    <cellStyle name="Comma 9 5 2 2 2 2" xfId="5487"/>
    <cellStyle name="Comma 9 5 2 2 2 2 2" xfId="11933"/>
    <cellStyle name="Comma 9 5 2 2 2 2 2 2" xfId="18472"/>
    <cellStyle name="Comma 9 5 2 2 2 2 3" xfId="15620"/>
    <cellStyle name="Comma 9 5 2 2 2 3" xfId="7759"/>
    <cellStyle name="Comma 9 5 2 2 2 3 2" xfId="12504"/>
    <cellStyle name="Comma 9 5 2 2 2 3 2 2" xfId="19043"/>
    <cellStyle name="Comma 9 5 2 2 2 3 3" xfId="16191"/>
    <cellStyle name="Comma 9 5 2 2 2 4" xfId="10031"/>
    <cellStyle name="Comma 9 5 2 2 2 4 2" xfId="13075"/>
    <cellStyle name="Comma 9 5 2 2 2 4 2 2" xfId="19614"/>
    <cellStyle name="Comma 9 5 2 2 2 4 3" xfId="16762"/>
    <cellStyle name="Comma 9 5 2 2 2 5" xfId="3405"/>
    <cellStyle name="Comma 9 5 2 2 2 5 2" xfId="11362"/>
    <cellStyle name="Comma 9 5 2 2 2 5 2 2" xfId="17901"/>
    <cellStyle name="Comma 9 5 2 2 2 5 3" xfId="15049"/>
    <cellStyle name="Comma 9 5 2 2 2 6" xfId="2828"/>
    <cellStyle name="Comma 9 5 2 2 2 6 2" xfId="14476"/>
    <cellStyle name="Comma 9 5 2 2 2 7" xfId="10789"/>
    <cellStyle name="Comma 9 5 2 2 2 7 2" xfId="17328"/>
    <cellStyle name="Comma 9 5 2 2 2 8" xfId="13909"/>
    <cellStyle name="Comma 9 5 2 2 3" xfId="4352"/>
    <cellStyle name="Comma 9 5 2 2 3 2" xfId="11648"/>
    <cellStyle name="Comma 9 5 2 2 3 2 2" xfId="18187"/>
    <cellStyle name="Comma 9 5 2 2 3 3" xfId="15335"/>
    <cellStyle name="Comma 9 5 2 2 4" xfId="6624"/>
    <cellStyle name="Comma 9 5 2 2 4 2" xfId="12219"/>
    <cellStyle name="Comma 9 5 2 2 4 2 2" xfId="18758"/>
    <cellStyle name="Comma 9 5 2 2 4 3" xfId="15906"/>
    <cellStyle name="Comma 9 5 2 2 5" xfId="8896"/>
    <cellStyle name="Comma 9 5 2 2 5 2" xfId="12790"/>
    <cellStyle name="Comma 9 5 2 2 5 2 2" xfId="19329"/>
    <cellStyle name="Comma 9 5 2 2 5 3" xfId="16477"/>
    <cellStyle name="Comma 9 5 2 2 6" xfId="3120"/>
    <cellStyle name="Comma 9 5 2 2 6 2" xfId="11077"/>
    <cellStyle name="Comma 9 5 2 2 6 2 2" xfId="17616"/>
    <cellStyle name="Comma 9 5 2 2 6 3" xfId="14764"/>
    <cellStyle name="Comma 9 5 2 2 7" xfId="2548"/>
    <cellStyle name="Comma 9 5 2 2 7 2" xfId="14196"/>
    <cellStyle name="Comma 9 5 2 2 8" xfId="10509"/>
    <cellStyle name="Comma 9 5 2 2 8 2" xfId="17048"/>
    <cellStyle name="Comma 9 5 2 2 9" xfId="13624"/>
    <cellStyle name="Comma 9 5 2 3" xfId="1613"/>
    <cellStyle name="Comma 9 5 2 3 2" xfId="5033"/>
    <cellStyle name="Comma 9 5 2 3 2 2" xfId="11819"/>
    <cellStyle name="Comma 9 5 2 3 2 2 2" xfId="18358"/>
    <cellStyle name="Comma 9 5 2 3 2 3" xfId="15506"/>
    <cellStyle name="Comma 9 5 2 3 3" xfId="7305"/>
    <cellStyle name="Comma 9 5 2 3 3 2" xfId="12390"/>
    <cellStyle name="Comma 9 5 2 3 3 2 2" xfId="18929"/>
    <cellStyle name="Comma 9 5 2 3 3 3" xfId="16077"/>
    <cellStyle name="Comma 9 5 2 3 4" xfId="9577"/>
    <cellStyle name="Comma 9 5 2 3 4 2" xfId="12961"/>
    <cellStyle name="Comma 9 5 2 3 4 2 2" xfId="19500"/>
    <cellStyle name="Comma 9 5 2 3 4 3" xfId="16648"/>
    <cellStyle name="Comma 9 5 2 3 5" xfId="3291"/>
    <cellStyle name="Comma 9 5 2 3 5 2" xfId="11248"/>
    <cellStyle name="Comma 9 5 2 3 5 2 2" xfId="17787"/>
    <cellStyle name="Comma 9 5 2 3 5 3" xfId="14935"/>
    <cellStyle name="Comma 9 5 2 3 6" xfId="2716"/>
    <cellStyle name="Comma 9 5 2 3 6 2" xfId="14364"/>
    <cellStyle name="Comma 9 5 2 3 7" xfId="10677"/>
    <cellStyle name="Comma 9 5 2 3 7 2" xfId="17216"/>
    <cellStyle name="Comma 9 5 2 3 8" xfId="13795"/>
    <cellStyle name="Comma 9 5 2 4" xfId="3898"/>
    <cellStyle name="Comma 9 5 2 4 2" xfId="11534"/>
    <cellStyle name="Comma 9 5 2 4 2 2" xfId="18073"/>
    <cellStyle name="Comma 9 5 2 4 3" xfId="15221"/>
    <cellStyle name="Comma 9 5 2 5" xfId="6170"/>
    <cellStyle name="Comma 9 5 2 5 2" xfId="12105"/>
    <cellStyle name="Comma 9 5 2 5 2 2" xfId="18644"/>
    <cellStyle name="Comma 9 5 2 5 3" xfId="15792"/>
    <cellStyle name="Comma 9 5 2 6" xfId="8442"/>
    <cellStyle name="Comma 9 5 2 6 2" xfId="12676"/>
    <cellStyle name="Comma 9 5 2 6 2 2" xfId="19215"/>
    <cellStyle name="Comma 9 5 2 6 3" xfId="16363"/>
    <cellStyle name="Comma 9 5 2 7" xfId="3006"/>
    <cellStyle name="Comma 9 5 2 7 2" xfId="10963"/>
    <cellStyle name="Comma 9 5 2 7 2 2" xfId="17502"/>
    <cellStyle name="Comma 9 5 2 7 3" xfId="14650"/>
    <cellStyle name="Comma 9 5 2 8" xfId="2436"/>
    <cellStyle name="Comma 9 5 2 8 2" xfId="14084"/>
    <cellStyle name="Comma 9 5 2 9" xfId="10397"/>
    <cellStyle name="Comma 9 5 2 9 2" xfId="16936"/>
    <cellStyle name="Comma 9 5 3" xfId="1159"/>
    <cellStyle name="Comma 9 5 3 2" xfId="2294"/>
    <cellStyle name="Comma 9 5 3 2 2" xfId="5714"/>
    <cellStyle name="Comma 9 5 3 2 2 2" xfId="11990"/>
    <cellStyle name="Comma 9 5 3 2 2 2 2" xfId="18529"/>
    <cellStyle name="Comma 9 5 3 2 2 3" xfId="15677"/>
    <cellStyle name="Comma 9 5 3 2 3" xfId="7986"/>
    <cellStyle name="Comma 9 5 3 2 3 2" xfId="12561"/>
    <cellStyle name="Comma 9 5 3 2 3 2 2" xfId="19100"/>
    <cellStyle name="Comma 9 5 3 2 3 3" xfId="16248"/>
    <cellStyle name="Comma 9 5 3 2 4" xfId="10258"/>
    <cellStyle name="Comma 9 5 3 2 4 2" xfId="13132"/>
    <cellStyle name="Comma 9 5 3 2 4 2 2" xfId="19671"/>
    <cellStyle name="Comma 9 5 3 2 4 3" xfId="16819"/>
    <cellStyle name="Comma 9 5 3 2 5" xfId="3462"/>
    <cellStyle name="Comma 9 5 3 2 5 2" xfId="11419"/>
    <cellStyle name="Comma 9 5 3 2 5 2 2" xfId="17958"/>
    <cellStyle name="Comma 9 5 3 2 5 3" xfId="15106"/>
    <cellStyle name="Comma 9 5 3 2 6" xfId="2884"/>
    <cellStyle name="Comma 9 5 3 2 6 2" xfId="14532"/>
    <cellStyle name="Comma 9 5 3 2 7" xfId="10845"/>
    <cellStyle name="Comma 9 5 3 2 7 2" xfId="17384"/>
    <cellStyle name="Comma 9 5 3 2 8" xfId="13966"/>
    <cellStyle name="Comma 9 5 3 3" xfId="4579"/>
    <cellStyle name="Comma 9 5 3 3 2" xfId="11705"/>
    <cellStyle name="Comma 9 5 3 3 2 2" xfId="18244"/>
    <cellStyle name="Comma 9 5 3 3 3" xfId="15392"/>
    <cellStyle name="Comma 9 5 3 4" xfId="6851"/>
    <cellStyle name="Comma 9 5 3 4 2" xfId="12276"/>
    <cellStyle name="Comma 9 5 3 4 2 2" xfId="18815"/>
    <cellStyle name="Comma 9 5 3 4 3" xfId="15963"/>
    <cellStyle name="Comma 9 5 3 5" xfId="9123"/>
    <cellStyle name="Comma 9 5 3 5 2" xfId="12847"/>
    <cellStyle name="Comma 9 5 3 5 2 2" xfId="19386"/>
    <cellStyle name="Comma 9 5 3 5 3" xfId="16534"/>
    <cellStyle name="Comma 9 5 3 6" xfId="3177"/>
    <cellStyle name="Comma 9 5 3 6 2" xfId="11134"/>
    <cellStyle name="Comma 9 5 3 6 2 2" xfId="17673"/>
    <cellStyle name="Comma 9 5 3 6 3" xfId="14821"/>
    <cellStyle name="Comma 9 5 3 7" xfId="2604"/>
    <cellStyle name="Comma 9 5 3 7 2" xfId="14252"/>
    <cellStyle name="Comma 9 5 3 8" xfId="10565"/>
    <cellStyle name="Comma 9 5 3 8 2" xfId="17104"/>
    <cellStyle name="Comma 9 5 3 9" xfId="13681"/>
    <cellStyle name="Comma 9 5 4" xfId="705"/>
    <cellStyle name="Comma 9 5 4 2" xfId="1840"/>
    <cellStyle name="Comma 9 5 4 2 2" xfId="5260"/>
    <cellStyle name="Comma 9 5 4 2 2 2" xfId="11876"/>
    <cellStyle name="Comma 9 5 4 2 2 2 2" xfId="18415"/>
    <cellStyle name="Comma 9 5 4 2 2 3" xfId="15563"/>
    <cellStyle name="Comma 9 5 4 2 3" xfId="7532"/>
    <cellStyle name="Comma 9 5 4 2 3 2" xfId="12447"/>
    <cellStyle name="Comma 9 5 4 2 3 2 2" xfId="18986"/>
    <cellStyle name="Comma 9 5 4 2 3 3" xfId="16134"/>
    <cellStyle name="Comma 9 5 4 2 4" xfId="9804"/>
    <cellStyle name="Comma 9 5 4 2 4 2" xfId="13018"/>
    <cellStyle name="Comma 9 5 4 2 4 2 2" xfId="19557"/>
    <cellStyle name="Comma 9 5 4 2 4 3" xfId="16705"/>
    <cellStyle name="Comma 9 5 4 2 5" xfId="3348"/>
    <cellStyle name="Comma 9 5 4 2 5 2" xfId="11305"/>
    <cellStyle name="Comma 9 5 4 2 5 2 2" xfId="17844"/>
    <cellStyle name="Comma 9 5 4 2 5 3" xfId="14992"/>
    <cellStyle name="Comma 9 5 4 2 6" xfId="2772"/>
    <cellStyle name="Comma 9 5 4 2 6 2" xfId="14420"/>
    <cellStyle name="Comma 9 5 4 2 7" xfId="10733"/>
    <cellStyle name="Comma 9 5 4 2 7 2" xfId="17272"/>
    <cellStyle name="Comma 9 5 4 2 8" xfId="13852"/>
    <cellStyle name="Comma 9 5 4 3" xfId="4125"/>
    <cellStyle name="Comma 9 5 4 3 2" xfId="11591"/>
    <cellStyle name="Comma 9 5 4 3 2 2" xfId="18130"/>
    <cellStyle name="Comma 9 5 4 3 3" xfId="15278"/>
    <cellStyle name="Comma 9 5 4 4" xfId="6397"/>
    <cellStyle name="Comma 9 5 4 4 2" xfId="12162"/>
    <cellStyle name="Comma 9 5 4 4 2 2" xfId="18701"/>
    <cellStyle name="Comma 9 5 4 4 3" xfId="15849"/>
    <cellStyle name="Comma 9 5 4 5" xfId="8669"/>
    <cellStyle name="Comma 9 5 4 5 2" xfId="12733"/>
    <cellStyle name="Comma 9 5 4 5 2 2" xfId="19272"/>
    <cellStyle name="Comma 9 5 4 5 3" xfId="16420"/>
    <cellStyle name="Comma 9 5 4 6" xfId="3063"/>
    <cellStyle name="Comma 9 5 4 6 2" xfId="11020"/>
    <cellStyle name="Comma 9 5 4 6 2 2" xfId="17559"/>
    <cellStyle name="Comma 9 5 4 6 3" xfId="14707"/>
    <cellStyle name="Comma 9 5 4 7" xfId="2492"/>
    <cellStyle name="Comma 9 5 4 7 2" xfId="14140"/>
    <cellStyle name="Comma 9 5 4 8" xfId="10453"/>
    <cellStyle name="Comma 9 5 4 8 2" xfId="16992"/>
    <cellStyle name="Comma 9 5 4 9" xfId="13567"/>
    <cellStyle name="Comma 9 5 5" xfId="1386"/>
    <cellStyle name="Comma 9 5 5 2" xfId="4806"/>
    <cellStyle name="Comma 9 5 5 2 2" xfId="11762"/>
    <cellStyle name="Comma 9 5 5 2 2 2" xfId="18301"/>
    <cellStyle name="Comma 9 5 5 2 3" xfId="15449"/>
    <cellStyle name="Comma 9 5 5 3" xfId="7078"/>
    <cellStyle name="Comma 9 5 5 3 2" xfId="12333"/>
    <cellStyle name="Comma 9 5 5 3 2 2" xfId="18872"/>
    <cellStyle name="Comma 9 5 5 3 3" xfId="16020"/>
    <cellStyle name="Comma 9 5 5 4" xfId="9350"/>
    <cellStyle name="Comma 9 5 5 4 2" xfId="12904"/>
    <cellStyle name="Comma 9 5 5 4 2 2" xfId="19443"/>
    <cellStyle name="Comma 9 5 5 4 3" xfId="16591"/>
    <cellStyle name="Comma 9 5 5 5" xfId="3234"/>
    <cellStyle name="Comma 9 5 5 5 2" xfId="11191"/>
    <cellStyle name="Comma 9 5 5 5 2 2" xfId="17730"/>
    <cellStyle name="Comma 9 5 5 5 3" xfId="14878"/>
    <cellStyle name="Comma 9 5 5 6" xfId="2660"/>
    <cellStyle name="Comma 9 5 5 6 2" xfId="14308"/>
    <cellStyle name="Comma 9 5 5 7" xfId="10621"/>
    <cellStyle name="Comma 9 5 5 7 2" xfId="17160"/>
    <cellStyle name="Comma 9 5 5 8" xfId="13738"/>
    <cellStyle name="Comma 9 5 6" xfId="3671"/>
    <cellStyle name="Comma 9 5 6 2" xfId="11477"/>
    <cellStyle name="Comma 9 5 6 2 2" xfId="18016"/>
    <cellStyle name="Comma 9 5 6 3" xfId="15164"/>
    <cellStyle name="Comma 9 5 7" xfId="5943"/>
    <cellStyle name="Comma 9 5 7 2" xfId="12048"/>
    <cellStyle name="Comma 9 5 7 2 2" xfId="18587"/>
    <cellStyle name="Comma 9 5 7 3" xfId="15735"/>
    <cellStyle name="Comma 9 5 8" xfId="8215"/>
    <cellStyle name="Comma 9 5 8 2" xfId="12619"/>
    <cellStyle name="Comma 9 5 8 2 2" xfId="19158"/>
    <cellStyle name="Comma 9 5 8 3" xfId="16306"/>
    <cellStyle name="Comma 9 5 9" xfId="2949"/>
    <cellStyle name="Comma 9 5 9 2" xfId="10906"/>
    <cellStyle name="Comma 9 5 9 2 2" xfId="17445"/>
    <cellStyle name="Comma 9 5 9 3" xfId="14593"/>
    <cellStyle name="Comma 9 6" xfId="307"/>
    <cellStyle name="Comma 9 6 10" xfId="13467"/>
    <cellStyle name="Comma 9 6 2" xfId="761"/>
    <cellStyle name="Comma 9 6 2 2" xfId="1896"/>
    <cellStyle name="Comma 9 6 2 2 2" xfId="5316"/>
    <cellStyle name="Comma 9 6 2 2 2 2" xfId="11890"/>
    <cellStyle name="Comma 9 6 2 2 2 2 2" xfId="18429"/>
    <cellStyle name="Comma 9 6 2 2 2 3" xfId="15577"/>
    <cellStyle name="Comma 9 6 2 2 3" xfId="7588"/>
    <cellStyle name="Comma 9 6 2 2 3 2" xfId="12461"/>
    <cellStyle name="Comma 9 6 2 2 3 2 2" xfId="19000"/>
    <cellStyle name="Comma 9 6 2 2 3 3" xfId="16148"/>
    <cellStyle name="Comma 9 6 2 2 4" xfId="9860"/>
    <cellStyle name="Comma 9 6 2 2 4 2" xfId="13032"/>
    <cellStyle name="Comma 9 6 2 2 4 2 2" xfId="19571"/>
    <cellStyle name="Comma 9 6 2 2 4 3" xfId="16719"/>
    <cellStyle name="Comma 9 6 2 2 5" xfId="3362"/>
    <cellStyle name="Comma 9 6 2 2 5 2" xfId="11319"/>
    <cellStyle name="Comma 9 6 2 2 5 2 2" xfId="17858"/>
    <cellStyle name="Comma 9 6 2 2 5 3" xfId="15006"/>
    <cellStyle name="Comma 9 6 2 2 6" xfId="2786"/>
    <cellStyle name="Comma 9 6 2 2 6 2" xfId="14434"/>
    <cellStyle name="Comma 9 6 2 2 7" xfId="10747"/>
    <cellStyle name="Comma 9 6 2 2 7 2" xfId="17286"/>
    <cellStyle name="Comma 9 6 2 2 8" xfId="13866"/>
    <cellStyle name="Comma 9 6 2 3" xfId="4181"/>
    <cellStyle name="Comma 9 6 2 3 2" xfId="11605"/>
    <cellStyle name="Comma 9 6 2 3 2 2" xfId="18144"/>
    <cellStyle name="Comma 9 6 2 3 3" xfId="15292"/>
    <cellStyle name="Comma 9 6 2 4" xfId="6453"/>
    <cellStyle name="Comma 9 6 2 4 2" xfId="12176"/>
    <cellStyle name="Comma 9 6 2 4 2 2" xfId="18715"/>
    <cellStyle name="Comma 9 6 2 4 3" xfId="15863"/>
    <cellStyle name="Comma 9 6 2 5" xfId="8725"/>
    <cellStyle name="Comma 9 6 2 5 2" xfId="12747"/>
    <cellStyle name="Comma 9 6 2 5 2 2" xfId="19286"/>
    <cellStyle name="Comma 9 6 2 5 3" xfId="16434"/>
    <cellStyle name="Comma 9 6 2 6" xfId="3077"/>
    <cellStyle name="Comma 9 6 2 6 2" xfId="11034"/>
    <cellStyle name="Comma 9 6 2 6 2 2" xfId="17573"/>
    <cellStyle name="Comma 9 6 2 6 3" xfId="14721"/>
    <cellStyle name="Comma 9 6 2 7" xfId="2506"/>
    <cellStyle name="Comma 9 6 2 7 2" xfId="14154"/>
    <cellStyle name="Comma 9 6 2 8" xfId="10467"/>
    <cellStyle name="Comma 9 6 2 8 2" xfId="17006"/>
    <cellStyle name="Comma 9 6 2 9" xfId="13581"/>
    <cellStyle name="Comma 9 6 3" xfId="1442"/>
    <cellStyle name="Comma 9 6 3 2" xfId="4862"/>
    <cellStyle name="Comma 9 6 3 2 2" xfId="11776"/>
    <cellStyle name="Comma 9 6 3 2 2 2" xfId="18315"/>
    <cellStyle name="Comma 9 6 3 2 3" xfId="15463"/>
    <cellStyle name="Comma 9 6 3 3" xfId="7134"/>
    <cellStyle name="Comma 9 6 3 3 2" xfId="12347"/>
    <cellStyle name="Comma 9 6 3 3 2 2" xfId="18886"/>
    <cellStyle name="Comma 9 6 3 3 3" xfId="16034"/>
    <cellStyle name="Comma 9 6 3 4" xfId="9406"/>
    <cellStyle name="Comma 9 6 3 4 2" xfId="12918"/>
    <cellStyle name="Comma 9 6 3 4 2 2" xfId="19457"/>
    <cellStyle name="Comma 9 6 3 4 3" xfId="16605"/>
    <cellStyle name="Comma 9 6 3 5" xfId="3248"/>
    <cellStyle name="Comma 9 6 3 5 2" xfId="11205"/>
    <cellStyle name="Comma 9 6 3 5 2 2" xfId="17744"/>
    <cellStyle name="Comma 9 6 3 5 3" xfId="14892"/>
    <cellStyle name="Comma 9 6 3 6" xfId="2674"/>
    <cellStyle name="Comma 9 6 3 6 2" xfId="14322"/>
    <cellStyle name="Comma 9 6 3 7" xfId="10635"/>
    <cellStyle name="Comma 9 6 3 7 2" xfId="17174"/>
    <cellStyle name="Comma 9 6 3 8" xfId="13752"/>
    <cellStyle name="Comma 9 6 4" xfId="3727"/>
    <cellStyle name="Comma 9 6 4 2" xfId="11491"/>
    <cellStyle name="Comma 9 6 4 2 2" xfId="18030"/>
    <cellStyle name="Comma 9 6 4 3" xfId="15178"/>
    <cellStyle name="Comma 9 6 5" xfId="5999"/>
    <cellStyle name="Comma 9 6 5 2" xfId="12062"/>
    <cellStyle name="Comma 9 6 5 2 2" xfId="18601"/>
    <cellStyle name="Comma 9 6 5 3" xfId="15749"/>
    <cellStyle name="Comma 9 6 6" xfId="8271"/>
    <cellStyle name="Comma 9 6 6 2" xfId="12633"/>
    <cellStyle name="Comma 9 6 6 2 2" xfId="19172"/>
    <cellStyle name="Comma 9 6 6 3" xfId="16320"/>
    <cellStyle name="Comma 9 6 7" xfId="2963"/>
    <cellStyle name="Comma 9 6 7 2" xfId="10920"/>
    <cellStyle name="Comma 9 6 7 2 2" xfId="17459"/>
    <cellStyle name="Comma 9 6 7 3" xfId="14607"/>
    <cellStyle name="Comma 9 6 8" xfId="2394"/>
    <cellStyle name="Comma 9 6 8 2" xfId="14042"/>
    <cellStyle name="Comma 9 6 9" xfId="10355"/>
    <cellStyle name="Comma 9 6 9 2" xfId="16894"/>
    <cellStyle name="Comma 9 7" xfId="988"/>
    <cellStyle name="Comma 9 7 2" xfId="2123"/>
    <cellStyle name="Comma 9 7 2 2" xfId="5543"/>
    <cellStyle name="Comma 9 7 2 2 2" xfId="11947"/>
    <cellStyle name="Comma 9 7 2 2 2 2" xfId="18486"/>
    <cellStyle name="Comma 9 7 2 2 3" xfId="15634"/>
    <cellStyle name="Comma 9 7 2 3" xfId="7815"/>
    <cellStyle name="Comma 9 7 2 3 2" xfId="12518"/>
    <cellStyle name="Comma 9 7 2 3 2 2" xfId="19057"/>
    <cellStyle name="Comma 9 7 2 3 3" xfId="16205"/>
    <cellStyle name="Comma 9 7 2 4" xfId="10087"/>
    <cellStyle name="Comma 9 7 2 4 2" xfId="13089"/>
    <cellStyle name="Comma 9 7 2 4 2 2" xfId="19628"/>
    <cellStyle name="Comma 9 7 2 4 3" xfId="16776"/>
    <cellStyle name="Comma 9 7 2 5" xfId="3419"/>
    <cellStyle name="Comma 9 7 2 5 2" xfId="11376"/>
    <cellStyle name="Comma 9 7 2 5 2 2" xfId="17915"/>
    <cellStyle name="Comma 9 7 2 5 3" xfId="15063"/>
    <cellStyle name="Comma 9 7 2 6" xfId="2842"/>
    <cellStyle name="Comma 9 7 2 6 2" xfId="14490"/>
    <cellStyle name="Comma 9 7 2 7" xfId="10803"/>
    <cellStyle name="Comma 9 7 2 7 2" xfId="17342"/>
    <cellStyle name="Comma 9 7 2 8" xfId="13923"/>
    <cellStyle name="Comma 9 7 3" xfId="4408"/>
    <cellStyle name="Comma 9 7 3 2" xfId="11662"/>
    <cellStyle name="Comma 9 7 3 2 2" xfId="18201"/>
    <cellStyle name="Comma 9 7 3 3" xfId="15349"/>
    <cellStyle name="Comma 9 7 4" xfId="6680"/>
    <cellStyle name="Comma 9 7 4 2" xfId="12233"/>
    <cellStyle name="Comma 9 7 4 2 2" xfId="18772"/>
    <cellStyle name="Comma 9 7 4 3" xfId="15920"/>
    <cellStyle name="Comma 9 7 5" xfId="8952"/>
    <cellStyle name="Comma 9 7 5 2" xfId="12804"/>
    <cellStyle name="Comma 9 7 5 2 2" xfId="19343"/>
    <cellStyle name="Comma 9 7 5 3" xfId="16491"/>
    <cellStyle name="Comma 9 7 6" xfId="3134"/>
    <cellStyle name="Comma 9 7 6 2" xfId="11091"/>
    <cellStyle name="Comma 9 7 6 2 2" xfId="17630"/>
    <cellStyle name="Comma 9 7 6 3" xfId="14778"/>
    <cellStyle name="Comma 9 7 7" xfId="2562"/>
    <cellStyle name="Comma 9 7 7 2" xfId="14210"/>
    <cellStyle name="Comma 9 7 8" xfId="10523"/>
    <cellStyle name="Comma 9 7 8 2" xfId="17062"/>
    <cellStyle name="Comma 9 7 9" xfId="13638"/>
    <cellStyle name="Comma 9 8" xfId="534"/>
    <cellStyle name="Comma 9 8 2" xfId="1669"/>
    <cellStyle name="Comma 9 8 2 2" xfId="5089"/>
    <cellStyle name="Comma 9 8 2 2 2" xfId="11833"/>
    <cellStyle name="Comma 9 8 2 2 2 2" xfId="18372"/>
    <cellStyle name="Comma 9 8 2 2 3" xfId="15520"/>
    <cellStyle name="Comma 9 8 2 3" xfId="7361"/>
    <cellStyle name="Comma 9 8 2 3 2" xfId="12404"/>
    <cellStyle name="Comma 9 8 2 3 2 2" xfId="18943"/>
    <cellStyle name="Comma 9 8 2 3 3" xfId="16091"/>
    <cellStyle name="Comma 9 8 2 4" xfId="9633"/>
    <cellStyle name="Comma 9 8 2 4 2" xfId="12975"/>
    <cellStyle name="Comma 9 8 2 4 2 2" xfId="19514"/>
    <cellStyle name="Comma 9 8 2 4 3" xfId="16662"/>
    <cellStyle name="Comma 9 8 2 5" xfId="3305"/>
    <cellStyle name="Comma 9 8 2 5 2" xfId="11262"/>
    <cellStyle name="Comma 9 8 2 5 2 2" xfId="17801"/>
    <cellStyle name="Comma 9 8 2 5 3" xfId="14949"/>
    <cellStyle name="Comma 9 8 2 6" xfId="2730"/>
    <cellStyle name="Comma 9 8 2 6 2" xfId="14378"/>
    <cellStyle name="Comma 9 8 2 7" xfId="10691"/>
    <cellStyle name="Comma 9 8 2 7 2" xfId="17230"/>
    <cellStyle name="Comma 9 8 2 8" xfId="13809"/>
    <cellStyle name="Comma 9 8 3" xfId="3954"/>
    <cellStyle name="Comma 9 8 3 2" xfId="11548"/>
    <cellStyle name="Comma 9 8 3 2 2" xfId="18087"/>
    <cellStyle name="Comma 9 8 3 3" xfId="15235"/>
    <cellStyle name="Comma 9 8 4" xfId="6226"/>
    <cellStyle name="Comma 9 8 4 2" xfId="12119"/>
    <cellStyle name="Comma 9 8 4 2 2" xfId="18658"/>
    <cellStyle name="Comma 9 8 4 3" xfId="15806"/>
    <cellStyle name="Comma 9 8 5" xfId="8498"/>
    <cellStyle name="Comma 9 8 5 2" xfId="12690"/>
    <cellStyle name="Comma 9 8 5 2 2" xfId="19229"/>
    <cellStyle name="Comma 9 8 5 3" xfId="16377"/>
    <cellStyle name="Comma 9 8 6" xfId="3020"/>
    <cellStyle name="Comma 9 8 6 2" xfId="10977"/>
    <cellStyle name="Comma 9 8 6 2 2" xfId="17516"/>
    <cellStyle name="Comma 9 8 6 3" xfId="14664"/>
    <cellStyle name="Comma 9 8 7" xfId="2450"/>
    <cellStyle name="Comma 9 8 7 2" xfId="14098"/>
    <cellStyle name="Comma 9 8 8" xfId="10411"/>
    <cellStyle name="Comma 9 8 8 2" xfId="16950"/>
    <cellStyle name="Comma 9 8 9" xfId="13524"/>
    <cellStyle name="Comma 9 9" xfId="1215"/>
    <cellStyle name="Comma 9 9 2" xfId="4635"/>
    <cellStyle name="Comma 9 9 2 2" xfId="11719"/>
    <cellStyle name="Comma 9 9 2 2 2" xfId="18258"/>
    <cellStyle name="Comma 9 9 2 3" xfId="15406"/>
    <cellStyle name="Comma 9 9 3" xfId="6907"/>
    <cellStyle name="Comma 9 9 3 2" xfId="12290"/>
    <cellStyle name="Comma 9 9 3 2 2" xfId="18829"/>
    <cellStyle name="Comma 9 9 3 3" xfId="15977"/>
    <cellStyle name="Comma 9 9 4" xfId="9179"/>
    <cellStyle name="Comma 9 9 4 2" xfId="12861"/>
    <cellStyle name="Comma 9 9 4 2 2" xfId="19400"/>
    <cellStyle name="Comma 9 9 4 3" xfId="16548"/>
    <cellStyle name="Comma 9 9 5" xfId="3191"/>
    <cellStyle name="Comma 9 9 5 2" xfId="11148"/>
    <cellStyle name="Comma 9 9 5 2 2" xfId="17687"/>
    <cellStyle name="Comma 9 9 5 3" xfId="14835"/>
    <cellStyle name="Comma 9 9 6" xfId="2618"/>
    <cellStyle name="Comma 9 9 6 2" xfId="14266"/>
    <cellStyle name="Comma 9 9 7" xfId="10579"/>
    <cellStyle name="Comma 9 9 7 2" xfId="17118"/>
    <cellStyle name="Comma 9 9 8" xfId="13695"/>
    <cellStyle name="Currency 2" xfId="13172"/>
    <cellStyle name="Euro" xfId="13156"/>
    <cellStyle name="Euro 2" xfId="13157"/>
    <cellStyle name="Euro 3" xfId="20108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Hyperlink 2 2" xfId="20110"/>
    <cellStyle name="Hyperlink 2 3" xfId="20109"/>
    <cellStyle name="Hyperlink 3" xfId="19880"/>
    <cellStyle name="Input" xfId="12" builtinId="20" customBuiltin="1"/>
    <cellStyle name="Input 2" xfId="13174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13" xfId="13158"/>
    <cellStyle name="Normal 10 14" xfId="19888"/>
    <cellStyle name="Normal 10 2" xfId="96"/>
    <cellStyle name="Normal 10 2 10" xfId="5799"/>
    <cellStyle name="Normal 10 2 11" xfId="8071"/>
    <cellStyle name="Normal 10 2 12" xfId="19878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3 9" xfId="20111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00" xfId="19889"/>
    <cellStyle name="Normal 101" xfId="19877"/>
    <cellStyle name="Normal 102" xfId="19890"/>
    <cellStyle name="Normal 103" xfId="19891"/>
    <cellStyle name="Normal 104" xfId="19892"/>
    <cellStyle name="Normal 11" xfId="69"/>
    <cellStyle name="Normal 11 2" xfId="2903"/>
    <cellStyle name="Normal 11 2 2" xfId="13268"/>
    <cellStyle name="Normal 11 2 3" xfId="19894"/>
    <cellStyle name="Normal 11 3" xfId="13267"/>
    <cellStyle name="Normal 11 4" xfId="19893"/>
    <cellStyle name="Normal 12" xfId="225"/>
    <cellStyle name="Normal 12 2" xfId="2940"/>
    <cellStyle name="Normal 12 2 2" xfId="13270"/>
    <cellStyle name="Normal 12 2 3" xfId="19896"/>
    <cellStyle name="Normal 12 3" xfId="13269"/>
    <cellStyle name="Normal 12 3 2" xfId="20112"/>
    <cellStyle name="Normal 12 4" xfId="19895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2 7" xfId="19898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3 6" xfId="2011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3 9" xfId="19897"/>
    <cellStyle name="Normal 14" xfId="38"/>
    <cellStyle name="Normal 14 2" xfId="5743"/>
    <cellStyle name="Normal 14 2 2" xfId="19900"/>
    <cellStyle name="Normal 14 3" xfId="8015"/>
    <cellStyle name="Normal 14 3 2" xfId="20114"/>
    <cellStyle name="Normal 14 4" xfId="10287"/>
    <cellStyle name="Normal 14 5" xfId="3470"/>
    <cellStyle name="Normal 14 6" xfId="19899"/>
    <cellStyle name="Normal 15" xfId="2327"/>
    <cellStyle name="Normal 15 2" xfId="13159"/>
    <cellStyle name="Normal 15 2 2" xfId="19902"/>
    <cellStyle name="Normal 15 3" xfId="13271"/>
    <cellStyle name="Normal 15 3 2" xfId="20115"/>
    <cellStyle name="Normal 15 4" xfId="19901"/>
    <cellStyle name="Normal 16" xfId="13272"/>
    <cellStyle name="Normal 16 2" xfId="19904"/>
    <cellStyle name="Normal 16 3" xfId="20116"/>
    <cellStyle name="Normal 16 4" xfId="19903"/>
    <cellStyle name="Normal 17" xfId="13273"/>
    <cellStyle name="Normal 17 2" xfId="19906"/>
    <cellStyle name="Normal 17 3" xfId="20117"/>
    <cellStyle name="Normal 17 4" xfId="19905"/>
    <cellStyle name="Normal 18" xfId="13274"/>
    <cellStyle name="Normal 18 2" xfId="19908"/>
    <cellStyle name="Normal 18 3" xfId="20118"/>
    <cellStyle name="Normal 18 4" xfId="19907"/>
    <cellStyle name="Normal 19" xfId="13275"/>
    <cellStyle name="Normal 19 2" xfId="20119"/>
    <cellStyle name="Normal 19 3" xfId="19909"/>
    <cellStyle name="Normal 2" xfId="42"/>
    <cellStyle name="Normal 2 10" xfId="20121"/>
    <cellStyle name="Normal 2 11" xfId="20122"/>
    <cellStyle name="Normal 2 12" xfId="20123"/>
    <cellStyle name="Normal 2 13" xfId="20124"/>
    <cellStyle name="Normal 2 14" xfId="20125"/>
    <cellStyle name="Normal 2 15" xfId="20126"/>
    <cellStyle name="Normal 2 16" xfId="20127"/>
    <cellStyle name="Normal 2 17" xfId="20120"/>
    <cellStyle name="Normal 2 18" xfId="19875"/>
    <cellStyle name="Normal 2 2" xfId="55"/>
    <cellStyle name="Normal 2 2 2" xfId="2325"/>
    <cellStyle name="Normal 2 2 2 2" xfId="20128"/>
    <cellStyle name="Normal 2 2 3" xfId="13160"/>
    <cellStyle name="Normal 2 2 3 2" xfId="20129"/>
    <cellStyle name="Normal 2 2 4" xfId="20130"/>
    <cellStyle name="Normal 2 2 5" xfId="19910"/>
    <cellStyle name="Normal 2 3" xfId="3472"/>
    <cellStyle name="Normal 2 3 2" xfId="20132"/>
    <cellStyle name="Normal 2 3 3" xfId="20133"/>
    <cellStyle name="Normal 2 3 4" xfId="20131"/>
    <cellStyle name="Normal 2 3 5" xfId="19911"/>
    <cellStyle name="Normal 2 4" xfId="19792"/>
    <cellStyle name="Normal 2 4 2" xfId="20135"/>
    <cellStyle name="Normal 2 4 3" xfId="19881"/>
    <cellStyle name="Normal 2 4 3 2" xfId="20136"/>
    <cellStyle name="Normal 2 4 4" xfId="20134"/>
    <cellStyle name="Normal 2 4 5" xfId="20194"/>
    <cellStyle name="Normal 2 4 6" xfId="19912"/>
    <cellStyle name="Normal 2 5" xfId="19913"/>
    <cellStyle name="Normal 2 5 2" xfId="20138"/>
    <cellStyle name="Normal 2 5 3" xfId="20139"/>
    <cellStyle name="Normal 2 5 4" xfId="20137"/>
    <cellStyle name="Normal 2 6" xfId="19914"/>
    <cellStyle name="Normal 2 6 2" xfId="20141"/>
    <cellStyle name="Normal 2 6 3" xfId="20142"/>
    <cellStyle name="Normal 2 6 4" xfId="20140"/>
    <cellStyle name="Normal 2 7" xfId="20143"/>
    <cellStyle name="Normal 2 7 2" xfId="20144"/>
    <cellStyle name="Normal 2 7 3" xfId="20145"/>
    <cellStyle name="Normal 2 8" xfId="20146"/>
    <cellStyle name="Normal 2 8 2" xfId="20147"/>
    <cellStyle name="Normal 2 8 3" xfId="20148"/>
    <cellStyle name="Normal 2 9" xfId="20149"/>
    <cellStyle name="Normal 2_Investment worksheet 2601" xfId="20150"/>
    <cellStyle name="Normal 20" xfId="13276"/>
    <cellStyle name="Normal 20 2" xfId="19916"/>
    <cellStyle name="Normal 20 3" xfId="20151"/>
    <cellStyle name="Normal 20 4" xfId="19915"/>
    <cellStyle name="Normal 21" xfId="13277"/>
    <cellStyle name="Normal 21 2" xfId="19918"/>
    <cellStyle name="Normal 21 2 2" xfId="20153"/>
    <cellStyle name="Normal 21 3" xfId="20152"/>
    <cellStyle name="Normal 21 4" xfId="19917"/>
    <cellStyle name="Normal 22" xfId="13278"/>
    <cellStyle name="Normal 22 2" xfId="19920"/>
    <cellStyle name="Normal 22 3" xfId="20154"/>
    <cellStyle name="Normal 22 4" xfId="19919"/>
    <cellStyle name="Normal 23" xfId="13279"/>
    <cellStyle name="Normal 23 2" xfId="19922"/>
    <cellStyle name="Normal 23 3" xfId="20155"/>
    <cellStyle name="Normal 23 4" xfId="19921"/>
    <cellStyle name="Normal 24" xfId="13280"/>
    <cellStyle name="Normal 24 2" xfId="19924"/>
    <cellStyle name="Normal 24 2 2" xfId="20157"/>
    <cellStyle name="Normal 24 3" xfId="20156"/>
    <cellStyle name="Normal 24 4" xfId="19923"/>
    <cellStyle name="Normal 25" xfId="13281"/>
    <cellStyle name="Normal 25 2" xfId="19926"/>
    <cellStyle name="Normal 25 3" xfId="20158"/>
    <cellStyle name="Normal 25 4" xfId="19925"/>
    <cellStyle name="Normal 26" xfId="13282"/>
    <cellStyle name="Normal 26 2" xfId="19928"/>
    <cellStyle name="Normal 26 3" xfId="20159"/>
    <cellStyle name="Normal 26 4" xfId="19927"/>
    <cellStyle name="Normal 27" xfId="13283"/>
    <cellStyle name="Normal 27 2" xfId="13143"/>
    <cellStyle name="Normal 27 2 2" xfId="19930"/>
    <cellStyle name="Normal 27 3" xfId="19929"/>
    <cellStyle name="Normal 28" xfId="13284"/>
    <cellStyle name="Normal 28 2" xfId="19932"/>
    <cellStyle name="Normal 28 3" xfId="19931"/>
    <cellStyle name="Normal 29" xfId="13285"/>
    <cellStyle name="Normal 29 2" xfId="19934"/>
    <cellStyle name="Normal 29 3" xfId="19933"/>
    <cellStyle name="Normal 3" xfId="51"/>
    <cellStyle name="Normal 3 10" xfId="3485"/>
    <cellStyle name="Normal 3 11" xfId="5757"/>
    <cellStyle name="Normal 3 12" xfId="8029"/>
    <cellStyle name="Normal 3 13" xfId="19783"/>
    <cellStyle name="Normal 3 14" xfId="19935"/>
    <cellStyle name="Normal 3 2" xfId="82"/>
    <cellStyle name="Normal 3 2 10" xfId="5785"/>
    <cellStyle name="Normal 3 2 11" xfId="8057"/>
    <cellStyle name="Normal 3 2 12" xfId="19936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2 9" xfId="20161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3 9" xfId="20162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4 9" xfId="20163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5 9" xfId="20164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6 7" xfId="20160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30" xfId="13286"/>
    <cellStyle name="Normal 30 2" xfId="19938"/>
    <cellStyle name="Normal 30 3" xfId="19939"/>
    <cellStyle name="Normal 30 4" xfId="19937"/>
    <cellStyle name="Normal 31" xfId="13287"/>
    <cellStyle name="Normal 31 2" xfId="19941"/>
    <cellStyle name="Normal 31 3" xfId="19942"/>
    <cellStyle name="Normal 31 4" xfId="19940"/>
    <cellStyle name="Normal 32" xfId="13288"/>
    <cellStyle name="Normal 32 2" xfId="19944"/>
    <cellStyle name="Normal 32 3" xfId="19945"/>
    <cellStyle name="Normal 32 4" xfId="19943"/>
    <cellStyle name="Normal 33" xfId="13289"/>
    <cellStyle name="Normal 33 2" xfId="19947"/>
    <cellStyle name="Normal 33 3" xfId="19948"/>
    <cellStyle name="Normal 33 4" xfId="19946"/>
    <cellStyle name="Normal 34" xfId="13290"/>
    <cellStyle name="Normal 34 2" xfId="19950"/>
    <cellStyle name="Normal 34 3" xfId="19951"/>
    <cellStyle name="Normal 34 4" xfId="19949"/>
    <cellStyle name="Normal 35" xfId="13291"/>
    <cellStyle name="Normal 35 2" xfId="19953"/>
    <cellStyle name="Normal 35 3" xfId="19952"/>
    <cellStyle name="Normal 36" xfId="13292"/>
    <cellStyle name="Normal 36 2" xfId="19955"/>
    <cellStyle name="Normal 36 3" xfId="19954"/>
    <cellStyle name="Normal 37" xfId="13293"/>
    <cellStyle name="Normal 37 2" xfId="19957"/>
    <cellStyle name="Normal 37 3" xfId="19956"/>
    <cellStyle name="Normal 38" xfId="13294"/>
    <cellStyle name="Normal 38 2" xfId="19959"/>
    <cellStyle name="Normal 38 3" xfId="19958"/>
    <cellStyle name="Normal 39" xfId="13295"/>
    <cellStyle name="Normal 39 2" xfId="19961"/>
    <cellStyle name="Normal 39 3" xfId="19960"/>
    <cellStyle name="Normal 4" xfId="53"/>
    <cellStyle name="Normal 4 10" xfId="3487"/>
    <cellStyle name="Normal 4 11" xfId="5759"/>
    <cellStyle name="Normal 4 12" xfId="8031"/>
    <cellStyle name="Normal 4 13" xfId="13161"/>
    <cellStyle name="Normal 4 14" xfId="13171"/>
    <cellStyle name="Normal 4 15" xfId="19787"/>
    <cellStyle name="Normal 4 16" xfId="19962"/>
    <cellStyle name="Normal 4 2" xfId="84"/>
    <cellStyle name="Normal 4 2 10" xfId="5787"/>
    <cellStyle name="Normal 4 2 11" xfId="8059"/>
    <cellStyle name="Normal 4 2 12" xfId="19963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2 9" xfId="20166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3 9" xfId="20167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4 9" xfId="20168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5 9" xfId="20165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40" xfId="13296"/>
    <cellStyle name="Normal 40 2" xfId="19965"/>
    <cellStyle name="Normal 40 3" xfId="19964"/>
    <cellStyle name="Normal 41" xfId="13297"/>
    <cellStyle name="Normal 41 2" xfId="19966"/>
    <cellStyle name="Normal 42" xfId="13298"/>
    <cellStyle name="Normal 42 2" xfId="19967"/>
    <cellStyle name="Normal 43" xfId="13299"/>
    <cellStyle name="Normal 43 2" xfId="19968"/>
    <cellStyle name="Normal 44" xfId="13300"/>
    <cellStyle name="Normal 44 10" xfId="13301"/>
    <cellStyle name="Normal 44 11" xfId="19969"/>
    <cellStyle name="Normal 44 2" xfId="13302"/>
    <cellStyle name="Normal 44 3" xfId="13303"/>
    <cellStyle name="Normal 44 4" xfId="13304"/>
    <cellStyle name="Normal 44 5" xfId="13305"/>
    <cellStyle name="Normal 44 6" xfId="13306"/>
    <cellStyle name="Normal 44 7" xfId="13307"/>
    <cellStyle name="Normal 44 8" xfId="13308"/>
    <cellStyle name="Normal 44 9" xfId="13309"/>
    <cellStyle name="Normal 45" xfId="13310"/>
    <cellStyle name="Normal 45 2" xfId="19970"/>
    <cellStyle name="Normal 46" xfId="13311"/>
    <cellStyle name="Normal 46 2" xfId="19971"/>
    <cellStyle name="Normal 47" xfId="13312"/>
    <cellStyle name="Normal 47 2" xfId="19972"/>
    <cellStyle name="Normal 48" xfId="13313"/>
    <cellStyle name="Normal 48 2" xfId="19973"/>
    <cellStyle name="Normal 49" xfId="13314"/>
    <cellStyle name="Normal 49 2" xfId="19974"/>
    <cellStyle name="Normal 5" xfId="56"/>
    <cellStyle name="Normal 5 10" xfId="3489"/>
    <cellStyle name="Normal 5 11" xfId="5761"/>
    <cellStyle name="Normal 5 12" xfId="8033"/>
    <cellStyle name="Normal 5 13" xfId="13162"/>
    <cellStyle name="Normal 5 14" xfId="19975"/>
    <cellStyle name="Normal 5 2" xfId="86"/>
    <cellStyle name="Normal 5 2 10" xfId="5789"/>
    <cellStyle name="Normal 5 2 11" xfId="8061"/>
    <cellStyle name="Normal 5 2 12" xfId="13163"/>
    <cellStyle name="Normal 5 2 13" xfId="19976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2 9" xfId="20169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3 9" xfId="20170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4 9" xfId="20171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5 9" xfId="20172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50" xfId="13315"/>
    <cellStyle name="Normal 50 2" xfId="19977"/>
    <cellStyle name="Normal 51" xfId="13316"/>
    <cellStyle name="Normal 51 2" xfId="19978"/>
    <cellStyle name="Normal 52" xfId="13317"/>
    <cellStyle name="Normal 52 2" xfId="19979"/>
    <cellStyle name="Normal 53" xfId="13318"/>
    <cellStyle name="Normal 53 2" xfId="19980"/>
    <cellStyle name="Normal 54" xfId="13319"/>
    <cellStyle name="Normal 54 2" xfId="19981"/>
    <cellStyle name="Normal 55" xfId="13320"/>
    <cellStyle name="Normal 55 2" xfId="19982"/>
    <cellStyle name="Normal 56" xfId="13321"/>
    <cellStyle name="Normal 56 2" xfId="19983"/>
    <cellStyle name="Normal 57" xfId="13322"/>
    <cellStyle name="Normal 57 2" xfId="19984"/>
    <cellStyle name="Normal 58" xfId="13323"/>
    <cellStyle name="Normal 58 2" xfId="19985"/>
    <cellStyle name="Normal 59" xfId="13324"/>
    <cellStyle name="Normal 59 2" xfId="19986"/>
    <cellStyle name="Normal 6" xfId="58"/>
    <cellStyle name="Normal 6 10" xfId="3491"/>
    <cellStyle name="Normal 6 11" xfId="5763"/>
    <cellStyle name="Normal 6 12" xfId="8035"/>
    <cellStyle name="Normal 6 13" xfId="13164"/>
    <cellStyle name="Normal 6 2" xfId="88"/>
    <cellStyle name="Normal 6 2 10" xfId="5791"/>
    <cellStyle name="Normal 6 2 11" xfId="8063"/>
    <cellStyle name="Normal 6 2 12" xfId="13165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60" xfId="13325"/>
    <cellStyle name="Normal 60 2" xfId="19987"/>
    <cellStyle name="Normal 61" xfId="19988"/>
    <cellStyle name="Normal 62" xfId="19989"/>
    <cellStyle name="Normal 63" xfId="19990"/>
    <cellStyle name="Normal 64" xfId="19991"/>
    <cellStyle name="Normal 65" xfId="19992"/>
    <cellStyle name="Normal 66" xfId="19993"/>
    <cellStyle name="Normal 67" xfId="19994"/>
    <cellStyle name="Normal 68" xfId="19995"/>
    <cellStyle name="Normal 69" xfId="19996"/>
    <cellStyle name="Normal 7" xfId="60"/>
    <cellStyle name="Normal 7 10" xfId="3493"/>
    <cellStyle name="Normal 7 11" xfId="5765"/>
    <cellStyle name="Normal 7 12" xfId="8037"/>
    <cellStyle name="Normal 7 13" xfId="13166"/>
    <cellStyle name="Normal 7 2" xfId="90"/>
    <cellStyle name="Normal 7 2 10" xfId="5793"/>
    <cellStyle name="Normal 7 2 11" xfId="8065"/>
    <cellStyle name="Normal 7 2 12" xfId="20056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70" xfId="19997"/>
    <cellStyle name="Normal 71" xfId="19998"/>
    <cellStyle name="Normal 72" xfId="19999"/>
    <cellStyle name="Normal 73" xfId="20000"/>
    <cellStyle name="Normal 74" xfId="20001"/>
    <cellStyle name="Normal 75" xfId="20002"/>
    <cellStyle name="Normal 76" xfId="20003"/>
    <cellStyle name="Normal 77" xfId="20004"/>
    <cellStyle name="Normal 78" xfId="20005"/>
    <cellStyle name="Normal 79" xfId="20006"/>
    <cellStyle name="Normal 8" xfId="62"/>
    <cellStyle name="Normal 8 10" xfId="3495"/>
    <cellStyle name="Normal 8 11" xfId="5767"/>
    <cellStyle name="Normal 8 12" xfId="8039"/>
    <cellStyle name="Normal 8 13" xfId="13167"/>
    <cellStyle name="Normal 8 14" xfId="20007"/>
    <cellStyle name="Normal 8 2" xfId="92"/>
    <cellStyle name="Normal 8 2 10" xfId="5795"/>
    <cellStyle name="Normal 8 2 11" xfId="8067"/>
    <cellStyle name="Normal 8 2 12" xfId="13168"/>
    <cellStyle name="Normal 8 2 13" xfId="20008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80" xfId="20009"/>
    <cellStyle name="Normal 81" xfId="20010"/>
    <cellStyle name="Normal 82" xfId="20011"/>
    <cellStyle name="Normal 83" xfId="20012"/>
    <cellStyle name="Normal 84" xfId="20013"/>
    <cellStyle name="Normal 85" xfId="20014"/>
    <cellStyle name="Normal 86" xfId="20015"/>
    <cellStyle name="Normal 87" xfId="20016"/>
    <cellStyle name="Normal 88" xfId="20017"/>
    <cellStyle name="Normal 89" xfId="20018"/>
    <cellStyle name="Normal 9" xfId="64"/>
    <cellStyle name="Normal 9 10" xfId="3497"/>
    <cellStyle name="Normal 9 11" xfId="5769"/>
    <cellStyle name="Normal 9 12" xfId="8041"/>
    <cellStyle name="Normal 9 13" xfId="20019"/>
    <cellStyle name="Normal 9 2" xfId="94"/>
    <cellStyle name="Normal 9 2 10" xfId="5797"/>
    <cellStyle name="Normal 9 2 11" xfId="8069"/>
    <cellStyle name="Normal 9 2 12" xfId="20020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rmal 90" xfId="20021"/>
    <cellStyle name="Normal 91" xfId="20022"/>
    <cellStyle name="Normal 92" xfId="20023"/>
    <cellStyle name="Normal 93" xfId="20024"/>
    <cellStyle name="Normal 94" xfId="19876"/>
    <cellStyle name="Normal 95" xfId="20025"/>
    <cellStyle name="Normal 96" xfId="20026"/>
    <cellStyle name="Normal 97" xfId="20027"/>
    <cellStyle name="Normal 98" xfId="20028"/>
    <cellStyle name="Normal 99" xfId="20029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Note 3" xfId="20030"/>
    <cellStyle name="Note 4" xfId="20173"/>
    <cellStyle name="Output" xfId="13" builtinId="21" customBuiltin="1"/>
    <cellStyle name="Percent" xfId="6" builtinId="5"/>
    <cellStyle name="Percent 10" xfId="13326"/>
    <cellStyle name="Percent 10 2" xfId="13327"/>
    <cellStyle name="Percent 11" xfId="13328"/>
    <cellStyle name="Percent 11 2" xfId="13329"/>
    <cellStyle name="Percent 12" xfId="13330"/>
    <cellStyle name="Percent 12 2" xfId="13331"/>
    <cellStyle name="Percent 13" xfId="13332"/>
    <cellStyle name="Percent 14" xfId="13333"/>
    <cellStyle name="Percent 15" xfId="13334"/>
    <cellStyle name="Percent 16" xfId="13335"/>
    <cellStyle name="Percent 17" xfId="13336"/>
    <cellStyle name="Percent 18" xfId="13337"/>
    <cellStyle name="Percent 19" xfId="13338"/>
    <cellStyle name="Percent 2" xfId="227"/>
    <cellStyle name="Percent 2 2" xfId="2326"/>
    <cellStyle name="Percent 2 2 2" xfId="2942"/>
    <cellStyle name="Percent 2 2 3" xfId="20175"/>
    <cellStyle name="Percent 2 3" xfId="19793"/>
    <cellStyle name="Percent 2 3 2" xfId="20176"/>
    <cellStyle name="Percent 2 4" xfId="20177"/>
    <cellStyle name="Percent 2 5" xfId="20178"/>
    <cellStyle name="Percent 2 6" xfId="20179"/>
    <cellStyle name="Percent 2 7" xfId="20174"/>
    <cellStyle name="Percent 2 8" xfId="20031"/>
    <cellStyle name="Percent 20" xfId="13339"/>
    <cellStyle name="Percent 21" xfId="13340"/>
    <cellStyle name="Percent 22" xfId="13341"/>
    <cellStyle name="Percent 23" xfId="13342"/>
    <cellStyle name="Percent 24" xfId="13343"/>
    <cellStyle name="Percent 25" xfId="13344"/>
    <cellStyle name="Percent 26" xfId="13345"/>
    <cellStyle name="Percent 27" xfId="13346"/>
    <cellStyle name="Percent 28" xfId="13347"/>
    <cellStyle name="Percent 29" xfId="13348"/>
    <cellStyle name="Percent 3" xfId="212"/>
    <cellStyle name="Percent 3 10" xfId="2003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2 7" xfId="20181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3 6" xfId="20182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4 6" xfId="20183"/>
    <cellStyle name="Percent 3 5" xfId="1358"/>
    <cellStyle name="Percent 3 5 2" xfId="4778"/>
    <cellStyle name="Percent 3 5 3" xfId="7050"/>
    <cellStyle name="Percent 3 5 4" xfId="9322"/>
    <cellStyle name="Percent 3 5 5" xfId="20184"/>
    <cellStyle name="Percent 3 6" xfId="3643"/>
    <cellStyle name="Percent 3 6 2" xfId="20185"/>
    <cellStyle name="Percent 3 7" xfId="5915"/>
    <cellStyle name="Percent 3 7 2" xfId="20180"/>
    <cellStyle name="Percent 3 8" xfId="8187"/>
    <cellStyle name="Percent 3 9" xfId="19788"/>
    <cellStyle name="Percent 30" xfId="13349"/>
    <cellStyle name="Percent 31" xfId="13350"/>
    <cellStyle name="Percent 32" xfId="13351"/>
    <cellStyle name="Percent 33" xfId="13352"/>
    <cellStyle name="Percent 34" xfId="13353"/>
    <cellStyle name="Percent 35" xfId="13354"/>
    <cellStyle name="Percent 36" xfId="13355"/>
    <cellStyle name="Percent 37" xfId="13356"/>
    <cellStyle name="Percent 38" xfId="13357"/>
    <cellStyle name="Percent 39" xfId="13358"/>
    <cellStyle name="Percent 4" xfId="40"/>
    <cellStyle name="Percent 4 2" xfId="13360"/>
    <cellStyle name="Percent 4 2 2" xfId="20187"/>
    <cellStyle name="Percent 4 3" xfId="13187"/>
    <cellStyle name="Percent 4 4" xfId="13359"/>
    <cellStyle name="Percent 4 5" xfId="20186"/>
    <cellStyle name="Percent 40" xfId="13361"/>
    <cellStyle name="Percent 41" xfId="13362"/>
    <cellStyle name="Percent 42" xfId="13363"/>
    <cellStyle name="Percent 42 10" xfId="13364"/>
    <cellStyle name="Percent 42 2" xfId="13365"/>
    <cellStyle name="Percent 42 3" xfId="13366"/>
    <cellStyle name="Percent 42 4" xfId="13367"/>
    <cellStyle name="Percent 42 5" xfId="13368"/>
    <cellStyle name="Percent 42 6" xfId="13369"/>
    <cellStyle name="Percent 42 7" xfId="13370"/>
    <cellStyle name="Percent 42 8" xfId="13371"/>
    <cellStyle name="Percent 42 9" xfId="13372"/>
    <cellStyle name="Percent 43" xfId="13373"/>
    <cellStyle name="Percent 44" xfId="13374"/>
    <cellStyle name="Percent 45" xfId="13375"/>
    <cellStyle name="Percent 46" xfId="13376"/>
    <cellStyle name="Percent 47" xfId="13377"/>
    <cellStyle name="Percent 48" xfId="13378"/>
    <cellStyle name="Percent 49" xfId="13379"/>
    <cellStyle name="Percent 5" xfId="2893"/>
    <cellStyle name="Percent 5 2" xfId="13381"/>
    <cellStyle name="Percent 5 2 2" xfId="20188"/>
    <cellStyle name="Percent 5 3" xfId="13380"/>
    <cellStyle name="Percent 50" xfId="13382"/>
    <cellStyle name="Percent 51" xfId="13383"/>
    <cellStyle name="Percent 52" xfId="13384"/>
    <cellStyle name="Percent 53" xfId="13385"/>
    <cellStyle name="Percent 54" xfId="13386"/>
    <cellStyle name="Percent 55" xfId="13387"/>
    <cellStyle name="Percent 56" xfId="13388"/>
    <cellStyle name="Percent 57" xfId="13389"/>
    <cellStyle name="Percent 58" xfId="13185"/>
    <cellStyle name="Percent 6" xfId="13390"/>
    <cellStyle name="Percent 6 2" xfId="13391"/>
    <cellStyle name="Percent 6 3" xfId="20189"/>
    <cellStyle name="Percent 7" xfId="13392"/>
    <cellStyle name="Percent 7 2" xfId="13393"/>
    <cellStyle name="Percent 7 3" xfId="20190"/>
    <cellStyle name="Percent 8" xfId="13394"/>
    <cellStyle name="Percent 8 2" xfId="13395"/>
    <cellStyle name="Percent 9" xfId="13396"/>
    <cellStyle name="Percent 9 2" xfId="13397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calcChain" Target="calcChain.xml"/><Relationship Id="rId5" Type="http://schemas.openxmlformats.org/officeDocument/2006/relationships/chartsheet" Target="chart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bg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GB" sz="1800">
                <a:solidFill>
                  <a:schemeClr val="bg1"/>
                </a:solidFill>
              </a:rPr>
              <a:t>NAV COMPARISON </a:t>
            </a:r>
            <a:r>
              <a:rPr lang="en-GB" sz="1600">
                <a:solidFill>
                  <a:schemeClr val="bg1"/>
                </a:solidFill>
              </a:rPr>
              <a:t>(15</a:t>
            </a:r>
            <a:r>
              <a:rPr lang="en-GB" sz="1600" b="1" i="0" u="none" strike="noStrike" baseline="0">
                <a:solidFill>
                  <a:sysClr val="window" lastClr="FFFFFF"/>
                </a:solidFill>
                <a:effectLst/>
              </a:rPr>
              <a:t>TH</a:t>
            </a:r>
            <a:r>
              <a:rPr lang="en-GB" sz="1600" b="1" i="0" u="none" strike="noStrike" baseline="0">
                <a:effectLst/>
              </a:rPr>
              <a:t> &amp; 22ND SEPTEMBER, 2023</a:t>
            </a:r>
            <a:r>
              <a:rPr lang="en-GB" sz="1600">
                <a:solidFill>
                  <a:schemeClr val="bg1"/>
                </a:solidFill>
              </a:rPr>
              <a:t>)</a:t>
            </a:r>
          </a:p>
        </c:rich>
      </c:tx>
      <c:layout>
        <c:manualLayout>
          <c:xMode val="edge"/>
          <c:yMode val="edge"/>
          <c:x val="0.19692894580603218"/>
          <c:y val="6.27387093854647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bg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'NAV Trend'!$C$15</c:f>
              <c:strCache>
                <c:ptCount val="1"/>
                <c:pt idx="0">
                  <c:v>15-Sep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'NAV Trend'!$B$16:$B$23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Trend'!$C$16:$C$23</c:f>
              <c:numCache>
                <c:formatCode>#,##0.00</c:formatCode>
                <c:ptCount val="8"/>
                <c:pt idx="0">
                  <c:v>22684841502.700001</c:v>
                </c:pt>
                <c:pt idx="1">
                  <c:v>842959336565.12207</c:v>
                </c:pt>
                <c:pt idx="2">
                  <c:v>320326205967.90063</c:v>
                </c:pt>
                <c:pt idx="3">
                  <c:v>579242821265.46704</c:v>
                </c:pt>
                <c:pt idx="4">
                  <c:v>92900265036.520004</c:v>
                </c:pt>
                <c:pt idx="5" formatCode="_(* #,##0.00_);_(* \(#,##0.00\);_(* &quot;-&quot;??_);_(@_)">
                  <c:v>39999967409.311623</c:v>
                </c:pt>
                <c:pt idx="6">
                  <c:v>3887178325.5900002</c:v>
                </c:pt>
                <c:pt idx="7">
                  <c:v>28033788286.160004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0F-4264-BE05-31414DBC076F}"/>
            </c:ext>
          </c:extLst>
        </c:ser>
        <c:ser>
          <c:idx val="1"/>
          <c:order val="1"/>
          <c:tx>
            <c:strRef>
              <c:f>'NAV Trend'!$D$15</c:f>
              <c:strCache>
                <c:ptCount val="1"/>
                <c:pt idx="0">
                  <c:v>22-Sep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'NAV Trend'!$B$16:$B$23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Trend'!$D$16:$D$23</c:f>
              <c:numCache>
                <c:formatCode>#,##0.00</c:formatCode>
                <c:ptCount val="8"/>
                <c:pt idx="0">
                  <c:v>22617340342.240005</c:v>
                </c:pt>
                <c:pt idx="1">
                  <c:v>849677574373.34802</c:v>
                </c:pt>
                <c:pt idx="2">
                  <c:v>299618437754.16949</c:v>
                </c:pt>
                <c:pt idx="3">
                  <c:v>573412197469.83374</c:v>
                </c:pt>
                <c:pt idx="4">
                  <c:v>92930445555.669998</c:v>
                </c:pt>
                <c:pt idx="5" formatCode="_(* #,##0.00_);_(* \(#,##0.00\);_(* &quot;-&quot;??_);_(@_)">
                  <c:v>40017994182.737228</c:v>
                </c:pt>
                <c:pt idx="6">
                  <c:v>3868880759.98</c:v>
                </c:pt>
                <c:pt idx="7">
                  <c:v>45442767297.869995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0F-4264-BE05-31414DBC0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841727743"/>
        <c:axId val="1841729407"/>
      </c:barChart>
      <c:catAx>
        <c:axId val="184172774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>
                    <a:solidFill>
                      <a:schemeClr val="bg1"/>
                    </a:solidFill>
                  </a:rPr>
                  <a:t>CLASSES of fund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1729407"/>
        <c:crosses val="autoZero"/>
        <c:auto val="1"/>
        <c:lblAlgn val="ctr"/>
        <c:lblOffset val="100"/>
        <c:noMultiLvlLbl val="0"/>
      </c:catAx>
      <c:valAx>
        <c:axId val="184172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bg1"/>
                    </a:solidFill>
                  </a:rPr>
                  <a:t>NET ASSET VALUE (N)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1727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600"/>
              <a:t>PERCENTAGE MARKET SHARE TO TOTAL NET ASSET VALUE (NAV)</a:t>
            </a:r>
          </a:p>
          <a:p>
            <a:pPr>
              <a:defRPr/>
            </a:pPr>
            <a:r>
              <a:rPr lang="en-US" sz="1600"/>
              <a:t>AS AT 22ND SEPTEMBER, 2023</a:t>
            </a:r>
          </a:p>
        </c:rich>
      </c:tx>
      <c:layout>
        <c:manualLayout>
          <c:xMode val="edge"/>
          <c:yMode val="edge"/>
          <c:x val="0.1225361610530636"/>
          <c:y val="3.86587879274127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explosion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3F5C-40DD-BB8C-21E9C72367E0}"/>
              </c:ext>
            </c:extLst>
          </c:dPt>
          <c:dLbls>
            <c:dLbl>
              <c:idx val="2"/>
              <c:layout/>
              <c:tx>
                <c:rich>
                  <a:bodyPr/>
                  <a:lstStyle/>
                  <a:p>
                    <a:fld id="{6E716E55-EB6B-4877-A6BD-D6007AE9287A}" type="PERCENTAGE">
                      <a:rPr lang="en-US" b="1"/>
                      <a:pPr/>
                      <a:t>[PERCENTAGE]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9F1-4D3F-AFC0-2F3DDA5A1E07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8687598-1C8E-439B-8460-85BBB1BAF981}" type="PERCENTAGE">
                      <a:rPr lang="en-US" b="1"/>
                      <a:pPr/>
                      <a:t>[PERCENTAGE]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9F1-4D3F-AFC0-2F3DDA5A1E07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AEF13CA9-F9CE-4F67-AAAA-B796E6BBDFA1}" type="PERCENTAGE">
                      <a:rPr lang="en-US" b="1"/>
                      <a:pPr/>
                      <a:t>[PERCENTAGE]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19F1-4D3F-AFC0-2F3DDA5A1E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Share'!$E$7:$E$14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'Market Share'!$F$7:$F$14</c:f>
              <c:numCache>
                <c:formatCode>#,##0.00</c:formatCode>
                <c:ptCount val="8"/>
                <c:pt idx="0">
                  <c:v>22684841502.700001</c:v>
                </c:pt>
                <c:pt idx="1">
                  <c:v>842959336565.12207</c:v>
                </c:pt>
                <c:pt idx="2">
                  <c:v>320326205967.90063</c:v>
                </c:pt>
                <c:pt idx="3">
                  <c:v>579242821265.46704</c:v>
                </c:pt>
                <c:pt idx="4">
                  <c:v>92900265036.520004</c:v>
                </c:pt>
                <c:pt idx="5">
                  <c:v>39999967409.311623</c:v>
                </c:pt>
                <c:pt idx="6">
                  <c:v>3887178325.5900002</c:v>
                </c:pt>
                <c:pt idx="7">
                  <c:v>28033788286.160004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600"/>
              <a:t>MOVEMENT IN TOTAL NAV</a:t>
            </a:r>
          </a:p>
          <a:p>
            <a:pPr>
              <a:defRPr/>
            </a:pPr>
            <a:r>
              <a:rPr lang="en-US" sz="1600"/>
              <a:t>(EIGHT (8) WEEKS ENDING SEPTEMBER 22, 2023)</a:t>
            </a:r>
          </a:p>
        </c:rich>
      </c:tx>
      <c:layout>
        <c:manualLayout>
          <c:xMode val="edge"/>
          <c:yMode val="edge"/>
          <c:x val="0.23824521934758155"/>
          <c:y val="1.98534789807854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1C2-43E7-AB45-8CDF11C29D80}"/>
                </c:ext>
              </c:extLst>
            </c:dLbl>
            <c:dLbl>
              <c:idx val="1"/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1C2-43E7-AB45-8CDF11C29D80}"/>
                </c:ext>
              </c:extLst>
            </c:dLbl>
            <c:dLbl>
              <c:idx val="2"/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31C2-43E7-AB45-8CDF11C29D80}"/>
                </c:ext>
              </c:extLst>
            </c:dLbl>
            <c:dLbl>
              <c:idx val="3"/>
              <c:layout>
                <c:manualLayout>
                  <c:x val="-3.4260102102621842E-2"/>
                  <c:y val="-7.3961156016334E-1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lt1">
                            <a:lumMod val="8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2379448-DA4C-428C-A43B-051C34405DCF}" type="VALUE">
                      <a:rPr lang="en-US" b="1"/>
                      <a:pPr>
                        <a:defRPr b="1"/>
                      </a:pPr>
                      <a:t>[VALUE]</a:t>
                    </a:fld>
                    <a:endParaRPr lang="en-GB"/>
                  </a:p>
                </c:rich>
              </c:tx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1C2-43E7-AB45-8CDF11C29D80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28A58AFB-9FC3-4D71-B7D2-0E69E956DAC8}" type="VALUE">
                      <a:rPr lang="en-US" b="1"/>
                      <a:pPr/>
                      <a:t>[VALUE]</a:t>
                    </a:fld>
                    <a:endParaRPr lang="en-GB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31C2-43E7-AB45-8CDF11C29D80}"/>
                </c:ext>
              </c:extLst>
            </c:dLbl>
            <c:dLbl>
              <c:idx val="5"/>
              <c:layout>
                <c:manualLayout>
                  <c:x val="-3.4161229846269216E-2"/>
                  <c:y val="6.0514372163388806E-3"/>
                </c:manualLayout>
              </c:layout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1C2-43E7-AB45-8CDF11C29D80}"/>
                </c:ext>
              </c:extLst>
            </c:dLbl>
            <c:dLbl>
              <c:idx val="6"/>
              <c:layout>
                <c:manualLayout>
                  <c:x val="-3.1230826915866285E-2"/>
                  <c:y val="2.017145738779627E-3"/>
                </c:manualLayout>
              </c:layout>
              <c:tx>
                <c:rich>
                  <a:bodyPr/>
                  <a:lstStyle/>
                  <a:p>
                    <a:fld id="{EA19ED88-20A6-44D2-AD83-B59ACAB9E417}" type="VALUE">
                      <a:rPr lang="en-US" b="1"/>
                      <a:pPr/>
                      <a:t>[VALUE]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31C2-43E7-AB45-8CDF11C29D80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A199C8AF-947A-4B1A-A6D2-B7A3848BD034}" type="VALUE">
                      <a:rPr lang="en-US" b="1"/>
                      <a:pPr/>
                      <a:t>[VALUE]</a:t>
                    </a:fld>
                    <a:endParaRPr lang="en-GB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1C2-43E7-AB45-8CDF11C29D80}"/>
                </c:ext>
              </c:extLst>
            </c:dLbl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45142</c:v>
                </c:pt>
                <c:pt idx="1">
                  <c:v>45149</c:v>
                </c:pt>
                <c:pt idx="2">
                  <c:v>45156</c:v>
                </c:pt>
                <c:pt idx="3">
                  <c:v>45163</c:v>
                </c:pt>
                <c:pt idx="4">
                  <c:v>45170</c:v>
                </c:pt>
                <c:pt idx="5">
                  <c:v>45177</c:v>
                </c:pt>
                <c:pt idx="6">
                  <c:v>45184</c:v>
                </c:pt>
                <c:pt idx="7">
                  <c:v>45191</c:v>
                </c:pt>
              </c:numCache>
            </c:numRef>
          </c:cat>
          <c:val>
            <c:numRef>
              <c:f>'NAV Trend'!$D$10:$K$10</c:f>
              <c:numCache>
                <c:formatCode>_(* #,##0.00_);_(* \(#,##0.00\);_(* "-"??_);_(@_)</c:formatCode>
                <c:ptCount val="8"/>
                <c:pt idx="0">
                  <c:v>1916191660933.4709</c:v>
                </c:pt>
                <c:pt idx="1">
                  <c:v>1918875626264.7451</c:v>
                </c:pt>
                <c:pt idx="2">
                  <c:v>1917546500429.8425</c:v>
                </c:pt>
                <c:pt idx="3">
                  <c:v>1943407345708.8286</c:v>
                </c:pt>
                <c:pt idx="4">
                  <c:v>1922810043593.2705</c:v>
                </c:pt>
                <c:pt idx="5">
                  <c:v>1905565030169.3159</c:v>
                </c:pt>
                <c:pt idx="6">
                  <c:v>1930034404358.7712</c:v>
                </c:pt>
                <c:pt idx="7">
                  <c:v>1927585637735.8486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N&quot;\ #0.00,,,\ &quot;bn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23781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chemeClr val="bg1"/>
                </a:solidFill>
              </a:rPr>
              <a:t>MOVEMENT IN NAV BY CLASSes OF FUND</a:t>
            </a:r>
          </a:p>
          <a:p>
            <a:pPr>
              <a:defRPr/>
            </a:pPr>
            <a:r>
              <a:rPr lang="en-US" sz="1600">
                <a:solidFill>
                  <a:schemeClr val="bg1"/>
                </a:solidFill>
              </a:rPr>
              <a:t>(Eight (8) Weeks Ending SEPTEMBER 22, 2023</a:t>
            </a:r>
            <a:r>
              <a:rPr lang="en-US"/>
              <a:t>)  </a:t>
            </a:r>
          </a:p>
        </c:rich>
      </c:tx>
      <c:layout>
        <c:manualLayout>
          <c:xMode val="edge"/>
          <c:yMode val="edge"/>
          <c:x val="0.23453572149635141"/>
          <c:y val="1.35898443859419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398927057194774"/>
          <c:y val="0.17748849472484626"/>
          <c:w val="0.78102643741975963"/>
          <c:h val="0.629643745981524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'NAV Trend'!$B$9</c:f>
              <c:strCache>
                <c:ptCount val="1"/>
                <c:pt idx="0">
                  <c:v>SHARI'AH COMPLAINT FUNDS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45142</c:v>
                </c:pt>
                <c:pt idx="1">
                  <c:v>45149</c:v>
                </c:pt>
                <c:pt idx="2">
                  <c:v>45156</c:v>
                </c:pt>
                <c:pt idx="3">
                  <c:v>45163</c:v>
                </c:pt>
                <c:pt idx="4">
                  <c:v>45170</c:v>
                </c:pt>
                <c:pt idx="5">
                  <c:v>45177</c:v>
                </c:pt>
                <c:pt idx="6">
                  <c:v>45184</c:v>
                </c:pt>
                <c:pt idx="7">
                  <c:v>45191</c:v>
                </c:pt>
              </c:numCache>
            </c:numRef>
          </c:cat>
          <c:val>
            <c:numRef>
              <c:f>'NAV Trend'!$C$9:$K$9</c:f>
              <c:numCache>
                <c:formatCode>#,##0.00</c:formatCode>
                <c:ptCount val="9"/>
                <c:pt idx="0">
                  <c:v>27315712442.810001</c:v>
                </c:pt>
                <c:pt idx="1">
                  <c:v>27962550206.07</c:v>
                </c:pt>
                <c:pt idx="2">
                  <c:v>27781533807.059998</c:v>
                </c:pt>
                <c:pt idx="3">
                  <c:v>27801303893.869999</c:v>
                </c:pt>
                <c:pt idx="4">
                  <c:v>27709525793.34</c:v>
                </c:pt>
                <c:pt idx="5">
                  <c:v>27966500870.759998</c:v>
                </c:pt>
                <c:pt idx="6">
                  <c:v>28062421939.949997</c:v>
                </c:pt>
                <c:pt idx="7">
                  <c:v>28033788286.160004</c:v>
                </c:pt>
                <c:pt idx="8">
                  <c:v>45442767297.869995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45142</c:v>
                </c:pt>
                <c:pt idx="1">
                  <c:v>45149</c:v>
                </c:pt>
                <c:pt idx="2">
                  <c:v>45156</c:v>
                </c:pt>
                <c:pt idx="3">
                  <c:v>45163</c:v>
                </c:pt>
                <c:pt idx="4">
                  <c:v>45170</c:v>
                </c:pt>
                <c:pt idx="5">
                  <c:v>45177</c:v>
                </c:pt>
                <c:pt idx="6">
                  <c:v>45184</c:v>
                </c:pt>
                <c:pt idx="7">
                  <c:v>45191</c:v>
                </c:pt>
              </c:numCache>
            </c:numRef>
          </c:cat>
          <c:val>
            <c:numRef>
              <c:f>'NAV Trend'!$C$8:$K$8</c:f>
              <c:numCache>
                <c:formatCode>#,##0.00</c:formatCode>
                <c:ptCount val="9"/>
                <c:pt idx="0">
                  <c:v>3765883383.1199999</c:v>
                </c:pt>
                <c:pt idx="1">
                  <c:v>3796886715.4300003</c:v>
                </c:pt>
                <c:pt idx="2">
                  <c:v>3821769493.7000003</c:v>
                </c:pt>
                <c:pt idx="3">
                  <c:v>3802289133.5500002</c:v>
                </c:pt>
                <c:pt idx="4">
                  <c:v>3833193790.9099998</c:v>
                </c:pt>
                <c:pt idx="5">
                  <c:v>3950705160.4500003</c:v>
                </c:pt>
                <c:pt idx="6">
                  <c:v>3988679154.2799997</c:v>
                </c:pt>
                <c:pt idx="7">
                  <c:v>3887178325.5900002</c:v>
                </c:pt>
                <c:pt idx="8">
                  <c:v>3868880759.98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BALANCED FUNDS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45142</c:v>
                </c:pt>
                <c:pt idx="1">
                  <c:v>45149</c:v>
                </c:pt>
                <c:pt idx="2">
                  <c:v>45156</c:v>
                </c:pt>
                <c:pt idx="3">
                  <c:v>45163</c:v>
                </c:pt>
                <c:pt idx="4">
                  <c:v>45170</c:v>
                </c:pt>
                <c:pt idx="5">
                  <c:v>45177</c:v>
                </c:pt>
                <c:pt idx="6">
                  <c:v>45184</c:v>
                </c:pt>
                <c:pt idx="7">
                  <c:v>45191</c:v>
                </c:pt>
              </c:numCache>
            </c:numRef>
          </c:cat>
          <c:val>
            <c:numRef>
              <c:f>'NAV Trend'!$C$7:$K$7</c:f>
              <c:numCache>
                <c:formatCode>_(* #,##0.00_);_(* \(#,##0.00\);_(* "-"??_);_(@_)</c:formatCode>
                <c:ptCount val="9"/>
                <c:pt idx="0">
                  <c:v>38690467865.717575</c:v>
                </c:pt>
                <c:pt idx="1">
                  <c:v>38884096485.686134</c:v>
                </c:pt>
                <c:pt idx="2">
                  <c:v>38936521066.392647</c:v>
                </c:pt>
                <c:pt idx="3">
                  <c:v>38811275853.394905</c:v>
                </c:pt>
                <c:pt idx="4">
                  <c:v>39079043179.509552</c:v>
                </c:pt>
                <c:pt idx="5">
                  <c:v>39909523580.55719</c:v>
                </c:pt>
                <c:pt idx="6">
                  <c:v>40429036765.108025</c:v>
                </c:pt>
                <c:pt idx="7">
                  <c:v>39999967409.311623</c:v>
                </c:pt>
                <c:pt idx="8">
                  <c:v>40017994182.737228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45142</c:v>
                </c:pt>
                <c:pt idx="1">
                  <c:v>45149</c:v>
                </c:pt>
                <c:pt idx="2">
                  <c:v>45156</c:v>
                </c:pt>
                <c:pt idx="3">
                  <c:v>45163</c:v>
                </c:pt>
                <c:pt idx="4">
                  <c:v>45170</c:v>
                </c:pt>
                <c:pt idx="5">
                  <c:v>45177</c:v>
                </c:pt>
                <c:pt idx="6">
                  <c:v>45184</c:v>
                </c:pt>
                <c:pt idx="7">
                  <c:v>45191</c:v>
                </c:pt>
              </c:numCache>
            </c:numRef>
          </c:cat>
          <c:val>
            <c:numRef>
              <c:f>'NAV Trend'!$C$2:$K$2</c:f>
              <c:numCache>
                <c:formatCode>#,##0.00</c:formatCode>
                <c:ptCount val="9"/>
                <c:pt idx="0">
                  <c:v>21710538133.900002</c:v>
                </c:pt>
                <c:pt idx="1">
                  <c:v>21798118395</c:v>
                </c:pt>
                <c:pt idx="2">
                  <c:v>21799255745.139996</c:v>
                </c:pt>
                <c:pt idx="3">
                  <c:v>21756530204.330006</c:v>
                </c:pt>
                <c:pt idx="4">
                  <c:v>21948547893.360001</c:v>
                </c:pt>
                <c:pt idx="5">
                  <c:v>22687921199.809998</c:v>
                </c:pt>
                <c:pt idx="6">
                  <c:v>23086923138.879997</c:v>
                </c:pt>
                <c:pt idx="7">
                  <c:v>22684841502.700001</c:v>
                </c:pt>
                <c:pt idx="8">
                  <c:v>22617340342.240005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45142</c:v>
                </c:pt>
                <c:pt idx="1">
                  <c:v>45149</c:v>
                </c:pt>
                <c:pt idx="2">
                  <c:v>45156</c:v>
                </c:pt>
                <c:pt idx="3">
                  <c:v>45163</c:v>
                </c:pt>
                <c:pt idx="4">
                  <c:v>45170</c:v>
                </c:pt>
                <c:pt idx="5">
                  <c:v>45177</c:v>
                </c:pt>
                <c:pt idx="6">
                  <c:v>45184</c:v>
                </c:pt>
                <c:pt idx="7">
                  <c:v>45191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93558457831.729996</c:v>
                </c:pt>
                <c:pt idx="1">
                  <c:v>93574800912.410004</c:v>
                </c:pt>
                <c:pt idx="2">
                  <c:v>93594876666.309998</c:v>
                </c:pt>
                <c:pt idx="3">
                  <c:v>93626727218.01001</c:v>
                </c:pt>
                <c:pt idx="4">
                  <c:v>93509583223.449997</c:v>
                </c:pt>
                <c:pt idx="5">
                  <c:v>93504922541.330002</c:v>
                </c:pt>
                <c:pt idx="6">
                  <c:v>92863739575.880005</c:v>
                </c:pt>
                <c:pt idx="7">
                  <c:v>92900265036.520004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45142</c:v>
                </c:pt>
                <c:pt idx="1">
                  <c:v>45149</c:v>
                </c:pt>
                <c:pt idx="2">
                  <c:v>45156</c:v>
                </c:pt>
                <c:pt idx="3">
                  <c:v>45163</c:v>
                </c:pt>
                <c:pt idx="4">
                  <c:v>45170</c:v>
                </c:pt>
                <c:pt idx="5">
                  <c:v>45177</c:v>
                </c:pt>
                <c:pt idx="6">
                  <c:v>45184</c:v>
                </c:pt>
                <c:pt idx="7">
                  <c:v>45191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849994179796.46228</c:v>
                </c:pt>
                <c:pt idx="1">
                  <c:v>856179741726.49231</c:v>
                </c:pt>
                <c:pt idx="2">
                  <c:v>857163632618.47339</c:v>
                </c:pt>
                <c:pt idx="3">
                  <c:v>855610980289.1698</c:v>
                </c:pt>
                <c:pt idx="4">
                  <c:v>852824801464.56006</c:v>
                </c:pt>
                <c:pt idx="5">
                  <c:v>854338532735.88501</c:v>
                </c:pt>
                <c:pt idx="6">
                  <c:v>842459027080.45435</c:v>
                </c:pt>
                <c:pt idx="7">
                  <c:v>842959336565.12207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45142</c:v>
                </c:pt>
                <c:pt idx="1">
                  <c:v>45149</c:v>
                </c:pt>
                <c:pt idx="2">
                  <c:v>45156</c:v>
                </c:pt>
                <c:pt idx="3">
                  <c:v>45163</c:v>
                </c:pt>
                <c:pt idx="4">
                  <c:v>45170</c:v>
                </c:pt>
                <c:pt idx="5">
                  <c:v>45177</c:v>
                </c:pt>
                <c:pt idx="6">
                  <c:v>45184</c:v>
                </c:pt>
                <c:pt idx="7">
                  <c:v>45191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320399612573.65601</c:v>
                </c:pt>
                <c:pt idx="1">
                  <c:v>320872331713.32611</c:v>
                </c:pt>
                <c:pt idx="2">
                  <c:v>321156453816.64587</c:v>
                </c:pt>
                <c:pt idx="3">
                  <c:v>320687160580.93243</c:v>
                </c:pt>
                <c:pt idx="4">
                  <c:v>319581951019.79437</c:v>
                </c:pt>
                <c:pt idx="5">
                  <c:v>319127187068.50275</c:v>
                </c:pt>
                <c:pt idx="6">
                  <c:v>320114444673.33032</c:v>
                </c:pt>
                <c:pt idx="7">
                  <c:v>320326205967.90063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45142</c:v>
                </c:pt>
                <c:pt idx="1">
                  <c:v>45149</c:v>
                </c:pt>
                <c:pt idx="2">
                  <c:v>45156</c:v>
                </c:pt>
                <c:pt idx="3">
                  <c:v>45163</c:v>
                </c:pt>
                <c:pt idx="4">
                  <c:v>45170</c:v>
                </c:pt>
                <c:pt idx="5">
                  <c:v>45177</c:v>
                </c:pt>
                <c:pt idx="6">
                  <c:v>45184</c:v>
                </c:pt>
                <c:pt idx="7">
                  <c:v>45191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569956762301.13733</c:v>
                </c:pt>
                <c:pt idx="1">
                  <c:v>553123134779.05676</c:v>
                </c:pt>
                <c:pt idx="2">
                  <c:v>554621583051.02319</c:v>
                </c:pt>
                <c:pt idx="3">
                  <c:v>555450233256.58521</c:v>
                </c:pt>
                <c:pt idx="4">
                  <c:v>584920699343.90466</c:v>
                </c:pt>
                <c:pt idx="5">
                  <c:v>561324750435.97546</c:v>
                </c:pt>
                <c:pt idx="6">
                  <c:v>554560757841.43372</c:v>
                </c:pt>
                <c:pt idx="7">
                  <c:v>579242821265.46704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1222378911"/>
        <c:axId val="1"/>
      </c:barChart>
      <c:catAx>
        <c:axId val="12223789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N&quot;\ #0.00,,,\ &quot;bn&quot;" sourceLinked="0"/>
        <c:majorTickMark val="none"/>
        <c:minorTickMark val="none"/>
        <c:tickLblPos val="low"/>
        <c:crossAx val="12223789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828213780969686"/>
          <c:y val="0.87222287077957916"/>
          <c:w val="0.78992299039543135"/>
          <c:h val="7.26191525605441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71</xdr:row>
      <xdr:rowOff>0</xdr:rowOff>
    </xdr:from>
    <xdr:to>
      <xdr:col>21</xdr:col>
      <xdr:colOff>990600</xdr:colOff>
      <xdr:row>75</xdr:row>
      <xdr:rowOff>66676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304800</xdr:colOff>
      <xdr:row>96</xdr:row>
      <xdr:rowOff>142873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14430</xdr:colOff>
      <xdr:row>0</xdr:row>
      <xdr:rowOff>0</xdr:rowOff>
    </xdr:from>
    <xdr:to>
      <xdr:col>10</xdr:col>
      <xdr:colOff>532946</xdr:colOff>
      <xdr:row>23</xdr:row>
      <xdr:rowOff>217713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42"/>
  <sheetViews>
    <sheetView tabSelected="1" view="pageBreakPreview" zoomScale="120" zoomScaleNormal="160" zoomScaleSheetLayoutView="120" workbookViewId="0">
      <pane ySplit="1" topLeftCell="A2" activePane="bottomLeft" state="frozen"/>
      <selection activeCell="D1" sqref="D1"/>
      <selection pane="bottomLeft" activeCell="A2" sqref="A2"/>
    </sheetView>
  </sheetViews>
  <sheetFormatPr defaultColWidth="8.85546875" defaultRowHeight="12" customHeight="1"/>
  <cols>
    <col min="1" max="1" width="3.85546875" style="2" customWidth="1"/>
    <col min="2" max="2" width="33.42578125" style="3" customWidth="1"/>
    <col min="3" max="3" width="29.42578125" style="3" customWidth="1"/>
    <col min="4" max="4" width="16.85546875" style="3" customWidth="1"/>
    <col min="5" max="5" width="8.7109375" style="3" customWidth="1"/>
    <col min="6" max="7" width="9.42578125" style="3" customWidth="1"/>
    <col min="8" max="8" width="7.5703125" style="220" customWidth="1"/>
    <col min="9" max="9" width="7.28515625" style="220" customWidth="1"/>
    <col min="10" max="10" width="18" style="216" customWidth="1"/>
    <col min="11" max="11" width="8.7109375" style="3" customWidth="1"/>
    <col min="12" max="12" width="9.7109375" style="3" customWidth="1"/>
    <col min="13" max="13" width="9.42578125" style="3" customWidth="1"/>
    <col min="14" max="14" width="7.85546875" style="2" customWidth="1"/>
    <col min="15" max="15" width="7.28515625" style="2" customWidth="1"/>
    <col min="16" max="16" width="9" style="3" customWidth="1"/>
    <col min="17" max="17" width="9.42578125" style="3" customWidth="1"/>
    <col min="18" max="18" width="8.42578125" style="106" customWidth="1"/>
    <col min="19" max="19" width="7.5703125" style="106" customWidth="1"/>
    <col min="20" max="20" width="29" style="107" customWidth="1"/>
    <col min="21" max="21" width="23.28515625" style="106" customWidth="1"/>
    <col min="22" max="22" width="18.140625" style="106" customWidth="1"/>
    <col min="23" max="23" width="9.42578125" style="106" customWidth="1"/>
    <col min="24" max="24" width="22.7109375" style="106" customWidth="1"/>
    <col min="25" max="25" width="8.85546875" style="106" customWidth="1"/>
    <col min="26" max="26" width="25.140625" style="106" customWidth="1"/>
    <col min="27" max="32" width="8.85546875" style="106"/>
    <col min="33" max="33" width="9" style="106" bestFit="1" customWidth="1"/>
    <col min="34" max="42" width="8.85546875" style="106"/>
    <col min="43" max="43" width="9.28515625" style="106" bestFit="1" customWidth="1"/>
    <col min="44" max="51" width="8.85546875" style="106"/>
    <col min="52" max="52" width="8.85546875" style="106" customWidth="1"/>
    <col min="53" max="103" width="8.85546875" style="106"/>
    <col min="104" max="16384" width="8.85546875" style="3"/>
  </cols>
  <sheetData>
    <row r="1" spans="1:26" s="112" customFormat="1" ht="22.5" customHeight="1">
      <c r="A1" s="424" t="s">
        <v>285</v>
      </c>
      <c r="B1" s="425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7"/>
      <c r="T1" s="287"/>
      <c r="U1" s="113"/>
    </row>
    <row r="2" spans="1:26" s="112" customFormat="1" ht="25.5" customHeight="1">
      <c r="A2" s="240"/>
      <c r="B2" s="241"/>
      <c r="C2" s="241"/>
      <c r="D2" s="432" t="s">
        <v>278</v>
      </c>
      <c r="E2" s="433"/>
      <c r="F2" s="433"/>
      <c r="G2" s="433"/>
      <c r="H2" s="433"/>
      <c r="I2" s="434"/>
      <c r="J2" s="432" t="s">
        <v>286</v>
      </c>
      <c r="K2" s="433"/>
      <c r="L2" s="433"/>
      <c r="M2" s="433"/>
      <c r="N2" s="433"/>
      <c r="O2" s="434"/>
      <c r="P2" s="437" t="s">
        <v>62</v>
      </c>
      <c r="Q2" s="437"/>
      <c r="R2" s="437" t="s">
        <v>214</v>
      </c>
      <c r="S2" s="438"/>
      <c r="T2" s="287"/>
      <c r="U2" s="113"/>
    </row>
    <row r="3" spans="1:26" s="112" customFormat="1" ht="24.75" customHeight="1">
      <c r="A3" s="292" t="s">
        <v>1</v>
      </c>
      <c r="B3" s="293" t="s">
        <v>2</v>
      </c>
      <c r="C3" s="293" t="s">
        <v>192</v>
      </c>
      <c r="D3" s="294" t="s">
        <v>201</v>
      </c>
      <c r="E3" s="295" t="s">
        <v>61</v>
      </c>
      <c r="F3" s="295" t="s">
        <v>211</v>
      </c>
      <c r="G3" s="295" t="s">
        <v>212</v>
      </c>
      <c r="H3" s="295" t="s">
        <v>249</v>
      </c>
      <c r="I3" s="295" t="s">
        <v>250</v>
      </c>
      <c r="J3" s="296" t="s">
        <v>201</v>
      </c>
      <c r="K3" s="295" t="s">
        <v>61</v>
      </c>
      <c r="L3" s="295" t="s">
        <v>211</v>
      </c>
      <c r="M3" s="295" t="s">
        <v>212</v>
      </c>
      <c r="N3" s="295" t="s">
        <v>249</v>
      </c>
      <c r="O3" s="295" t="s">
        <v>250</v>
      </c>
      <c r="P3" s="297" t="s">
        <v>202</v>
      </c>
      <c r="Q3" s="298" t="s">
        <v>119</v>
      </c>
      <c r="R3" s="295" t="s">
        <v>252</v>
      </c>
      <c r="S3" s="299" t="s">
        <v>253</v>
      </c>
      <c r="T3" s="287"/>
      <c r="U3" s="113"/>
    </row>
    <row r="4" spans="1:26" s="112" customFormat="1" ht="5.25" customHeight="1">
      <c r="A4" s="441"/>
      <c r="B4" s="442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4"/>
      <c r="T4" s="287"/>
      <c r="U4" s="113"/>
    </row>
    <row r="5" spans="1:26" s="112" customFormat="1" ht="12.95" customHeight="1">
      <c r="A5" s="445" t="s">
        <v>0</v>
      </c>
      <c r="B5" s="446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8"/>
      <c r="T5" s="287"/>
      <c r="U5" s="113"/>
    </row>
    <row r="6" spans="1:26" s="112" customFormat="1" ht="12.95" customHeight="1">
      <c r="A6" s="402">
        <v>1</v>
      </c>
      <c r="B6" s="381" t="s">
        <v>13</v>
      </c>
      <c r="C6" s="382" t="s">
        <v>57</v>
      </c>
      <c r="D6" s="324">
        <v>684549382</v>
      </c>
      <c r="E6" s="331">
        <f t="shared" ref="E6:E21" si="0">(D6/$D$22)</f>
        <v>3.0176511566921169E-2</v>
      </c>
      <c r="F6" s="323">
        <v>272.9024</v>
      </c>
      <c r="G6" s="323">
        <v>275.67899999999997</v>
      </c>
      <c r="H6" s="332">
        <v>-2.1724888637867923E-2</v>
      </c>
      <c r="I6" s="332">
        <v>0.44767454071655011</v>
      </c>
      <c r="J6" s="324">
        <v>682126439.33000004</v>
      </c>
      <c r="K6" s="331">
        <f>(J6/$J$22)</f>
        <v>3.0159445319751628E-2</v>
      </c>
      <c r="L6" s="323">
        <v>272.71859999999998</v>
      </c>
      <c r="M6" s="323">
        <v>276.96660000000003</v>
      </c>
      <c r="N6" s="332">
        <v>-6.7348158966851202E-4</v>
      </c>
      <c r="O6" s="332">
        <v>0.44669955856554577</v>
      </c>
      <c r="P6" s="109">
        <f>((J6-D6)/D6)</f>
        <v>-3.539470977128071E-3</v>
      </c>
      <c r="Q6" s="109">
        <f t="shared" ref="Q6:Q21" si="1">((M6-G6)/G6)</f>
        <v>4.6706495598143301E-3</v>
      </c>
      <c r="R6" s="327">
        <f t="shared" ref="R6:R21" si="2">N6-H6</f>
        <v>2.1051407048199411E-2</v>
      </c>
      <c r="S6" s="392">
        <f t="shared" ref="S6:S21" si="3">O6-I6</f>
        <v>-9.7498215100433328E-4</v>
      </c>
      <c r="U6" s="113"/>
    </row>
    <row r="7" spans="1:26" s="112" customFormat="1" ht="12.95" customHeight="1">
      <c r="A7" s="400">
        <v>2</v>
      </c>
      <c r="B7" s="381" t="s">
        <v>135</v>
      </c>
      <c r="C7" s="382" t="s">
        <v>134</v>
      </c>
      <c r="D7" s="323">
        <v>531115431.49000001</v>
      </c>
      <c r="E7" s="331">
        <f t="shared" si="0"/>
        <v>2.341279005307511E-2</v>
      </c>
      <c r="F7" s="323">
        <v>193.58779999999999</v>
      </c>
      <c r="G7" s="323">
        <v>196.2141</v>
      </c>
      <c r="H7" s="332">
        <v>2.4226000000000001E-2</v>
      </c>
      <c r="I7" s="332">
        <v>0.33560000000000001</v>
      </c>
      <c r="J7" s="323">
        <v>500203459.44</v>
      </c>
      <c r="K7" s="331">
        <f>(J7/$J$22)</f>
        <v>2.211592750832082E-2</v>
      </c>
      <c r="L7" s="323">
        <v>182.97190000000001</v>
      </c>
      <c r="M7" s="323">
        <v>185.44909999999999</v>
      </c>
      <c r="N7" s="332">
        <v>-9.9799999999999993E-3</v>
      </c>
      <c r="O7" s="332">
        <v>0.26229999999999998</v>
      </c>
      <c r="P7" s="327">
        <v>5.6480000000000002E-3</v>
      </c>
      <c r="Q7" s="327">
        <f t="shared" si="1"/>
        <v>-5.4863539368475635E-2</v>
      </c>
      <c r="R7" s="327">
        <f t="shared" si="2"/>
        <v>-3.4206E-2</v>
      </c>
      <c r="S7" s="392">
        <f t="shared" si="3"/>
        <v>-7.3300000000000032E-2</v>
      </c>
      <c r="T7" s="287"/>
      <c r="U7" s="113"/>
    </row>
    <row r="8" spans="1:26" s="112" customFormat="1" ht="12.95" customHeight="1">
      <c r="A8" s="400">
        <v>3</v>
      </c>
      <c r="B8" s="381" t="s">
        <v>11</v>
      </c>
      <c r="C8" s="382" t="s">
        <v>6</v>
      </c>
      <c r="D8" s="323">
        <v>3271006234.54</v>
      </c>
      <c r="E8" s="331">
        <f t="shared" si="0"/>
        <v>0.14419347978034924</v>
      </c>
      <c r="F8" s="323">
        <v>29.352499999999999</v>
      </c>
      <c r="G8" s="323">
        <v>30.237500000000001</v>
      </c>
      <c r="H8" s="313">
        <v>-0.57030000000000003</v>
      </c>
      <c r="I8" s="313">
        <v>0.45889999999999997</v>
      </c>
      <c r="J8" s="323">
        <v>3263035357.75</v>
      </c>
      <c r="K8" s="331">
        <f>(J8/$J$22)</f>
        <v>0.14427140010162801</v>
      </c>
      <c r="L8" s="323">
        <v>29.2943</v>
      </c>
      <c r="M8" s="323">
        <v>30.177499999999998</v>
      </c>
      <c r="N8" s="313">
        <v>-0.10349999999999999</v>
      </c>
      <c r="O8" s="313">
        <v>0.44309999999999999</v>
      </c>
      <c r="P8" s="327">
        <f t="shared" ref="P8:P22" si="4">((J8-D8)/D8)</f>
        <v>-2.4368271468980865E-3</v>
      </c>
      <c r="Q8" s="327">
        <f t="shared" si="1"/>
        <v>-1.9842910293510468E-3</v>
      </c>
      <c r="R8" s="327">
        <f t="shared" si="2"/>
        <v>0.46680000000000005</v>
      </c>
      <c r="S8" s="392">
        <f t="shared" si="3"/>
        <v>-1.5799999999999981E-2</v>
      </c>
      <c r="T8" s="287"/>
      <c r="U8" s="113"/>
      <c r="V8" s="145"/>
      <c r="W8" s="114"/>
      <c r="X8" s="114"/>
      <c r="Y8" s="115"/>
    </row>
    <row r="9" spans="1:26" s="112" customFormat="1" ht="12.95" customHeight="1">
      <c r="A9" s="400">
        <v>4</v>
      </c>
      <c r="B9" s="381" t="s">
        <v>81</v>
      </c>
      <c r="C9" s="382" t="s">
        <v>80</v>
      </c>
      <c r="D9" s="323">
        <v>416547539.07999998</v>
      </c>
      <c r="E9" s="331">
        <f t="shared" si="0"/>
        <v>1.8362373791786096E-2</v>
      </c>
      <c r="F9" s="323">
        <v>181.33</v>
      </c>
      <c r="G9" s="323">
        <v>181.33</v>
      </c>
      <c r="H9" s="332">
        <v>2.24E-2</v>
      </c>
      <c r="I9" s="332">
        <v>0.32750000000000001</v>
      </c>
      <c r="J9" s="323">
        <v>407475617.75999999</v>
      </c>
      <c r="K9" s="331">
        <f>(J9/$J$22)</f>
        <v>1.8016071367993745E-2</v>
      </c>
      <c r="L9" s="323">
        <v>183.85</v>
      </c>
      <c r="M9" s="323">
        <v>183.85</v>
      </c>
      <c r="N9" s="332">
        <v>1.3899999999999999E-2</v>
      </c>
      <c r="O9" s="332">
        <v>0.3463</v>
      </c>
      <c r="P9" s="327">
        <f t="shared" si="4"/>
        <v>-2.1778837872950887E-2</v>
      </c>
      <c r="Q9" s="327">
        <f t="shared" si="1"/>
        <v>1.3897314288865504E-2</v>
      </c>
      <c r="R9" s="327">
        <f t="shared" si="2"/>
        <v>-8.5000000000000006E-3</v>
      </c>
      <c r="S9" s="392">
        <f t="shared" si="3"/>
        <v>1.8799999999999983E-2</v>
      </c>
      <c r="T9" s="287"/>
      <c r="U9" s="113"/>
      <c r="V9" s="145"/>
      <c r="W9" s="114"/>
      <c r="X9" s="114"/>
      <c r="Y9" s="115"/>
    </row>
    <row r="10" spans="1:26" s="328" customFormat="1" ht="12.95" customHeight="1">
      <c r="A10" s="402">
        <v>5</v>
      </c>
      <c r="B10" s="381" t="s">
        <v>283</v>
      </c>
      <c r="C10" s="382" t="s">
        <v>242</v>
      </c>
      <c r="D10" s="74">
        <v>74463521.510000005</v>
      </c>
      <c r="E10" s="331">
        <f t="shared" si="0"/>
        <v>3.2825233317648347E-3</v>
      </c>
      <c r="F10" s="323">
        <v>129.98480000000001</v>
      </c>
      <c r="G10" s="323">
        <v>130.54300000000001</v>
      </c>
      <c r="H10" s="332">
        <v>0.16231100000000001</v>
      </c>
      <c r="I10" s="332">
        <v>0.23730000000000001</v>
      </c>
      <c r="J10" s="74">
        <v>123852080.36</v>
      </c>
      <c r="K10" s="331">
        <v>0.96619999999999995</v>
      </c>
      <c r="L10" s="323">
        <v>129.50139999999999</v>
      </c>
      <c r="M10" s="323">
        <v>129.8289</v>
      </c>
      <c r="N10" s="332">
        <v>0.17902999999999999</v>
      </c>
      <c r="O10" s="332">
        <v>0.2326</v>
      </c>
      <c r="P10" s="327">
        <f t="shared" ref="P10" si="5">((J10-D10)/D10)</f>
        <v>0.66325843645962146</v>
      </c>
      <c r="Q10" s="327">
        <f t="shared" ref="Q10" si="6">((M10-G10)/G10)</f>
        <v>-5.4702282006695259E-3</v>
      </c>
      <c r="R10" s="327">
        <f t="shared" ref="R10" si="7">N10-H10</f>
        <v>1.6718999999999984E-2</v>
      </c>
      <c r="S10" s="392">
        <f t="shared" ref="S10" si="8">O10-I10</f>
        <v>-4.7000000000000097E-3</v>
      </c>
      <c r="T10" s="287"/>
      <c r="U10" s="113"/>
      <c r="V10" s="145"/>
      <c r="W10" s="114"/>
      <c r="X10" s="114"/>
      <c r="Y10" s="115"/>
    </row>
    <row r="11" spans="1:26" s="112" customFormat="1" ht="12.95" customHeight="1">
      <c r="A11" s="402">
        <v>6</v>
      </c>
      <c r="B11" s="381" t="s">
        <v>52</v>
      </c>
      <c r="C11" s="382" t="s">
        <v>184</v>
      </c>
      <c r="D11" s="323">
        <v>682849073.95000005</v>
      </c>
      <c r="E11" s="331">
        <f t="shared" si="0"/>
        <v>3.0101558076512273E-2</v>
      </c>
      <c r="F11" s="323">
        <v>250.41</v>
      </c>
      <c r="G11" s="323">
        <v>253.82</v>
      </c>
      <c r="H11" s="313">
        <v>-1.35E-2</v>
      </c>
      <c r="I11" s="313">
        <v>0.5121</v>
      </c>
      <c r="J11" s="323">
        <v>687699632.98000002</v>
      </c>
      <c r="K11" s="331">
        <f>(J11/$J$22)</f>
        <v>3.0405857743390649E-2</v>
      </c>
      <c r="L11" s="323">
        <v>250.48</v>
      </c>
      <c r="M11" s="323">
        <v>253.86</v>
      </c>
      <c r="N11" s="313">
        <v>2.0000000000000001E-4</v>
      </c>
      <c r="O11" s="313">
        <v>0.51249999999999996</v>
      </c>
      <c r="P11" s="327">
        <f t="shared" si="4"/>
        <v>7.1034130601385888E-3</v>
      </c>
      <c r="Q11" s="327">
        <f t="shared" si="1"/>
        <v>1.5759199432676882E-4</v>
      </c>
      <c r="R11" s="327">
        <f t="shared" si="2"/>
        <v>1.37E-2</v>
      </c>
      <c r="S11" s="392">
        <f t="shared" si="3"/>
        <v>3.9999999999995595E-4</v>
      </c>
      <c r="T11" s="287"/>
      <c r="U11" s="113"/>
      <c r="V11" s="145"/>
      <c r="W11" s="114"/>
      <c r="X11" s="114"/>
      <c r="Y11" s="115"/>
    </row>
    <row r="12" spans="1:26" s="112" customFormat="1" ht="12.95" customHeight="1">
      <c r="A12" s="403">
        <v>7</v>
      </c>
      <c r="B12" s="381" t="s">
        <v>8</v>
      </c>
      <c r="C12" s="382" t="s">
        <v>56</v>
      </c>
      <c r="D12" s="324">
        <v>316716491.19999999</v>
      </c>
      <c r="E12" s="331">
        <f t="shared" si="0"/>
        <v>1.3961591539544311E-2</v>
      </c>
      <c r="F12" s="323">
        <v>159.31</v>
      </c>
      <c r="G12" s="323">
        <v>163.76</v>
      </c>
      <c r="H12" s="332">
        <v>-3.3099999999999997E-2</v>
      </c>
      <c r="I12" s="332">
        <v>0.26729999999999998</v>
      </c>
      <c r="J12" s="324">
        <v>320982722.70999998</v>
      </c>
      <c r="K12" s="331">
        <f>(J12/$J$22)</f>
        <v>1.4191886307274363E-2</v>
      </c>
      <c r="L12" s="323">
        <v>161.46</v>
      </c>
      <c r="M12" s="323">
        <v>165.68</v>
      </c>
      <c r="N12" s="332">
        <v>1.349E-2</v>
      </c>
      <c r="O12" s="332">
        <v>0.28438000000000002</v>
      </c>
      <c r="P12" s="327">
        <f t="shared" si="4"/>
        <v>1.3470190623278762E-2</v>
      </c>
      <c r="Q12" s="327">
        <f t="shared" si="1"/>
        <v>1.1724474841231168E-2</v>
      </c>
      <c r="R12" s="327"/>
      <c r="S12" s="392">
        <f t="shared" si="3"/>
        <v>1.708000000000004E-2</v>
      </c>
      <c r="T12" s="287"/>
      <c r="U12" s="113"/>
      <c r="V12" s="147"/>
      <c r="W12" s="115"/>
      <c r="X12" s="115"/>
      <c r="Y12" s="116"/>
      <c r="Z12" s="117"/>
    </row>
    <row r="13" spans="1:26" s="112" customFormat="1" ht="12.95" customHeight="1">
      <c r="A13" s="398">
        <v>8</v>
      </c>
      <c r="B13" s="381" t="s">
        <v>215</v>
      </c>
      <c r="C13" s="382" t="s">
        <v>216</v>
      </c>
      <c r="D13" s="74">
        <v>36302130.390000001</v>
      </c>
      <c r="E13" s="331">
        <f t="shared" si="0"/>
        <v>1.6002814207751567E-3</v>
      </c>
      <c r="F13" s="323">
        <v>140.69999999999999</v>
      </c>
      <c r="G13" s="323">
        <v>145.85</v>
      </c>
      <c r="H13" s="332">
        <v>0.10730000000000001</v>
      </c>
      <c r="I13" s="332">
        <v>0.46450000000000002</v>
      </c>
      <c r="J13" s="74">
        <v>35868987.869999997</v>
      </c>
      <c r="K13" s="331">
        <v>0.96619999999999995</v>
      </c>
      <c r="L13" s="323">
        <v>139.03</v>
      </c>
      <c r="M13" s="323">
        <v>144.11000000000001</v>
      </c>
      <c r="N13" s="332">
        <v>-1.1900000000000001E-2</v>
      </c>
      <c r="O13" s="332">
        <v>0.43</v>
      </c>
      <c r="P13" s="327">
        <f t="shared" si="4"/>
        <v>-1.1931600579543929E-2</v>
      </c>
      <c r="Q13" s="327">
        <f t="shared" si="1"/>
        <v>-1.1930065135412964E-2</v>
      </c>
      <c r="R13" s="327">
        <f t="shared" si="2"/>
        <v>-0.1192</v>
      </c>
      <c r="S13" s="392">
        <f t="shared" si="3"/>
        <v>-3.4500000000000031E-2</v>
      </c>
      <c r="T13" s="144"/>
      <c r="U13" s="113"/>
    </row>
    <row r="14" spans="1:26" s="328" customFormat="1" ht="12.95" customHeight="1">
      <c r="A14" s="402">
        <v>9</v>
      </c>
      <c r="B14" s="381" t="s">
        <v>263</v>
      </c>
      <c r="C14" s="382" t="s">
        <v>240</v>
      </c>
      <c r="D14" s="324">
        <v>505487024.75999999</v>
      </c>
      <c r="E14" s="331">
        <f t="shared" si="0"/>
        <v>2.2283030926173137E-2</v>
      </c>
      <c r="F14" s="323">
        <v>1.63</v>
      </c>
      <c r="G14" s="323">
        <v>1.67</v>
      </c>
      <c r="H14" s="332">
        <v>-4.7000000000000002E-3</v>
      </c>
      <c r="I14" s="332">
        <v>0.31330000000000002</v>
      </c>
      <c r="J14" s="324">
        <v>518532601.69999999</v>
      </c>
      <c r="K14" s="331">
        <f t="shared" ref="K14:K21" si="9">(J14/$J$22)</f>
        <v>2.2926329703390973E-2</v>
      </c>
      <c r="L14" s="323">
        <v>1.67</v>
      </c>
      <c r="M14" s="323">
        <v>1.71</v>
      </c>
      <c r="N14" s="332">
        <v>2.3599999999999999E-2</v>
      </c>
      <c r="O14" s="332">
        <v>0.34429999999999999</v>
      </c>
      <c r="P14" s="327">
        <f t="shared" ref="P14" si="10">((J14-D14)/D14)</f>
        <v>2.5807936308936717E-2</v>
      </c>
      <c r="Q14" s="327">
        <f t="shared" ref="Q14" si="11">((M14-G14)/G14)</f>
        <v>2.3952095808383256E-2</v>
      </c>
      <c r="R14" s="327">
        <f t="shared" ref="R14" si="12">N14-H14</f>
        <v>2.8299999999999999E-2</v>
      </c>
      <c r="S14" s="392">
        <f t="shared" ref="S14" si="13">O14-I14</f>
        <v>3.0999999999999972E-2</v>
      </c>
      <c r="T14" s="144"/>
      <c r="U14" s="113"/>
    </row>
    <row r="15" spans="1:26" s="112" customFormat="1" ht="12.95" customHeight="1">
      <c r="A15" s="402">
        <v>10</v>
      </c>
      <c r="B15" s="381" t="s">
        <v>45</v>
      </c>
      <c r="C15" s="382" t="s">
        <v>132</v>
      </c>
      <c r="D15" s="324">
        <v>1312765042.4200001</v>
      </c>
      <c r="E15" s="331">
        <f t="shared" si="0"/>
        <v>5.7869703090663069E-2</v>
      </c>
      <c r="F15" s="323">
        <v>2.62</v>
      </c>
      <c r="G15" s="323">
        <v>2.68</v>
      </c>
      <c r="H15" s="332">
        <v>0.23319999999999999</v>
      </c>
      <c r="I15" s="332">
        <v>0.32590000000000002</v>
      </c>
      <c r="J15" s="324">
        <v>1300152875.5799999</v>
      </c>
      <c r="K15" s="331">
        <f t="shared" si="9"/>
        <v>5.748478184907721E-2</v>
      </c>
      <c r="L15" s="323">
        <v>2.6</v>
      </c>
      <c r="M15" s="323">
        <v>2.65</v>
      </c>
      <c r="N15" s="332">
        <v>0.2213</v>
      </c>
      <c r="O15" s="332">
        <v>0.31309999999999999</v>
      </c>
      <c r="P15" s="327">
        <f t="shared" si="4"/>
        <v>-9.607329897169118E-3</v>
      </c>
      <c r="Q15" s="327">
        <f t="shared" si="1"/>
        <v>-1.119402985074636E-2</v>
      </c>
      <c r="R15" s="327">
        <f t="shared" si="2"/>
        <v>-1.1899999999999994E-2</v>
      </c>
      <c r="S15" s="392">
        <f t="shared" si="3"/>
        <v>-1.2800000000000034E-2</v>
      </c>
      <c r="T15" s="144"/>
      <c r="U15" s="113"/>
    </row>
    <row r="16" spans="1:26" s="112" customFormat="1" ht="12.95" customHeight="1">
      <c r="A16" s="402">
        <v>11</v>
      </c>
      <c r="B16" s="381" t="s">
        <v>53</v>
      </c>
      <c r="C16" s="382" t="s">
        <v>54</v>
      </c>
      <c r="D16" s="323">
        <v>427742462.5</v>
      </c>
      <c r="E16" s="331">
        <f t="shared" si="0"/>
        <v>1.8855871770102037E-2</v>
      </c>
      <c r="F16" s="323">
        <v>16.677515</v>
      </c>
      <c r="G16" s="323">
        <v>16.766660000000002</v>
      </c>
      <c r="H16" s="332">
        <v>2.0355877301780002E-2</v>
      </c>
      <c r="I16" s="332">
        <v>0.435416595373392</v>
      </c>
      <c r="J16" s="323">
        <v>427680140.57999998</v>
      </c>
      <c r="K16" s="331">
        <f t="shared" si="9"/>
        <v>1.8909391383268314E-2</v>
      </c>
      <c r="L16" s="323">
        <v>16.393802999999998</v>
      </c>
      <c r="M16" s="323">
        <v>16.494102000000002</v>
      </c>
      <c r="N16" s="332">
        <v>3.8335458714300601E-2</v>
      </c>
      <c r="O16" s="332">
        <v>0.40649181679981899</v>
      </c>
      <c r="P16" s="327">
        <f t="shared" si="4"/>
        <v>-1.4569963345646724E-4</v>
      </c>
      <c r="Q16" s="327">
        <f t="shared" si="1"/>
        <v>-1.6255950797594752E-2</v>
      </c>
      <c r="R16" s="327">
        <f t="shared" si="2"/>
        <v>1.7979581412520599E-2</v>
      </c>
      <c r="S16" s="392">
        <f t="shared" si="3"/>
        <v>-2.8924778573573007E-2</v>
      </c>
      <c r="T16" s="144"/>
      <c r="U16" s="148"/>
      <c r="V16" s="148"/>
    </row>
    <row r="17" spans="1:25" s="112" customFormat="1" ht="12.95" customHeight="1">
      <c r="A17" s="399">
        <v>12</v>
      </c>
      <c r="B17" s="381" t="s">
        <v>125</v>
      </c>
      <c r="C17" s="382" t="s">
        <v>90</v>
      </c>
      <c r="D17" s="323">
        <v>351576771.43000001</v>
      </c>
      <c r="E17" s="331">
        <f t="shared" si="0"/>
        <v>1.5498312888285093E-2</v>
      </c>
      <c r="F17" s="323">
        <v>1.95</v>
      </c>
      <c r="G17" s="323">
        <v>1.99</v>
      </c>
      <c r="H17" s="332">
        <v>1E-3</v>
      </c>
      <c r="I17" s="332">
        <v>0.37759999999999999</v>
      </c>
      <c r="J17" s="323">
        <v>347630849.52999997</v>
      </c>
      <c r="K17" s="331">
        <f t="shared" si="9"/>
        <v>1.5370102950644764E-2</v>
      </c>
      <c r="L17" s="323">
        <v>1.9278109999999999</v>
      </c>
      <c r="M17" s="323">
        <v>1.9507490000000001</v>
      </c>
      <c r="N17" s="332">
        <v>1E-3</v>
      </c>
      <c r="O17" s="332">
        <v>0.35610000000000003</v>
      </c>
      <c r="P17" s="327">
        <f t="shared" si="4"/>
        <v>-1.122350001665477E-2</v>
      </c>
      <c r="Q17" s="327">
        <f t="shared" si="1"/>
        <v>-1.9724120603015038E-2</v>
      </c>
      <c r="R17" s="327">
        <f t="shared" si="2"/>
        <v>0</v>
      </c>
      <c r="S17" s="392">
        <f t="shared" si="3"/>
        <v>-2.1499999999999964E-2</v>
      </c>
      <c r="T17" s="144"/>
      <c r="U17" s="149"/>
      <c r="V17" s="149"/>
    </row>
    <row r="18" spans="1:25" s="112" customFormat="1" ht="12.95" customHeight="1">
      <c r="A18" s="398">
        <v>13</v>
      </c>
      <c r="B18" s="381" t="s">
        <v>10</v>
      </c>
      <c r="C18" s="382" t="s">
        <v>9</v>
      </c>
      <c r="D18" s="324">
        <v>1004741488.83</v>
      </c>
      <c r="E18" s="331">
        <f t="shared" si="0"/>
        <v>4.4291316239102374E-2</v>
      </c>
      <c r="F18" s="323">
        <v>24.23</v>
      </c>
      <c r="G18" s="323">
        <v>24.72</v>
      </c>
      <c r="H18" s="332">
        <v>-2.4E-2</v>
      </c>
      <c r="I18" s="332">
        <v>0.40720000000000001</v>
      </c>
      <c r="J18" s="324">
        <v>1012383543.1900001</v>
      </c>
      <c r="K18" s="331">
        <f t="shared" si="9"/>
        <v>4.4761387849802957E-2</v>
      </c>
      <c r="L18" s="323">
        <v>24.27</v>
      </c>
      <c r="M18" s="323">
        <v>24.27</v>
      </c>
      <c r="N18" s="332">
        <v>8.0000000000000004E-4</v>
      </c>
      <c r="O18" s="332">
        <v>0.40579999999999999</v>
      </c>
      <c r="P18" s="327">
        <f t="shared" si="4"/>
        <v>7.605990640337768E-3</v>
      </c>
      <c r="Q18" s="327">
        <f t="shared" si="1"/>
        <v>-1.8203883495145602E-2</v>
      </c>
      <c r="R18" s="327">
        <f t="shared" si="2"/>
        <v>2.4799999999999999E-2</v>
      </c>
      <c r="S18" s="392">
        <f t="shared" si="3"/>
        <v>-1.4000000000000123E-3</v>
      </c>
      <c r="T18" s="144"/>
      <c r="U18" s="150"/>
      <c r="V18" s="150"/>
    </row>
    <row r="19" spans="1:25" s="112" customFormat="1" ht="12.95" customHeight="1">
      <c r="A19" s="406">
        <v>14</v>
      </c>
      <c r="B19" s="381" t="s">
        <v>67</v>
      </c>
      <c r="C19" s="382" t="s">
        <v>5</v>
      </c>
      <c r="D19" s="324">
        <v>504670079.80000001</v>
      </c>
      <c r="E19" s="331">
        <f t="shared" si="0"/>
        <v>2.2247018112951465E-2</v>
      </c>
      <c r="F19" s="323">
        <v>4986.75</v>
      </c>
      <c r="G19" s="323">
        <v>4924.97</v>
      </c>
      <c r="H19" s="332">
        <v>-2.6499999999999999E-2</v>
      </c>
      <c r="I19" s="332">
        <v>0.52300000000000002</v>
      </c>
      <c r="J19" s="324">
        <v>501034542.52999997</v>
      </c>
      <c r="K19" s="331">
        <f t="shared" si="9"/>
        <v>2.2152672902669771E-2</v>
      </c>
      <c r="L19" s="323">
        <v>4889.7</v>
      </c>
      <c r="M19" s="323">
        <v>4950.68</v>
      </c>
      <c r="N19" s="332">
        <v>-7.1999999999999998E-3</v>
      </c>
      <c r="O19" s="332">
        <v>0.51200000000000001</v>
      </c>
      <c r="P19" s="327">
        <f t="shared" si="4"/>
        <v>-7.2037899917522319E-3</v>
      </c>
      <c r="Q19" s="327">
        <f t="shared" si="1"/>
        <v>5.2203363675311799E-3</v>
      </c>
      <c r="R19" s="327">
        <f t="shared" si="2"/>
        <v>1.9299999999999998E-2</v>
      </c>
      <c r="S19" s="392">
        <f t="shared" si="3"/>
        <v>-1.100000000000001E-2</v>
      </c>
      <c r="T19" s="144"/>
      <c r="U19" s="149"/>
      <c r="V19" s="149"/>
    </row>
    <row r="20" spans="1:25" s="112" customFormat="1" ht="12.95" customHeight="1">
      <c r="A20" s="406">
        <v>15</v>
      </c>
      <c r="B20" s="381" t="s">
        <v>223</v>
      </c>
      <c r="C20" s="382" t="s">
        <v>5</v>
      </c>
      <c r="D20" s="324">
        <v>10012748126.92</v>
      </c>
      <c r="E20" s="331">
        <f t="shared" si="0"/>
        <v>0.44138497179838176</v>
      </c>
      <c r="F20" s="323">
        <v>17075.59</v>
      </c>
      <c r="G20" s="323">
        <v>17282.53</v>
      </c>
      <c r="H20" s="332">
        <v>4.1999999999999997E-3</v>
      </c>
      <c r="I20" s="332">
        <v>0.315</v>
      </c>
      <c r="J20" s="324">
        <v>9947556245.6700001</v>
      </c>
      <c r="K20" s="331">
        <f t="shared" si="9"/>
        <v>0.43981989460944731</v>
      </c>
      <c r="L20" s="323">
        <v>16963.13</v>
      </c>
      <c r="M20" s="323">
        <v>17167.810000000001</v>
      </c>
      <c r="N20" s="332">
        <v>4.1999999999999997E-3</v>
      </c>
      <c r="O20" s="332">
        <v>0.3876</v>
      </c>
      <c r="P20" s="327">
        <f t="shared" si="4"/>
        <v>-6.5108879623893556E-3</v>
      </c>
      <c r="Q20" s="327">
        <f t="shared" si="1"/>
        <v>-6.6379170179364675E-3</v>
      </c>
      <c r="R20" s="327">
        <f t="shared" si="2"/>
        <v>0</v>
      </c>
      <c r="S20" s="392">
        <f t="shared" si="3"/>
        <v>7.2599999999999998E-2</v>
      </c>
      <c r="T20" s="144"/>
      <c r="U20" s="151"/>
      <c r="V20" s="151"/>
    </row>
    <row r="21" spans="1:25" s="328" customFormat="1" ht="12.95" customHeight="1">
      <c r="A21" s="399">
        <v>16</v>
      </c>
      <c r="B21" s="382" t="s">
        <v>75</v>
      </c>
      <c r="C21" s="382" t="s">
        <v>41</v>
      </c>
      <c r="D21" s="323">
        <v>2551560701.8800001</v>
      </c>
      <c r="E21" s="331">
        <f t="shared" si="0"/>
        <v>0.11247866561361285</v>
      </c>
      <c r="F21" s="323">
        <v>1.2666999999999999</v>
      </c>
      <c r="G21" s="308">
        <v>1.2806999999999999</v>
      </c>
      <c r="H21" s="332">
        <v>-1.7500000000000002E-2</v>
      </c>
      <c r="I21" s="332">
        <v>0.38690000000000002</v>
      </c>
      <c r="J21" s="323">
        <v>2541125245.2600002</v>
      </c>
      <c r="K21" s="331">
        <f t="shared" si="9"/>
        <v>0.11235296488483265</v>
      </c>
      <c r="L21" s="323">
        <v>1.2573000000000001</v>
      </c>
      <c r="M21" s="308">
        <v>1.2712000000000001</v>
      </c>
      <c r="N21" s="332">
        <v>7.4000000000000003E-3</v>
      </c>
      <c r="O21" s="332">
        <v>0.37709999999999999</v>
      </c>
      <c r="P21" s="327">
        <f t="shared" si="4"/>
        <v>-4.0898327883444044E-3</v>
      </c>
      <c r="Q21" s="327">
        <f t="shared" si="1"/>
        <v>-7.4178183805730007E-3</v>
      </c>
      <c r="R21" s="327">
        <f t="shared" si="2"/>
        <v>2.4900000000000002E-2</v>
      </c>
      <c r="S21" s="392">
        <f t="shared" si="3"/>
        <v>-9.8000000000000309E-3</v>
      </c>
      <c r="T21" s="307"/>
      <c r="U21" s="307"/>
      <c r="V21" s="151"/>
    </row>
    <row r="22" spans="1:25" s="112" customFormat="1" ht="12.95" customHeight="1">
      <c r="A22" s="212"/>
      <c r="C22" s="242" t="s">
        <v>42</v>
      </c>
      <c r="D22" s="70">
        <f>SUM(D6:D21)</f>
        <v>22684841502.700001</v>
      </c>
      <c r="E22" s="260">
        <f>(D22/$D$170)</f>
        <v>1.1753594366747437E-2</v>
      </c>
      <c r="F22" s="262"/>
      <c r="G22" s="71"/>
      <c r="H22" s="279"/>
      <c r="I22" s="279"/>
      <c r="J22" s="70">
        <f>SUM(J6:J21)</f>
        <v>22617340342.240005</v>
      </c>
      <c r="K22" s="260">
        <f>(J22/$J$170)</f>
        <v>1.1733507398823765E-2</v>
      </c>
      <c r="L22" s="262"/>
      <c r="M22" s="71"/>
      <c r="N22" s="279"/>
      <c r="O22" s="279"/>
      <c r="P22" s="264">
        <f t="shared" si="4"/>
        <v>-2.9756064397435233E-3</v>
      </c>
      <c r="Q22" s="264"/>
      <c r="R22" s="264">
        <f t="shared" ref="R22" si="14">N22-H22</f>
        <v>0</v>
      </c>
      <c r="S22" s="392">
        <f t="shared" ref="S22" si="15">O22-I22</f>
        <v>0</v>
      </c>
      <c r="T22" s="144"/>
      <c r="U22" s="152"/>
      <c r="X22" s="119"/>
      <c r="Y22" s="119"/>
    </row>
    <row r="23" spans="1:25" s="112" customFormat="1" ht="5.25" customHeight="1">
      <c r="A23" s="408"/>
      <c r="B23" s="409"/>
      <c r="C23" s="410"/>
      <c r="D23" s="410"/>
      <c r="E23" s="410"/>
      <c r="F23" s="410"/>
      <c r="G23" s="410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1"/>
      <c r="T23" s="144"/>
      <c r="U23" s="152"/>
      <c r="X23" s="119"/>
      <c r="Y23" s="119"/>
    </row>
    <row r="24" spans="1:25" s="112" customFormat="1" ht="12.95" customHeight="1">
      <c r="A24" s="428" t="s">
        <v>44</v>
      </c>
      <c r="B24" s="429"/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0"/>
      <c r="R24" s="430"/>
      <c r="S24" s="431"/>
      <c r="T24" s="153"/>
      <c r="V24" s="154"/>
    </row>
    <row r="25" spans="1:25" s="112" customFormat="1" ht="12.95" customHeight="1">
      <c r="A25" s="402">
        <v>17</v>
      </c>
      <c r="B25" s="381" t="s">
        <v>115</v>
      </c>
      <c r="C25" s="382" t="s">
        <v>57</v>
      </c>
      <c r="D25" s="319">
        <v>775235970.98000002</v>
      </c>
      <c r="E25" s="191">
        <v>7.9600000000000004E-2</v>
      </c>
      <c r="F25" s="308">
        <v>100</v>
      </c>
      <c r="G25" s="308">
        <v>100</v>
      </c>
      <c r="H25" s="332">
        <v>0.10639999999999999</v>
      </c>
      <c r="I25" s="332">
        <v>0.10639999999999999</v>
      </c>
      <c r="J25" s="319">
        <v>792650215.75</v>
      </c>
      <c r="K25" s="331">
        <f t="shared" ref="K25:K41" si="16">(J25/$J$54)</f>
        <v>9.3288353094948199E-4</v>
      </c>
      <c r="L25" s="308">
        <v>100</v>
      </c>
      <c r="M25" s="308">
        <v>100</v>
      </c>
      <c r="N25" s="332">
        <v>0.1048</v>
      </c>
      <c r="O25" s="332">
        <v>0.1048</v>
      </c>
      <c r="P25" s="109">
        <f t="shared" ref="P25:P53" si="17">((J25-D25)/D25)</f>
        <v>2.2463153700138669E-2</v>
      </c>
      <c r="Q25" s="109">
        <f t="shared" ref="Q25:Q53" si="18">((M25-G25)/G25)</f>
        <v>0</v>
      </c>
      <c r="R25" s="327">
        <f t="shared" ref="R25:R53" si="19">N25-H25</f>
        <v>-1.5999999999999903E-3</v>
      </c>
      <c r="S25" s="392">
        <f t="shared" ref="S25:S53" si="20">O25-I25</f>
        <v>-1.5999999999999903E-3</v>
      </c>
      <c r="T25" s="156"/>
      <c r="U25" s="120"/>
      <c r="V25" s="154"/>
      <c r="W25" s="157"/>
    </row>
    <row r="26" spans="1:25" s="112" customFormat="1" ht="12.95" customHeight="1">
      <c r="A26" s="399">
        <v>18</v>
      </c>
      <c r="B26" s="381" t="s">
        <v>37</v>
      </c>
      <c r="C26" s="382" t="s">
        <v>36</v>
      </c>
      <c r="D26" s="319">
        <v>3643032341.1500001</v>
      </c>
      <c r="E26" s="191">
        <v>8.6400000000000005E-2</v>
      </c>
      <c r="F26" s="308">
        <v>100</v>
      </c>
      <c r="G26" s="308">
        <v>100</v>
      </c>
      <c r="H26" s="332">
        <v>0.115927</v>
      </c>
      <c r="I26" s="332">
        <v>0.115927</v>
      </c>
      <c r="J26" s="319">
        <v>3683946875.2199998</v>
      </c>
      <c r="K26" s="331">
        <f t="shared" si="16"/>
        <v>4.335699783458419E-3</v>
      </c>
      <c r="L26" s="308">
        <v>100</v>
      </c>
      <c r="M26" s="308">
        <v>100</v>
      </c>
      <c r="N26" s="332">
        <v>0.116385</v>
      </c>
      <c r="O26" s="332">
        <v>0.116385</v>
      </c>
      <c r="P26" s="327">
        <f t="shared" si="17"/>
        <v>1.12309005901068E-2</v>
      </c>
      <c r="Q26" s="327">
        <f t="shared" si="18"/>
        <v>0</v>
      </c>
      <c r="R26" s="327">
        <f t="shared" si="19"/>
        <v>4.5800000000000007E-4</v>
      </c>
      <c r="S26" s="392">
        <f t="shared" si="20"/>
        <v>4.5800000000000007E-4</v>
      </c>
      <c r="T26" s="144"/>
      <c r="U26" s="113"/>
    </row>
    <row r="27" spans="1:25" s="112" customFormat="1" ht="12.95" customHeight="1">
      <c r="A27" s="400">
        <v>19</v>
      </c>
      <c r="B27" s="381" t="s">
        <v>136</v>
      </c>
      <c r="C27" s="382" t="s">
        <v>134</v>
      </c>
      <c r="D27" s="319">
        <v>334301583.01999998</v>
      </c>
      <c r="E27" s="191">
        <v>2.0000000000000001E-4</v>
      </c>
      <c r="F27" s="308">
        <v>100</v>
      </c>
      <c r="G27" s="308">
        <v>100</v>
      </c>
      <c r="H27" s="332">
        <v>9.9500000000000005E-2</v>
      </c>
      <c r="I27" s="332">
        <v>9.9500000000000005E-2</v>
      </c>
      <c r="J27" s="319">
        <v>342215172.24000001</v>
      </c>
      <c r="K27" s="331">
        <f t="shared" si="16"/>
        <v>4.0275886119789573E-4</v>
      </c>
      <c r="L27" s="308">
        <v>100</v>
      </c>
      <c r="M27" s="308">
        <v>100</v>
      </c>
      <c r="N27" s="332">
        <v>9.5200000000000007E-2</v>
      </c>
      <c r="O27" s="332">
        <v>9.5200000000000007E-2</v>
      </c>
      <c r="P27" s="327">
        <f t="shared" si="17"/>
        <v>2.3672006421598633E-2</v>
      </c>
      <c r="Q27" s="327">
        <f t="shared" si="18"/>
        <v>0</v>
      </c>
      <c r="R27" s="327">
        <f t="shared" si="19"/>
        <v>-4.2999999999999983E-3</v>
      </c>
      <c r="S27" s="392">
        <f t="shared" si="20"/>
        <v>-4.2999999999999983E-3</v>
      </c>
      <c r="T27" s="144"/>
      <c r="U27" s="120"/>
    </row>
    <row r="28" spans="1:25" s="112" customFormat="1" ht="12.95" customHeight="1">
      <c r="A28" s="400">
        <v>20</v>
      </c>
      <c r="B28" s="381" t="s">
        <v>15</v>
      </c>
      <c r="C28" s="382" t="s">
        <v>6</v>
      </c>
      <c r="D28" s="319">
        <v>78937493127.25</v>
      </c>
      <c r="E28" s="191">
        <v>6.54E-2</v>
      </c>
      <c r="F28" s="308">
        <v>1</v>
      </c>
      <c r="G28" s="308">
        <v>1</v>
      </c>
      <c r="H28" s="332">
        <v>8.6699999999999999E-2</v>
      </c>
      <c r="I28" s="332">
        <v>8.6699999999999999E-2</v>
      </c>
      <c r="J28" s="319">
        <v>78568540017.229996</v>
      </c>
      <c r="K28" s="331">
        <f t="shared" si="16"/>
        <v>9.2468652094502626E-2</v>
      </c>
      <c r="L28" s="308">
        <v>1</v>
      </c>
      <c r="M28" s="308">
        <v>1</v>
      </c>
      <c r="N28" s="332">
        <v>8.6499999999999994E-2</v>
      </c>
      <c r="O28" s="332">
        <v>8.6499999999999994E-2</v>
      </c>
      <c r="P28" s="327">
        <f t="shared" si="17"/>
        <v>-4.6739907159863685E-3</v>
      </c>
      <c r="Q28" s="327">
        <f t="shared" si="18"/>
        <v>0</v>
      </c>
      <c r="R28" s="327">
        <f t="shared" si="19"/>
        <v>-2.0000000000000573E-4</v>
      </c>
      <c r="S28" s="392">
        <f t="shared" si="20"/>
        <v>-2.0000000000000573E-4</v>
      </c>
      <c r="T28" s="153"/>
      <c r="U28" s="113"/>
    </row>
    <row r="29" spans="1:25" s="112" customFormat="1" ht="12.95" customHeight="1">
      <c r="A29" s="400">
        <v>21</v>
      </c>
      <c r="B29" s="381" t="s">
        <v>82</v>
      </c>
      <c r="C29" s="382" t="s">
        <v>80</v>
      </c>
      <c r="D29" s="319">
        <v>40720712051.089996</v>
      </c>
      <c r="E29" s="191">
        <v>6.9800000000000001E-2</v>
      </c>
      <c r="F29" s="308">
        <v>1</v>
      </c>
      <c r="G29" s="308">
        <v>1</v>
      </c>
      <c r="H29" s="332">
        <v>8.8200000000000001E-2</v>
      </c>
      <c r="I29" s="332">
        <v>8.8200000000000001E-2</v>
      </c>
      <c r="J29" s="319">
        <v>41317233755.529999</v>
      </c>
      <c r="K29" s="331">
        <f t="shared" si="16"/>
        <v>4.8626955684928107E-2</v>
      </c>
      <c r="L29" s="308">
        <v>1</v>
      </c>
      <c r="M29" s="308">
        <v>1</v>
      </c>
      <c r="N29" s="332">
        <v>8.4500000000000006E-2</v>
      </c>
      <c r="O29" s="332">
        <v>8.4500000000000006E-2</v>
      </c>
      <c r="P29" s="327">
        <f t="shared" si="17"/>
        <v>1.4649098073029275E-2</v>
      </c>
      <c r="Q29" s="327">
        <f t="shared" si="18"/>
        <v>0</v>
      </c>
      <c r="R29" s="327">
        <f t="shared" si="19"/>
        <v>-3.699999999999995E-3</v>
      </c>
      <c r="S29" s="392">
        <f t="shared" si="20"/>
        <v>-3.699999999999995E-3</v>
      </c>
      <c r="T29" s="144"/>
      <c r="U29" s="148"/>
      <c r="V29" s="436"/>
      <c r="W29" s="436"/>
    </row>
    <row r="30" spans="1:25" s="112" customFormat="1" ht="12.95" customHeight="1">
      <c r="A30" s="398">
        <v>22</v>
      </c>
      <c r="B30" s="381" t="s">
        <v>97</v>
      </c>
      <c r="C30" s="382" t="s">
        <v>9</v>
      </c>
      <c r="D30" s="319">
        <v>6708779236.3699999</v>
      </c>
      <c r="E30" s="191">
        <v>5.3699999999999998E-2</v>
      </c>
      <c r="F30" s="308">
        <v>100</v>
      </c>
      <c r="G30" s="308">
        <v>100</v>
      </c>
      <c r="H30" s="332">
        <v>9.1300000000000006E-2</v>
      </c>
      <c r="I30" s="332">
        <v>9.1300000000000006E-2</v>
      </c>
      <c r="J30" s="319">
        <v>6714028324.8000002</v>
      </c>
      <c r="K30" s="331">
        <f t="shared" si="16"/>
        <v>7.9018542177622057E-3</v>
      </c>
      <c r="L30" s="308">
        <v>100</v>
      </c>
      <c r="M30" s="308">
        <v>100</v>
      </c>
      <c r="N30" s="332">
        <v>9.1300000000000006E-2</v>
      </c>
      <c r="O30" s="332">
        <v>9.1300000000000006E-2</v>
      </c>
      <c r="P30" s="327">
        <f t="shared" si="17"/>
        <v>7.8242080191633979E-4</v>
      </c>
      <c r="Q30" s="327">
        <f t="shared" si="18"/>
        <v>0</v>
      </c>
      <c r="R30" s="327">
        <f t="shared" si="19"/>
        <v>0</v>
      </c>
      <c r="S30" s="392">
        <f t="shared" si="20"/>
        <v>0</v>
      </c>
      <c r="T30" s="144"/>
      <c r="U30" s="113"/>
      <c r="V30" s="439"/>
      <c r="W30" s="439"/>
    </row>
    <row r="31" spans="1:25" s="112" customFormat="1" ht="12.95" customHeight="1">
      <c r="A31" s="400">
        <v>23</v>
      </c>
      <c r="B31" s="381" t="s">
        <v>228</v>
      </c>
      <c r="C31" s="382" t="s">
        <v>7</v>
      </c>
      <c r="D31" s="319">
        <v>12664877324.02</v>
      </c>
      <c r="E31" s="191">
        <v>6.1269999999999998E-2</v>
      </c>
      <c r="F31" s="308">
        <v>100</v>
      </c>
      <c r="G31" s="308">
        <v>100</v>
      </c>
      <c r="H31" s="332">
        <v>0.1062</v>
      </c>
      <c r="I31" s="332">
        <v>0.1062</v>
      </c>
      <c r="J31" s="319">
        <v>12651789489.790001</v>
      </c>
      <c r="K31" s="331">
        <f t="shared" si="16"/>
        <v>1.4890106401973614E-2</v>
      </c>
      <c r="L31" s="308">
        <v>100</v>
      </c>
      <c r="M31" s="308">
        <v>100</v>
      </c>
      <c r="N31" s="332">
        <v>0.1095</v>
      </c>
      <c r="O31" s="332">
        <v>0.1095</v>
      </c>
      <c r="P31" s="327">
        <f t="shared" si="17"/>
        <v>-1.033396052338965E-3</v>
      </c>
      <c r="Q31" s="327">
        <f t="shared" si="18"/>
        <v>0</v>
      </c>
      <c r="R31" s="327">
        <f t="shared" si="19"/>
        <v>3.2999999999999974E-3</v>
      </c>
      <c r="S31" s="392">
        <f t="shared" si="20"/>
        <v>3.2999999999999974E-3</v>
      </c>
      <c r="T31" s="144"/>
      <c r="U31" s="113"/>
      <c r="V31" s="440"/>
      <c r="W31" s="440"/>
    </row>
    <row r="32" spans="1:25" s="112" customFormat="1" ht="12.95" customHeight="1">
      <c r="A32" s="399">
        <v>24</v>
      </c>
      <c r="B32" s="381" t="s">
        <v>89</v>
      </c>
      <c r="C32" s="382" t="s">
        <v>88</v>
      </c>
      <c r="D32" s="319">
        <v>6112797574.9899998</v>
      </c>
      <c r="E32" s="191">
        <v>7.0599999999999996E-2</v>
      </c>
      <c r="F32" s="308">
        <v>100</v>
      </c>
      <c r="G32" s="308">
        <v>100</v>
      </c>
      <c r="H32" s="332">
        <v>9.4799999999999995E-2</v>
      </c>
      <c r="I32" s="332">
        <v>9.4799999999999995E-2</v>
      </c>
      <c r="J32" s="319">
        <v>6480590642.1199999</v>
      </c>
      <c r="K32" s="331">
        <f t="shared" si="16"/>
        <v>7.6271174355749573E-3</v>
      </c>
      <c r="L32" s="308">
        <v>100</v>
      </c>
      <c r="M32" s="308">
        <v>100</v>
      </c>
      <c r="N32" s="332">
        <v>9.1899999999999996E-2</v>
      </c>
      <c r="O32" s="332">
        <v>9.1899999999999996E-2</v>
      </c>
      <c r="P32" s="327">
        <f t="shared" si="17"/>
        <v>6.0167715782834801E-2</v>
      </c>
      <c r="Q32" s="327">
        <f t="shared" si="18"/>
        <v>0</v>
      </c>
      <c r="R32" s="327">
        <f t="shared" si="19"/>
        <v>-2.8999999999999998E-3</v>
      </c>
      <c r="S32" s="392">
        <f t="shared" si="20"/>
        <v>-2.8999999999999998E-3</v>
      </c>
      <c r="T32" s="144"/>
      <c r="U32" s="113"/>
    </row>
    <row r="33" spans="1:23" s="112" customFormat="1" ht="12.95" customHeight="1">
      <c r="A33" s="403">
        <v>25</v>
      </c>
      <c r="B33" s="381" t="s">
        <v>178</v>
      </c>
      <c r="C33" s="382" t="s">
        <v>177</v>
      </c>
      <c r="D33" s="319">
        <v>44514190.369999997</v>
      </c>
      <c r="E33" s="191">
        <v>3.7000000000000002E-3</v>
      </c>
      <c r="F33" s="308">
        <v>100</v>
      </c>
      <c r="G33" s="308">
        <v>100</v>
      </c>
      <c r="H33" s="332">
        <v>0</v>
      </c>
      <c r="I33" s="332">
        <v>0</v>
      </c>
      <c r="J33" s="319">
        <v>44514190.369999997</v>
      </c>
      <c r="K33" s="331">
        <f t="shared" si="16"/>
        <v>5.2389508341243424E-5</v>
      </c>
      <c r="L33" s="308">
        <v>100</v>
      </c>
      <c r="M33" s="308">
        <v>100</v>
      </c>
      <c r="N33" s="332">
        <v>0</v>
      </c>
      <c r="O33" s="332">
        <v>0</v>
      </c>
      <c r="P33" s="327">
        <f t="shared" si="17"/>
        <v>0</v>
      </c>
      <c r="Q33" s="327">
        <f t="shared" si="18"/>
        <v>0</v>
      </c>
      <c r="R33" s="327">
        <f t="shared" si="19"/>
        <v>0</v>
      </c>
      <c r="S33" s="392">
        <f t="shared" si="20"/>
        <v>0</v>
      </c>
      <c r="T33" s="146"/>
      <c r="U33" s="158"/>
    </row>
    <row r="34" spans="1:23" s="112" customFormat="1" ht="12.95" customHeight="1">
      <c r="A34" s="402">
        <v>26</v>
      </c>
      <c r="B34" s="381" t="s">
        <v>108</v>
      </c>
      <c r="C34" s="382" t="s">
        <v>254</v>
      </c>
      <c r="D34" s="319">
        <v>5210909185.3500004</v>
      </c>
      <c r="E34" s="191">
        <v>6.3E-2</v>
      </c>
      <c r="F34" s="308">
        <v>1</v>
      </c>
      <c r="G34" s="308">
        <v>1</v>
      </c>
      <c r="H34" s="332">
        <v>9.9000000000000005E-2</v>
      </c>
      <c r="I34" s="332">
        <v>9.9000000000000005E-2</v>
      </c>
      <c r="J34" s="319">
        <v>5018064961.79</v>
      </c>
      <c r="K34" s="331">
        <f t="shared" si="16"/>
        <v>5.9058460681287372E-3</v>
      </c>
      <c r="L34" s="308">
        <v>1</v>
      </c>
      <c r="M34" s="308">
        <v>1</v>
      </c>
      <c r="N34" s="332">
        <v>0.10440000000000001</v>
      </c>
      <c r="O34" s="332">
        <v>0.10440000000000001</v>
      </c>
      <c r="P34" s="327">
        <f t="shared" si="17"/>
        <v>-3.7007788219024139E-2</v>
      </c>
      <c r="Q34" s="327">
        <f t="shared" si="18"/>
        <v>0</v>
      </c>
      <c r="R34" s="327">
        <f t="shared" si="19"/>
        <v>5.400000000000002E-3</v>
      </c>
      <c r="S34" s="392">
        <f t="shared" si="20"/>
        <v>5.400000000000002E-3</v>
      </c>
      <c r="T34" s="159"/>
      <c r="U34" s="113"/>
      <c r="V34" s="436"/>
      <c r="W34" s="436"/>
    </row>
    <row r="35" spans="1:23" s="112" customFormat="1" ht="12.95" customHeight="1">
      <c r="A35" s="402">
        <v>27</v>
      </c>
      <c r="B35" s="381" t="s">
        <v>100</v>
      </c>
      <c r="C35" s="382" t="s">
        <v>98</v>
      </c>
      <c r="D35" s="319">
        <v>14176719275.27</v>
      </c>
      <c r="E35" s="191">
        <v>4.5100000000000001E-2</v>
      </c>
      <c r="F35" s="69">
        <v>100</v>
      </c>
      <c r="G35" s="69">
        <v>100</v>
      </c>
      <c r="H35" s="332">
        <v>9.4299999999999995E-2</v>
      </c>
      <c r="I35" s="332">
        <v>9.4299999999999995E-2</v>
      </c>
      <c r="J35" s="319">
        <v>14227020793.049999</v>
      </c>
      <c r="K35" s="331">
        <f t="shared" si="16"/>
        <v>1.6744022935456047E-2</v>
      </c>
      <c r="L35" s="69">
        <v>100</v>
      </c>
      <c r="M35" s="69">
        <v>100</v>
      </c>
      <c r="N35" s="332">
        <v>9.5799999999999996E-2</v>
      </c>
      <c r="O35" s="332">
        <v>9.5799999999999996E-2</v>
      </c>
      <c r="P35" s="327">
        <f t="shared" si="17"/>
        <v>3.548177600423055E-3</v>
      </c>
      <c r="Q35" s="327">
        <f t="shared" si="18"/>
        <v>0</v>
      </c>
      <c r="R35" s="327">
        <f t="shared" si="19"/>
        <v>1.5000000000000013E-3</v>
      </c>
      <c r="S35" s="392">
        <f t="shared" si="20"/>
        <v>1.5000000000000013E-3</v>
      </c>
      <c r="T35" s="144"/>
      <c r="U35" s="122"/>
    </row>
    <row r="36" spans="1:23" s="112" customFormat="1" ht="12.95" customHeight="1">
      <c r="A36" s="402">
        <v>28</v>
      </c>
      <c r="B36" s="381" t="s">
        <v>99</v>
      </c>
      <c r="C36" s="382" t="s">
        <v>98</v>
      </c>
      <c r="D36" s="319">
        <v>1230331119.48</v>
      </c>
      <c r="E36" s="191">
        <v>5.2900000000000003E-2</v>
      </c>
      <c r="F36" s="69">
        <v>1000000</v>
      </c>
      <c r="G36" s="69">
        <v>1000000</v>
      </c>
      <c r="H36" s="332">
        <v>8.7999999999999995E-2</v>
      </c>
      <c r="I36" s="332">
        <v>8.7999999999999995E-2</v>
      </c>
      <c r="J36" s="319">
        <v>1232438547.01</v>
      </c>
      <c r="K36" s="331">
        <f t="shared" si="16"/>
        <v>1.450477903831868E-3</v>
      </c>
      <c r="L36" s="69">
        <v>1000000</v>
      </c>
      <c r="M36" s="69">
        <v>1000000</v>
      </c>
      <c r="N36" s="332">
        <v>9.11E-2</v>
      </c>
      <c r="O36" s="332">
        <v>9.11E-2</v>
      </c>
      <c r="P36" s="327">
        <f t="shared" si="17"/>
        <v>1.7128945993747412E-3</v>
      </c>
      <c r="Q36" s="327">
        <f t="shared" si="18"/>
        <v>0</v>
      </c>
      <c r="R36" s="327">
        <f t="shared" si="19"/>
        <v>3.1000000000000055E-3</v>
      </c>
      <c r="S36" s="392">
        <f t="shared" si="20"/>
        <v>3.1000000000000055E-3</v>
      </c>
      <c r="T36" s="144"/>
      <c r="U36" s="123"/>
    </row>
    <row r="37" spans="1:23" s="112" customFormat="1" ht="12.95" customHeight="1">
      <c r="A37" s="400">
        <v>29</v>
      </c>
      <c r="B37" s="381" t="s">
        <v>168</v>
      </c>
      <c r="C37" s="382" t="s">
        <v>167</v>
      </c>
      <c r="D37" s="319">
        <v>2612554028.3499999</v>
      </c>
      <c r="E37" s="191">
        <v>9.0300000000000005E-2</v>
      </c>
      <c r="F37" s="308">
        <v>1</v>
      </c>
      <c r="G37" s="308">
        <v>1</v>
      </c>
      <c r="H37" s="332">
        <v>0.13100000000000001</v>
      </c>
      <c r="I37" s="332">
        <v>0.13100000000000001</v>
      </c>
      <c r="J37" s="319">
        <v>2630334513.5300002</v>
      </c>
      <c r="K37" s="331">
        <f t="shared" si="16"/>
        <v>3.0956854610055084E-3</v>
      </c>
      <c r="L37" s="308">
        <v>1</v>
      </c>
      <c r="M37" s="308">
        <v>1</v>
      </c>
      <c r="N37" s="332">
        <v>0.1231</v>
      </c>
      <c r="O37" s="332">
        <v>0.1231</v>
      </c>
      <c r="P37" s="327">
        <f t="shared" si="17"/>
        <v>6.8057865931407564E-3</v>
      </c>
      <c r="Q37" s="327">
        <f t="shared" si="18"/>
        <v>0</v>
      </c>
      <c r="R37" s="327">
        <f t="shared" si="19"/>
        <v>-7.9000000000000042E-3</v>
      </c>
      <c r="S37" s="392">
        <f t="shared" si="20"/>
        <v>-7.9000000000000042E-3</v>
      </c>
      <c r="T37" s="144"/>
      <c r="U37" s="122"/>
    </row>
    <row r="38" spans="1:23" s="328" customFormat="1" ht="12.95" customHeight="1">
      <c r="A38" s="402">
        <v>30</v>
      </c>
      <c r="B38" s="381" t="s">
        <v>14</v>
      </c>
      <c r="C38" s="382" t="s">
        <v>184</v>
      </c>
      <c r="D38" s="319">
        <v>197035337241.79999</v>
      </c>
      <c r="E38" s="191">
        <v>6.2600000000000003E-2</v>
      </c>
      <c r="F38" s="308">
        <v>100</v>
      </c>
      <c r="G38" s="308">
        <v>100</v>
      </c>
      <c r="H38" s="332">
        <v>0.1023</v>
      </c>
      <c r="I38" s="332">
        <v>0.1023</v>
      </c>
      <c r="J38" s="319">
        <v>192471295990.45999</v>
      </c>
      <c r="K38" s="331">
        <f t="shared" si="16"/>
        <v>0.22652274438619957</v>
      </c>
      <c r="L38" s="308">
        <v>100</v>
      </c>
      <c r="M38" s="308">
        <v>100</v>
      </c>
      <c r="N38" s="332">
        <v>0.104</v>
      </c>
      <c r="O38" s="332">
        <v>0.104</v>
      </c>
      <c r="P38" s="327">
        <f t="shared" ref="P38" si="21">((J38-D38)/D38)</f>
        <v>-2.3163567080046389E-2</v>
      </c>
      <c r="Q38" s="327">
        <f t="shared" ref="Q38" si="22">((M38-G38)/G38)</f>
        <v>0</v>
      </c>
      <c r="R38" s="327">
        <f t="shared" ref="R38" si="23">N38-H38</f>
        <v>1.6999999999999932E-3</v>
      </c>
      <c r="S38" s="392">
        <f t="shared" ref="S38" si="24">O38-I38</f>
        <v>1.6999999999999932E-3</v>
      </c>
      <c r="T38" s="144"/>
      <c r="U38" s="122"/>
    </row>
    <row r="39" spans="1:23" s="112" customFormat="1" ht="12.95" customHeight="1">
      <c r="A39" s="402">
        <v>31</v>
      </c>
      <c r="B39" s="381" t="s">
        <v>257</v>
      </c>
      <c r="C39" s="382" t="s">
        <v>133</v>
      </c>
      <c r="D39" s="319">
        <v>282092191.77999997</v>
      </c>
      <c r="E39" s="331">
        <f>(D39/$J$54)</f>
        <v>3.3199910211593835E-4</v>
      </c>
      <c r="F39" s="308">
        <v>1</v>
      </c>
      <c r="G39" s="308">
        <v>1</v>
      </c>
      <c r="H39" s="318">
        <v>6.7900000000000002E-2</v>
      </c>
      <c r="I39" s="318">
        <v>6.7900000000000002E-2</v>
      </c>
      <c r="J39" s="319">
        <v>282469840.45999998</v>
      </c>
      <c r="K39" s="331">
        <f t="shared" si="16"/>
        <v>3.3244356327554765E-4</v>
      </c>
      <c r="L39" s="308">
        <v>1</v>
      </c>
      <c r="M39" s="308">
        <v>1</v>
      </c>
      <c r="N39" s="318">
        <v>7.3700000000000002E-2</v>
      </c>
      <c r="O39" s="318">
        <v>7.3700000000000002E-2</v>
      </c>
      <c r="P39" s="327">
        <f t="shared" si="17"/>
        <v>1.3387420531459815E-3</v>
      </c>
      <c r="Q39" s="327">
        <f t="shared" si="18"/>
        <v>0</v>
      </c>
      <c r="R39" s="327">
        <f t="shared" si="19"/>
        <v>5.7999999999999996E-3</v>
      </c>
      <c r="S39" s="392">
        <f t="shared" si="20"/>
        <v>5.7999999999999996E-3</v>
      </c>
      <c r="T39" s="144"/>
      <c r="U39" s="122"/>
      <c r="V39" s="124"/>
    </row>
    <row r="40" spans="1:23" s="112" customFormat="1" ht="12.95" customHeight="1">
      <c r="A40" s="401">
        <v>32</v>
      </c>
      <c r="B40" s="381" t="s">
        <v>122</v>
      </c>
      <c r="C40" s="382" t="s">
        <v>174</v>
      </c>
      <c r="D40" s="319">
        <v>582641695.84000003</v>
      </c>
      <c r="E40" s="191">
        <v>4.9799999999999997E-2</v>
      </c>
      <c r="F40" s="308">
        <v>10</v>
      </c>
      <c r="G40" s="308">
        <v>10</v>
      </c>
      <c r="H40" s="332">
        <v>8.3500000000000005E-2</v>
      </c>
      <c r="I40" s="332">
        <v>8.3500000000000005E-2</v>
      </c>
      <c r="J40" s="319">
        <v>580975656.15999997</v>
      </c>
      <c r="K40" s="331">
        <f t="shared" si="16"/>
        <v>6.8376013876614273E-4</v>
      </c>
      <c r="L40" s="308">
        <v>10</v>
      </c>
      <c r="M40" s="308">
        <v>10</v>
      </c>
      <c r="N40" s="332">
        <v>8.3799999999999999E-2</v>
      </c>
      <c r="O40" s="332">
        <v>8.3799999999999999E-2</v>
      </c>
      <c r="P40" s="109">
        <f t="shared" si="17"/>
        <v>-2.8594583805028263E-3</v>
      </c>
      <c r="Q40" s="327">
        <f t="shared" si="18"/>
        <v>0</v>
      </c>
      <c r="R40" s="327">
        <f t="shared" si="19"/>
        <v>2.9999999999999472E-4</v>
      </c>
      <c r="S40" s="392">
        <f t="shared" si="20"/>
        <v>2.9999999999999472E-4</v>
      </c>
      <c r="T40" s="155"/>
      <c r="U40" s="380"/>
      <c r="V40" s="184"/>
    </row>
    <row r="41" spans="1:23" s="112" customFormat="1" ht="12.95" customHeight="1">
      <c r="A41" s="400">
        <v>33</v>
      </c>
      <c r="B41" s="381" t="s">
        <v>86</v>
      </c>
      <c r="C41" s="382" t="s">
        <v>87</v>
      </c>
      <c r="D41" s="319">
        <v>3664356200.4320264</v>
      </c>
      <c r="E41" s="191">
        <v>4.2599999999999999E-2</v>
      </c>
      <c r="F41" s="308">
        <v>100</v>
      </c>
      <c r="G41" s="308">
        <v>100</v>
      </c>
      <c r="H41" s="332">
        <v>9.6799999999999997E-2</v>
      </c>
      <c r="I41" s="332">
        <v>9.6799999999999997E-2</v>
      </c>
      <c r="J41" s="319">
        <v>3676866131.9580865</v>
      </c>
      <c r="K41" s="331">
        <f t="shared" si="16"/>
        <v>4.327366336189159E-3</v>
      </c>
      <c r="L41" s="308">
        <v>100</v>
      </c>
      <c r="M41" s="308">
        <v>100</v>
      </c>
      <c r="N41" s="332">
        <v>9.2600000000000002E-2</v>
      </c>
      <c r="O41" s="332">
        <v>9.2600000000000002E-2</v>
      </c>
      <c r="P41" s="327">
        <f t="shared" si="17"/>
        <v>3.4139507301678769E-3</v>
      </c>
      <c r="Q41" s="327">
        <f t="shared" si="18"/>
        <v>0</v>
      </c>
      <c r="R41" s="327">
        <f t="shared" si="19"/>
        <v>-4.1999999999999954E-3</v>
      </c>
      <c r="S41" s="392">
        <f t="shared" si="20"/>
        <v>-4.1999999999999954E-3</v>
      </c>
      <c r="T41" s="146"/>
      <c r="U41" s="122"/>
    </row>
    <row r="42" spans="1:23" s="328" customFormat="1" ht="12.95" customHeight="1">
      <c r="A42" s="402">
        <v>34</v>
      </c>
      <c r="B42" s="381" t="s">
        <v>264</v>
      </c>
      <c r="C42" s="382" t="s">
        <v>240</v>
      </c>
      <c r="D42" s="319">
        <v>20727741540.740002</v>
      </c>
      <c r="E42" s="191">
        <v>4.7199999999999999E-2</v>
      </c>
      <c r="F42" s="308">
        <v>100</v>
      </c>
      <c r="G42" s="308">
        <v>100</v>
      </c>
      <c r="H42" s="332">
        <v>8.7900000000000006E-2</v>
      </c>
      <c r="I42" s="332">
        <v>9.3299999999999994E-2</v>
      </c>
      <c r="J42" s="319">
        <v>20819675331.599998</v>
      </c>
      <c r="K42" s="331">
        <f t="shared" ref="K42" si="25">(J42/$J$54)</f>
        <v>2.4503030278226267E-2</v>
      </c>
      <c r="L42" s="308">
        <v>100</v>
      </c>
      <c r="M42" s="308">
        <v>100</v>
      </c>
      <c r="N42" s="332">
        <v>9.5000000000000001E-2</v>
      </c>
      <c r="O42" s="332">
        <v>9.9099999999999994E-2</v>
      </c>
      <c r="P42" s="327">
        <f t="shared" ref="P42" si="26">((J42-D42)/D42)</f>
        <v>4.4353018720974784E-3</v>
      </c>
      <c r="Q42" s="327">
        <f t="shared" ref="Q42" si="27">((M42-G42)/G42)</f>
        <v>0</v>
      </c>
      <c r="R42" s="327">
        <f t="shared" ref="R42" si="28">N42-H42</f>
        <v>7.0999999999999952E-3</v>
      </c>
      <c r="S42" s="392">
        <f t="shared" ref="S42" si="29">O42-I42</f>
        <v>5.7999999999999996E-3</v>
      </c>
      <c r="T42" s="146"/>
      <c r="U42" s="122"/>
    </row>
    <row r="43" spans="1:23" s="112" customFormat="1" ht="12.95" customHeight="1">
      <c r="A43" s="402">
        <v>35</v>
      </c>
      <c r="B43" s="381" t="s">
        <v>121</v>
      </c>
      <c r="C43" s="382" t="s">
        <v>132</v>
      </c>
      <c r="D43" s="319">
        <v>3120431897.5</v>
      </c>
      <c r="E43" s="191">
        <v>4.8399999999999999E-2</v>
      </c>
      <c r="F43" s="308">
        <v>1</v>
      </c>
      <c r="G43" s="308">
        <v>1</v>
      </c>
      <c r="H43" s="332">
        <v>8.0399999999999999E-2</v>
      </c>
      <c r="I43" s="332">
        <v>8.0399999999999999E-2</v>
      </c>
      <c r="J43" s="319">
        <v>3120959746.6900001</v>
      </c>
      <c r="K43" s="331">
        <f t="shared" ref="K43:K53" si="30">(J43/$J$54)</f>
        <v>3.673110649050332E-3</v>
      </c>
      <c r="L43" s="308">
        <v>1</v>
      </c>
      <c r="M43" s="308">
        <v>1</v>
      </c>
      <c r="N43" s="332">
        <v>8.0799999999999997E-2</v>
      </c>
      <c r="O43" s="332">
        <v>8.0799999999999997E-2</v>
      </c>
      <c r="P43" s="109">
        <f t="shared" si="17"/>
        <v>1.6915901623200134E-4</v>
      </c>
      <c r="Q43" s="109">
        <f t="shared" si="18"/>
        <v>0</v>
      </c>
      <c r="R43" s="327">
        <f t="shared" si="19"/>
        <v>3.9999999999999758E-4</v>
      </c>
      <c r="S43" s="392">
        <f t="shared" si="20"/>
        <v>3.9999999999999758E-4</v>
      </c>
      <c r="T43" s="144"/>
      <c r="U43" s="160"/>
      <c r="V43" s="184"/>
    </row>
    <row r="44" spans="1:23" s="112" customFormat="1" ht="12.95" customHeight="1">
      <c r="A44" s="402">
        <v>36</v>
      </c>
      <c r="B44" s="381" t="s">
        <v>55</v>
      </c>
      <c r="C44" s="382" t="s">
        <v>54</v>
      </c>
      <c r="D44" s="314">
        <v>3256369220.0500002</v>
      </c>
      <c r="E44" s="191">
        <v>6.4500000000000002E-2</v>
      </c>
      <c r="F44" s="308">
        <v>10</v>
      </c>
      <c r="G44" s="308">
        <v>10</v>
      </c>
      <c r="H44" s="332">
        <v>9.5299999999999996E-2</v>
      </c>
      <c r="I44" s="332">
        <v>9.5299999999999996E-2</v>
      </c>
      <c r="J44" s="314">
        <v>3358708338.1300001</v>
      </c>
      <c r="K44" s="331">
        <f t="shared" si="30"/>
        <v>3.952921013135019E-3</v>
      </c>
      <c r="L44" s="308">
        <v>10</v>
      </c>
      <c r="M44" s="308">
        <v>10</v>
      </c>
      <c r="N44" s="332">
        <v>0.1125</v>
      </c>
      <c r="O44" s="332">
        <v>0.1125</v>
      </c>
      <c r="P44" s="327">
        <f t="shared" si="17"/>
        <v>3.1427369307473231E-2</v>
      </c>
      <c r="Q44" s="327">
        <f t="shared" si="18"/>
        <v>0</v>
      </c>
      <c r="R44" s="327">
        <f t="shared" si="19"/>
        <v>1.7200000000000007E-2</v>
      </c>
      <c r="S44" s="392">
        <f t="shared" si="20"/>
        <v>1.7200000000000007E-2</v>
      </c>
      <c r="T44" s="144"/>
      <c r="U44" s="160"/>
      <c r="V44" s="184"/>
    </row>
    <row r="45" spans="1:23" s="112" customFormat="1" ht="12.95" customHeight="1">
      <c r="A45" s="402">
        <v>37</v>
      </c>
      <c r="B45" s="381" t="s">
        <v>187</v>
      </c>
      <c r="C45" s="382" t="s">
        <v>171</v>
      </c>
      <c r="D45" s="319">
        <v>5124066632.3999996</v>
      </c>
      <c r="E45" s="191">
        <v>7.8700000000000006E-2</v>
      </c>
      <c r="F45" s="308">
        <v>100</v>
      </c>
      <c r="G45" s="308">
        <v>100</v>
      </c>
      <c r="H45" s="332">
        <v>0.1241</v>
      </c>
      <c r="I45" s="332">
        <v>0.1241</v>
      </c>
      <c r="J45" s="319">
        <v>5218311559.0299997</v>
      </c>
      <c r="K45" s="331">
        <f t="shared" si="30"/>
        <v>6.1415196969021989E-3</v>
      </c>
      <c r="L45" s="308">
        <v>100</v>
      </c>
      <c r="M45" s="308">
        <v>100</v>
      </c>
      <c r="N45" s="332">
        <v>0.124</v>
      </c>
      <c r="O45" s="332">
        <v>0.124</v>
      </c>
      <c r="P45" s="327">
        <f t="shared" si="17"/>
        <v>1.8392603646892443E-2</v>
      </c>
      <c r="Q45" s="327">
        <f t="shared" si="18"/>
        <v>0</v>
      </c>
      <c r="R45" s="327">
        <f t="shared" si="19"/>
        <v>-1.0000000000000286E-4</v>
      </c>
      <c r="S45" s="392">
        <f t="shared" si="20"/>
        <v>-1.0000000000000286E-4</v>
      </c>
      <c r="T45" s="144"/>
      <c r="U45" s="122"/>
    </row>
    <row r="46" spans="1:23" s="112" customFormat="1" ht="12.95" customHeight="1">
      <c r="A46" s="400">
        <v>38</v>
      </c>
      <c r="B46" s="381" t="s">
        <v>161</v>
      </c>
      <c r="C46" s="382" t="s">
        <v>159</v>
      </c>
      <c r="D46" s="319">
        <v>160860537.30000001</v>
      </c>
      <c r="E46" s="191">
        <v>2.9985000000000001E-2</v>
      </c>
      <c r="F46" s="308">
        <v>1</v>
      </c>
      <c r="G46" s="308">
        <v>1</v>
      </c>
      <c r="H46" s="332">
        <v>7.9600000000000004E-2</v>
      </c>
      <c r="I46" s="332">
        <v>7.9377000000000003E-2</v>
      </c>
      <c r="J46" s="319">
        <v>160591347.16999999</v>
      </c>
      <c r="K46" s="331">
        <f t="shared" si="30"/>
        <v>1.8900268997735863E-4</v>
      </c>
      <c r="L46" s="308">
        <v>1</v>
      </c>
      <c r="M46" s="308">
        <v>1</v>
      </c>
      <c r="N46" s="332">
        <v>7.9514000000000001E-2</v>
      </c>
      <c r="O46" s="332">
        <v>7.9514000000000001E-2</v>
      </c>
      <c r="P46" s="327">
        <f t="shared" si="17"/>
        <v>-1.6734379638307041E-3</v>
      </c>
      <c r="Q46" s="327">
        <f t="shared" si="18"/>
        <v>0</v>
      </c>
      <c r="R46" s="327">
        <f t="shared" si="19"/>
        <v>-8.6000000000002741E-5</v>
      </c>
      <c r="S46" s="392">
        <f t="shared" si="20"/>
        <v>1.3699999999999823E-4</v>
      </c>
      <c r="T46" s="144"/>
      <c r="U46" s="122"/>
    </row>
    <row r="47" spans="1:23" s="112" customFormat="1" ht="12.95" customHeight="1">
      <c r="A47" s="399">
        <v>39</v>
      </c>
      <c r="B47" s="381" t="s">
        <v>95</v>
      </c>
      <c r="C47" s="382" t="s">
        <v>90</v>
      </c>
      <c r="D47" s="314">
        <v>444577124.85000002</v>
      </c>
      <c r="E47" s="191">
        <v>6.6600000000000006E-2</v>
      </c>
      <c r="F47" s="308">
        <v>10</v>
      </c>
      <c r="G47" s="308">
        <v>10</v>
      </c>
      <c r="H47" s="332">
        <v>8.1699999999999995E-2</v>
      </c>
      <c r="I47" s="332">
        <v>8.1699999999999995E-2</v>
      </c>
      <c r="J47" s="314">
        <v>379388552.99000001</v>
      </c>
      <c r="K47" s="331">
        <f t="shared" si="30"/>
        <v>4.4650884574634755E-4</v>
      </c>
      <c r="L47" s="308">
        <v>10</v>
      </c>
      <c r="M47" s="308">
        <v>10</v>
      </c>
      <c r="N47" s="332">
        <v>3.7999999999999999E-2</v>
      </c>
      <c r="O47" s="332">
        <v>3.7999999999999999E-2</v>
      </c>
      <c r="P47" s="327">
        <f t="shared" si="17"/>
        <v>-0.14663051294417045</v>
      </c>
      <c r="Q47" s="327">
        <f t="shared" si="18"/>
        <v>0</v>
      </c>
      <c r="R47" s="327">
        <f t="shared" si="19"/>
        <v>-4.3699999999999996E-2</v>
      </c>
      <c r="S47" s="392">
        <f t="shared" si="20"/>
        <v>-4.3699999999999996E-2</v>
      </c>
      <c r="T47" s="153"/>
      <c r="U47" s="122"/>
    </row>
    <row r="48" spans="1:23" s="112" customFormat="1" ht="12.95" customHeight="1">
      <c r="A48" s="406">
        <v>40</v>
      </c>
      <c r="B48" s="381" t="s">
        <v>34</v>
      </c>
      <c r="C48" s="382" t="s">
        <v>5</v>
      </c>
      <c r="D48" s="319">
        <v>359487869924.65002</v>
      </c>
      <c r="E48" s="191">
        <v>3.6200000000000003E-2</v>
      </c>
      <c r="F48" s="308">
        <v>100</v>
      </c>
      <c r="G48" s="308">
        <v>100</v>
      </c>
      <c r="H48" s="332">
        <v>9.74E-2</v>
      </c>
      <c r="I48" s="332">
        <v>9.74E-2</v>
      </c>
      <c r="J48" s="319">
        <v>368495914199.96002</v>
      </c>
      <c r="K48" s="331">
        <f t="shared" si="30"/>
        <v>0.43368911374615504</v>
      </c>
      <c r="L48" s="308">
        <v>100</v>
      </c>
      <c r="M48" s="308">
        <v>100</v>
      </c>
      <c r="N48" s="332">
        <v>9.5500000000000002E-2</v>
      </c>
      <c r="O48" s="332">
        <v>9.5500000000000002E-2</v>
      </c>
      <c r="P48" s="327">
        <f t="shared" si="17"/>
        <v>2.5057992296647218E-2</v>
      </c>
      <c r="Q48" s="327">
        <f t="shared" si="18"/>
        <v>0</v>
      </c>
      <c r="R48" s="327">
        <f t="shared" si="19"/>
        <v>-1.8999999999999989E-3</v>
      </c>
      <c r="S48" s="392">
        <f t="shared" si="20"/>
        <v>-1.8999999999999989E-3</v>
      </c>
      <c r="T48" s="153"/>
      <c r="U48" s="122"/>
    </row>
    <row r="49" spans="1:23" s="112" customFormat="1" ht="12.95" customHeight="1">
      <c r="A49" s="400">
        <v>41</v>
      </c>
      <c r="B49" s="381" t="s">
        <v>149</v>
      </c>
      <c r="C49" s="382" t="s">
        <v>148</v>
      </c>
      <c r="D49" s="319">
        <v>2465904567.0599999</v>
      </c>
      <c r="E49" s="191">
        <v>5.3145060299999998E-2</v>
      </c>
      <c r="F49" s="308">
        <v>1</v>
      </c>
      <c r="G49" s="308">
        <v>1</v>
      </c>
      <c r="H49" s="332">
        <v>0.12968128649348257</v>
      </c>
      <c r="I49" s="332">
        <v>0.12968128649348257</v>
      </c>
      <c r="J49" s="319">
        <v>2501180309.77</v>
      </c>
      <c r="K49" s="331">
        <f t="shared" si="30"/>
        <v>2.9436816802122429E-3</v>
      </c>
      <c r="L49" s="308">
        <v>1</v>
      </c>
      <c r="M49" s="308">
        <v>1</v>
      </c>
      <c r="N49" s="332">
        <v>0.13062504020782476</v>
      </c>
      <c r="O49" s="332">
        <v>0.13062504020782476</v>
      </c>
      <c r="P49" s="327">
        <f t="shared" si="17"/>
        <v>1.4305396559631625E-2</v>
      </c>
      <c r="Q49" s="327">
        <f t="shared" si="18"/>
        <v>0</v>
      </c>
      <c r="R49" s="327">
        <f t="shared" si="19"/>
        <v>9.4375371434218813E-4</v>
      </c>
      <c r="S49" s="392">
        <f t="shared" si="20"/>
        <v>9.4375371434218813E-4</v>
      </c>
      <c r="T49" s="144"/>
      <c r="U49" s="122"/>
    </row>
    <row r="50" spans="1:23" s="112" customFormat="1" ht="12.95" customHeight="1">
      <c r="A50" s="399">
        <v>42</v>
      </c>
      <c r="B50" s="381" t="s">
        <v>76</v>
      </c>
      <c r="C50" s="382" t="s">
        <v>41</v>
      </c>
      <c r="D50" s="319">
        <v>44142719365.25</v>
      </c>
      <c r="E50" s="191">
        <v>5.2600000000000001E-2</v>
      </c>
      <c r="F50" s="308">
        <v>1</v>
      </c>
      <c r="G50" s="308">
        <v>1</v>
      </c>
      <c r="H50" s="332">
        <v>9.6299999999999997E-2</v>
      </c>
      <c r="I50" s="332">
        <v>9.6299999999999997E-2</v>
      </c>
      <c r="J50" s="319">
        <v>44998669499.120003</v>
      </c>
      <c r="K50" s="331">
        <f t="shared" si="30"/>
        <v>5.2959700074828156E-2</v>
      </c>
      <c r="L50" s="308">
        <v>1</v>
      </c>
      <c r="M50" s="308">
        <v>1</v>
      </c>
      <c r="N50" s="332">
        <v>9.5600000000000004E-2</v>
      </c>
      <c r="O50" s="332">
        <v>9.5600000000000004E-2</v>
      </c>
      <c r="P50" s="327">
        <f t="shared" si="17"/>
        <v>1.939051662829416E-2</v>
      </c>
      <c r="Q50" s="327">
        <f t="shared" si="18"/>
        <v>0</v>
      </c>
      <c r="R50" s="327">
        <f t="shared" si="19"/>
        <v>-6.999999999999923E-4</v>
      </c>
      <c r="S50" s="392">
        <f t="shared" si="20"/>
        <v>-6.999999999999923E-4</v>
      </c>
      <c r="T50" s="144"/>
      <c r="U50" s="122"/>
    </row>
    <row r="51" spans="1:23" s="112" customFormat="1" ht="12.95" customHeight="1">
      <c r="A51" s="402">
        <v>43</v>
      </c>
      <c r="B51" s="381" t="s">
        <v>158</v>
      </c>
      <c r="C51" s="382" t="s">
        <v>106</v>
      </c>
      <c r="D51" s="319">
        <v>1967988588.8</v>
      </c>
      <c r="E51" s="191">
        <v>6.4199999999999993E-2</v>
      </c>
      <c r="F51" s="308">
        <v>1</v>
      </c>
      <c r="G51" s="308">
        <v>1</v>
      </c>
      <c r="H51" s="332">
        <v>7.1400000000000005E-2</v>
      </c>
      <c r="I51" s="332">
        <v>7.1400000000000005E-2</v>
      </c>
      <c r="J51" s="319">
        <v>1979283363.6099999</v>
      </c>
      <c r="K51" s="331">
        <f t="shared" si="30"/>
        <v>2.3294522808487159E-3</v>
      </c>
      <c r="L51" s="308">
        <v>1</v>
      </c>
      <c r="M51" s="308">
        <v>1</v>
      </c>
      <c r="N51" s="332">
        <v>7.3400000000000007E-2</v>
      </c>
      <c r="O51" s="332">
        <v>7.3400000000000007E-2</v>
      </c>
      <c r="P51" s="327">
        <f t="shared" si="17"/>
        <v>5.7392481207866356E-3</v>
      </c>
      <c r="Q51" s="327">
        <f t="shared" si="18"/>
        <v>0</v>
      </c>
      <c r="R51" s="327">
        <f t="shared" si="19"/>
        <v>2.0000000000000018E-3</v>
      </c>
      <c r="S51" s="392">
        <f t="shared" si="20"/>
        <v>2.0000000000000018E-3</v>
      </c>
      <c r="T51" s="88"/>
      <c r="U51" s="122"/>
    </row>
    <row r="52" spans="1:23" s="112" customFormat="1" ht="12.95" customHeight="1">
      <c r="A52" s="400">
        <v>44</v>
      </c>
      <c r="B52" s="381" t="s">
        <v>131</v>
      </c>
      <c r="C52" s="382" t="s">
        <v>38</v>
      </c>
      <c r="D52" s="319">
        <v>1015207083.27</v>
      </c>
      <c r="E52" s="191">
        <v>2.2200000000000001E-2</v>
      </c>
      <c r="F52" s="308">
        <v>1</v>
      </c>
      <c r="G52" s="308">
        <v>1</v>
      </c>
      <c r="H52" s="332">
        <v>9.6299999999999997E-2</v>
      </c>
      <c r="I52" s="332">
        <v>9.6299999999999997E-2</v>
      </c>
      <c r="J52" s="319">
        <v>1004353231.09</v>
      </c>
      <c r="K52" s="331">
        <f t="shared" si="30"/>
        <v>1.1820404131893537E-3</v>
      </c>
      <c r="L52" s="308">
        <v>1</v>
      </c>
      <c r="M52" s="308">
        <v>1</v>
      </c>
      <c r="N52" s="332">
        <v>9.7500000000000003E-2</v>
      </c>
      <c r="O52" s="332">
        <v>9.7500000000000003E-2</v>
      </c>
      <c r="P52" s="327">
        <f t="shared" si="17"/>
        <v>-1.0691269159627509E-2</v>
      </c>
      <c r="Q52" s="327">
        <f t="shared" si="18"/>
        <v>0</v>
      </c>
      <c r="R52" s="327">
        <f t="shared" si="19"/>
        <v>1.2000000000000066E-3</v>
      </c>
      <c r="S52" s="392">
        <f t="shared" si="20"/>
        <v>1.2000000000000066E-3</v>
      </c>
      <c r="U52" s="122"/>
    </row>
    <row r="53" spans="1:23" s="112" customFormat="1" ht="12.95" customHeight="1">
      <c r="A53" s="402">
        <v>45</v>
      </c>
      <c r="B53" s="381" t="s">
        <v>112</v>
      </c>
      <c r="C53" s="382" t="s">
        <v>12</v>
      </c>
      <c r="D53" s="319">
        <v>26308915745.709999</v>
      </c>
      <c r="E53" s="191">
        <v>5.9200000000000003E-2</v>
      </c>
      <c r="F53" s="308">
        <v>1</v>
      </c>
      <c r="G53" s="308">
        <v>1</v>
      </c>
      <c r="H53" s="332">
        <v>9.7699999999999995E-2</v>
      </c>
      <c r="I53" s="332">
        <v>9.7699999999999995E-2</v>
      </c>
      <c r="J53" s="319">
        <v>26925563776.720001</v>
      </c>
      <c r="K53" s="331">
        <f t="shared" si="30"/>
        <v>3.168915432018795E-2</v>
      </c>
      <c r="L53" s="308">
        <v>1</v>
      </c>
      <c r="M53" s="308">
        <v>1</v>
      </c>
      <c r="N53" s="332">
        <v>9.8299999999999998E-2</v>
      </c>
      <c r="O53" s="332">
        <v>9.8299999999999998E-2</v>
      </c>
      <c r="P53" s="327">
        <f t="shared" si="17"/>
        <v>2.3438747418184816E-2</v>
      </c>
      <c r="Q53" s="327">
        <f t="shared" si="18"/>
        <v>0</v>
      </c>
      <c r="R53" s="327">
        <f t="shared" si="19"/>
        <v>6.0000000000000331E-4</v>
      </c>
      <c r="S53" s="392">
        <f t="shared" si="20"/>
        <v>6.0000000000000331E-4</v>
      </c>
      <c r="T53" s="161"/>
      <c r="U53" s="122"/>
    </row>
    <row r="54" spans="1:23" s="112" customFormat="1" ht="12.95" customHeight="1">
      <c r="A54" s="212"/>
      <c r="C54" s="242" t="s">
        <v>42</v>
      </c>
      <c r="D54" s="76">
        <f>SUM(D25:D53)</f>
        <v>842959336565.12207</v>
      </c>
      <c r="E54" s="260">
        <f>(D54/$D$170)</f>
        <v>0.43675870992837779</v>
      </c>
      <c r="F54" s="262"/>
      <c r="G54" s="73"/>
      <c r="H54" s="278"/>
      <c r="I54" s="278"/>
      <c r="J54" s="76">
        <f>SUM(J25:J53)</f>
        <v>849677574373.34802</v>
      </c>
      <c r="K54" s="260">
        <f>(J54/$J$170)</f>
        <v>0.44079887178002808</v>
      </c>
      <c r="L54" s="262"/>
      <c r="M54" s="73"/>
      <c r="N54" s="278"/>
      <c r="O54" s="278"/>
      <c r="P54" s="264">
        <f t="shared" ref="P54" si="31">((J54-D54)/D54)</f>
        <v>7.9698243044573486E-3</v>
      </c>
      <c r="Q54" s="264"/>
      <c r="R54" s="264">
        <f t="shared" ref="R54:S54" si="32">N54-H54</f>
        <v>0</v>
      </c>
      <c r="S54" s="392">
        <f t="shared" si="32"/>
        <v>0</v>
      </c>
    </row>
    <row r="55" spans="1:23" s="112" customFormat="1" ht="4.5" customHeight="1">
      <c r="A55" s="408">
        <v>1</v>
      </c>
      <c r="B55" s="409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  <c r="N55" s="410"/>
      <c r="O55" s="410"/>
      <c r="P55" s="410"/>
      <c r="Q55" s="410"/>
      <c r="R55" s="410"/>
      <c r="S55" s="411"/>
    </row>
    <row r="56" spans="1:23" s="112" customFormat="1" ht="12.95" customHeight="1">
      <c r="A56" s="428" t="s">
        <v>258</v>
      </c>
      <c r="B56" s="429"/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  <c r="O56" s="430"/>
      <c r="P56" s="430"/>
      <c r="Q56" s="430"/>
      <c r="R56" s="430"/>
      <c r="S56" s="431"/>
      <c r="V56" s="124"/>
      <c r="W56" s="125"/>
    </row>
    <row r="57" spans="1:23" s="112" customFormat="1" ht="12.95" customHeight="1">
      <c r="A57" s="400">
        <v>46</v>
      </c>
      <c r="B57" s="381" t="s">
        <v>137</v>
      </c>
      <c r="C57" s="382" t="s">
        <v>134</v>
      </c>
      <c r="D57" s="324">
        <v>460243201.17000002</v>
      </c>
      <c r="E57" s="331">
        <f>(D57/$D$86)</f>
        <v>1.5226606442043161E-3</v>
      </c>
      <c r="F57" s="325">
        <v>1.2744</v>
      </c>
      <c r="G57" s="325">
        <v>1.2744</v>
      </c>
      <c r="H57" s="332">
        <v>4.548E-3</v>
      </c>
      <c r="I57" s="332">
        <v>3.5099999999999999E-2</v>
      </c>
      <c r="J57" s="324">
        <v>459244336.80000001</v>
      </c>
      <c r="K57" s="331">
        <f t="shared" ref="K57:K76" si="33">(J57/$J$86)</f>
        <v>1.532763938836101E-3</v>
      </c>
      <c r="L57" s="325">
        <v>1.2742</v>
      </c>
      <c r="M57" s="325">
        <v>1.2742</v>
      </c>
      <c r="N57" s="332">
        <v>5.6080000000000001E-3</v>
      </c>
      <c r="O57" s="332">
        <v>3.49E-2</v>
      </c>
      <c r="P57" s="327">
        <f t="shared" ref="P57:P70" si="34">((J57-D57)/D57)</f>
        <v>-2.170296850579775E-3</v>
      </c>
      <c r="Q57" s="327">
        <f t="shared" ref="Q57:Q68" si="35">((M57-G57)/G57)</f>
        <v>-1.5693659761454643E-4</v>
      </c>
      <c r="R57" s="327">
        <f t="shared" ref="R57:R85" si="36">N57-H57</f>
        <v>1.0600000000000002E-3</v>
      </c>
      <c r="S57" s="392">
        <f t="shared" ref="S57:S85" si="37">O57-I57</f>
        <v>-1.9999999999999879E-4</v>
      </c>
      <c r="T57" s="144"/>
    </row>
    <row r="58" spans="1:23" s="112" customFormat="1" ht="12.95" customHeight="1">
      <c r="A58" s="400">
        <v>47</v>
      </c>
      <c r="B58" s="381" t="s">
        <v>143</v>
      </c>
      <c r="C58" s="382" t="s">
        <v>6</v>
      </c>
      <c r="D58" s="324">
        <v>861675753.65999997</v>
      </c>
      <c r="E58" s="331">
        <f>(D58/$D$86)</f>
        <v>2.850753155783277E-3</v>
      </c>
      <c r="F58" s="325">
        <v>1.1385000000000001</v>
      </c>
      <c r="G58" s="325">
        <v>1.1385000000000001</v>
      </c>
      <c r="H58" s="332">
        <v>4.1300000000000003E-2</v>
      </c>
      <c r="I58" s="332">
        <v>3.95E-2</v>
      </c>
      <c r="J58" s="324">
        <v>861863561.69000006</v>
      </c>
      <c r="K58" s="331">
        <f t="shared" si="33"/>
        <v>2.8765371321945836E-3</v>
      </c>
      <c r="L58" s="325">
        <v>1.1393</v>
      </c>
      <c r="M58" s="325">
        <v>1.1393</v>
      </c>
      <c r="N58" s="332">
        <v>3.6600000000000001E-2</v>
      </c>
      <c r="O58" s="332">
        <v>3.9399999999999998E-2</v>
      </c>
      <c r="P58" s="327">
        <f t="shared" si="34"/>
        <v>2.1795673047822104E-4</v>
      </c>
      <c r="Q58" s="327">
        <f t="shared" si="35"/>
        <v>7.026789635484513E-4</v>
      </c>
      <c r="R58" s="327">
        <f t="shared" si="36"/>
        <v>-4.7000000000000028E-3</v>
      </c>
      <c r="S58" s="392">
        <f t="shared" si="37"/>
        <v>-1.0000000000000286E-4</v>
      </c>
      <c r="T58" s="144"/>
      <c r="U58" s="126"/>
    </row>
    <row r="59" spans="1:23" s="112" customFormat="1" ht="12.95" customHeight="1">
      <c r="A59" s="406">
        <v>48</v>
      </c>
      <c r="B59" s="381" t="s">
        <v>224</v>
      </c>
      <c r="C59" s="382" t="s">
        <v>6</v>
      </c>
      <c r="D59" s="324">
        <v>935116612.34000003</v>
      </c>
      <c r="E59" s="331">
        <f>(D59/$D$86)</f>
        <v>3.0937236220592189E-3</v>
      </c>
      <c r="F59" s="325">
        <v>1.0439000000000001</v>
      </c>
      <c r="G59" s="325">
        <v>1.0439000000000001</v>
      </c>
      <c r="H59" s="332">
        <v>0.06</v>
      </c>
      <c r="I59" s="332">
        <v>1.1599999999999999E-2</v>
      </c>
      <c r="J59" s="324">
        <v>1006389302.11</v>
      </c>
      <c r="K59" s="331">
        <f t="shared" si="33"/>
        <v>3.3589031090794246E-3</v>
      </c>
      <c r="L59" s="325">
        <v>1.0452999999999999</v>
      </c>
      <c r="M59" s="325">
        <v>1.0452999999999999</v>
      </c>
      <c r="N59" s="332">
        <v>6.9900000000000004E-2</v>
      </c>
      <c r="O59" s="332">
        <v>1.32E-2</v>
      </c>
      <c r="P59" s="327">
        <f t="shared" si="34"/>
        <v>7.6217969854743495E-2</v>
      </c>
      <c r="Q59" s="327">
        <f t="shared" si="35"/>
        <v>1.3411246287957138E-3</v>
      </c>
      <c r="R59" s="327">
        <f t="shared" si="36"/>
        <v>9.900000000000006E-3</v>
      </c>
      <c r="S59" s="392">
        <f t="shared" si="37"/>
        <v>1.6000000000000007E-3</v>
      </c>
      <c r="T59" s="144"/>
      <c r="U59" s="127"/>
      <c r="V59" s="120"/>
    </row>
    <row r="60" spans="1:23" s="128" customFormat="1" ht="12.95" customHeight="1">
      <c r="A60" s="406">
        <v>49</v>
      </c>
      <c r="B60" s="381" t="s">
        <v>166</v>
      </c>
      <c r="C60" s="382" t="s">
        <v>146</v>
      </c>
      <c r="D60" s="324">
        <v>254744993.72</v>
      </c>
      <c r="E60" s="331">
        <f>(D60/$D$86)</f>
        <v>8.4279392994714695E-4</v>
      </c>
      <c r="F60" s="74">
        <v>1115.69</v>
      </c>
      <c r="G60" s="74">
        <v>1115.69</v>
      </c>
      <c r="H60" s="332">
        <v>1.8E-3</v>
      </c>
      <c r="I60" s="332">
        <v>5.1999999999999998E-2</v>
      </c>
      <c r="J60" s="324">
        <v>255214836.13999999</v>
      </c>
      <c r="K60" s="331">
        <f t="shared" si="33"/>
        <v>8.5179950223690265E-4</v>
      </c>
      <c r="L60" s="74">
        <v>1118.0899999999999</v>
      </c>
      <c r="M60" s="74">
        <v>1118.0899999999999</v>
      </c>
      <c r="N60" s="332">
        <v>1.8E-3</v>
      </c>
      <c r="O60" s="332">
        <v>5.1999999999999998E-2</v>
      </c>
      <c r="P60" s="327">
        <f t="shared" si="34"/>
        <v>1.8443637032428152E-3</v>
      </c>
      <c r="Q60" s="327">
        <f t="shared" si="35"/>
        <v>2.1511351719562454E-3</v>
      </c>
      <c r="R60" s="327">
        <f t="shared" si="36"/>
        <v>0</v>
      </c>
      <c r="S60" s="392">
        <f t="shared" si="37"/>
        <v>0</v>
      </c>
      <c r="T60" s="153"/>
      <c r="U60" s="162"/>
    </row>
    <row r="61" spans="1:23" s="112" customFormat="1" ht="12.95" customHeight="1">
      <c r="A61" s="406">
        <v>50</v>
      </c>
      <c r="B61" s="381" t="s">
        <v>175</v>
      </c>
      <c r="C61" s="382" t="s">
        <v>176</v>
      </c>
      <c r="D61" s="324">
        <v>1395601657.3800001</v>
      </c>
      <c r="E61" s="331">
        <f>(D61/$J$86)</f>
        <v>4.6579298251500176E-3</v>
      </c>
      <c r="F61" s="74">
        <v>1.0244</v>
      </c>
      <c r="G61" s="74">
        <v>1.0244</v>
      </c>
      <c r="H61" s="332">
        <v>1.4E-3</v>
      </c>
      <c r="I61" s="332">
        <v>5.7700000000000001E-2</v>
      </c>
      <c r="J61" s="324">
        <v>1424626858.46</v>
      </c>
      <c r="K61" s="331">
        <f t="shared" si="33"/>
        <v>4.7548037068028369E-3</v>
      </c>
      <c r="L61" s="74">
        <v>1.0258</v>
      </c>
      <c r="M61" s="74">
        <v>1.0258</v>
      </c>
      <c r="N61" s="332">
        <v>1.5E-3</v>
      </c>
      <c r="O61" s="332">
        <v>5.9200000000000003E-2</v>
      </c>
      <c r="P61" s="327">
        <f t="shared" si="34"/>
        <v>2.079762583149242E-2</v>
      </c>
      <c r="Q61" s="327">
        <f t="shared" si="35"/>
        <v>1.3666536509176765E-3</v>
      </c>
      <c r="R61" s="327">
        <f t="shared" si="36"/>
        <v>1.0000000000000005E-4</v>
      </c>
      <c r="S61" s="392">
        <f t="shared" si="37"/>
        <v>1.5000000000000013E-3</v>
      </c>
      <c r="T61" s="144"/>
      <c r="U61" s="131"/>
      <c r="V61" s="131"/>
    </row>
    <row r="62" spans="1:23" s="112" customFormat="1" ht="12.95" customHeight="1">
      <c r="A62" s="406">
        <v>51</v>
      </c>
      <c r="B62" s="381" t="s">
        <v>105</v>
      </c>
      <c r="C62" s="382" t="s">
        <v>102</v>
      </c>
      <c r="D62" s="324">
        <v>441185862.17000002</v>
      </c>
      <c r="E62" s="331">
        <f t="shared" ref="E62:E85" si="38">(D62/$D$86)</f>
        <v>1.4596116735627234E-3</v>
      </c>
      <c r="F62" s="74">
        <v>2.2905000000000002</v>
      </c>
      <c r="G62" s="74">
        <v>2.2905000000000002</v>
      </c>
      <c r="H62" s="332">
        <v>0.96217366448580532</v>
      </c>
      <c r="I62" s="332">
        <v>0.17100000000000001</v>
      </c>
      <c r="J62" s="324">
        <v>434950434.17000002</v>
      </c>
      <c r="K62" s="331">
        <f t="shared" si="33"/>
        <v>1.4516811362819651E-3</v>
      </c>
      <c r="L62" s="74">
        <v>2.2578999999999998</v>
      </c>
      <c r="M62" s="74">
        <v>2.2578999999999998</v>
      </c>
      <c r="N62" s="332">
        <v>-0.74213365765429551</v>
      </c>
      <c r="O62" s="332">
        <v>0.14498510427010919</v>
      </c>
      <c r="P62" s="109">
        <f t="shared" si="34"/>
        <v>-1.4133335935405229E-2</v>
      </c>
      <c r="Q62" s="109">
        <f t="shared" si="35"/>
        <v>-1.423270028378101E-2</v>
      </c>
      <c r="R62" s="327">
        <f t="shared" si="36"/>
        <v>-1.7043073221401008</v>
      </c>
      <c r="S62" s="392">
        <f t="shared" si="37"/>
        <v>-2.6014895729890825E-2</v>
      </c>
      <c r="T62" s="144"/>
      <c r="U62" s="131"/>
      <c r="V62" s="131"/>
    </row>
    <row r="63" spans="1:23" s="112" customFormat="1" ht="12" customHeight="1">
      <c r="A63" s="406">
        <v>52</v>
      </c>
      <c r="B63" s="381" t="s">
        <v>18</v>
      </c>
      <c r="C63" s="382" t="s">
        <v>7</v>
      </c>
      <c r="D63" s="324">
        <v>2348226752.8206201</v>
      </c>
      <c r="E63" s="331">
        <f t="shared" si="38"/>
        <v>7.7688327629786176E-3</v>
      </c>
      <c r="F63" s="324">
        <v>3912.2057688055502</v>
      </c>
      <c r="G63" s="324">
        <v>3912.2057688055502</v>
      </c>
      <c r="H63" s="332">
        <v>6.6097379954796365E-2</v>
      </c>
      <c r="I63" s="332">
        <v>7.6259686492900186E-2</v>
      </c>
      <c r="J63" s="324">
        <v>2349934232.31951</v>
      </c>
      <c r="K63" s="331">
        <f t="shared" si="33"/>
        <v>7.8430895305834965E-3</v>
      </c>
      <c r="L63" s="324">
        <v>3917.1594085253</v>
      </c>
      <c r="M63" s="324">
        <v>3917.1594085253</v>
      </c>
      <c r="N63" s="332">
        <v>6.6023349360522163E-2</v>
      </c>
      <c r="O63" s="332">
        <v>7.6083302145611639E-2</v>
      </c>
      <c r="P63" s="327">
        <f t="shared" si="34"/>
        <v>7.2713569796398474E-4</v>
      </c>
      <c r="Q63" s="327">
        <f t="shared" si="35"/>
        <v>1.2662012206127538E-3</v>
      </c>
      <c r="R63" s="327">
        <f t="shared" si="36"/>
        <v>-7.4030594274202E-5</v>
      </c>
      <c r="S63" s="392">
        <f t="shared" si="37"/>
        <v>-1.7638434728854679E-4</v>
      </c>
      <c r="T63" s="144"/>
      <c r="U63" s="164"/>
      <c r="V63" s="131"/>
    </row>
    <row r="64" spans="1:23" s="112" customFormat="1" ht="12.75" customHeight="1">
      <c r="A64" s="406">
        <v>53</v>
      </c>
      <c r="B64" s="381" t="s">
        <v>220</v>
      </c>
      <c r="C64" s="382" t="s">
        <v>88</v>
      </c>
      <c r="D64" s="324">
        <v>336186984.89999998</v>
      </c>
      <c r="E64" s="331">
        <f t="shared" si="38"/>
        <v>1.1122352045606007E-3</v>
      </c>
      <c r="F64" s="325">
        <v>109.51</v>
      </c>
      <c r="G64" s="325">
        <v>109.51</v>
      </c>
      <c r="H64" s="332">
        <v>2.7000000000000001E-3</v>
      </c>
      <c r="I64" s="332">
        <v>0.1205</v>
      </c>
      <c r="J64" s="324">
        <v>336593170</v>
      </c>
      <c r="K64" s="331">
        <f t="shared" si="33"/>
        <v>1.1234060644697956E-3</v>
      </c>
      <c r="L64" s="325">
        <v>108.48</v>
      </c>
      <c r="M64" s="325">
        <v>108.48</v>
      </c>
      <c r="N64" s="332">
        <v>2E-3</v>
      </c>
      <c r="O64" s="332">
        <v>9.9400000000000002E-2</v>
      </c>
      <c r="P64" s="327">
        <f t="shared" si="34"/>
        <v>1.2082118530580388E-3</v>
      </c>
      <c r="Q64" s="327">
        <f t="shared" si="35"/>
        <v>-9.405533741210859E-3</v>
      </c>
      <c r="R64" s="327">
        <f t="shared" si="36"/>
        <v>-7.000000000000001E-4</v>
      </c>
      <c r="S64" s="392">
        <f t="shared" si="37"/>
        <v>-2.1099999999999994E-2</v>
      </c>
      <c r="T64" s="146"/>
      <c r="U64" s="182"/>
      <c r="V64" s="165"/>
    </row>
    <row r="65" spans="1:23" s="112" customFormat="1" ht="12" customHeight="1">
      <c r="A65" s="406">
        <v>54</v>
      </c>
      <c r="B65" s="381" t="s">
        <v>110</v>
      </c>
      <c r="C65" s="382" t="s">
        <v>107</v>
      </c>
      <c r="D65" s="324">
        <v>348015758.39999998</v>
      </c>
      <c r="E65" s="331">
        <f t="shared" si="38"/>
        <v>1.151369314161503E-3</v>
      </c>
      <c r="F65" s="325">
        <v>1.3849</v>
      </c>
      <c r="G65" s="325">
        <v>1.3849</v>
      </c>
      <c r="H65" s="332">
        <v>-2.3E-3</v>
      </c>
      <c r="I65" s="332">
        <v>2.6800000000000001E-2</v>
      </c>
      <c r="J65" s="324">
        <v>346516104.82999998</v>
      </c>
      <c r="K65" s="331">
        <f t="shared" si="33"/>
        <v>1.1565246365589457E-3</v>
      </c>
      <c r="L65" s="325">
        <v>1.3849</v>
      </c>
      <c r="M65" s="325">
        <v>1.3849</v>
      </c>
      <c r="N65" s="332">
        <v>-4.3E-3</v>
      </c>
      <c r="O65" s="332">
        <v>2.2599999999999999E-2</v>
      </c>
      <c r="P65" s="327">
        <f t="shared" si="34"/>
        <v>-4.3091542086905483E-3</v>
      </c>
      <c r="Q65" s="327">
        <f t="shared" si="35"/>
        <v>0</v>
      </c>
      <c r="R65" s="327">
        <f t="shared" si="36"/>
        <v>-2E-3</v>
      </c>
      <c r="S65" s="392">
        <f t="shared" si="37"/>
        <v>-4.2000000000000023E-3</v>
      </c>
      <c r="T65" s="153"/>
      <c r="U65" s="184"/>
      <c r="V65" s="166"/>
      <c r="W65" s="182"/>
    </row>
    <row r="66" spans="1:23" s="328" customFormat="1" ht="12" customHeight="1">
      <c r="A66" s="406">
        <v>55</v>
      </c>
      <c r="B66" s="381" t="s">
        <v>282</v>
      </c>
      <c r="C66" s="382" t="s">
        <v>242</v>
      </c>
      <c r="D66" s="324">
        <v>71914070.189999998</v>
      </c>
      <c r="E66" s="331">
        <f t="shared" si="38"/>
        <v>2.3791926565019161E-4</v>
      </c>
      <c r="F66" s="74">
        <v>108.67319999999999</v>
      </c>
      <c r="G66" s="74">
        <v>108.67319999999999</v>
      </c>
      <c r="H66" s="332">
        <v>4.9856999999999999E-2</v>
      </c>
      <c r="I66" s="332">
        <v>6.6416000000000003E-2</v>
      </c>
      <c r="J66" s="324">
        <v>72028275.75</v>
      </c>
      <c r="K66" s="331">
        <f t="shared" si="33"/>
        <v>2.4040001106039293E-4</v>
      </c>
      <c r="L66" s="74">
        <v>108.90130000000001</v>
      </c>
      <c r="M66" s="74">
        <v>108.90130000000001</v>
      </c>
      <c r="N66" s="332">
        <v>5.0842999999999999E-2</v>
      </c>
      <c r="O66" s="332">
        <v>6.8316000000000002E-2</v>
      </c>
      <c r="P66" s="327">
        <f t="shared" si="34"/>
        <v>1.5880836628808033E-3</v>
      </c>
      <c r="Q66" s="327">
        <f t="shared" si="35"/>
        <v>2.0989535598474321E-3</v>
      </c>
      <c r="R66" s="327">
        <f t="shared" ref="R66" si="39">N66-H66</f>
        <v>9.8600000000000076E-4</v>
      </c>
      <c r="S66" s="392">
        <f t="shared" ref="S66" si="40">O66-I66</f>
        <v>1.8999999999999989E-3</v>
      </c>
      <c r="T66" s="153"/>
      <c r="U66" s="396"/>
      <c r="V66" s="166"/>
      <c r="W66" s="380"/>
    </row>
    <row r="67" spans="1:23" s="112" customFormat="1" ht="12.95" customHeight="1">
      <c r="A67" s="406">
        <v>56</v>
      </c>
      <c r="B67" s="381" t="s">
        <v>236</v>
      </c>
      <c r="C67" s="382" t="s">
        <v>235</v>
      </c>
      <c r="D67" s="324">
        <v>846444700.48000002</v>
      </c>
      <c r="E67" s="331">
        <f t="shared" si="38"/>
        <v>2.8003630029510081E-3</v>
      </c>
      <c r="F67" s="74">
        <v>1000</v>
      </c>
      <c r="G67" s="74">
        <v>1000</v>
      </c>
      <c r="H67" s="332">
        <v>1.9591030737129401E-5</v>
      </c>
      <c r="I67" s="332">
        <v>0.15859999999999999</v>
      </c>
      <c r="J67" s="324">
        <v>847333711.23000002</v>
      </c>
      <c r="K67" s="331">
        <f t="shared" si="33"/>
        <v>2.8280426184092823E-3</v>
      </c>
      <c r="L67" s="74">
        <v>1000</v>
      </c>
      <c r="M67" s="74">
        <v>1000</v>
      </c>
      <c r="N67" s="332">
        <v>1.05028804539242E-5</v>
      </c>
      <c r="O67" s="332">
        <v>0.15809999999999999</v>
      </c>
      <c r="P67" s="327">
        <f t="shared" si="34"/>
        <v>1.0502880453925245E-3</v>
      </c>
      <c r="Q67" s="327">
        <f t="shared" si="35"/>
        <v>0</v>
      </c>
      <c r="R67" s="327">
        <f t="shared" si="36"/>
        <v>-9.0881502832052003E-6</v>
      </c>
      <c r="S67" s="392">
        <f t="shared" si="37"/>
        <v>-5.0000000000000044E-4</v>
      </c>
      <c r="T67" s="144"/>
      <c r="U67" s="131"/>
      <c r="V67" s="166"/>
      <c r="W67" s="182"/>
    </row>
    <row r="68" spans="1:23" s="112" customFormat="1" ht="12.95" customHeight="1">
      <c r="A68" s="406">
        <v>57</v>
      </c>
      <c r="B68" s="381" t="s">
        <v>101</v>
      </c>
      <c r="C68" s="382" t="s">
        <v>98</v>
      </c>
      <c r="D68" s="324">
        <v>238202618.88999999</v>
      </c>
      <c r="E68" s="331">
        <f t="shared" si="38"/>
        <v>7.8806542325484882E-4</v>
      </c>
      <c r="F68" s="74">
        <v>1098.1500000000001</v>
      </c>
      <c r="G68" s="74">
        <v>1105.19</v>
      </c>
      <c r="H68" s="332">
        <v>-4.0000000000000001E-3</v>
      </c>
      <c r="I68" s="332">
        <v>5.6300000000000003E-2</v>
      </c>
      <c r="J68" s="324">
        <v>238658192.91</v>
      </c>
      <c r="K68" s="331">
        <f t="shared" si="33"/>
        <v>7.9654040885766158E-4</v>
      </c>
      <c r="L68" s="74">
        <v>1100.25</v>
      </c>
      <c r="M68" s="74">
        <v>1107.9100000000001</v>
      </c>
      <c r="N68" s="332">
        <v>2.2000000000000001E-3</v>
      </c>
      <c r="O68" s="332">
        <v>5.8500000000000003E-2</v>
      </c>
      <c r="P68" s="327">
        <f t="shared" si="34"/>
        <v>1.9125483259711392E-3</v>
      </c>
      <c r="Q68" s="327">
        <f t="shared" si="35"/>
        <v>2.4611152833449697E-3</v>
      </c>
      <c r="R68" s="327">
        <f t="shared" si="36"/>
        <v>6.2000000000000006E-3</v>
      </c>
      <c r="S68" s="392">
        <f t="shared" si="37"/>
        <v>2.2000000000000006E-3</v>
      </c>
      <c r="T68" s="144"/>
      <c r="U68" s="167"/>
      <c r="V68" s="163"/>
    </row>
    <row r="69" spans="1:23" s="112" customFormat="1" ht="12.95" customHeight="1">
      <c r="A69" s="406">
        <v>58</v>
      </c>
      <c r="B69" s="381" t="s">
        <v>169</v>
      </c>
      <c r="C69" s="382" t="s">
        <v>167</v>
      </c>
      <c r="D69" s="324">
        <v>734101319.90999997</v>
      </c>
      <c r="E69" s="331">
        <f t="shared" si="38"/>
        <v>2.4286881062964847E-3</v>
      </c>
      <c r="F69" s="309">
        <v>1.0808</v>
      </c>
      <c r="G69" s="309">
        <v>1.0808</v>
      </c>
      <c r="H69" s="332">
        <v>3.6425328077435627E-2</v>
      </c>
      <c r="I69" s="332">
        <v>0.10403391245937954</v>
      </c>
      <c r="J69" s="324">
        <v>735367361.01999998</v>
      </c>
      <c r="K69" s="331">
        <f t="shared" si="33"/>
        <v>2.4543461561713138E-3</v>
      </c>
      <c r="L69" s="309">
        <v>1.0828</v>
      </c>
      <c r="M69" s="309">
        <v>1.0828</v>
      </c>
      <c r="N69" s="332">
        <v>9.0999999999999998E-2</v>
      </c>
      <c r="O69" s="332">
        <v>0.10390000000000001</v>
      </c>
      <c r="P69" s="327">
        <f t="shared" si="34"/>
        <v>1.7246135862488705E-3</v>
      </c>
      <c r="Q69" s="327">
        <f>(M69-G69)/G69</f>
        <v>1.8504811250925257E-3</v>
      </c>
      <c r="R69" s="327">
        <f t="shared" si="36"/>
        <v>5.457467192256437E-2</v>
      </c>
      <c r="S69" s="392">
        <f t="shared" si="37"/>
        <v>-1.3391245937953433E-4</v>
      </c>
      <c r="T69" s="88"/>
      <c r="U69" s="166"/>
      <c r="V69" s="184"/>
    </row>
    <row r="70" spans="1:23" s="112" customFormat="1" ht="12" customHeight="1">
      <c r="A70" s="406">
        <v>59</v>
      </c>
      <c r="B70" s="381" t="s">
        <v>246</v>
      </c>
      <c r="C70" s="382" t="s">
        <v>184</v>
      </c>
      <c r="D70" s="324">
        <v>68823037503.279999</v>
      </c>
      <c r="E70" s="331">
        <f t="shared" si="38"/>
        <v>0.22769294658659026</v>
      </c>
      <c r="F70" s="309">
        <v>1594.58</v>
      </c>
      <c r="G70" s="324">
        <v>1594.587</v>
      </c>
      <c r="H70" s="332">
        <v>2.2000000000000001E-3</v>
      </c>
      <c r="I70" s="332">
        <v>0.1171</v>
      </c>
      <c r="J70" s="324">
        <v>67861706466.300003</v>
      </c>
      <c r="K70" s="331">
        <f t="shared" si="33"/>
        <v>0.2264937597798273</v>
      </c>
      <c r="L70" s="309">
        <v>1598.07</v>
      </c>
      <c r="M70" s="324">
        <v>1598.07</v>
      </c>
      <c r="N70" s="332">
        <v>2.2000000000000001E-3</v>
      </c>
      <c r="O70" s="332">
        <v>0.11749999999999999</v>
      </c>
      <c r="P70" s="327">
        <f t="shared" si="34"/>
        <v>-1.396815763811907E-2</v>
      </c>
      <c r="Q70" s="327">
        <f t="shared" ref="Q70:Q85" si="41">((M70-G70)/G70)</f>
        <v>2.1842646403112198E-3</v>
      </c>
      <c r="R70" s="327">
        <f t="shared" si="36"/>
        <v>0</v>
      </c>
      <c r="S70" s="392">
        <f t="shared" si="37"/>
        <v>3.9999999999999758E-4</v>
      </c>
      <c r="U70" s="166"/>
      <c r="V70" s="184"/>
    </row>
    <row r="71" spans="1:23" s="112" customFormat="1" ht="12.95" customHeight="1">
      <c r="A71" s="406">
        <v>60</v>
      </c>
      <c r="B71" s="381" t="s">
        <v>173</v>
      </c>
      <c r="C71" s="382" t="s">
        <v>174</v>
      </c>
      <c r="D71" s="324">
        <v>24417764.789999999</v>
      </c>
      <c r="E71" s="331">
        <f t="shared" si="38"/>
        <v>8.0783310585912826E-5</v>
      </c>
      <c r="F71" s="324">
        <v>0.74370000000000003</v>
      </c>
      <c r="G71" s="324">
        <v>0.74370000000000003</v>
      </c>
      <c r="H71" s="332">
        <v>2.3999999999999998E-3</v>
      </c>
      <c r="I71" s="332">
        <v>8.8400000000000006E-2</v>
      </c>
      <c r="J71" s="324">
        <v>24476051.5</v>
      </c>
      <c r="K71" s="331">
        <f t="shared" si="33"/>
        <v>8.1690738672371275E-5</v>
      </c>
      <c r="L71" s="324">
        <v>0.74550000000000005</v>
      </c>
      <c r="M71" s="324">
        <v>0.74550000000000005</v>
      </c>
      <c r="N71" s="332">
        <v>2.3999999999999998E-3</v>
      </c>
      <c r="O71" s="332">
        <v>9.0999999999999998E-2</v>
      </c>
      <c r="P71" s="109">
        <f t="shared" ref="P71:P85" si="42">((J71-D71)/D71)</f>
        <v>2.3870616537297268E-3</v>
      </c>
      <c r="Q71" s="109">
        <f t="shared" si="41"/>
        <v>2.4203307785397657E-3</v>
      </c>
      <c r="R71" s="327">
        <f t="shared" si="36"/>
        <v>0</v>
      </c>
      <c r="S71" s="392">
        <f t="shared" si="37"/>
        <v>2.5999999999999912E-3</v>
      </c>
      <c r="U71" s="435"/>
      <c r="V71" s="435"/>
    </row>
    <row r="72" spans="1:23" s="128" customFormat="1" ht="12.95" customHeight="1">
      <c r="A72" s="406">
        <v>61</v>
      </c>
      <c r="B72" s="381" t="s">
        <v>104</v>
      </c>
      <c r="C72" s="382" t="s">
        <v>103</v>
      </c>
      <c r="D72" s="324">
        <v>1077476702.75</v>
      </c>
      <c r="E72" s="331">
        <f t="shared" si="38"/>
        <v>3.5647052822372002E-3</v>
      </c>
      <c r="F72" s="324">
        <v>207.57930400000001</v>
      </c>
      <c r="G72" s="324">
        <v>209.32974899999999</v>
      </c>
      <c r="H72" s="332">
        <v>1.6999999999999999E-3</v>
      </c>
      <c r="I72" s="332">
        <v>4.9500000000000002E-2</v>
      </c>
      <c r="J72" s="324">
        <v>1078924488.9400001</v>
      </c>
      <c r="K72" s="331">
        <f t="shared" si="33"/>
        <v>3.6009949755670058E-3</v>
      </c>
      <c r="L72" s="324">
        <v>208.07453899999999</v>
      </c>
      <c r="M72" s="324">
        <v>209.91264899999999</v>
      </c>
      <c r="N72" s="332">
        <v>1.6000000000000001E-3</v>
      </c>
      <c r="O72" s="332">
        <v>5.2499999999999998E-2</v>
      </c>
      <c r="P72" s="327">
        <f t="shared" si="42"/>
        <v>1.3436821290937718E-3</v>
      </c>
      <c r="Q72" s="327">
        <f t="shared" si="41"/>
        <v>2.7846018197824098E-3</v>
      </c>
      <c r="R72" s="327">
        <f t="shared" si="36"/>
        <v>-9.9999999999999829E-5</v>
      </c>
      <c r="S72" s="392">
        <f t="shared" si="37"/>
        <v>2.9999999999999957E-3</v>
      </c>
      <c r="T72" s="168"/>
      <c r="U72" s="169"/>
      <c r="V72" s="450"/>
      <c r="W72" s="129"/>
    </row>
    <row r="73" spans="1:23" s="112" customFormat="1" ht="12.95" customHeight="1">
      <c r="A73" s="406">
        <v>62</v>
      </c>
      <c r="B73" s="381" t="s">
        <v>111</v>
      </c>
      <c r="C73" s="382" t="s">
        <v>132</v>
      </c>
      <c r="D73" s="324">
        <v>1241376514.55</v>
      </c>
      <c r="E73" s="331">
        <f t="shared" si="38"/>
        <v>4.1069485840088057E-3</v>
      </c>
      <c r="F73" s="325">
        <v>3.53</v>
      </c>
      <c r="G73" s="325">
        <v>3.53</v>
      </c>
      <c r="H73" s="318">
        <v>-1.4E-3</v>
      </c>
      <c r="I73" s="318">
        <v>-1.6400000000000001E-2</v>
      </c>
      <c r="J73" s="324">
        <v>1241735100.0599999</v>
      </c>
      <c r="K73" s="331">
        <f t="shared" si="33"/>
        <v>4.144388140354757E-3</v>
      </c>
      <c r="L73" s="325">
        <v>3.54</v>
      </c>
      <c r="M73" s="325">
        <v>3.54</v>
      </c>
      <c r="N73" s="318">
        <v>-1E-4</v>
      </c>
      <c r="O73" s="318">
        <v>-1.4200000000000001E-2</v>
      </c>
      <c r="P73" s="327">
        <f t="shared" si="42"/>
        <v>2.8886120028618234E-4</v>
      </c>
      <c r="Q73" s="327">
        <f t="shared" si="41"/>
        <v>2.8328611898017653E-3</v>
      </c>
      <c r="R73" s="327">
        <f t="shared" si="36"/>
        <v>1.2999999999999999E-3</v>
      </c>
      <c r="S73" s="392">
        <f t="shared" si="37"/>
        <v>2.2000000000000006E-3</v>
      </c>
      <c r="U73" s="170"/>
      <c r="V73" s="450"/>
    </row>
    <row r="74" spans="1:23" s="112" customFormat="1" ht="12.95" customHeight="1">
      <c r="A74" s="406">
        <v>63</v>
      </c>
      <c r="B74" s="382" t="s">
        <v>230</v>
      </c>
      <c r="C74" s="395" t="s">
        <v>9</v>
      </c>
      <c r="D74" s="324">
        <v>1843111545</v>
      </c>
      <c r="E74" s="331">
        <f t="shared" si="38"/>
        <v>6.0977183482901686E-3</v>
      </c>
      <c r="F74" s="325">
        <v>99.57</v>
      </c>
      <c r="G74" s="325">
        <v>99.57</v>
      </c>
      <c r="H74" s="332">
        <v>1.8E-3</v>
      </c>
      <c r="I74" s="332">
        <v>9.1600000000000001E-2</v>
      </c>
      <c r="J74" s="324">
        <v>1902752887</v>
      </c>
      <c r="K74" s="331">
        <f t="shared" si="33"/>
        <v>6.3505867705016469E-3</v>
      </c>
      <c r="L74" s="325">
        <v>99.75</v>
      </c>
      <c r="M74" s="325">
        <v>99.75</v>
      </c>
      <c r="N74" s="332">
        <v>1.8E-3</v>
      </c>
      <c r="O74" s="332">
        <v>9.7900000000000001E-2</v>
      </c>
      <c r="P74" s="327">
        <f t="shared" si="42"/>
        <v>3.235905182287814E-2</v>
      </c>
      <c r="Q74" s="327">
        <f t="shared" si="41"/>
        <v>1.8077734257307104E-3</v>
      </c>
      <c r="R74" s="327">
        <f t="shared" si="36"/>
        <v>0</v>
      </c>
      <c r="S74" s="392">
        <f t="shared" si="37"/>
        <v>6.3E-3</v>
      </c>
      <c r="T74" s="123"/>
      <c r="U74" s="130"/>
      <c r="V74" s="450"/>
    </row>
    <row r="75" spans="1:23" s="112" customFormat="1" ht="12.95" customHeight="1">
      <c r="A75" s="406">
        <v>64</v>
      </c>
      <c r="B75" s="381" t="s">
        <v>17</v>
      </c>
      <c r="C75" s="382" t="s">
        <v>57</v>
      </c>
      <c r="D75" s="324">
        <v>1619868695.73</v>
      </c>
      <c r="E75" s="331">
        <f t="shared" si="38"/>
        <v>5.359145568031091E-3</v>
      </c>
      <c r="F75" s="325">
        <v>336.42939999999999</v>
      </c>
      <c r="G75" s="325">
        <v>336.42939999999999</v>
      </c>
      <c r="H75" s="332">
        <v>2E-3</v>
      </c>
      <c r="I75" s="332">
        <v>0.12239999999999999</v>
      </c>
      <c r="J75" s="324">
        <v>1630476177.47</v>
      </c>
      <c r="K75" s="331">
        <f t="shared" si="33"/>
        <v>5.441841929660453E-3</v>
      </c>
      <c r="L75" s="325">
        <v>337.14120000000003</v>
      </c>
      <c r="M75" s="325">
        <v>337.14120000000003</v>
      </c>
      <c r="N75" s="332">
        <v>2.0999999999999999E-3</v>
      </c>
      <c r="O75" s="332">
        <v>0.1246</v>
      </c>
      <c r="P75" s="109">
        <f t="shared" si="42"/>
        <v>6.5483589922822154E-3</v>
      </c>
      <c r="Q75" s="109">
        <f t="shared" si="41"/>
        <v>2.1157485047384066E-3</v>
      </c>
      <c r="R75" s="327">
        <f t="shared" si="36"/>
        <v>9.9999999999999829E-5</v>
      </c>
      <c r="S75" s="392">
        <f t="shared" si="37"/>
        <v>2.2000000000000075E-3</v>
      </c>
      <c r="T75" s="144"/>
      <c r="U75" s="171"/>
      <c r="V75" s="450"/>
    </row>
    <row r="76" spans="1:23" s="112" customFormat="1" ht="12.95" customHeight="1">
      <c r="A76" s="406">
        <v>65</v>
      </c>
      <c r="B76" s="381" t="s">
        <v>91</v>
      </c>
      <c r="C76" s="382" t="s">
        <v>90</v>
      </c>
      <c r="D76" s="324">
        <v>53822386.369999997</v>
      </c>
      <c r="E76" s="331">
        <f t="shared" si="38"/>
        <v>1.780650518995646E-4</v>
      </c>
      <c r="F76" s="325">
        <v>11.885643</v>
      </c>
      <c r="G76" s="324">
        <v>12.294418</v>
      </c>
      <c r="H76" s="332">
        <v>2.0000000000000001E-4</v>
      </c>
      <c r="I76" s="332">
        <v>8.0399999999999999E-2</v>
      </c>
      <c r="J76" s="324">
        <v>54494158.990000002</v>
      </c>
      <c r="K76" s="331">
        <f t="shared" si="33"/>
        <v>1.8187852322596812E-4</v>
      </c>
      <c r="L76" s="325">
        <v>12.033991</v>
      </c>
      <c r="M76" s="324">
        <v>12.317397</v>
      </c>
      <c r="N76" s="332">
        <v>2.0000000000000001E-4</v>
      </c>
      <c r="O76" s="332">
        <v>8.8099999999999998E-2</v>
      </c>
      <c r="P76" s="327">
        <f t="shared" si="42"/>
        <v>1.2481286418293103E-2</v>
      </c>
      <c r="Q76" s="327">
        <f t="shared" si="41"/>
        <v>1.869059600869225E-3</v>
      </c>
      <c r="R76" s="327">
        <f t="shared" si="36"/>
        <v>0</v>
      </c>
      <c r="S76" s="392">
        <f t="shared" si="37"/>
        <v>7.6999999999999985E-3</v>
      </c>
      <c r="T76" s="153"/>
      <c r="U76" s="171"/>
      <c r="V76" s="450"/>
    </row>
    <row r="77" spans="1:23" s="112" customFormat="1" ht="12.95" customHeight="1">
      <c r="A77" s="406">
        <v>66</v>
      </c>
      <c r="B77" s="381" t="s">
        <v>35</v>
      </c>
      <c r="C77" s="382" t="s">
        <v>20</v>
      </c>
      <c r="D77" s="324">
        <v>6916985113.8599997</v>
      </c>
      <c r="E77" s="331">
        <f t="shared" si="38"/>
        <v>2.288403388175515E-2</v>
      </c>
      <c r="F77" s="325">
        <v>1.08</v>
      </c>
      <c r="G77" s="325">
        <v>1.08</v>
      </c>
      <c r="H77" s="332">
        <v>0</v>
      </c>
      <c r="I77" s="332">
        <v>0.1002</v>
      </c>
      <c r="J77" s="324">
        <v>6940211930.1499996</v>
      </c>
      <c r="K77" s="331">
        <f>(J77/$J$119)</f>
        <v>7.4681789037506163E-2</v>
      </c>
      <c r="L77" s="325">
        <v>1.08</v>
      </c>
      <c r="M77" s="325">
        <v>1.08</v>
      </c>
      <c r="N77" s="332">
        <v>0</v>
      </c>
      <c r="O77" s="332">
        <v>0.1004</v>
      </c>
      <c r="P77" s="327">
        <f t="shared" si="42"/>
        <v>3.3579393200455099E-3</v>
      </c>
      <c r="Q77" s="327">
        <f t="shared" si="41"/>
        <v>0</v>
      </c>
      <c r="R77" s="327">
        <f t="shared" si="36"/>
        <v>0</v>
      </c>
      <c r="S77" s="392">
        <f t="shared" si="37"/>
        <v>2.0000000000000573E-4</v>
      </c>
      <c r="T77" s="144"/>
      <c r="U77" s="171"/>
      <c r="V77" s="450"/>
    </row>
    <row r="78" spans="1:23" s="112" customFormat="1" ht="12.95" customHeight="1">
      <c r="A78" s="406">
        <v>67</v>
      </c>
      <c r="B78" s="381" t="s">
        <v>68</v>
      </c>
      <c r="C78" s="382" t="s">
        <v>5</v>
      </c>
      <c r="D78" s="324">
        <v>23343807338.52</v>
      </c>
      <c r="E78" s="331">
        <f t="shared" si="38"/>
        <v>7.7230248333691659E-2</v>
      </c>
      <c r="F78" s="324">
        <v>4867</v>
      </c>
      <c r="G78" s="324">
        <v>4867</v>
      </c>
      <c r="H78" s="332">
        <v>1.9E-3</v>
      </c>
      <c r="I78" s="332">
        <v>6.4600000000000005E-2</v>
      </c>
      <c r="J78" s="324">
        <v>23208204023.669998</v>
      </c>
      <c r="K78" s="331">
        <f t="shared" ref="K78:K85" si="43">(J78/$J$86)</f>
        <v>7.7459198431278894E-2</v>
      </c>
      <c r="L78" s="324">
        <v>4876</v>
      </c>
      <c r="M78" s="324">
        <v>4876</v>
      </c>
      <c r="N78" s="332">
        <v>1.8E-3</v>
      </c>
      <c r="O78" s="332">
        <v>6.6500000000000004E-2</v>
      </c>
      <c r="P78" s="327">
        <f t="shared" si="42"/>
        <v>-5.8089630745984198E-3</v>
      </c>
      <c r="Q78" s="327">
        <f t="shared" si="41"/>
        <v>1.8491884117526197E-3</v>
      </c>
      <c r="R78" s="327">
        <f t="shared" si="36"/>
        <v>-1.0000000000000005E-4</v>
      </c>
      <c r="S78" s="392">
        <f t="shared" si="37"/>
        <v>1.8999999999999989E-3</v>
      </c>
      <c r="T78" s="144"/>
      <c r="U78" s="171"/>
      <c r="V78" s="450"/>
    </row>
    <row r="79" spans="1:23" s="112" customFormat="1" ht="12.95" customHeight="1">
      <c r="A79" s="406">
        <v>68</v>
      </c>
      <c r="B79" s="381" t="s">
        <v>16</v>
      </c>
      <c r="C79" s="382" t="s">
        <v>5</v>
      </c>
      <c r="D79" s="324">
        <v>41112024297.589996</v>
      </c>
      <c r="E79" s="331">
        <f t="shared" si="38"/>
        <v>0.13601430991783287</v>
      </c>
      <c r="F79" s="325">
        <v>253.63</v>
      </c>
      <c r="G79" s="325">
        <v>253.63</v>
      </c>
      <c r="H79" s="332">
        <v>6.9999999999999999E-4</v>
      </c>
      <c r="I79" s="332">
        <v>3.49E-2</v>
      </c>
      <c r="J79" s="324">
        <v>39018656370.849998</v>
      </c>
      <c r="K79" s="331">
        <f t="shared" si="43"/>
        <v>0.13022782130271959</v>
      </c>
      <c r="L79" s="325">
        <v>253.8</v>
      </c>
      <c r="M79" s="325">
        <v>253.8</v>
      </c>
      <c r="N79" s="332">
        <v>6.9999999999999999E-4</v>
      </c>
      <c r="O79" s="332">
        <v>3.56E-2</v>
      </c>
      <c r="P79" s="327">
        <f t="shared" si="42"/>
        <v>-5.0918629342771429E-2</v>
      </c>
      <c r="Q79" s="327">
        <f t="shared" si="41"/>
        <v>6.7026771281006163E-4</v>
      </c>
      <c r="R79" s="327">
        <f t="shared" si="36"/>
        <v>0</v>
      </c>
      <c r="S79" s="392">
        <f t="shared" si="37"/>
        <v>6.9999999999999923E-4</v>
      </c>
      <c r="T79" s="144"/>
      <c r="U79" s="171"/>
      <c r="V79" s="450"/>
    </row>
    <row r="80" spans="1:23" s="112" customFormat="1" ht="12.95" customHeight="1">
      <c r="A80" s="406">
        <v>69</v>
      </c>
      <c r="B80" s="381" t="s">
        <v>69</v>
      </c>
      <c r="C80" s="382" t="s">
        <v>5</v>
      </c>
      <c r="D80" s="324">
        <v>267731573.99000001</v>
      </c>
      <c r="E80" s="331">
        <f t="shared" si="38"/>
        <v>8.8575850743500715E-4</v>
      </c>
      <c r="F80" s="324">
        <v>5093.8599999999997</v>
      </c>
      <c r="G80" s="325">
        <v>5119.92</v>
      </c>
      <c r="H80" s="332">
        <v>-9.7000000000000003E-3</v>
      </c>
      <c r="I80" s="332">
        <v>0.20219999999999999</v>
      </c>
      <c r="J80" s="324">
        <v>267181736.63999999</v>
      </c>
      <c r="K80" s="331">
        <f t="shared" si="43"/>
        <v>8.9173996981860271E-4</v>
      </c>
      <c r="L80" s="324">
        <v>5083.57</v>
      </c>
      <c r="M80" s="74">
        <v>5109.29</v>
      </c>
      <c r="N80" s="332">
        <v>-2.0999999999999999E-3</v>
      </c>
      <c r="O80" s="332">
        <v>0.19969999999999999</v>
      </c>
      <c r="P80" s="327">
        <f t="shared" si="42"/>
        <v>-2.0536888563638771E-3</v>
      </c>
      <c r="Q80" s="327">
        <f t="shared" si="41"/>
        <v>-2.0762043156924538E-3</v>
      </c>
      <c r="R80" s="327">
        <f t="shared" si="36"/>
        <v>7.6000000000000009E-3</v>
      </c>
      <c r="S80" s="392">
        <f t="shared" si="37"/>
        <v>-2.5000000000000022E-3</v>
      </c>
      <c r="T80" s="144"/>
      <c r="U80" s="171"/>
      <c r="V80" s="450"/>
    </row>
    <row r="81" spans="1:22" s="112" customFormat="1" ht="12.95" customHeight="1">
      <c r="A81" s="406">
        <v>70</v>
      </c>
      <c r="B81" s="381" t="s">
        <v>165</v>
      </c>
      <c r="C81" s="382" t="s">
        <v>5</v>
      </c>
      <c r="D81" s="324">
        <v>18880456589</v>
      </c>
      <c r="E81" s="331">
        <f t="shared" si="38"/>
        <v>6.2463775933236487E-2</v>
      </c>
      <c r="F81" s="325">
        <v>122.63</v>
      </c>
      <c r="G81" s="325">
        <v>122.63</v>
      </c>
      <c r="H81" s="332">
        <v>1.6999999999999999E-3</v>
      </c>
      <c r="I81" s="332">
        <v>6.6299999999999998E-2</v>
      </c>
      <c r="J81" s="324">
        <v>18987915481.41</v>
      </c>
      <c r="K81" s="331">
        <f t="shared" si="43"/>
        <v>6.3373654918357114E-2</v>
      </c>
      <c r="L81" s="325">
        <v>122.85</v>
      </c>
      <c r="M81" s="325">
        <v>122.85</v>
      </c>
      <c r="N81" s="332">
        <v>1.8E-3</v>
      </c>
      <c r="O81" s="332">
        <v>6.83E-2</v>
      </c>
      <c r="P81" s="327">
        <f t="shared" si="42"/>
        <v>5.6915409806671093E-3</v>
      </c>
      <c r="Q81" s="327">
        <f t="shared" si="41"/>
        <v>1.7940145152083411E-3</v>
      </c>
      <c r="R81" s="327">
        <f t="shared" si="36"/>
        <v>1.0000000000000005E-4</v>
      </c>
      <c r="S81" s="392">
        <f t="shared" si="37"/>
        <v>2.0000000000000018E-3</v>
      </c>
      <c r="T81" s="144"/>
      <c r="U81" s="171"/>
      <c r="V81" s="450"/>
    </row>
    <row r="82" spans="1:22" s="112" customFormat="1" ht="12.95" customHeight="1">
      <c r="A82" s="406">
        <v>71</v>
      </c>
      <c r="B82" s="381" t="s">
        <v>63</v>
      </c>
      <c r="C82" s="382" t="s">
        <v>5</v>
      </c>
      <c r="D82" s="324">
        <v>13994954141.469999</v>
      </c>
      <c r="E82" s="331">
        <f t="shared" si="38"/>
        <v>4.6300664158620469E-2</v>
      </c>
      <c r="F82" s="325">
        <v>345.9</v>
      </c>
      <c r="G82" s="325">
        <v>346.01</v>
      </c>
      <c r="H82" s="332">
        <v>5.9999999999999995E-4</v>
      </c>
      <c r="I82" s="332">
        <v>4.0599999999999997E-2</v>
      </c>
      <c r="J82" s="324">
        <v>14010626227.049999</v>
      </c>
      <c r="K82" s="331">
        <f t="shared" si="43"/>
        <v>4.6761562245863579E-2</v>
      </c>
      <c r="L82" s="325">
        <v>346.23</v>
      </c>
      <c r="M82" s="325">
        <v>346.35</v>
      </c>
      <c r="N82" s="332">
        <v>1E-3</v>
      </c>
      <c r="O82" s="332">
        <v>4.1599999999999998E-2</v>
      </c>
      <c r="P82" s="327">
        <f t="shared" si="42"/>
        <v>1.1198382946865277E-3</v>
      </c>
      <c r="Q82" s="327">
        <f t="shared" si="41"/>
        <v>9.8263055981050217E-4</v>
      </c>
      <c r="R82" s="327">
        <f t="shared" si="36"/>
        <v>4.0000000000000007E-4</v>
      </c>
      <c r="S82" s="392">
        <f t="shared" si="37"/>
        <v>1.0000000000000009E-3</v>
      </c>
      <c r="T82" s="144"/>
      <c r="U82" s="171"/>
      <c r="V82" s="450"/>
    </row>
    <row r="83" spans="1:22" s="328" customFormat="1" ht="12.95" customHeight="1">
      <c r="A83" s="406">
        <v>72</v>
      </c>
      <c r="B83" s="381" t="s">
        <v>156</v>
      </c>
      <c r="C83" s="382" t="s">
        <v>41</v>
      </c>
      <c r="D83" s="324">
        <v>101806771720.63</v>
      </c>
      <c r="E83" s="331">
        <f t="shared" si="38"/>
        <v>0.3368157622283649</v>
      </c>
      <c r="F83" s="324">
        <v>1.9081999999999999</v>
      </c>
      <c r="G83" s="324">
        <v>1.9081999999999999</v>
      </c>
      <c r="H83" s="332">
        <v>5.91E-2</v>
      </c>
      <c r="I83" s="332">
        <v>6.7199999999999996E-2</v>
      </c>
      <c r="J83" s="324">
        <v>102064240881.38</v>
      </c>
      <c r="K83" s="331">
        <f t="shared" si="43"/>
        <v>0.34064739689057966</v>
      </c>
      <c r="L83" s="324">
        <v>1.9103000000000001</v>
      </c>
      <c r="M83" s="324">
        <v>1.9103000000000001</v>
      </c>
      <c r="N83" s="332">
        <v>5.8999999999999997E-2</v>
      </c>
      <c r="O83" s="332">
        <v>6.6900000000000001E-2</v>
      </c>
      <c r="P83" s="109">
        <f t="shared" si="42"/>
        <v>2.5289983799557684E-3</v>
      </c>
      <c r="Q83" s="109">
        <f t="shared" si="41"/>
        <v>1.1005135730008454E-3</v>
      </c>
      <c r="R83" s="327">
        <f t="shared" si="36"/>
        <v>-1.0000000000000286E-4</v>
      </c>
      <c r="S83" s="392">
        <f t="shared" si="37"/>
        <v>-2.9999999999999472E-4</v>
      </c>
      <c r="T83" s="144"/>
      <c r="U83" s="171"/>
      <c r="V83" s="336"/>
    </row>
    <row r="84" spans="1:22" s="328" customFormat="1" ht="12.95" customHeight="1">
      <c r="A84" s="406">
        <v>73</v>
      </c>
      <c r="B84" s="381" t="s">
        <v>265</v>
      </c>
      <c r="C84" s="382" t="s">
        <v>240</v>
      </c>
      <c r="D84" s="324">
        <v>9401978990.9200001</v>
      </c>
      <c r="E84" s="331">
        <f t="shared" si="38"/>
        <v>3.1105344632395306E-2</v>
      </c>
      <c r="F84" s="325">
        <v>1</v>
      </c>
      <c r="G84" s="325">
        <v>1</v>
      </c>
      <c r="H84" s="332">
        <v>0.06</v>
      </c>
      <c r="I84" s="332">
        <v>0.06</v>
      </c>
      <c r="J84" s="324">
        <v>9386756657.3700008</v>
      </c>
      <c r="K84" s="331">
        <f t="shared" si="43"/>
        <v>3.1329035448317881E-2</v>
      </c>
      <c r="L84" s="325">
        <v>1</v>
      </c>
      <c r="M84" s="325">
        <v>1</v>
      </c>
      <c r="N84" s="332">
        <v>0.06</v>
      </c>
      <c r="O84" s="332">
        <v>0.06</v>
      </c>
      <c r="P84" s="327">
        <f t="shared" si="42"/>
        <v>-1.6190563247057102E-3</v>
      </c>
      <c r="Q84" s="327">
        <f t="shared" si="41"/>
        <v>0</v>
      </c>
      <c r="R84" s="327">
        <f t="shared" si="36"/>
        <v>0</v>
      </c>
      <c r="S84" s="392">
        <f t="shared" si="37"/>
        <v>0</v>
      </c>
      <c r="T84" s="144"/>
      <c r="U84" s="171"/>
      <c r="V84" s="337"/>
    </row>
    <row r="85" spans="1:22" s="112" customFormat="1" ht="12.95" customHeight="1">
      <c r="A85" s="406">
        <v>74</v>
      </c>
      <c r="B85" s="381" t="s">
        <v>19</v>
      </c>
      <c r="C85" s="382" t="s">
        <v>12</v>
      </c>
      <c r="D85" s="324">
        <v>2583011086.71</v>
      </c>
      <c r="E85" s="331">
        <f t="shared" si="38"/>
        <v>8.5455891912762649E-3</v>
      </c>
      <c r="F85" s="325">
        <v>24.822099999999999</v>
      </c>
      <c r="G85" s="325">
        <v>24.822099999999999</v>
      </c>
      <c r="H85" s="332">
        <v>1.1000000000000001E-3</v>
      </c>
      <c r="I85" s="332">
        <v>5.3699999999999998E-2</v>
      </c>
      <c r="J85" s="324">
        <v>2571358737.96</v>
      </c>
      <c r="K85" s="331">
        <f t="shared" si="43"/>
        <v>8.5821111585587563E-3</v>
      </c>
      <c r="L85" s="325">
        <v>24.8537</v>
      </c>
      <c r="M85" s="325">
        <v>24.8537</v>
      </c>
      <c r="N85" s="332">
        <v>1.2999999999999999E-3</v>
      </c>
      <c r="O85" s="332">
        <v>5.5E-2</v>
      </c>
      <c r="P85" s="327">
        <f t="shared" si="42"/>
        <v>-4.5111493365062099E-3</v>
      </c>
      <c r="Q85" s="327">
        <f t="shared" si="41"/>
        <v>1.2730590884736167E-3</v>
      </c>
      <c r="R85" s="327">
        <f t="shared" si="36"/>
        <v>1.9999999999999987E-4</v>
      </c>
      <c r="S85" s="392">
        <f t="shared" si="37"/>
        <v>1.3000000000000025E-3</v>
      </c>
      <c r="T85" s="144"/>
      <c r="U85" s="171"/>
      <c r="V85" s="289"/>
    </row>
    <row r="86" spans="1:22" s="112" customFormat="1" ht="12.95" customHeight="1">
      <c r="A86" s="212"/>
      <c r="C86" s="242" t="s">
        <v>42</v>
      </c>
      <c r="D86" s="76">
        <f>SUM(D57:D85)</f>
        <v>302262492251.19061</v>
      </c>
      <c r="E86" s="260">
        <f>(D86/$D$170)</f>
        <v>0.15660989854303314</v>
      </c>
      <c r="F86" s="325"/>
      <c r="G86" s="325"/>
      <c r="H86" s="332"/>
      <c r="I86" s="332"/>
      <c r="J86" s="76">
        <f>SUM(J57:J85)</f>
        <v>299618437754.16949</v>
      </c>
      <c r="K86" s="260">
        <f>(J86/$J$170)</f>
        <v>0.15543716029452406</v>
      </c>
      <c r="L86" s="262"/>
      <c r="M86" s="73"/>
      <c r="N86" s="277"/>
      <c r="O86" s="277"/>
      <c r="P86" s="264">
        <f t="shared" ref="P86" si="44">((J86-D86)/D86)</f>
        <v>-8.747544153853589E-3</v>
      </c>
      <c r="Q86" s="264"/>
      <c r="R86" s="264">
        <f t="shared" ref="R86:S86" si="45">N86-H86</f>
        <v>0</v>
      </c>
      <c r="S86" s="392">
        <f t="shared" si="45"/>
        <v>0</v>
      </c>
      <c r="T86" s="88"/>
      <c r="U86" s="172"/>
      <c r="V86" s="183"/>
    </row>
    <row r="87" spans="1:22" s="112" customFormat="1" ht="5.25" customHeight="1">
      <c r="A87" s="408"/>
      <c r="B87" s="409"/>
      <c r="C87" s="410"/>
      <c r="D87" s="410"/>
      <c r="E87" s="410"/>
      <c r="F87" s="410"/>
      <c r="G87" s="410"/>
      <c r="H87" s="410"/>
      <c r="I87" s="410"/>
      <c r="J87" s="410"/>
      <c r="K87" s="410"/>
      <c r="L87" s="410"/>
      <c r="M87" s="410"/>
      <c r="N87" s="410"/>
      <c r="O87" s="410"/>
      <c r="P87" s="410"/>
      <c r="Q87" s="410"/>
      <c r="R87" s="410"/>
      <c r="S87" s="411"/>
      <c r="T87" s="88"/>
      <c r="U87" s="172"/>
      <c r="V87" s="183"/>
    </row>
    <row r="88" spans="1:22" s="112" customFormat="1" ht="12" customHeight="1">
      <c r="A88" s="428" t="s">
        <v>193</v>
      </c>
      <c r="B88" s="429"/>
      <c r="C88" s="430"/>
      <c r="D88" s="430"/>
      <c r="E88" s="430"/>
      <c r="F88" s="430"/>
      <c r="G88" s="430"/>
      <c r="H88" s="430"/>
      <c r="I88" s="430"/>
      <c r="J88" s="430"/>
      <c r="K88" s="430"/>
      <c r="L88" s="430"/>
      <c r="M88" s="430"/>
      <c r="N88" s="430"/>
      <c r="O88" s="430"/>
      <c r="P88" s="430"/>
      <c r="Q88" s="430"/>
      <c r="R88" s="430"/>
      <c r="S88" s="431"/>
      <c r="T88" s="88"/>
      <c r="U88" s="172"/>
      <c r="V88" s="183"/>
    </row>
    <row r="89" spans="1:22" s="112" customFormat="1" ht="12.95" customHeight="1">
      <c r="A89" s="416" t="s">
        <v>194</v>
      </c>
      <c r="B89" s="417"/>
      <c r="C89" s="418"/>
      <c r="D89" s="418"/>
      <c r="E89" s="418"/>
      <c r="F89" s="418"/>
      <c r="G89" s="418"/>
      <c r="H89" s="418"/>
      <c r="I89" s="418"/>
      <c r="J89" s="418"/>
      <c r="K89" s="418"/>
      <c r="L89" s="418"/>
      <c r="M89" s="418"/>
      <c r="N89" s="418"/>
      <c r="O89" s="418"/>
      <c r="P89" s="418"/>
      <c r="Q89" s="418"/>
      <c r="R89" s="418"/>
      <c r="S89" s="419"/>
      <c r="T89" s="88"/>
      <c r="U89" s="172"/>
      <c r="V89" s="183"/>
    </row>
    <row r="90" spans="1:22" s="112" customFormat="1" ht="12.95" customHeight="1">
      <c r="A90" s="403">
        <v>75</v>
      </c>
      <c r="B90" s="381" t="s">
        <v>144</v>
      </c>
      <c r="C90" s="382" t="s">
        <v>57</v>
      </c>
      <c r="D90" s="324">
        <v>1310372163.98</v>
      </c>
      <c r="E90" s="331">
        <f t="shared" ref="E90:E100" si="46">(D90/$D$112)</f>
        <v>2.2622156302554439E-3</v>
      </c>
      <c r="F90" s="324">
        <f>108.2513*760.432</f>
        <v>82317.752561600006</v>
      </c>
      <c r="G90" s="324">
        <f>108.2513*760.432</f>
        <v>82317.752561600006</v>
      </c>
      <c r="H90" s="332">
        <v>1.1000000000000001E-3</v>
      </c>
      <c r="I90" s="332">
        <v>8.48E-2</v>
      </c>
      <c r="J90" s="324">
        <v>1300471693.8599999</v>
      </c>
      <c r="K90" s="331">
        <f t="shared" ref="K90:K100" si="47">(J90/$J$112)</f>
        <v>2.2679526169800662E-3</v>
      </c>
      <c r="L90" s="324">
        <f>108.4975*756.955</f>
        <v>82127.725112500004</v>
      </c>
      <c r="M90" s="324">
        <f>108.4975*756.955</f>
        <v>82127.725112500004</v>
      </c>
      <c r="N90" s="332">
        <v>1.1000000000000001E-3</v>
      </c>
      <c r="O90" s="332">
        <v>8.48E-2</v>
      </c>
      <c r="P90" s="327">
        <f t="shared" ref="P90:P100" si="48">((J90-D90)/D90)</f>
        <v>-7.5554643117031542E-3</v>
      </c>
      <c r="Q90" s="327">
        <f t="shared" ref="Q90:Q100" si="49">((M90-G90)/G90)</f>
        <v>-2.3084625513530698E-3</v>
      </c>
      <c r="R90" s="327">
        <f t="shared" ref="R90:R100" si="50">N90-H90</f>
        <v>0</v>
      </c>
      <c r="S90" s="392">
        <f t="shared" ref="S90:S100" si="51">O90-I90</f>
        <v>0</v>
      </c>
      <c r="T90" s="88"/>
      <c r="U90" s="172"/>
      <c r="V90" s="183"/>
    </row>
    <row r="91" spans="1:22" s="112" customFormat="1" ht="12.95" customHeight="1">
      <c r="A91" s="400">
        <v>76</v>
      </c>
      <c r="B91" s="381" t="s">
        <v>145</v>
      </c>
      <c r="C91" s="382" t="s">
        <v>6</v>
      </c>
      <c r="D91" s="324">
        <f>10413804.03*760.43</f>
        <v>7918968998.5328989</v>
      </c>
      <c r="E91" s="331">
        <f t="shared" si="46"/>
        <v>1.3671242366426558E-2</v>
      </c>
      <c r="F91" s="324">
        <f>1.1524*760.43</f>
        <v>876.31953199999998</v>
      </c>
      <c r="G91" s="324">
        <f>1.1524*760.43</f>
        <v>876.31953199999998</v>
      </c>
      <c r="H91" s="332">
        <v>3.4099999999999998E-2</v>
      </c>
      <c r="I91" s="332">
        <v>5.8900000000000001E-2</v>
      </c>
      <c r="J91" s="324">
        <f>10261799.6*756.95</f>
        <v>7767669207.2200003</v>
      </c>
      <c r="K91" s="331">
        <f t="shared" si="47"/>
        <v>1.3546396887779222E-2</v>
      </c>
      <c r="L91" s="324">
        <f>1.1535*756.95</f>
        <v>873.14182500000004</v>
      </c>
      <c r="M91" s="324">
        <f>1.1535*756.95</f>
        <v>873.14182500000004</v>
      </c>
      <c r="N91" s="332">
        <v>4.9799999999999997E-2</v>
      </c>
      <c r="O91" s="332">
        <v>3.4500000000000003E-2</v>
      </c>
      <c r="P91" s="327">
        <f t="shared" si="48"/>
        <v>-1.9105996164517004E-2</v>
      </c>
      <c r="Q91" s="327">
        <f t="shared" si="49"/>
        <v>-3.6261967056098222E-3</v>
      </c>
      <c r="R91" s="327">
        <f t="shared" si="50"/>
        <v>1.5699999999999999E-2</v>
      </c>
      <c r="S91" s="392">
        <f t="shared" si="51"/>
        <v>-2.4399999999999998E-2</v>
      </c>
      <c r="U91" s="164"/>
      <c r="V91" s="163"/>
    </row>
    <row r="92" spans="1:22" s="112" customFormat="1" ht="12.95" customHeight="1">
      <c r="A92" s="406">
        <v>77</v>
      </c>
      <c r="B92" s="381" t="s">
        <v>170</v>
      </c>
      <c r="C92" s="382" t="s">
        <v>167</v>
      </c>
      <c r="D92" s="324">
        <v>1906749409.3534801</v>
      </c>
      <c r="E92" s="331">
        <f t="shared" si="46"/>
        <v>3.291796357851825E-3</v>
      </c>
      <c r="F92" s="324">
        <v>80279.771770800013</v>
      </c>
      <c r="G92" s="324">
        <v>80279.771770800013</v>
      </c>
      <c r="H92" s="332">
        <v>6.2593307516541588E-2</v>
      </c>
      <c r="I92" s="332">
        <v>5.540385278732974E-2</v>
      </c>
      <c r="J92" s="324">
        <v>1908071645.80005</v>
      </c>
      <c r="K92" s="331">
        <f>(J92/$J$112)</f>
        <v>3.3275742201148949E-3</v>
      </c>
      <c r="L92" s="324">
        <v>80016.107035499997</v>
      </c>
      <c r="M92" s="324">
        <v>80016.107035499997</v>
      </c>
      <c r="N92" s="332">
        <v>6.5100000000000005E-2</v>
      </c>
      <c r="O92" s="332">
        <v>5.57E-2</v>
      </c>
      <c r="P92" s="327">
        <f>((J92-D92)/D92)</f>
        <v>6.9345056045841348E-4</v>
      </c>
      <c r="Q92" s="327">
        <f t="shared" si="49"/>
        <v>-3.2843234289801197E-3</v>
      </c>
      <c r="R92" s="327">
        <f t="shared" si="50"/>
        <v>2.506692483458417E-3</v>
      </c>
      <c r="S92" s="392">
        <f t="shared" si="51"/>
        <v>2.9614721267025995E-4</v>
      </c>
      <c r="T92" s="389">
        <v>757.45500000000004</v>
      </c>
      <c r="U92" s="173"/>
      <c r="V92" s="163"/>
    </row>
    <row r="93" spans="1:22" s="112" customFormat="1" ht="12.95" customHeight="1">
      <c r="A93" s="406">
        <v>78</v>
      </c>
      <c r="B93" s="381" t="s">
        <v>237</v>
      </c>
      <c r="C93" s="382" t="s">
        <v>184</v>
      </c>
      <c r="D93" s="324">
        <v>21589820419.347698</v>
      </c>
      <c r="E93" s="331">
        <f t="shared" si="46"/>
        <v>3.7272486816807837E-2</v>
      </c>
      <c r="F93" s="324">
        <v>95294.97</v>
      </c>
      <c r="G93" s="324">
        <v>95294.97</v>
      </c>
      <c r="H93" s="332">
        <v>1.4E-3</v>
      </c>
      <c r="I93" s="332">
        <v>7.3499999999999996E-2</v>
      </c>
      <c r="J93" s="324">
        <v>21328829209.240002</v>
      </c>
      <c r="K93" s="331">
        <f t="shared" si="47"/>
        <v>3.7196329801411444E-2</v>
      </c>
      <c r="L93" s="324">
        <v>94277.58</v>
      </c>
      <c r="M93" s="324">
        <v>94277.58</v>
      </c>
      <c r="N93" s="332">
        <v>1.4E-3</v>
      </c>
      <c r="O93" s="332">
        <v>7.3800000000000004E-2</v>
      </c>
      <c r="P93" s="327">
        <f t="shared" si="48"/>
        <v>-1.2088623482658035E-2</v>
      </c>
      <c r="Q93" s="327">
        <f t="shared" si="49"/>
        <v>-1.0676219321964206E-2</v>
      </c>
      <c r="R93" s="327">
        <f t="shared" si="50"/>
        <v>0</v>
      </c>
      <c r="S93" s="392">
        <f t="shared" si="51"/>
        <v>3.0000000000000859E-4</v>
      </c>
      <c r="U93" s="173"/>
      <c r="V93" s="163"/>
    </row>
    <row r="94" spans="1:22" s="328" customFormat="1" ht="12.95" customHeight="1">
      <c r="A94" s="406">
        <v>79</v>
      </c>
      <c r="B94" s="404" t="s">
        <v>262</v>
      </c>
      <c r="C94" s="404" t="s">
        <v>184</v>
      </c>
      <c r="D94" s="324">
        <v>17209612141</v>
      </c>
      <c r="E94" s="331">
        <f t="shared" si="46"/>
        <v>2.9710531592609644E-2</v>
      </c>
      <c r="F94" s="324">
        <v>84440.88</v>
      </c>
      <c r="G94" s="324">
        <v>84440.88</v>
      </c>
      <c r="H94" s="332">
        <v>1.9E-3</v>
      </c>
      <c r="I94" s="332">
        <v>9.5699999999999993E-2</v>
      </c>
      <c r="J94" s="324">
        <v>17435582345.57</v>
      </c>
      <c r="K94" s="331">
        <f t="shared" si="47"/>
        <v>3.0406716882731215E-2</v>
      </c>
      <c r="L94" s="324">
        <v>83569.66</v>
      </c>
      <c r="M94" s="324">
        <v>83569.66</v>
      </c>
      <c r="N94" s="332">
        <v>1.8E-3</v>
      </c>
      <c r="O94" s="332">
        <v>9.5600000000000004E-2</v>
      </c>
      <c r="P94" s="327">
        <f t="shared" si="48"/>
        <v>1.3130464691394795E-2</v>
      </c>
      <c r="Q94" s="327">
        <f t="shared" si="49"/>
        <v>-1.0317514455083854E-2</v>
      </c>
      <c r="R94" s="327">
        <f t="shared" si="50"/>
        <v>-1.0000000000000005E-4</v>
      </c>
      <c r="S94" s="392">
        <f t="shared" si="51"/>
        <v>-9.9999999999988987E-5</v>
      </c>
      <c r="U94" s="330"/>
      <c r="V94" s="163"/>
    </row>
    <row r="95" spans="1:22" s="112" customFormat="1" ht="12.95" customHeight="1">
      <c r="A95" s="406">
        <v>80</v>
      </c>
      <c r="B95" s="381" t="s">
        <v>234</v>
      </c>
      <c r="C95" s="382" t="s">
        <v>216</v>
      </c>
      <c r="D95" s="324">
        <f>84615.57*760.932</f>
        <v>64386694.911240004</v>
      </c>
      <c r="E95" s="331">
        <f t="shared" si="46"/>
        <v>1.1115665580554786E-4</v>
      </c>
      <c r="F95" s="324">
        <f>107.07*760.932</f>
        <v>81472.989239999995</v>
      </c>
      <c r="G95" s="324">
        <f>107.07*760.932</f>
        <v>81472.989239999995</v>
      </c>
      <c r="H95" s="332">
        <v>3.5999999999999999E-3</v>
      </c>
      <c r="I95" s="332">
        <v>9.1800000000000007E-2</v>
      </c>
      <c r="J95" s="324">
        <f>88898.63*757.455</f>
        <v>67336711.786650002</v>
      </c>
      <c r="K95" s="331">
        <f t="shared" si="47"/>
        <v>1.1743159996207174E-4</v>
      </c>
      <c r="L95" s="324">
        <f>107.14*757.455</f>
        <v>81153.728700000007</v>
      </c>
      <c r="M95" s="324">
        <f>107.14*757.455</f>
        <v>81153.728700000007</v>
      </c>
      <c r="N95" s="332">
        <v>1E-3</v>
      </c>
      <c r="O95" s="332">
        <v>9.0700000000000003E-2</v>
      </c>
      <c r="P95" s="327">
        <f t="shared" si="48"/>
        <v>4.5817181321028064E-2</v>
      </c>
      <c r="Q95" s="327">
        <f t="shared" si="49"/>
        <v>-3.9186059450884141E-3</v>
      </c>
      <c r="R95" s="327">
        <f t="shared" si="50"/>
        <v>-2.5999999999999999E-3</v>
      </c>
      <c r="S95" s="392">
        <f t="shared" si="51"/>
        <v>-1.1000000000000038E-3</v>
      </c>
      <c r="T95" s="124"/>
      <c r="U95" s="173"/>
      <c r="V95" s="131"/>
    </row>
    <row r="96" spans="1:22" s="112" customFormat="1" ht="12.95" customHeight="1">
      <c r="A96" s="406">
        <v>81</v>
      </c>
      <c r="B96" s="381" t="s">
        <v>120</v>
      </c>
      <c r="C96" s="382" t="s">
        <v>132</v>
      </c>
      <c r="D96" s="324">
        <v>9773821431.7099991</v>
      </c>
      <c r="E96" s="331">
        <f t="shared" si="46"/>
        <v>1.6873444215255377E-2</v>
      </c>
      <c r="F96" s="324">
        <v>760.43200000000002</v>
      </c>
      <c r="G96" s="324">
        <v>760.43200000000002</v>
      </c>
      <c r="H96" s="318">
        <v>2.1000000000000001E-2</v>
      </c>
      <c r="I96" s="318">
        <v>5.3499999999999999E-2</v>
      </c>
      <c r="J96" s="324">
        <v>9738034171.7600002</v>
      </c>
      <c r="K96" s="331">
        <f t="shared" si="47"/>
        <v>1.6982607301917921E-2</v>
      </c>
      <c r="L96" s="324">
        <v>756.95500000000004</v>
      </c>
      <c r="M96" s="324">
        <v>756.95500000000004</v>
      </c>
      <c r="N96" s="318">
        <v>2.1899999999999999E-2</v>
      </c>
      <c r="O96" s="318">
        <v>5.3400000000000003E-2</v>
      </c>
      <c r="P96" s="327">
        <f t="shared" si="48"/>
        <v>-3.6615422329991988E-3</v>
      </c>
      <c r="Q96" s="327">
        <f t="shared" si="49"/>
        <v>-4.5724009510383244E-3</v>
      </c>
      <c r="R96" s="327">
        <f t="shared" si="50"/>
        <v>8.9999999999999802E-4</v>
      </c>
      <c r="S96" s="392">
        <f t="shared" si="51"/>
        <v>-9.9999999999995925E-5</v>
      </c>
      <c r="U96" s="173"/>
      <c r="V96" s="131"/>
    </row>
    <row r="97" spans="1:43" s="328" customFormat="1" ht="12.95" customHeight="1">
      <c r="A97" s="406">
        <v>82</v>
      </c>
      <c r="B97" s="381" t="s">
        <v>245</v>
      </c>
      <c r="C97" s="382" t="s">
        <v>171</v>
      </c>
      <c r="D97" s="324">
        <f>4639858.51*760.932</f>
        <v>3530616815.7313199</v>
      </c>
      <c r="E97" s="331">
        <f t="shared" si="46"/>
        <v>6.0952275731583697E-3</v>
      </c>
      <c r="F97" s="324">
        <f>103.19*760.932</f>
        <v>78520.573080000002</v>
      </c>
      <c r="G97" s="324">
        <f>103.19*760.932</f>
        <v>78520.573080000002</v>
      </c>
      <c r="H97" s="332">
        <v>2E-3</v>
      </c>
      <c r="I97" s="332">
        <v>7.1599999999999997E-2</v>
      </c>
      <c r="J97" s="324">
        <f>4699136.22*757.455</f>
        <v>3559384225.5201001</v>
      </c>
      <c r="K97" s="331">
        <f t="shared" si="47"/>
        <v>6.2073744528382711E-3</v>
      </c>
      <c r="L97" s="324">
        <f>103.38*757.455</f>
        <v>78305.697899999999</v>
      </c>
      <c r="M97" s="324">
        <f>103.38*757.455</f>
        <v>78305.697899999999</v>
      </c>
      <c r="N97" s="332">
        <v>1.8E-3</v>
      </c>
      <c r="O97" s="332">
        <v>7.3499999999999996E-2</v>
      </c>
      <c r="P97" s="327">
        <f t="shared" si="48"/>
        <v>8.1479841314417555E-3</v>
      </c>
      <c r="Q97" s="327">
        <f t="shared" si="49"/>
        <v>-2.7365462524207387E-3</v>
      </c>
      <c r="R97" s="327">
        <f t="shared" si="50"/>
        <v>-2.0000000000000009E-4</v>
      </c>
      <c r="S97" s="392">
        <f t="shared" si="51"/>
        <v>1.8999999999999989E-3</v>
      </c>
      <c r="U97" s="330"/>
      <c r="V97" s="329"/>
    </row>
    <row r="98" spans="1:43" s="328" customFormat="1" ht="12.95" customHeight="1">
      <c r="A98" s="406">
        <v>83</v>
      </c>
      <c r="B98" s="381" t="s">
        <v>127</v>
      </c>
      <c r="C98" s="382" t="s">
        <v>90</v>
      </c>
      <c r="D98" s="324">
        <f>1781221.12*760.932</f>
        <v>1355388149.2838402</v>
      </c>
      <c r="E98" s="331">
        <f t="shared" si="46"/>
        <v>2.3399308537354591E-3</v>
      </c>
      <c r="F98" s="324">
        <f>130.57*760.932</f>
        <v>99354.891239999997</v>
      </c>
      <c r="G98" s="324">
        <f>134.65*760.932</f>
        <v>102459.49380000001</v>
      </c>
      <c r="H98" s="332">
        <v>5.0000000000000001E-4</v>
      </c>
      <c r="I98" s="332">
        <v>0.17649999999999999</v>
      </c>
      <c r="J98" s="324">
        <f>1756054.61*757.455</f>
        <v>1330132344.6175501</v>
      </c>
      <c r="K98" s="331">
        <f t="shared" si="47"/>
        <v>2.3196791949782795E-3</v>
      </c>
      <c r="L98" s="324">
        <f>128.72*757.455</f>
        <v>97499.607600000003</v>
      </c>
      <c r="M98" s="324">
        <f>132.84*757.455</f>
        <v>100620.32220000001</v>
      </c>
      <c r="N98" s="332">
        <v>4.0000000000000002E-4</v>
      </c>
      <c r="O98" s="332">
        <v>0.16009999999999999</v>
      </c>
      <c r="P98" s="327">
        <f t="shared" si="48"/>
        <v>-1.8633632498288186E-2</v>
      </c>
      <c r="Q98" s="327">
        <f t="shared" si="49"/>
        <v>-1.7950231177113245E-2</v>
      </c>
      <c r="R98" s="327">
        <f t="shared" si="50"/>
        <v>-9.9999999999999991E-5</v>
      </c>
      <c r="S98" s="392">
        <f t="shared" si="51"/>
        <v>-1.6399999999999998E-2</v>
      </c>
      <c r="U98" s="330"/>
      <c r="V98" s="329"/>
    </row>
    <row r="99" spans="1:43" s="328" customFormat="1" ht="12.95" customHeight="1">
      <c r="A99" s="406">
        <v>84</v>
      </c>
      <c r="B99" s="381" t="s">
        <v>247</v>
      </c>
      <c r="C99" s="382" t="s">
        <v>41</v>
      </c>
      <c r="D99" s="324">
        <v>113125834664.67</v>
      </c>
      <c r="E99" s="331">
        <f t="shared" ref="E99" si="52">(D99/$D$112)</f>
        <v>0.19529950223211212</v>
      </c>
      <c r="F99" s="324">
        <v>92646.01</v>
      </c>
      <c r="G99" s="324">
        <v>92646.01</v>
      </c>
      <c r="H99" s="332">
        <v>5.5199999999999999E-2</v>
      </c>
      <c r="I99" s="332">
        <v>5.67E-2</v>
      </c>
      <c r="J99" s="324">
        <v>110093204550.44</v>
      </c>
      <c r="K99" s="331">
        <f t="shared" ref="K99" si="53">(J99/$J$112)</f>
        <v>0.19199662134189571</v>
      </c>
      <c r="L99" s="324">
        <v>91620.27</v>
      </c>
      <c r="M99" s="324">
        <v>91620.27</v>
      </c>
      <c r="N99" s="332">
        <v>5.5100000000000003E-2</v>
      </c>
      <c r="O99" s="332">
        <v>5.6599999999999998E-2</v>
      </c>
      <c r="P99" s="327">
        <f t="shared" ref="P99" si="54">((J99-D99)/D99)</f>
        <v>-2.680758222221637E-2</v>
      </c>
      <c r="Q99" s="327">
        <f t="shared" ref="Q99" si="55">((M99-G99)/G99)</f>
        <v>-1.107160470267409E-2</v>
      </c>
      <c r="R99" s="327">
        <f t="shared" ref="R99" si="56">N99-H99</f>
        <v>-9.9999999999995925E-5</v>
      </c>
      <c r="S99" s="392">
        <f t="shared" ref="S99" si="57">O99-I99</f>
        <v>-1.0000000000000286E-4</v>
      </c>
      <c r="U99" s="330"/>
      <c r="V99" s="329"/>
    </row>
    <row r="100" spans="1:43" s="328" customFormat="1" ht="12.95" customHeight="1">
      <c r="A100" s="406">
        <v>85</v>
      </c>
      <c r="B100" s="381" t="s">
        <v>271</v>
      </c>
      <c r="C100" s="382" t="s">
        <v>98</v>
      </c>
      <c r="D100" s="324">
        <f>234593.54*760.932</f>
        <v>178509731.57928002</v>
      </c>
      <c r="E100" s="331">
        <f t="shared" si="46"/>
        <v>3.081777193013653E-4</v>
      </c>
      <c r="F100" s="324">
        <f>100.71*760.932</f>
        <v>76633.461719999992</v>
      </c>
      <c r="G100" s="324">
        <f>101*760.932</f>
        <v>76854.131999999998</v>
      </c>
      <c r="H100" s="332">
        <v>5.9999999999999995E-4</v>
      </c>
      <c r="I100" s="332">
        <v>8.5000000000000006E-3</v>
      </c>
      <c r="J100" s="324">
        <f>264586.72*757.455</f>
        <v>200412533.99759999</v>
      </c>
      <c r="K100" s="331">
        <f t="shared" si="47"/>
        <v>3.4950866912478499E-4</v>
      </c>
      <c r="L100" s="324">
        <f>100.74*757.455</f>
        <v>76306.016700000007</v>
      </c>
      <c r="M100" s="324">
        <f>101.05*757.455</f>
        <v>76540.827749999997</v>
      </c>
      <c r="N100" s="332">
        <v>4.0000000000000002E-4</v>
      </c>
      <c r="O100" s="332">
        <v>8.8999999999999999E-3</v>
      </c>
      <c r="P100" s="327">
        <f t="shared" si="48"/>
        <v>0.12269808611858488</v>
      </c>
      <c r="Q100" s="327">
        <f t="shared" si="49"/>
        <v>-4.0766090494653044E-3</v>
      </c>
      <c r="R100" s="327">
        <f t="shared" si="50"/>
        <v>-1.9999999999999993E-4</v>
      </c>
      <c r="S100" s="392">
        <f t="shared" si="51"/>
        <v>3.9999999999999931E-4</v>
      </c>
      <c r="U100" s="330"/>
      <c r="V100" s="329"/>
    </row>
    <row r="101" spans="1:43" s="112" customFormat="1" ht="4.5" customHeight="1">
      <c r="A101" s="408"/>
      <c r="B101" s="409"/>
      <c r="C101" s="410"/>
      <c r="D101" s="410"/>
      <c r="E101" s="410"/>
      <c r="F101" s="410"/>
      <c r="G101" s="410"/>
      <c r="H101" s="410"/>
      <c r="I101" s="410"/>
      <c r="J101" s="410"/>
      <c r="K101" s="410"/>
      <c r="L101" s="410"/>
      <c r="M101" s="410"/>
      <c r="N101" s="410"/>
      <c r="O101" s="410"/>
      <c r="P101" s="410"/>
      <c r="Q101" s="410"/>
      <c r="R101" s="410"/>
      <c r="S101" s="411"/>
      <c r="U101" s="174"/>
      <c r="V101" s="131"/>
    </row>
    <row r="102" spans="1:43" s="112" customFormat="1" ht="12.95" customHeight="1">
      <c r="A102" s="416" t="s">
        <v>195</v>
      </c>
      <c r="B102" s="417"/>
      <c r="C102" s="418"/>
      <c r="D102" s="418"/>
      <c r="E102" s="418"/>
      <c r="F102" s="418"/>
      <c r="G102" s="418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9"/>
      <c r="T102" s="175"/>
      <c r="U102" s="174"/>
      <c r="V102" s="131"/>
      <c r="AQ102" s="121">
        <v>185280902</v>
      </c>
    </row>
    <row r="103" spans="1:43" s="112" customFormat="1" ht="12.95" customHeight="1">
      <c r="A103" s="402">
        <v>86</v>
      </c>
      <c r="B103" s="381" t="s">
        <v>147</v>
      </c>
      <c r="C103" s="382" t="s">
        <v>146</v>
      </c>
      <c r="D103" s="323">
        <v>672734839.11000001</v>
      </c>
      <c r="E103" s="331">
        <f>(D103/$D$112)</f>
        <v>1.1614038437978078E-3</v>
      </c>
      <c r="F103" s="324">
        <v>74574.039999999994</v>
      </c>
      <c r="G103" s="324">
        <v>74574.039999999994</v>
      </c>
      <c r="H103" s="332">
        <v>-8.0000000000000004E-4</v>
      </c>
      <c r="I103" s="332">
        <v>4.7500000000000001E-2</v>
      </c>
      <c r="J103" s="323">
        <v>671692604.25</v>
      </c>
      <c r="K103" s="331">
        <f t="shared" ref="K103:K111" si="58">(J103/$J$112)</f>
        <v>1.1713957380289886E-3</v>
      </c>
      <c r="L103" s="324">
        <v>74051.7</v>
      </c>
      <c r="M103" s="324">
        <v>74051.7</v>
      </c>
      <c r="N103" s="332">
        <v>-6.1000000000000004E-3</v>
      </c>
      <c r="O103" s="332">
        <v>4.7800000000000002E-2</v>
      </c>
      <c r="P103" s="327">
        <f t="shared" ref="P103:P111" si="59">((J103-D103)/D103)</f>
        <v>-1.5492506102089902E-3</v>
      </c>
      <c r="Q103" s="327">
        <f t="shared" ref="Q103:Q111" si="60">((M103-G103)/G103)</f>
        <v>-7.0043141017973086E-3</v>
      </c>
      <c r="R103" s="327">
        <f t="shared" ref="R103:R111" si="61">N103-H103</f>
        <v>-5.3E-3</v>
      </c>
      <c r="S103" s="392">
        <f t="shared" ref="S103:S111" si="62">O103-I103</f>
        <v>3.0000000000000165E-4</v>
      </c>
      <c r="T103"/>
      <c r="U103" s="386"/>
      <c r="V103" s="131"/>
    </row>
    <row r="104" spans="1:43" s="112" customFormat="1" ht="12.95" customHeight="1">
      <c r="A104" s="399">
        <v>87</v>
      </c>
      <c r="B104" s="382" t="s">
        <v>225</v>
      </c>
      <c r="C104" s="382" t="s">
        <v>80</v>
      </c>
      <c r="D104" s="324">
        <f>6230681.97 *760.932</f>
        <v>4741125292.7960396</v>
      </c>
      <c r="E104" s="331">
        <f>(D104/$J$112)</f>
        <v>8.2682672494867222E-3</v>
      </c>
      <c r="F104" s="323">
        <f>127.79*760.932</f>
        <v>97239.500280000007</v>
      </c>
      <c r="G104" s="323">
        <f>128.68*760.932</f>
        <v>97916.729760000002</v>
      </c>
      <c r="H104" s="332">
        <v>8.9999999999999998E-4</v>
      </c>
      <c r="I104" s="332">
        <v>3.1399999999999997E-2</v>
      </c>
      <c r="J104" s="324">
        <f>6406582.48*757.455</f>
        <v>4852697932.388401</v>
      </c>
      <c r="K104" s="331">
        <f t="shared" si="58"/>
        <v>8.4628439258892692E-3</v>
      </c>
      <c r="L104" s="323">
        <f>127.9*757.455</f>
        <v>96878.494500000015</v>
      </c>
      <c r="M104" s="323">
        <f>128.8*757.455</f>
        <v>97560.204000000012</v>
      </c>
      <c r="N104" s="332">
        <v>8.9999999999999998E-4</v>
      </c>
      <c r="O104" s="332">
        <v>3.2300000000000002E-2</v>
      </c>
      <c r="P104" s="327">
        <f t="shared" si="59"/>
        <v>2.3532944755096822E-2</v>
      </c>
      <c r="Q104" s="327">
        <f t="shared" si="60"/>
        <v>-3.6411117985032421E-3</v>
      </c>
      <c r="R104" s="327">
        <f t="shared" si="61"/>
        <v>0</v>
      </c>
      <c r="S104" s="392">
        <f t="shared" si="62"/>
        <v>9.0000000000000496E-4</v>
      </c>
      <c r="V104" s="132"/>
    </row>
    <row r="105" spans="1:43" s="112" customFormat="1" ht="12.75" customHeight="1">
      <c r="A105" s="406">
        <v>88</v>
      </c>
      <c r="B105" s="381" t="s">
        <v>141</v>
      </c>
      <c r="C105" s="382" t="s">
        <v>88</v>
      </c>
      <c r="D105" s="323">
        <v>8458101147.6000004</v>
      </c>
      <c r="E105" s="331">
        <f t="shared" ref="E105:E111" si="63">(D105/$D$112)</f>
        <v>1.4601995634786903E-2</v>
      </c>
      <c r="F105" s="323">
        <v>88342.8</v>
      </c>
      <c r="G105" s="323">
        <v>88342.8</v>
      </c>
      <c r="H105" s="332">
        <v>1.1000000000000001E-3</v>
      </c>
      <c r="I105" s="332">
        <v>7.17E-2</v>
      </c>
      <c r="J105" s="323">
        <v>7995860549.8199997</v>
      </c>
      <c r="K105" s="331">
        <f t="shared" si="58"/>
        <v>1.3944350303501607E-2</v>
      </c>
      <c r="L105" s="323">
        <v>83711.34</v>
      </c>
      <c r="M105" s="323">
        <v>83711.34</v>
      </c>
      <c r="N105" s="332">
        <v>1.5E-3</v>
      </c>
      <c r="O105" s="332">
        <v>7.22E-2</v>
      </c>
      <c r="P105" s="327">
        <f t="shared" si="59"/>
        <v>-5.4650634901802067E-2</v>
      </c>
      <c r="Q105" s="327">
        <f t="shared" si="60"/>
        <v>-5.2426004156535748E-2</v>
      </c>
      <c r="R105" s="327">
        <f t="shared" si="61"/>
        <v>3.9999999999999996E-4</v>
      </c>
      <c r="S105" s="392">
        <f t="shared" si="62"/>
        <v>5.0000000000000044E-4</v>
      </c>
      <c r="T105" s="176"/>
      <c r="U105" s="387"/>
      <c r="V105" s="177"/>
      <c r="W105" s="184"/>
      <c r="Y105" s="142"/>
    </row>
    <row r="106" spans="1:43" s="112" customFormat="1" ht="12.95" customHeight="1" thickBot="1">
      <c r="A106" s="406">
        <v>89</v>
      </c>
      <c r="B106" s="381" t="s">
        <v>152</v>
      </c>
      <c r="C106" s="382" t="s">
        <v>7</v>
      </c>
      <c r="D106" s="323">
        <v>2827593382.9012799</v>
      </c>
      <c r="E106" s="331">
        <f t="shared" si="63"/>
        <v>4.8815337525009977E-3</v>
      </c>
      <c r="F106" s="323">
        <v>913.06060057854904</v>
      </c>
      <c r="G106" s="323">
        <v>913.06060057854904</v>
      </c>
      <c r="H106" s="332">
        <v>5.1345491787116289E-2</v>
      </c>
      <c r="I106" s="332">
        <v>5.9561244097719464E-2</v>
      </c>
      <c r="J106" s="323">
        <v>2775848924.9132667</v>
      </c>
      <c r="K106" s="331">
        <f t="shared" si="58"/>
        <v>4.8409310739492934E-3</v>
      </c>
      <c r="L106" s="323">
        <v>896.35175334017492</v>
      </c>
      <c r="M106" s="323">
        <v>896.35175334017492</v>
      </c>
      <c r="N106" s="332">
        <v>5.1092616820812543E-2</v>
      </c>
      <c r="O106" s="332">
        <v>5.9394364468111173E-2</v>
      </c>
      <c r="P106" s="327">
        <f t="shared" si="59"/>
        <v>-1.8299822846140755E-2</v>
      </c>
      <c r="Q106" s="327">
        <f t="shared" si="60"/>
        <v>-1.8299822846136144E-2</v>
      </c>
      <c r="R106" s="327">
        <f t="shared" si="61"/>
        <v>-2.5287496630374551E-4</v>
      </c>
      <c r="S106" s="392">
        <f t="shared" si="62"/>
        <v>-1.6687962960829084E-4</v>
      </c>
      <c r="T106" s="166"/>
      <c r="U106" s="182"/>
      <c r="V106" s="177"/>
      <c r="W106" s="184"/>
      <c r="Y106" s="143"/>
    </row>
    <row r="107" spans="1:43" s="112" customFormat="1" ht="12.75" customHeight="1">
      <c r="A107" s="406">
        <v>90</v>
      </c>
      <c r="B107" s="382" t="s">
        <v>190</v>
      </c>
      <c r="C107" s="395" t="s">
        <v>9</v>
      </c>
      <c r="D107" s="324">
        <v>7951502375.8199997</v>
      </c>
      <c r="E107" s="331">
        <f t="shared" si="63"/>
        <v>1.3727407719008787E-2</v>
      </c>
      <c r="F107" s="323">
        <f>1.0109*760.932</f>
        <v>769.22615879999989</v>
      </c>
      <c r="G107" s="323">
        <f>1.0109*760.932</f>
        <v>769.22615879999989</v>
      </c>
      <c r="H107" s="332">
        <v>1.5E-3</v>
      </c>
      <c r="I107" s="332">
        <v>9.2299999999999993E-2</v>
      </c>
      <c r="J107" s="324">
        <v>7977974730.4899998</v>
      </c>
      <c r="K107" s="331">
        <f t="shared" si="58"/>
        <v>1.3913158397558691E-2</v>
      </c>
      <c r="L107" s="323">
        <f>1.0127*757.455</f>
        <v>767.0746785</v>
      </c>
      <c r="M107" s="323">
        <f>1.0127*757.455</f>
        <v>767.0746785</v>
      </c>
      <c r="N107" s="332">
        <v>1.5E-3</v>
      </c>
      <c r="O107" s="332">
        <v>9.2200000000000004E-2</v>
      </c>
      <c r="P107" s="327">
        <f t="shared" si="59"/>
        <v>3.3292267824129415E-3</v>
      </c>
      <c r="Q107" s="327">
        <f t="shared" si="60"/>
        <v>-2.7969411536344769E-3</v>
      </c>
      <c r="R107" s="327">
        <f t="shared" si="61"/>
        <v>0</v>
      </c>
      <c r="S107" s="392">
        <f t="shared" si="62"/>
        <v>-9.9999999999988987E-5</v>
      </c>
      <c r="U107" s="184"/>
      <c r="V107" s="182"/>
      <c r="W107" s="182"/>
    </row>
    <row r="108" spans="1:43" s="112" customFormat="1" ht="12.75" customHeight="1">
      <c r="A108" s="406">
        <v>91</v>
      </c>
      <c r="B108" s="381" t="s">
        <v>160</v>
      </c>
      <c r="C108" s="382" t="s">
        <v>159</v>
      </c>
      <c r="D108" s="323">
        <v>184186175.25999999</v>
      </c>
      <c r="E108" s="331">
        <f t="shared" si="63"/>
        <v>3.1797748456788809E-4</v>
      </c>
      <c r="F108" s="323">
        <v>756.91</v>
      </c>
      <c r="G108" s="323">
        <v>756.91</v>
      </c>
      <c r="H108" s="332">
        <v>8.4400000000000002E-4</v>
      </c>
      <c r="I108" s="332">
        <v>0.105286</v>
      </c>
      <c r="J108" s="323">
        <v>180649783.06</v>
      </c>
      <c r="K108" s="331">
        <f t="shared" si="58"/>
        <v>3.1504349551180188E-4</v>
      </c>
      <c r="L108" s="323">
        <v>747.76</v>
      </c>
      <c r="M108" s="323">
        <v>747.76</v>
      </c>
      <c r="N108" s="332">
        <v>9.7333000000000003E-2</v>
      </c>
      <c r="O108" s="332">
        <v>-7.195E-3</v>
      </c>
      <c r="P108" s="327">
        <f t="shared" si="59"/>
        <v>-1.9200095745557252E-2</v>
      </c>
      <c r="Q108" s="327">
        <f t="shared" si="60"/>
        <v>-1.208862348231623E-2</v>
      </c>
      <c r="R108" s="327">
        <f t="shared" si="61"/>
        <v>9.6489000000000005E-2</v>
      </c>
      <c r="S108" s="392">
        <f t="shared" si="62"/>
        <v>-0.112481</v>
      </c>
      <c r="U108" s="184"/>
      <c r="V108" s="182"/>
      <c r="W108" s="182"/>
    </row>
    <row r="109" spans="1:43" s="112" customFormat="1" ht="12.75" customHeight="1">
      <c r="A109" s="406">
        <v>92</v>
      </c>
      <c r="B109" s="381" t="s">
        <v>93</v>
      </c>
      <c r="C109" s="382" t="s">
        <v>5</v>
      </c>
      <c r="D109" s="324">
        <v>346417854999.15997</v>
      </c>
      <c r="E109" s="331">
        <f t="shared" si="63"/>
        <v>0.59805291024987361</v>
      </c>
      <c r="F109" s="323">
        <v>1085.33</v>
      </c>
      <c r="G109" s="323">
        <v>1085.33</v>
      </c>
      <c r="H109" s="332">
        <v>1.4E-3</v>
      </c>
      <c r="I109" s="332">
        <v>5.0599999999999999E-2</v>
      </c>
      <c r="J109" s="324">
        <v>343586475600.15002</v>
      </c>
      <c r="K109" s="331">
        <f t="shared" si="58"/>
        <v>0.59919631482590763</v>
      </c>
      <c r="L109" s="323">
        <v>1073.71</v>
      </c>
      <c r="M109" s="323">
        <v>1073.71</v>
      </c>
      <c r="N109" s="332">
        <v>1.4E-3</v>
      </c>
      <c r="O109" s="332">
        <v>5.21E-2</v>
      </c>
      <c r="P109" s="327">
        <f t="shared" si="59"/>
        <v>-8.1733067685463689E-3</v>
      </c>
      <c r="Q109" s="327">
        <f t="shared" si="60"/>
        <v>-1.0706421088516757E-2</v>
      </c>
      <c r="R109" s="327">
        <f t="shared" si="61"/>
        <v>0</v>
      </c>
      <c r="S109" s="392">
        <f t="shared" si="62"/>
        <v>1.5000000000000013E-3</v>
      </c>
      <c r="T109"/>
      <c r="U109" s="291"/>
      <c r="V109" s="290"/>
      <c r="W109" s="290"/>
    </row>
    <row r="110" spans="1:43" s="328" customFormat="1" ht="12.75" customHeight="1">
      <c r="A110" s="406">
        <v>93</v>
      </c>
      <c r="B110" s="381" t="s">
        <v>248</v>
      </c>
      <c r="C110" s="382" t="s">
        <v>41</v>
      </c>
      <c r="D110" s="324">
        <v>13368437385.360001</v>
      </c>
      <c r="E110" s="331">
        <f t="shared" si="63"/>
        <v>2.3079159369043339E-2</v>
      </c>
      <c r="F110" s="324">
        <v>800.21</v>
      </c>
      <c r="G110" s="324">
        <v>800.21</v>
      </c>
      <c r="H110" s="332">
        <v>5.0599999999999999E-2</v>
      </c>
      <c r="I110" s="332">
        <v>8.3199999999999996E-2</v>
      </c>
      <c r="J110" s="324">
        <v>13269793347.030001</v>
      </c>
      <c r="K110" s="331">
        <f t="shared" si="58"/>
        <v>2.3141805154446689E-2</v>
      </c>
      <c r="L110" s="324">
        <v>791.28</v>
      </c>
      <c r="M110" s="324">
        <v>791.28</v>
      </c>
      <c r="N110" s="332">
        <v>5.0500000000000003E-2</v>
      </c>
      <c r="O110" s="332">
        <v>8.2299999999999998E-2</v>
      </c>
      <c r="P110" s="327">
        <f t="shared" si="59"/>
        <v>-7.3788757419043349E-3</v>
      </c>
      <c r="Q110" s="327">
        <f t="shared" si="60"/>
        <v>-1.1159570612714241E-2</v>
      </c>
      <c r="R110" s="327">
        <f t="shared" si="61"/>
        <v>-9.9999999999995925E-5</v>
      </c>
      <c r="S110" s="392">
        <f t="shared" si="62"/>
        <v>-8.9999999999999802E-4</v>
      </c>
      <c r="T110" s="354"/>
      <c r="U110" s="353"/>
      <c r="V110" s="353"/>
      <c r="W110" s="353"/>
      <c r="X110" s="352"/>
    </row>
    <row r="111" spans="1:43" s="112" customFormat="1" ht="12.95" customHeight="1">
      <c r="A111" s="406">
        <v>94</v>
      </c>
      <c r="B111" s="381" t="s">
        <v>266</v>
      </c>
      <c r="C111" s="382" t="s">
        <v>240</v>
      </c>
      <c r="D111" s="323">
        <v>16657205047.360001</v>
      </c>
      <c r="E111" s="331">
        <f t="shared" si="63"/>
        <v>2.8756860570095872E-2</v>
      </c>
      <c r="F111" s="323">
        <v>762.71</v>
      </c>
      <c r="G111" s="323">
        <v>762.71</v>
      </c>
      <c r="H111" s="332">
        <v>2.0999999999999999E-3</v>
      </c>
      <c r="I111" s="332">
        <v>5.1799999999999999E-2</v>
      </c>
      <c r="J111" s="323">
        <v>17372075357.919998</v>
      </c>
      <c r="K111" s="331">
        <f t="shared" si="58"/>
        <v>3.029596411547195E-2</v>
      </c>
      <c r="L111" s="323">
        <f>762.71*1.1072</f>
        <v>844.47251200000005</v>
      </c>
      <c r="M111" s="323">
        <f>762.71*1.1072</f>
        <v>844.47251200000005</v>
      </c>
      <c r="N111" s="332">
        <v>1E-3</v>
      </c>
      <c r="O111" s="332">
        <v>5.2900000000000003E-2</v>
      </c>
      <c r="P111" s="327">
        <f t="shared" si="59"/>
        <v>4.2916582255394478E-2</v>
      </c>
      <c r="Q111" s="327">
        <f t="shared" si="60"/>
        <v>0.10720000000000002</v>
      </c>
      <c r="R111" s="327">
        <f t="shared" si="61"/>
        <v>-1.0999999999999998E-3</v>
      </c>
      <c r="S111" s="392">
        <f t="shared" si="62"/>
        <v>1.1000000000000038E-3</v>
      </c>
      <c r="U111" s="182"/>
      <c r="V111" s="182"/>
      <c r="W111" s="182"/>
      <c r="X111" s="184"/>
    </row>
    <row r="112" spans="1:43" s="112" customFormat="1" ht="13.5" customHeight="1">
      <c r="A112" s="212"/>
      <c r="C112" s="284" t="s">
        <v>42</v>
      </c>
      <c r="D112" s="76">
        <f>SUM(D90:D111)</f>
        <v>579242821265.46704</v>
      </c>
      <c r="E112" s="260">
        <f>(D112/$D$170)</f>
        <v>0.30012046415199156</v>
      </c>
      <c r="F112" s="262"/>
      <c r="G112" s="73"/>
      <c r="H112" s="274"/>
      <c r="I112" s="274"/>
      <c r="J112" s="76">
        <f>SUM(J90:J111)</f>
        <v>573412197469.83374</v>
      </c>
      <c r="K112" s="260">
        <f>(J112/$J$170)</f>
        <v>0.29747689868833349</v>
      </c>
      <c r="L112" s="262"/>
      <c r="M112" s="73"/>
      <c r="N112" s="276"/>
      <c r="O112" s="276"/>
      <c r="P112" s="264">
        <f t="shared" ref="P112" si="64">((J112-D112)/D112)</f>
        <v>-1.0065940537502363E-2</v>
      </c>
      <c r="Q112" s="264"/>
      <c r="R112" s="264">
        <f t="shared" ref="R112:S112" si="65">N112-H112</f>
        <v>0</v>
      </c>
      <c r="S112" s="392">
        <f t="shared" si="65"/>
        <v>0</v>
      </c>
      <c r="U112" s="182"/>
      <c r="V112" s="182"/>
      <c r="W112" s="182"/>
      <c r="X112" s="182"/>
    </row>
    <row r="113" spans="1:23" s="112" customFormat="1" ht="4.5" customHeight="1">
      <c r="A113" s="408"/>
      <c r="B113" s="409"/>
      <c r="C113" s="410"/>
      <c r="D113" s="410"/>
      <c r="E113" s="410"/>
      <c r="F113" s="410"/>
      <c r="G113" s="410"/>
      <c r="H113" s="410"/>
      <c r="I113" s="410"/>
      <c r="J113" s="410"/>
      <c r="K113" s="410"/>
      <c r="L113" s="410"/>
      <c r="M113" s="410"/>
      <c r="N113" s="410"/>
      <c r="O113" s="410"/>
      <c r="P113" s="410"/>
      <c r="Q113" s="410"/>
      <c r="R113" s="410"/>
      <c r="S113" s="411"/>
      <c r="T113" s="118"/>
      <c r="U113" s="133"/>
    </row>
    <row r="114" spans="1:23" s="112" customFormat="1" ht="12.95" customHeight="1">
      <c r="A114" s="452" t="s">
        <v>209</v>
      </c>
      <c r="B114" s="453"/>
      <c r="C114" s="454"/>
      <c r="D114" s="454"/>
      <c r="E114" s="454"/>
      <c r="F114" s="454"/>
      <c r="G114" s="454"/>
      <c r="H114" s="454"/>
      <c r="I114" s="454"/>
      <c r="J114" s="454"/>
      <c r="K114" s="454"/>
      <c r="L114" s="454"/>
      <c r="M114" s="454"/>
      <c r="N114" s="454"/>
      <c r="O114" s="454"/>
      <c r="P114" s="454"/>
      <c r="Q114" s="454"/>
      <c r="R114" s="454"/>
      <c r="S114" s="455"/>
    </row>
    <row r="115" spans="1:23" s="112" customFormat="1" ht="12.95" customHeight="1">
      <c r="A115" s="398">
        <v>95</v>
      </c>
      <c r="B115" s="381" t="s">
        <v>222</v>
      </c>
      <c r="C115" s="382" t="s">
        <v>9</v>
      </c>
      <c r="D115" s="324">
        <v>54330953714</v>
      </c>
      <c r="E115" s="331">
        <f>(D115/$D$119)</f>
        <v>0.58483098721668847</v>
      </c>
      <c r="F115" s="325">
        <v>101.48</v>
      </c>
      <c r="G115" s="325">
        <v>101.48</v>
      </c>
      <c r="H115" s="332">
        <v>0</v>
      </c>
      <c r="I115" s="332">
        <v>7.6999999999999999E-2</v>
      </c>
      <c r="J115" s="324">
        <v>54330953714</v>
      </c>
      <c r="K115" s="331">
        <f>(J115/$J$119)</f>
        <v>0.58464105481397954</v>
      </c>
      <c r="L115" s="325">
        <v>101.48</v>
      </c>
      <c r="M115" s="325">
        <v>101.48</v>
      </c>
      <c r="N115" s="332">
        <v>0</v>
      </c>
      <c r="O115" s="332">
        <v>7.6999999999999999E-2</v>
      </c>
      <c r="P115" s="327">
        <f>((J115-D115)/D115)</f>
        <v>0</v>
      </c>
      <c r="Q115" s="327">
        <f>((M115-G115)/G115)</f>
        <v>0</v>
      </c>
      <c r="R115" s="327">
        <f t="shared" ref="R115:S118" si="66">N115-H115</f>
        <v>0</v>
      </c>
      <c r="S115" s="392">
        <f t="shared" si="66"/>
        <v>0</v>
      </c>
    </row>
    <row r="116" spans="1:23" s="112" customFormat="1" ht="12.95" customHeight="1">
      <c r="A116" s="402">
        <v>96</v>
      </c>
      <c r="B116" s="381" t="s">
        <v>139</v>
      </c>
      <c r="C116" s="382" t="s">
        <v>20</v>
      </c>
      <c r="D116" s="324">
        <v>2300853716.8299999</v>
      </c>
      <c r="E116" s="331">
        <f>(D116/$D$119)</f>
        <v>2.4766923064487616E-2</v>
      </c>
      <c r="F116" s="325">
        <v>92.15</v>
      </c>
      <c r="G116" s="325">
        <v>92.15</v>
      </c>
      <c r="H116" s="332">
        <v>3.4799999999999998E-2</v>
      </c>
      <c r="I116" s="332">
        <v>0.12</v>
      </c>
      <c r="J116" s="324">
        <v>2308270619.0300002</v>
      </c>
      <c r="K116" s="331">
        <f>(J116/$J$119)</f>
        <v>2.4838690971811066E-2</v>
      </c>
      <c r="L116" s="325">
        <v>92.15</v>
      </c>
      <c r="M116" s="325">
        <v>92.15</v>
      </c>
      <c r="N116" s="332">
        <v>0.15759999999999999</v>
      </c>
      <c r="O116" s="332">
        <v>0.1217</v>
      </c>
      <c r="P116" s="327">
        <f>((J116-D116)/D116)</f>
        <v>3.223543568088683E-3</v>
      </c>
      <c r="Q116" s="327">
        <f>((M116-G116)/G116)</f>
        <v>0</v>
      </c>
      <c r="R116" s="327">
        <f t="shared" si="66"/>
        <v>0.12279999999999999</v>
      </c>
      <c r="S116" s="392">
        <f t="shared" si="66"/>
        <v>1.7000000000000071E-3</v>
      </c>
      <c r="T116" s="134"/>
      <c r="U116" s="165"/>
    </row>
    <row r="117" spans="1:23" s="112" customFormat="1" ht="12.95" customHeight="1">
      <c r="A117" s="400">
        <v>97</v>
      </c>
      <c r="B117" s="381" t="s">
        <v>21</v>
      </c>
      <c r="C117" s="382" t="s">
        <v>20</v>
      </c>
      <c r="D117" s="324">
        <v>9995456646.1000004</v>
      </c>
      <c r="E117" s="331">
        <f>(D117/$D$119)</f>
        <v>0.10759341366971008</v>
      </c>
      <c r="F117" s="325">
        <v>36.6</v>
      </c>
      <c r="G117" s="325">
        <v>36.6</v>
      </c>
      <c r="H117" s="332">
        <v>0.1041</v>
      </c>
      <c r="I117" s="332">
        <v>0.16109999999999999</v>
      </c>
      <c r="J117" s="324">
        <v>10006289289.290001</v>
      </c>
      <c r="K117" s="331">
        <f>(J117/$J$119)</f>
        <v>0.10767503835215911</v>
      </c>
      <c r="L117" s="325">
        <v>36.6</v>
      </c>
      <c r="M117" s="325">
        <v>36.6</v>
      </c>
      <c r="N117" s="332">
        <v>5.6599999999999998E-2</v>
      </c>
      <c r="O117" s="332">
        <v>0.16109999999999999</v>
      </c>
      <c r="P117" s="327">
        <f>((J117-D117)/D117)</f>
        <v>1.0837567080266598E-3</v>
      </c>
      <c r="Q117" s="327">
        <f>((M117-G117)/G117)</f>
        <v>0</v>
      </c>
      <c r="R117" s="327">
        <f t="shared" si="66"/>
        <v>-4.7500000000000001E-2</v>
      </c>
      <c r="S117" s="392">
        <f t="shared" si="66"/>
        <v>0</v>
      </c>
      <c r="T117" s="135"/>
      <c r="U117" s="113"/>
    </row>
    <row r="118" spans="1:23" s="136" customFormat="1" ht="12.95" customHeight="1">
      <c r="A118" s="406">
        <v>98</v>
      </c>
      <c r="B118" s="381" t="s">
        <v>181</v>
      </c>
      <c r="C118" s="382" t="s">
        <v>5</v>
      </c>
      <c r="D118" s="324">
        <v>26273000959.59</v>
      </c>
      <c r="E118" s="331">
        <f>(D118/$D$119)</f>
        <v>0.28280867604911381</v>
      </c>
      <c r="F118" s="325">
        <v>3.4</v>
      </c>
      <c r="G118" s="325">
        <v>3.4</v>
      </c>
      <c r="H118" s="332">
        <v>1.49E-2</v>
      </c>
      <c r="I118" s="332">
        <v>0.1333</v>
      </c>
      <c r="J118" s="324">
        <v>26284931933.349998</v>
      </c>
      <c r="K118" s="331">
        <f>(J118/$J$119)</f>
        <v>0.28284521586205036</v>
      </c>
      <c r="L118" s="325">
        <v>3.55</v>
      </c>
      <c r="M118" s="325">
        <v>3.55</v>
      </c>
      <c r="N118" s="332">
        <v>4.41E-2</v>
      </c>
      <c r="O118" s="332">
        <v>0.18329999999999999</v>
      </c>
      <c r="P118" s="327">
        <f>((J118-D118)/D118)</f>
        <v>4.5411537792538901E-4</v>
      </c>
      <c r="Q118" s="327">
        <f>((M118-G118)/G118)</f>
        <v>4.4117647058823505E-2</v>
      </c>
      <c r="R118" s="327">
        <f t="shared" si="66"/>
        <v>2.92E-2</v>
      </c>
      <c r="S118" s="392">
        <f t="shared" si="66"/>
        <v>4.9999999999999989E-2</v>
      </c>
      <c r="T118" s="135"/>
      <c r="U118" s="160"/>
    </row>
    <row r="119" spans="1:23" s="112" customFormat="1" ht="12.75" customHeight="1">
      <c r="A119" s="212"/>
      <c r="C119" s="242" t="s">
        <v>42</v>
      </c>
      <c r="D119" s="70">
        <f>SUM(D115:D118)</f>
        <v>92900265036.520004</v>
      </c>
      <c r="E119" s="260">
        <f>(D119/$D$170)</f>
        <v>4.81339943094874E-2</v>
      </c>
      <c r="F119" s="72"/>
      <c r="G119" s="72"/>
      <c r="H119" s="243"/>
      <c r="I119" s="243"/>
      <c r="J119" s="70">
        <f>SUM(J115:J118)</f>
        <v>92930445555.669998</v>
      </c>
      <c r="K119" s="260">
        <f>(J119/$J$170)</f>
        <v>4.8210799943927032E-2</v>
      </c>
      <c r="L119" s="262"/>
      <c r="M119" s="72"/>
      <c r="N119" s="263"/>
      <c r="O119" s="263"/>
      <c r="P119" s="264">
        <f>((J119-D119)/D119)</f>
        <v>3.2487010815447767E-4</v>
      </c>
      <c r="Q119" s="264"/>
      <c r="R119" s="264">
        <f>N119-H119</f>
        <v>0</v>
      </c>
      <c r="S119" s="392">
        <f t="shared" ref="S119" si="67">O119-I119</f>
        <v>0</v>
      </c>
      <c r="T119" s="160"/>
      <c r="U119" s="160"/>
      <c r="V119" s="178"/>
      <c r="W119" s="449"/>
    </row>
    <row r="120" spans="1:23" s="112" customFormat="1" ht="5.25" customHeight="1">
      <c r="A120" s="408"/>
      <c r="B120" s="409"/>
      <c r="C120" s="410"/>
      <c r="D120" s="410"/>
      <c r="E120" s="410"/>
      <c r="F120" s="410"/>
      <c r="G120" s="410"/>
      <c r="H120" s="410"/>
      <c r="I120" s="410"/>
      <c r="J120" s="410"/>
      <c r="K120" s="410"/>
      <c r="L120" s="410"/>
      <c r="M120" s="410"/>
      <c r="N120" s="410"/>
      <c r="O120" s="410"/>
      <c r="P120" s="410"/>
      <c r="Q120" s="410"/>
      <c r="R120" s="410"/>
      <c r="S120" s="411"/>
      <c r="T120" s="160"/>
      <c r="U120" s="160"/>
      <c r="V120" s="178"/>
      <c r="W120" s="449"/>
    </row>
    <row r="121" spans="1:23" s="112" customFormat="1" ht="12" customHeight="1">
      <c r="A121" s="428" t="s">
        <v>219</v>
      </c>
      <c r="B121" s="429"/>
      <c r="C121" s="430"/>
      <c r="D121" s="430"/>
      <c r="E121" s="430"/>
      <c r="F121" s="430"/>
      <c r="G121" s="430"/>
      <c r="H121" s="430"/>
      <c r="I121" s="430"/>
      <c r="J121" s="430"/>
      <c r="K121" s="430"/>
      <c r="L121" s="430"/>
      <c r="M121" s="430"/>
      <c r="N121" s="430"/>
      <c r="O121" s="430"/>
      <c r="P121" s="430"/>
      <c r="Q121" s="430"/>
      <c r="R121" s="430"/>
      <c r="S121" s="431"/>
      <c r="T121" s="182"/>
      <c r="U121" s="184"/>
      <c r="V121" s="178"/>
      <c r="W121" s="449"/>
    </row>
    <row r="122" spans="1:23" s="112" customFormat="1" ht="12" customHeight="1">
      <c r="A122" s="399">
        <v>99</v>
      </c>
      <c r="B122" s="381" t="s">
        <v>116</v>
      </c>
      <c r="C122" s="382" t="s">
        <v>36</v>
      </c>
      <c r="D122" s="323">
        <v>202694998.53</v>
      </c>
      <c r="E122" s="331">
        <f t="shared" ref="E122:E145" si="68">(D122/$D$146)</f>
        <v>5.0673790919843215E-3</v>
      </c>
      <c r="F122" s="323">
        <v>4.5599999999999996</v>
      </c>
      <c r="G122" s="323">
        <v>4.6500000000000004</v>
      </c>
      <c r="H122" s="313">
        <v>-2.4782999999999999E-2</v>
      </c>
      <c r="I122" s="313">
        <v>0.213618</v>
      </c>
      <c r="J122" s="323">
        <v>204029615.66</v>
      </c>
      <c r="K122" s="312">
        <f t="shared" ref="K122:K136" si="69">(J122/$J$146)</f>
        <v>5.0984468319007683E-3</v>
      </c>
      <c r="L122" s="323">
        <v>4.59</v>
      </c>
      <c r="M122" s="323">
        <v>4.68</v>
      </c>
      <c r="N122" s="313">
        <v>7.9330000000000008E-3</v>
      </c>
      <c r="O122" s="313">
        <v>0.221551</v>
      </c>
      <c r="P122" s="327">
        <f t="shared" ref="P122:P145" si="70">((J122-D122)/D122)</f>
        <v>6.5843614281507019E-3</v>
      </c>
      <c r="Q122" s="327">
        <f t="shared" ref="Q122:Q145" si="71">((M122-G122)/G122)</f>
        <v>6.4516129032256685E-3</v>
      </c>
      <c r="R122" s="327">
        <f t="shared" ref="R122:R145" si="72">N122-H122</f>
        <v>3.2716000000000002E-2</v>
      </c>
      <c r="S122" s="392">
        <f t="shared" ref="S122:S145" si="73">O122-I122</f>
        <v>7.9329999999999956E-3</v>
      </c>
      <c r="T122" s="451"/>
      <c r="U122" s="166"/>
      <c r="V122" s="182"/>
    </row>
    <row r="123" spans="1:23" s="112" customFormat="1" ht="12" customHeight="1">
      <c r="A123" s="400">
        <v>100</v>
      </c>
      <c r="B123" s="381" t="s">
        <v>154</v>
      </c>
      <c r="C123" s="382" t="s">
        <v>6</v>
      </c>
      <c r="D123" s="323">
        <v>6002425527.3199997</v>
      </c>
      <c r="E123" s="331">
        <f t="shared" si="68"/>
        <v>0.15006076044758704</v>
      </c>
      <c r="F123" s="323">
        <v>640.96960000000001</v>
      </c>
      <c r="G123" s="323">
        <v>660.29539999999997</v>
      </c>
      <c r="H123" s="313">
        <v>-0.20019999999999999</v>
      </c>
      <c r="I123" s="313">
        <v>0.30780000000000002</v>
      </c>
      <c r="J123" s="323">
        <v>5974958018.5299997</v>
      </c>
      <c r="K123" s="312">
        <f t="shared" si="69"/>
        <v>0.14930678412431397</v>
      </c>
      <c r="L123" s="323">
        <v>639.21379999999999</v>
      </c>
      <c r="M123" s="323">
        <v>658.48649999999998</v>
      </c>
      <c r="N123" s="313">
        <v>-0.14280000000000001</v>
      </c>
      <c r="O123" s="313">
        <v>0.29499999999999998</v>
      </c>
      <c r="P123" s="327">
        <f t="shared" si="70"/>
        <v>-4.5760682352461984E-3</v>
      </c>
      <c r="Q123" s="327">
        <f t="shared" si="71"/>
        <v>-2.7395314279033208E-3</v>
      </c>
      <c r="R123" s="327">
        <f t="shared" si="72"/>
        <v>5.7399999999999979E-2</v>
      </c>
      <c r="S123" s="392">
        <f t="shared" si="73"/>
        <v>-1.2800000000000034E-2</v>
      </c>
      <c r="T123" s="451"/>
      <c r="W123" s="185"/>
    </row>
    <row r="124" spans="1:23" s="112" customFormat="1" ht="12" customHeight="1">
      <c r="A124" s="406">
        <v>101</v>
      </c>
      <c r="B124" s="381" t="s">
        <v>239</v>
      </c>
      <c r="C124" s="382" t="s">
        <v>12</v>
      </c>
      <c r="D124" s="323">
        <v>3269943808.6799998</v>
      </c>
      <c r="E124" s="331">
        <f t="shared" si="68"/>
        <v>8.1748661823129065E-2</v>
      </c>
      <c r="F124" s="323">
        <v>18.284800000000001</v>
      </c>
      <c r="G124" s="323">
        <v>18.497299999999999</v>
      </c>
      <c r="H124" s="332">
        <v>-1.7000000000000001E-2</v>
      </c>
      <c r="I124" s="332">
        <v>0.31979999999999997</v>
      </c>
      <c r="J124" s="323">
        <v>3254629165.5700002</v>
      </c>
      <c r="K124" s="312">
        <f t="shared" si="69"/>
        <v>8.1329142852791123E-2</v>
      </c>
      <c r="L124" s="323">
        <v>18.133700000000001</v>
      </c>
      <c r="M124" s="323">
        <v>18.341899999999999</v>
      </c>
      <c r="N124" s="332">
        <v>1.2999999999999999E-3</v>
      </c>
      <c r="O124" s="332">
        <v>0.30880000000000002</v>
      </c>
      <c r="P124" s="327">
        <f t="shared" si="70"/>
        <v>-4.6834575778786306E-3</v>
      </c>
      <c r="Q124" s="327">
        <f t="shared" si="71"/>
        <v>-8.4012261248939141E-3</v>
      </c>
      <c r="R124" s="327">
        <f t="shared" si="72"/>
        <v>1.83E-2</v>
      </c>
      <c r="S124" s="392">
        <f t="shared" si="73"/>
        <v>-1.0999999999999954E-2</v>
      </c>
      <c r="T124" s="184"/>
      <c r="U124" s="113"/>
      <c r="W124" s="185"/>
    </row>
    <row r="125" spans="1:23" s="112" customFormat="1" ht="12" customHeight="1">
      <c r="A125" s="406">
        <v>102</v>
      </c>
      <c r="B125" s="381" t="s">
        <v>142</v>
      </c>
      <c r="C125" s="382" t="s">
        <v>102</v>
      </c>
      <c r="D125" s="324">
        <v>1245885409.1099999</v>
      </c>
      <c r="E125" s="331">
        <f t="shared" si="68"/>
        <v>3.1147160605435126E-2</v>
      </c>
      <c r="F125" s="323">
        <v>2.9137</v>
      </c>
      <c r="G125" s="323">
        <v>2.9843000000000002</v>
      </c>
      <c r="H125" s="332">
        <v>-0.58736942744496334</v>
      </c>
      <c r="I125" s="332">
        <v>0.40893045386330673</v>
      </c>
      <c r="J125" s="324">
        <v>1212650456.8699999</v>
      </c>
      <c r="K125" s="312">
        <f t="shared" si="69"/>
        <v>3.0302629645368565E-2</v>
      </c>
      <c r="L125" s="323">
        <v>2.8332999999999999</v>
      </c>
      <c r="M125" s="323">
        <v>2.9024999999999999</v>
      </c>
      <c r="N125" s="332">
        <v>-1.4292416024815637</v>
      </c>
      <c r="O125" s="332">
        <v>0.35026415414963691</v>
      </c>
      <c r="P125" s="327">
        <f t="shared" si="70"/>
        <v>-2.667576969517722E-2</v>
      </c>
      <c r="Q125" s="327">
        <f t="shared" si="71"/>
        <v>-2.741011292430396E-2</v>
      </c>
      <c r="R125" s="327">
        <f t="shared" si="72"/>
        <v>-0.84187217503660039</v>
      </c>
      <c r="S125" s="392">
        <f t="shared" si="73"/>
        <v>-5.8666299713669823E-2</v>
      </c>
      <c r="T125" s="184"/>
      <c r="U125" s="113"/>
      <c r="W125" s="185"/>
    </row>
    <row r="126" spans="1:23" s="112" customFormat="1" ht="12" customHeight="1">
      <c r="A126" s="406">
        <v>103</v>
      </c>
      <c r="B126" s="381" t="s">
        <v>261</v>
      </c>
      <c r="C126" s="382" t="s">
        <v>7</v>
      </c>
      <c r="D126" s="324">
        <v>2856098748.25137</v>
      </c>
      <c r="E126" s="331">
        <f t="shared" si="68"/>
        <v>7.140252688272182E-2</v>
      </c>
      <c r="F126" s="323">
        <v>5266.6269151173101</v>
      </c>
      <c r="G126" s="323">
        <v>5307.4907533654496</v>
      </c>
      <c r="H126" s="332">
        <v>-0.90619556813104174</v>
      </c>
      <c r="I126" s="332">
        <v>0.35593633479573167</v>
      </c>
      <c r="J126" s="324">
        <v>2869224009.1135802</v>
      </c>
      <c r="K126" s="312">
        <f t="shared" si="69"/>
        <v>7.1698346399162921E-2</v>
      </c>
      <c r="L126" s="323">
        <v>5289.4023942991898</v>
      </c>
      <c r="M126" s="323">
        <v>5330.5719750109101</v>
      </c>
      <c r="N126" s="332">
        <v>0.22549130144989965</v>
      </c>
      <c r="O126" s="332">
        <v>0.35398920104897652</v>
      </c>
      <c r="P126" s="327">
        <f t="shared" si="70"/>
        <v>4.5955206801747105E-3</v>
      </c>
      <c r="Q126" s="327">
        <f t="shared" si="71"/>
        <v>4.3488011035770343E-3</v>
      </c>
      <c r="R126" s="327">
        <f t="shared" si="72"/>
        <v>1.1316868695809414</v>
      </c>
      <c r="S126" s="392">
        <f t="shared" si="73"/>
        <v>-1.9471337467551475E-3</v>
      </c>
      <c r="T126" s="184"/>
      <c r="U126" s="113"/>
      <c r="W126" s="185"/>
    </row>
    <row r="127" spans="1:23" s="112" customFormat="1" ht="12" customHeight="1">
      <c r="A127" s="406">
        <v>104</v>
      </c>
      <c r="B127" s="381" t="s">
        <v>155</v>
      </c>
      <c r="C127" s="382" t="s">
        <v>88</v>
      </c>
      <c r="D127" s="323">
        <v>429426357.94</v>
      </c>
      <c r="E127" s="331">
        <f t="shared" si="68"/>
        <v>1.073566769557001E-2</v>
      </c>
      <c r="F127" s="323">
        <v>155.85</v>
      </c>
      <c r="G127" s="323">
        <v>156.62</v>
      </c>
      <c r="H127" s="332">
        <v>-3.0700000000000002E-2</v>
      </c>
      <c r="I127" s="332">
        <v>0.21529999999999999</v>
      </c>
      <c r="J127" s="323">
        <v>431738448.56999999</v>
      </c>
      <c r="K127" s="312">
        <f t="shared" si="69"/>
        <v>1.0788607909694816E-2</v>
      </c>
      <c r="L127" s="323">
        <v>156.68</v>
      </c>
      <c r="M127" s="323">
        <v>157.46</v>
      </c>
      <c r="N127" s="332">
        <v>5.3E-3</v>
      </c>
      <c r="O127" s="332">
        <v>0.2213</v>
      </c>
      <c r="P127" s="327">
        <f t="shared" si="70"/>
        <v>5.3841376693580687E-3</v>
      </c>
      <c r="Q127" s="327">
        <f t="shared" si="71"/>
        <v>5.3632997062955136E-3</v>
      </c>
      <c r="R127" s="327">
        <f t="shared" si="72"/>
        <v>3.6000000000000004E-2</v>
      </c>
      <c r="S127" s="392">
        <f t="shared" si="73"/>
        <v>6.0000000000000053E-3</v>
      </c>
      <c r="U127" s="113"/>
      <c r="W127" s="185"/>
    </row>
    <row r="128" spans="1:23" s="112" customFormat="1" ht="13.5">
      <c r="A128" s="406">
        <v>105</v>
      </c>
      <c r="B128" s="381" t="s">
        <v>179</v>
      </c>
      <c r="C128" s="382" t="s">
        <v>177</v>
      </c>
      <c r="D128" s="323">
        <v>3734808.11</v>
      </c>
      <c r="E128" s="331">
        <f t="shared" si="68"/>
        <v>9.3370278825041515E-5</v>
      </c>
      <c r="F128" s="323">
        <v>102.747</v>
      </c>
      <c r="G128" s="323">
        <v>102.99</v>
      </c>
      <c r="H128" s="332">
        <v>0</v>
      </c>
      <c r="I128" s="332">
        <v>0</v>
      </c>
      <c r="J128" s="323">
        <v>3734808.11</v>
      </c>
      <c r="K128" s="312">
        <f t="shared" si="69"/>
        <v>9.3328218624488276E-5</v>
      </c>
      <c r="L128" s="323">
        <v>102.747</v>
      </c>
      <c r="M128" s="323">
        <v>102.99</v>
      </c>
      <c r="N128" s="332">
        <v>0</v>
      </c>
      <c r="O128" s="332">
        <v>0</v>
      </c>
      <c r="P128" s="327">
        <f t="shared" si="70"/>
        <v>0</v>
      </c>
      <c r="Q128" s="327">
        <f t="shared" si="71"/>
        <v>0</v>
      </c>
      <c r="R128" s="327">
        <f t="shared" si="72"/>
        <v>0</v>
      </c>
      <c r="S128" s="392">
        <f t="shared" si="73"/>
        <v>0</v>
      </c>
      <c r="U128" s="113"/>
    </row>
    <row r="129" spans="1:22" s="112" customFormat="1" ht="12" customHeight="1">
      <c r="A129" s="406">
        <v>106</v>
      </c>
      <c r="B129" s="381" t="s">
        <v>109</v>
      </c>
      <c r="C129" s="382" t="s">
        <v>107</v>
      </c>
      <c r="D129" s="323">
        <v>163596341.93000001</v>
      </c>
      <c r="E129" s="331">
        <f t="shared" si="68"/>
        <v>4.0899118805760902E-3</v>
      </c>
      <c r="F129" s="323">
        <v>1.4536</v>
      </c>
      <c r="G129" s="323">
        <v>1.4673</v>
      </c>
      <c r="H129" s="332">
        <v>-1.6899999999999998E-2</v>
      </c>
      <c r="I129" s="332">
        <v>0.21010000000000001</v>
      </c>
      <c r="J129" s="323">
        <v>162860881.53</v>
      </c>
      <c r="K129" s="312">
        <f t="shared" si="69"/>
        <v>4.0696912690405193E-3</v>
      </c>
      <c r="L129" s="323">
        <v>1.4459</v>
      </c>
      <c r="M129" s="323">
        <v>1.4594</v>
      </c>
      <c r="N129" s="332">
        <v>-5.3E-3</v>
      </c>
      <c r="O129" s="332">
        <v>0.20369999999999999</v>
      </c>
      <c r="P129" s="327">
        <f t="shared" si="70"/>
        <v>-4.4955797380524347E-3</v>
      </c>
      <c r="Q129" s="327">
        <f t="shared" si="71"/>
        <v>-5.3840387105568172E-3</v>
      </c>
      <c r="R129" s="327">
        <f t="shared" si="72"/>
        <v>1.1599999999999999E-2</v>
      </c>
      <c r="S129" s="392">
        <f t="shared" si="73"/>
        <v>-6.4000000000000168E-3</v>
      </c>
      <c r="U129" s="111"/>
    </row>
    <row r="130" spans="1:22" s="328" customFormat="1" ht="12" customHeight="1">
      <c r="A130" s="406">
        <v>107</v>
      </c>
      <c r="B130" s="381" t="s">
        <v>281</v>
      </c>
      <c r="C130" s="382" t="s">
        <v>242</v>
      </c>
      <c r="D130" s="319">
        <v>112785306.44</v>
      </c>
      <c r="E130" s="331">
        <f t="shared" si="68"/>
        <v>2.8196349583461066E-3</v>
      </c>
      <c r="F130" s="323">
        <v>122.7256</v>
      </c>
      <c r="G130" s="323">
        <v>123.0081</v>
      </c>
      <c r="H130" s="332">
        <v>0.146704</v>
      </c>
      <c r="I130" s="332">
        <v>0.18479999999999999</v>
      </c>
      <c r="J130" s="319">
        <v>112786583.75</v>
      </c>
      <c r="K130" s="312">
        <f t="shared" si="69"/>
        <v>2.8183967251075603E-3</v>
      </c>
      <c r="L130" s="323">
        <v>123.05289999999999</v>
      </c>
      <c r="M130" s="323">
        <v>123.3403</v>
      </c>
      <c r="N130" s="332">
        <v>0.14690800000000001</v>
      </c>
      <c r="O130" s="332">
        <v>0.188</v>
      </c>
      <c r="P130" s="327">
        <f t="shared" ref="P130" si="74">((J130-D130)/D130)</f>
        <v>1.1325145449526202E-5</v>
      </c>
      <c r="Q130" s="327">
        <f t="shared" ref="Q130" si="75">((M130-G130)/G130)</f>
        <v>2.7006351614243312E-3</v>
      </c>
      <c r="R130" s="327">
        <f t="shared" ref="R130" si="76">N130-H130</f>
        <v>2.0400000000000973E-4</v>
      </c>
      <c r="S130" s="392">
        <f t="shared" ref="S130" si="77">O130-I130</f>
        <v>3.2000000000000084E-3</v>
      </c>
      <c r="U130" s="111"/>
    </row>
    <row r="131" spans="1:22" s="112" customFormat="1" ht="11.25" customHeight="1">
      <c r="A131" s="406">
        <v>108</v>
      </c>
      <c r="B131" s="381" t="s">
        <v>232</v>
      </c>
      <c r="C131" s="382" t="s">
        <v>98</v>
      </c>
      <c r="D131" s="319">
        <v>180415683.75999999</v>
      </c>
      <c r="E131" s="331">
        <f t="shared" si="68"/>
        <v>4.5103957689225736E-3</v>
      </c>
      <c r="F131" s="323">
        <v>113.42</v>
      </c>
      <c r="G131" s="323">
        <v>115.18</v>
      </c>
      <c r="H131" s="332">
        <v>-8.9999999999999998E-4</v>
      </c>
      <c r="I131" s="332">
        <v>9.9299999999999999E-2</v>
      </c>
      <c r="J131" s="319">
        <v>180465262.38</v>
      </c>
      <c r="K131" s="312">
        <f t="shared" si="69"/>
        <v>4.5096028940363091E-3</v>
      </c>
      <c r="L131" s="323">
        <v>113.45</v>
      </c>
      <c r="M131" s="323">
        <v>115.29</v>
      </c>
      <c r="N131" s="332">
        <v>5.9999999999999995E-4</v>
      </c>
      <c r="O131" s="332">
        <v>9.9900000000000003E-2</v>
      </c>
      <c r="P131" s="327">
        <f t="shared" si="70"/>
        <v>2.7480216224414996E-4</v>
      </c>
      <c r="Q131" s="327">
        <f t="shared" si="71"/>
        <v>9.5502691439485518E-4</v>
      </c>
      <c r="R131" s="327">
        <f t="shared" si="72"/>
        <v>1.5E-3</v>
      </c>
      <c r="S131" s="392">
        <f t="shared" si="73"/>
        <v>6.0000000000000331E-4</v>
      </c>
    </row>
    <row r="132" spans="1:22" s="112" customFormat="1" ht="12" customHeight="1">
      <c r="A132" s="406">
        <v>109</v>
      </c>
      <c r="B132" s="381" t="s">
        <v>259</v>
      </c>
      <c r="C132" s="382" t="s">
        <v>167</v>
      </c>
      <c r="D132" s="324">
        <v>528682505.04000002</v>
      </c>
      <c r="E132" s="331">
        <f t="shared" si="68"/>
        <v>1.3217073394838007E-2</v>
      </c>
      <c r="F132" s="323">
        <v>1.2639</v>
      </c>
      <c r="G132" s="323">
        <v>1.2639</v>
      </c>
      <c r="H132" s="332">
        <v>-0.80438862879075013</v>
      </c>
      <c r="I132" s="332">
        <v>0.33729674643152491</v>
      </c>
      <c r="J132" s="324">
        <v>521727575.39999998</v>
      </c>
      <c r="K132" s="312">
        <f t="shared" si="69"/>
        <v>1.3037324485020299E-2</v>
      </c>
      <c r="L132" s="323">
        <v>1.2548999999999999</v>
      </c>
      <c r="M132" s="323">
        <v>1.2548999999999999</v>
      </c>
      <c r="N132" s="332">
        <v>-0.35181476443940124</v>
      </c>
      <c r="O132" s="332">
        <v>0.3168781301292955</v>
      </c>
      <c r="P132" s="327">
        <f t="shared" si="70"/>
        <v>-1.3155210497222404E-2</v>
      </c>
      <c r="Q132" s="327">
        <f t="shared" si="71"/>
        <v>-7.1208165202944207E-3</v>
      </c>
      <c r="R132" s="327">
        <f t="shared" si="72"/>
        <v>0.45257386435134889</v>
      </c>
      <c r="S132" s="392">
        <f t="shared" si="73"/>
        <v>-2.0418616302229409E-2</v>
      </c>
    </row>
    <row r="133" spans="1:22" s="112" customFormat="1" ht="12" customHeight="1">
      <c r="A133" s="406">
        <v>110</v>
      </c>
      <c r="B133" s="381" t="s">
        <v>189</v>
      </c>
      <c r="C133" s="382" t="s">
        <v>184</v>
      </c>
      <c r="D133" s="323">
        <v>6557198037.6899996</v>
      </c>
      <c r="E133" s="331">
        <f t="shared" si="68"/>
        <v>0.1639300845071075</v>
      </c>
      <c r="F133" s="323">
        <v>268.54000000000002</v>
      </c>
      <c r="G133" s="323">
        <v>270.95999999999998</v>
      </c>
      <c r="H133" s="332">
        <v>-1.1900000000000001E-2</v>
      </c>
      <c r="I133" s="332">
        <v>0.3448</v>
      </c>
      <c r="J133" s="323">
        <v>6581243485.6899996</v>
      </c>
      <c r="K133" s="312">
        <f t="shared" si="69"/>
        <v>0.16445710536209196</v>
      </c>
      <c r="L133" s="323">
        <v>269.5</v>
      </c>
      <c r="M133" s="323">
        <v>271.94</v>
      </c>
      <c r="N133" s="332">
        <v>3.5999999999999999E-3</v>
      </c>
      <c r="O133" s="332">
        <v>0.34960000000000002</v>
      </c>
      <c r="P133" s="327">
        <f t="shared" si="70"/>
        <v>3.6670309272023821E-3</v>
      </c>
      <c r="Q133" s="327">
        <f t="shared" si="71"/>
        <v>3.6167700029525328E-3</v>
      </c>
      <c r="R133" s="327">
        <f t="shared" si="72"/>
        <v>1.55E-2</v>
      </c>
      <c r="S133" s="392">
        <f t="shared" si="73"/>
        <v>4.8000000000000265E-3</v>
      </c>
    </row>
    <row r="134" spans="1:22" s="112" customFormat="1" ht="12" customHeight="1">
      <c r="A134" s="406">
        <v>111</v>
      </c>
      <c r="B134" s="381" t="s">
        <v>180</v>
      </c>
      <c r="C134" s="382" t="s">
        <v>174</v>
      </c>
      <c r="D134" s="323">
        <v>2336674013.5799999</v>
      </c>
      <c r="E134" s="331">
        <f t="shared" si="68"/>
        <v>5.841689793567291E-2</v>
      </c>
      <c r="F134" s="323">
        <v>1.6521999999999999</v>
      </c>
      <c r="G134" s="323">
        <v>1.6266</v>
      </c>
      <c r="H134" s="332">
        <v>-1.6400000000000001E-2</v>
      </c>
      <c r="I134" s="332">
        <v>0.2631</v>
      </c>
      <c r="J134" s="323">
        <v>2331885369.5300002</v>
      </c>
      <c r="K134" s="312">
        <f t="shared" si="69"/>
        <v>5.8270920798322218E-2</v>
      </c>
      <c r="L134" s="323">
        <v>1.6241000000000001</v>
      </c>
      <c r="M134" s="323">
        <v>1.6496</v>
      </c>
      <c r="N134" s="332">
        <v>-1.1599999999999999E-2</v>
      </c>
      <c r="O134" s="332">
        <v>0.2611</v>
      </c>
      <c r="P134" s="327">
        <f t="shared" si="70"/>
        <v>-2.0493419373732282E-3</v>
      </c>
      <c r="Q134" s="327">
        <f t="shared" si="71"/>
        <v>1.4139923767367458E-2</v>
      </c>
      <c r="R134" s="327">
        <f t="shared" si="72"/>
        <v>4.8000000000000022E-3</v>
      </c>
      <c r="S134" s="392">
        <f t="shared" si="73"/>
        <v>-2.0000000000000018E-3</v>
      </c>
    </row>
    <row r="135" spans="1:22" s="112" customFormat="1" ht="12" customHeight="1">
      <c r="A135" s="406">
        <v>112</v>
      </c>
      <c r="B135" s="381" t="s">
        <v>251</v>
      </c>
      <c r="C135" s="382" t="s">
        <v>87</v>
      </c>
      <c r="D135" s="323">
        <v>158468200.44026017</v>
      </c>
      <c r="E135" s="331">
        <f t="shared" si="68"/>
        <v>3.9617082388764711E-3</v>
      </c>
      <c r="F135" s="323">
        <v>103.52</v>
      </c>
      <c r="G135" s="323">
        <v>108.49</v>
      </c>
      <c r="H135" s="332">
        <v>0.01</v>
      </c>
      <c r="I135" s="332">
        <v>3.1399999999999997E-2</v>
      </c>
      <c r="J135" s="323">
        <v>158737005.13365284</v>
      </c>
      <c r="K135" s="312">
        <f t="shared" si="69"/>
        <v>3.9666407168935033E-3</v>
      </c>
      <c r="L135" s="323">
        <v>103.69339273319588</v>
      </c>
      <c r="M135" s="323">
        <v>108.70547547996027</v>
      </c>
      <c r="N135" s="332">
        <v>0.01</v>
      </c>
      <c r="O135" s="332">
        <v>3.1399999999999997E-2</v>
      </c>
      <c r="P135" s="327">
        <f t="shared" si="70"/>
        <v>1.6962689842243714E-3</v>
      </c>
      <c r="Q135" s="327">
        <f t="shared" si="71"/>
        <v>1.986132177714772E-3</v>
      </c>
      <c r="R135" s="327">
        <f t="shared" si="72"/>
        <v>0</v>
      </c>
      <c r="S135" s="392">
        <f t="shared" si="73"/>
        <v>0</v>
      </c>
    </row>
    <row r="136" spans="1:22" s="328" customFormat="1" ht="12" customHeight="1">
      <c r="A136" s="406">
        <v>113</v>
      </c>
      <c r="B136" s="381" t="s">
        <v>267</v>
      </c>
      <c r="C136" s="382" t="s">
        <v>240</v>
      </c>
      <c r="D136" s="324">
        <v>2613539875.8600001</v>
      </c>
      <c r="E136" s="331">
        <f t="shared" si="68"/>
        <v>6.5338550132208156E-2</v>
      </c>
      <c r="F136" s="323">
        <v>3.61</v>
      </c>
      <c r="G136" s="323">
        <v>3.68</v>
      </c>
      <c r="H136" s="332">
        <v>-3.8999999999999998E-3</v>
      </c>
      <c r="I136" s="332">
        <v>0.16919999999999999</v>
      </c>
      <c r="J136" s="324">
        <v>2646507846.4299998</v>
      </c>
      <c r="K136" s="312">
        <f t="shared" si="69"/>
        <v>6.6132945952889308E-2</v>
      </c>
      <c r="L136" s="323">
        <v>3.65</v>
      </c>
      <c r="M136" s="323">
        <v>3.72</v>
      </c>
      <c r="N136" s="332">
        <v>1.2699999999999999E-2</v>
      </c>
      <c r="O136" s="332">
        <v>0.184</v>
      </c>
      <c r="P136" s="327">
        <f t="shared" ref="P136" si="78">((J136-D136)/D136)</f>
        <v>1.2614297900907824E-2</v>
      </c>
      <c r="Q136" s="327">
        <f t="shared" ref="Q136" si="79">((M136-G136)/G136)</f>
        <v>1.0869565217391313E-2</v>
      </c>
      <c r="R136" s="327">
        <f t="shared" ref="R136" si="80">N136-H136</f>
        <v>1.66E-2</v>
      </c>
      <c r="S136" s="392">
        <f t="shared" ref="S136" si="81">O136-I136</f>
        <v>1.4800000000000008E-2</v>
      </c>
    </row>
    <row r="137" spans="1:22" s="112" customFormat="1" ht="12" customHeight="1">
      <c r="A137" s="406">
        <v>114</v>
      </c>
      <c r="B137" s="381" t="s">
        <v>129</v>
      </c>
      <c r="C137" s="382" t="s">
        <v>103</v>
      </c>
      <c r="D137" s="324">
        <v>155914257.34999999</v>
      </c>
      <c r="E137" s="331">
        <f t="shared" si="68"/>
        <v>3.8978596095981966E-3</v>
      </c>
      <c r="F137" s="323">
        <v>170.82027500000001</v>
      </c>
      <c r="G137" s="323">
        <v>176.68709100000001</v>
      </c>
      <c r="H137" s="332">
        <v>-6.9999999999999999E-4</v>
      </c>
      <c r="I137" s="332">
        <v>0.1734</v>
      </c>
      <c r="J137" s="324">
        <v>155373183.38</v>
      </c>
      <c r="K137" s="312">
        <v>1.4052378000000001</v>
      </c>
      <c r="L137" s="323">
        <v>170.38040899999999</v>
      </c>
      <c r="M137" s="323">
        <v>175.28889699999999</v>
      </c>
      <c r="N137" s="332">
        <v>-9.1000000000000004E-3</v>
      </c>
      <c r="O137" s="332">
        <v>0.1641</v>
      </c>
      <c r="P137" s="327">
        <f t="shared" si="70"/>
        <v>-3.4703302904838472E-3</v>
      </c>
      <c r="Q137" s="327">
        <f t="shared" si="71"/>
        <v>-7.9133907977466094E-3</v>
      </c>
      <c r="R137" s="327">
        <f t="shared" si="72"/>
        <v>-8.4000000000000012E-3</v>
      </c>
      <c r="S137" s="392">
        <f t="shared" si="73"/>
        <v>-9.3000000000000027E-3</v>
      </c>
    </row>
    <row r="138" spans="1:22" s="112" customFormat="1" ht="12" customHeight="1">
      <c r="A138" s="406">
        <v>115</v>
      </c>
      <c r="B138" s="381" t="s">
        <v>27</v>
      </c>
      <c r="C138" s="382" t="s">
        <v>56</v>
      </c>
      <c r="D138" s="324">
        <v>1573900648.1700001</v>
      </c>
      <c r="E138" s="331">
        <f t="shared" si="68"/>
        <v>3.9347548263342101E-2</v>
      </c>
      <c r="F138" s="323">
        <v>552.20000000000005</v>
      </c>
      <c r="G138" s="323">
        <v>552.20000000000005</v>
      </c>
      <c r="H138" s="332">
        <v>2.9600000000000001E-2</v>
      </c>
      <c r="I138" s="332">
        <v>0.36749999999999999</v>
      </c>
      <c r="J138" s="324">
        <v>1602704381.1199999</v>
      </c>
      <c r="K138" s="312">
        <f t="shared" ref="K138:K145" si="82">(J138/$J$146)</f>
        <v>4.0049593035609135E-2</v>
      </c>
      <c r="L138" s="323">
        <v>552.20000000000005</v>
      </c>
      <c r="M138" s="323">
        <v>552.20000000000005</v>
      </c>
      <c r="N138" s="332">
        <v>1.83E-2</v>
      </c>
      <c r="O138" s="332">
        <v>0.39254</v>
      </c>
      <c r="P138" s="327">
        <f t="shared" si="70"/>
        <v>1.8300858433148482E-2</v>
      </c>
      <c r="Q138" s="327">
        <f t="shared" si="71"/>
        <v>0</v>
      </c>
      <c r="R138" s="327">
        <f t="shared" si="72"/>
        <v>-1.1300000000000001E-2</v>
      </c>
      <c r="S138" s="392">
        <f t="shared" si="73"/>
        <v>2.5040000000000007E-2</v>
      </c>
      <c r="T138" s="222"/>
      <c r="U138" s="222"/>
      <c r="V138" s="111"/>
    </row>
    <row r="139" spans="1:22" s="112" customFormat="1" ht="12" customHeight="1">
      <c r="A139" s="406">
        <v>116</v>
      </c>
      <c r="B139" s="381" t="s">
        <v>186</v>
      </c>
      <c r="C139" s="382" t="s">
        <v>159</v>
      </c>
      <c r="D139" s="324">
        <v>24884134.879999999</v>
      </c>
      <c r="E139" s="331">
        <f t="shared" si="68"/>
        <v>6.2210387886984131E-4</v>
      </c>
      <c r="F139" s="323">
        <v>1.55</v>
      </c>
      <c r="G139" s="323">
        <v>1.55</v>
      </c>
      <c r="H139" s="332">
        <v>-2.8677000000000001E-2</v>
      </c>
      <c r="I139" s="332">
        <v>0.284665</v>
      </c>
      <c r="J139" s="324">
        <v>24596523.690000001</v>
      </c>
      <c r="K139" s="312">
        <f t="shared" si="82"/>
        <v>6.1463659516973826E-4</v>
      </c>
      <c r="L139" s="323">
        <v>1.55</v>
      </c>
      <c r="M139" s="323">
        <v>1.55</v>
      </c>
      <c r="N139" s="332">
        <v>-2.019E-3</v>
      </c>
      <c r="O139" s="332">
        <v>0.28207199999999999</v>
      </c>
      <c r="P139" s="327">
        <f t="shared" si="70"/>
        <v>-1.1558014429151721E-2</v>
      </c>
      <c r="Q139" s="327">
        <f t="shared" si="71"/>
        <v>0</v>
      </c>
      <c r="R139" s="327">
        <f t="shared" si="72"/>
        <v>2.6658000000000001E-2</v>
      </c>
      <c r="S139" s="392">
        <f t="shared" si="73"/>
        <v>-2.593000000000012E-3</v>
      </c>
      <c r="U139" s="217"/>
      <c r="V139" s="111"/>
    </row>
    <row r="140" spans="1:22" s="112" customFormat="1" ht="12" customHeight="1">
      <c r="A140" s="406">
        <v>117</v>
      </c>
      <c r="B140" s="381" t="s">
        <v>48</v>
      </c>
      <c r="C140" s="382" t="s">
        <v>90</v>
      </c>
      <c r="D140" s="323">
        <v>188827875.84999999</v>
      </c>
      <c r="E140" s="331">
        <f t="shared" si="68"/>
        <v>4.72070074252217E-3</v>
      </c>
      <c r="F140" s="323">
        <v>1.92</v>
      </c>
      <c r="G140" s="323">
        <v>1.98</v>
      </c>
      <c r="H140" s="332">
        <v>5.9999999999999995E-4</v>
      </c>
      <c r="I140" s="332">
        <v>0.2266</v>
      </c>
      <c r="J140" s="323">
        <v>199916738.36000001</v>
      </c>
      <c r="K140" s="312">
        <f t="shared" si="82"/>
        <v>4.9956711335182096E-3</v>
      </c>
      <c r="L140" s="323">
        <v>2.0317479999999999</v>
      </c>
      <c r="M140" s="323">
        <v>2.0944820000000002</v>
      </c>
      <c r="N140" s="332">
        <v>8.0000000000000004E-4</v>
      </c>
      <c r="O140" s="332">
        <v>0.29759999999999998</v>
      </c>
      <c r="P140" s="327">
        <f t="shared" si="70"/>
        <v>5.8724711381113702E-2</v>
      </c>
      <c r="Q140" s="327">
        <f t="shared" si="71"/>
        <v>5.781919191919202E-2</v>
      </c>
      <c r="R140" s="327">
        <f t="shared" si="72"/>
        <v>2.0000000000000009E-4</v>
      </c>
      <c r="S140" s="392">
        <f t="shared" si="73"/>
        <v>7.099999999999998E-2</v>
      </c>
    </row>
    <row r="141" spans="1:22" s="112" customFormat="1" ht="12" customHeight="1">
      <c r="A141" s="406">
        <v>118</v>
      </c>
      <c r="B141" s="381" t="s">
        <v>22</v>
      </c>
      <c r="C141" s="382" t="s">
        <v>5</v>
      </c>
      <c r="D141" s="324">
        <v>2088321719.49</v>
      </c>
      <c r="E141" s="331">
        <f t="shared" si="68"/>
        <v>5.220808552468615E-2</v>
      </c>
      <c r="F141" s="323">
        <v>4688.72</v>
      </c>
      <c r="G141" s="323">
        <v>4726.87</v>
      </c>
      <c r="H141" s="332">
        <v>-2.6499999999999999E-2</v>
      </c>
      <c r="I141" s="332">
        <v>0.28549999999999998</v>
      </c>
      <c r="J141" s="324">
        <v>2055842087.78</v>
      </c>
      <c r="K141" s="331">
        <f t="shared" si="82"/>
        <v>5.1372941841918686E-2</v>
      </c>
      <c r="L141" s="323">
        <v>4653.62</v>
      </c>
      <c r="M141" s="323">
        <v>4691.42</v>
      </c>
      <c r="N141" s="332">
        <v>-7.4999999999999997E-3</v>
      </c>
      <c r="O141" s="332">
        <v>0.27579999999999999</v>
      </c>
      <c r="P141" s="327">
        <f t="shared" si="70"/>
        <v>-1.5552982764519665E-2</v>
      </c>
      <c r="Q141" s="327">
        <f t="shared" si="71"/>
        <v>-7.4996773763610636E-3</v>
      </c>
      <c r="R141" s="327">
        <f t="shared" si="72"/>
        <v>1.9E-2</v>
      </c>
      <c r="S141" s="392">
        <f t="shared" si="73"/>
        <v>-9.6999999999999864E-3</v>
      </c>
      <c r="T141" s="111"/>
      <c r="V141" s="139"/>
    </row>
    <row r="142" spans="1:22" s="112" customFormat="1" ht="12" customHeight="1">
      <c r="A142" s="406">
        <v>119</v>
      </c>
      <c r="B142" s="381" t="s">
        <v>74</v>
      </c>
      <c r="C142" s="382" t="s">
        <v>41</v>
      </c>
      <c r="D142" s="323">
        <v>1561261931.1700001</v>
      </c>
      <c r="E142" s="331">
        <f t="shared" si="68"/>
        <v>3.9031580080901587E-2</v>
      </c>
      <c r="F142" s="323">
        <v>1.7354000000000001</v>
      </c>
      <c r="G142" s="323">
        <v>1.7467999999999999</v>
      </c>
      <c r="H142" s="332">
        <v>-1.04E-2</v>
      </c>
      <c r="I142" s="332">
        <v>0.33889999999999998</v>
      </c>
      <c r="J142" s="323">
        <v>1567842581.22</v>
      </c>
      <c r="K142" s="312">
        <f t="shared" si="82"/>
        <v>3.9178439930313363E-2</v>
      </c>
      <c r="L142" s="323">
        <v>1.7362</v>
      </c>
      <c r="M142" s="323">
        <v>1.7476</v>
      </c>
      <c r="N142" s="332">
        <v>5.0000000000000001E-4</v>
      </c>
      <c r="O142" s="332">
        <v>0.33939999999999998</v>
      </c>
      <c r="P142" s="327">
        <f t="shared" si="70"/>
        <v>4.2149558114623689E-3</v>
      </c>
      <c r="Q142" s="327">
        <f t="shared" si="71"/>
        <v>4.579803068468823E-4</v>
      </c>
      <c r="R142" s="327">
        <f t="shared" si="72"/>
        <v>1.09E-2</v>
      </c>
      <c r="S142" s="392">
        <f t="shared" si="73"/>
        <v>5.0000000000000044E-4</v>
      </c>
      <c r="T142" s="111"/>
      <c r="V142" s="139"/>
    </row>
    <row r="143" spans="1:22" s="112" customFormat="1" ht="12" customHeight="1">
      <c r="A143" s="406">
        <v>120</v>
      </c>
      <c r="B143" s="381" t="s">
        <v>238</v>
      </c>
      <c r="C143" s="382" t="s">
        <v>41</v>
      </c>
      <c r="D143" s="323">
        <v>826804083.75999999</v>
      </c>
      <c r="E143" s="331">
        <f t="shared" si="68"/>
        <v>2.0670118935335123E-2</v>
      </c>
      <c r="F143" s="323">
        <v>1.3539000000000001</v>
      </c>
      <c r="G143" s="323">
        <v>1.3656999999999999</v>
      </c>
      <c r="H143" s="332">
        <v>-4.3E-3</v>
      </c>
      <c r="I143" s="332">
        <v>0.25979999999999998</v>
      </c>
      <c r="J143" s="323">
        <v>845622955.13</v>
      </c>
      <c r="K143" s="312">
        <f t="shared" si="82"/>
        <v>2.113106797078752E-2</v>
      </c>
      <c r="L143" s="323">
        <v>1.3415999999999999</v>
      </c>
      <c r="M143" s="323">
        <v>1.3529</v>
      </c>
      <c r="N143" s="332">
        <v>-9.1000000000000004E-3</v>
      </c>
      <c r="O143" s="332">
        <v>0.2492</v>
      </c>
      <c r="P143" s="327">
        <f t="shared" si="70"/>
        <v>2.27609801882191E-2</v>
      </c>
      <c r="Q143" s="327">
        <f t="shared" si="71"/>
        <v>-9.3724829757632893E-3</v>
      </c>
      <c r="R143" s="327">
        <f t="shared" si="72"/>
        <v>-4.8000000000000004E-3</v>
      </c>
      <c r="S143" s="392">
        <f t="shared" si="73"/>
        <v>-1.0599999999999971E-2</v>
      </c>
      <c r="T143" s="111"/>
      <c r="U143" s="140"/>
      <c r="V143" s="139"/>
    </row>
    <row r="144" spans="1:22" s="310" customFormat="1" ht="12" customHeight="1">
      <c r="A144" s="406">
        <v>121</v>
      </c>
      <c r="B144" s="381" t="s">
        <v>157</v>
      </c>
      <c r="C144" s="382" t="s">
        <v>106</v>
      </c>
      <c r="D144" s="323">
        <v>6659515846.54</v>
      </c>
      <c r="E144" s="331">
        <f t="shared" si="68"/>
        <v>0.16648803181248908</v>
      </c>
      <c r="F144" s="323">
        <v>295.38</v>
      </c>
      <c r="G144" s="323">
        <v>298.70999999999998</v>
      </c>
      <c r="H144" s="332">
        <v>4.0000000000000001E-3</v>
      </c>
      <c r="I144" s="332">
        <v>0.56659999999999999</v>
      </c>
      <c r="J144" s="323">
        <v>6656001632.1099997</v>
      </c>
      <c r="K144" s="312">
        <f t="shared" si="82"/>
        <v>0.16632521864329808</v>
      </c>
      <c r="L144" s="323">
        <v>295</v>
      </c>
      <c r="M144" s="323">
        <v>298.33</v>
      </c>
      <c r="N144" s="332">
        <v>-1.2999999999999999E-3</v>
      </c>
      <c r="O144" s="332">
        <v>0.56469999999999998</v>
      </c>
      <c r="P144" s="327">
        <f t="shared" si="70"/>
        <v>-5.2769818572113482E-4</v>
      </c>
      <c r="Q144" s="327">
        <f t="shared" si="71"/>
        <v>-1.2721368551437697E-3</v>
      </c>
      <c r="R144" s="327">
        <f t="shared" si="72"/>
        <v>-5.3E-3</v>
      </c>
      <c r="S144" s="392">
        <f t="shared" si="73"/>
        <v>-1.9000000000000128E-3</v>
      </c>
      <c r="T144" s="111"/>
      <c r="U144" s="311"/>
      <c r="V144" s="139"/>
    </row>
    <row r="145" spans="1:25" s="112" customFormat="1" ht="12" customHeight="1">
      <c r="A145" s="406">
        <v>122</v>
      </c>
      <c r="B145" s="381" t="s">
        <v>231</v>
      </c>
      <c r="C145" s="382" t="s">
        <v>9</v>
      </c>
      <c r="D145" s="324">
        <v>258967289.41999999</v>
      </c>
      <c r="E145" s="331">
        <f t="shared" si="68"/>
        <v>6.4741875104556909E-3</v>
      </c>
      <c r="F145" s="323">
        <v>186.6</v>
      </c>
      <c r="G145" s="323">
        <v>189.66</v>
      </c>
      <c r="H145" s="332">
        <v>1.6000000000000001E-3</v>
      </c>
      <c r="I145" s="332">
        <v>0.3236</v>
      </c>
      <c r="J145" s="324">
        <v>262915567.68000001</v>
      </c>
      <c r="K145" s="312">
        <f t="shared" si="82"/>
        <v>6.5699336773209702E-3</v>
      </c>
      <c r="L145" s="323">
        <v>189.31</v>
      </c>
      <c r="M145" s="323">
        <v>192.43</v>
      </c>
      <c r="N145" s="332">
        <v>1.2200000000000001E-2</v>
      </c>
      <c r="O145" s="332">
        <v>0.33960000000000001</v>
      </c>
      <c r="P145" s="327">
        <f t="shared" si="70"/>
        <v>1.5246243140756663E-2</v>
      </c>
      <c r="Q145" s="327">
        <f t="shared" si="71"/>
        <v>1.4605082779711115E-2</v>
      </c>
      <c r="R145" s="327">
        <f t="shared" si="72"/>
        <v>1.06E-2</v>
      </c>
      <c r="S145" s="392">
        <f t="shared" si="73"/>
        <v>1.6000000000000014E-2</v>
      </c>
      <c r="T145" s="111"/>
      <c r="U145" s="140"/>
      <c r="V145" s="139"/>
    </row>
    <row r="146" spans="1:25" s="112" customFormat="1" ht="12" customHeight="1">
      <c r="A146" s="288"/>
      <c r="C146" s="242" t="s">
        <v>42</v>
      </c>
      <c r="D146" s="214">
        <f>SUM(D122:D145)</f>
        <v>39999967409.311623</v>
      </c>
      <c r="E146" s="260">
        <f>(D146/$D$170)</f>
        <v>2.072500226885908E-2</v>
      </c>
      <c r="F146" s="262"/>
      <c r="G146" s="181"/>
      <c r="H146" s="275"/>
      <c r="I146" s="275"/>
      <c r="J146" s="214">
        <f>SUM(J122:J145)</f>
        <v>40017994182.737228</v>
      </c>
      <c r="K146" s="260">
        <f>(J146/$J$170)</f>
        <v>2.0760682897462631E-2</v>
      </c>
      <c r="L146" s="262"/>
      <c r="M146" s="181"/>
      <c r="N146" s="275"/>
      <c r="O146" s="275"/>
      <c r="P146" s="264">
        <f t="shared" ref="P146" si="83">((J146-D146)/D146)</f>
        <v>4.506697028310405E-4</v>
      </c>
      <c r="Q146" s="264"/>
      <c r="R146" s="264">
        <f t="shared" ref="R146:S146" si="84">N146-H146</f>
        <v>0</v>
      </c>
      <c r="S146" s="392">
        <f t="shared" si="84"/>
        <v>0</v>
      </c>
      <c r="T146" s="111"/>
      <c r="U146" s="140"/>
      <c r="V146" s="139"/>
    </row>
    <row r="147" spans="1:25" s="112" customFormat="1" ht="5.25" customHeight="1">
      <c r="A147" s="408"/>
      <c r="B147" s="409"/>
      <c r="C147" s="410"/>
      <c r="D147" s="410"/>
      <c r="E147" s="410"/>
      <c r="F147" s="410"/>
      <c r="G147" s="410"/>
      <c r="H147" s="410"/>
      <c r="I147" s="410"/>
      <c r="J147" s="410"/>
      <c r="K147" s="410"/>
      <c r="L147" s="410"/>
      <c r="M147" s="410"/>
      <c r="N147" s="410"/>
      <c r="O147" s="410"/>
      <c r="P147" s="410"/>
      <c r="Q147" s="410"/>
      <c r="R147" s="410"/>
      <c r="S147" s="411"/>
      <c r="T147" s="111"/>
      <c r="U147" s="140"/>
      <c r="V147" s="139"/>
    </row>
    <row r="148" spans="1:25" s="112" customFormat="1" ht="12" customHeight="1">
      <c r="A148" s="428" t="s">
        <v>66</v>
      </c>
      <c r="B148" s="429"/>
      <c r="C148" s="430"/>
      <c r="D148" s="430"/>
      <c r="E148" s="430"/>
      <c r="F148" s="430"/>
      <c r="G148" s="430"/>
      <c r="H148" s="430"/>
      <c r="I148" s="430"/>
      <c r="J148" s="430"/>
      <c r="K148" s="430"/>
      <c r="L148" s="430"/>
      <c r="M148" s="430"/>
      <c r="N148" s="430"/>
      <c r="O148" s="430"/>
      <c r="P148" s="430"/>
      <c r="Q148" s="430"/>
      <c r="R148" s="430"/>
      <c r="S148" s="431"/>
      <c r="U148" s="141"/>
      <c r="V148" s="139"/>
    </row>
    <row r="149" spans="1:25" s="112" customFormat="1" ht="12" customHeight="1">
      <c r="A149" s="400">
        <v>123</v>
      </c>
      <c r="B149" s="381" t="s">
        <v>26</v>
      </c>
      <c r="C149" s="382" t="s">
        <v>6</v>
      </c>
      <c r="D149" s="320">
        <v>666981731.60000002</v>
      </c>
      <c r="E149" s="331">
        <f>(D149/$D$152)</f>
        <v>0.17158506138222121</v>
      </c>
      <c r="F149" s="320">
        <v>50.8446</v>
      </c>
      <c r="G149" s="320">
        <v>52.377600000000001</v>
      </c>
      <c r="H149" s="313">
        <v>-8.8499999999999995E-2</v>
      </c>
      <c r="I149" s="313">
        <v>0.16389999999999999</v>
      </c>
      <c r="J149" s="320">
        <v>671653658.22000003</v>
      </c>
      <c r="K149" s="312">
        <f>(J149/$J$152)</f>
        <v>0.17360412478141923</v>
      </c>
      <c r="L149" s="320">
        <v>51.126600000000003</v>
      </c>
      <c r="M149" s="320">
        <v>52.668100000000003</v>
      </c>
      <c r="N149" s="313">
        <v>0.28920000000000001</v>
      </c>
      <c r="O149" s="313">
        <v>0.1681</v>
      </c>
      <c r="P149" s="327">
        <f>((J149-D149)/D149)</f>
        <v>7.0045795839005628E-3</v>
      </c>
      <c r="Q149" s="327">
        <f>((M149-G149)/G149)</f>
        <v>5.5462640518084355E-3</v>
      </c>
      <c r="R149" s="327">
        <f t="shared" ref="R149:S151" si="85">N149-H149</f>
        <v>0.37770000000000004</v>
      </c>
      <c r="S149" s="392">
        <f t="shared" si="85"/>
        <v>4.2000000000000093E-3</v>
      </c>
      <c r="U149" s="113"/>
      <c r="V149" s="139"/>
    </row>
    <row r="150" spans="1:25" s="112" customFormat="1" ht="11.25" customHeight="1">
      <c r="A150" s="402">
        <v>124</v>
      </c>
      <c r="B150" s="381" t="s">
        <v>279</v>
      </c>
      <c r="C150" s="382" t="s">
        <v>280</v>
      </c>
      <c r="D150" s="319">
        <v>786368154.72000003</v>
      </c>
      <c r="E150" s="331">
        <f>(D150/$D$152)</f>
        <v>0.20229793666608908</v>
      </c>
      <c r="F150" s="320">
        <v>21.550799999999999</v>
      </c>
      <c r="G150" s="320">
        <v>21.785900000000002</v>
      </c>
      <c r="H150" s="332">
        <v>-1.8499999999999999E-2</v>
      </c>
      <c r="I150" s="332">
        <v>0.36399999999999999</v>
      </c>
      <c r="J150" s="319">
        <v>780672117.12</v>
      </c>
      <c r="K150" s="312">
        <f t="shared" ref="K150:K151" si="86">(J150/$J$152)</f>
        <v>0.2017824186248727</v>
      </c>
      <c r="L150" s="320">
        <v>21.392499999999998</v>
      </c>
      <c r="M150" s="320">
        <v>21.6221</v>
      </c>
      <c r="N150" s="332">
        <v>-1.9E-3</v>
      </c>
      <c r="O150" s="332">
        <v>0.35389999999999999</v>
      </c>
      <c r="P150" s="327">
        <f>((J150-D150)/D150)</f>
        <v>-7.2434744029381461E-3</v>
      </c>
      <c r="Q150" s="109">
        <f>((M150-G150)/G150)</f>
        <v>-7.5186244313983786E-3</v>
      </c>
      <c r="R150" s="327">
        <f t="shared" si="85"/>
        <v>1.66E-2</v>
      </c>
      <c r="S150" s="392">
        <f t="shared" si="85"/>
        <v>-1.0099999999999998E-2</v>
      </c>
    </row>
    <row r="151" spans="1:25" s="112" customFormat="1" ht="12" customHeight="1">
      <c r="A151" s="406">
        <v>125</v>
      </c>
      <c r="B151" s="381" t="s">
        <v>25</v>
      </c>
      <c r="C151" s="382" t="s">
        <v>5</v>
      </c>
      <c r="D151" s="319">
        <v>2433828439.27</v>
      </c>
      <c r="E151" s="331">
        <f>(D151/$D$152)</f>
        <v>0.62611700195168973</v>
      </c>
      <c r="F151" s="320">
        <v>1.94</v>
      </c>
      <c r="G151" s="320">
        <v>1.96</v>
      </c>
      <c r="H151" s="332">
        <v>-3.4500000000000003E-2</v>
      </c>
      <c r="I151" s="332">
        <v>0.36109999999999998</v>
      </c>
      <c r="J151" s="319">
        <v>2416554984.6399999</v>
      </c>
      <c r="K151" s="312">
        <f t="shared" si="86"/>
        <v>0.62461345659370804</v>
      </c>
      <c r="L151" s="320">
        <v>1.92</v>
      </c>
      <c r="M151" s="320">
        <v>1.95</v>
      </c>
      <c r="N151" s="332">
        <v>-5.1000000000000004E-3</v>
      </c>
      <c r="O151" s="332">
        <v>0.35420000000000001</v>
      </c>
      <c r="P151" s="327">
        <f>((J151-D151)/D151)</f>
        <v>-7.097235923161904E-3</v>
      </c>
      <c r="Q151" s="327">
        <f>((M151-G151)/G151)</f>
        <v>-5.1020408163265354E-3</v>
      </c>
      <c r="R151" s="327">
        <f t="shared" si="85"/>
        <v>2.9400000000000003E-2</v>
      </c>
      <c r="S151" s="392">
        <f t="shared" si="85"/>
        <v>-6.8999999999999617E-3</v>
      </c>
      <c r="W151" s="179"/>
      <c r="X151" s="180"/>
      <c r="Y151" s="110"/>
    </row>
    <row r="152" spans="1:25" s="112" customFormat="1" ht="12.75" customHeight="1">
      <c r="A152" s="212"/>
      <c r="C152" s="284" t="s">
        <v>42</v>
      </c>
      <c r="D152" s="214">
        <f>SUM(D149:D151)</f>
        <v>3887178325.5900002</v>
      </c>
      <c r="E152" s="260">
        <f>(D152/$D$170)</f>
        <v>2.0140461314115611E-3</v>
      </c>
      <c r="F152" s="11"/>
      <c r="G152" s="11"/>
      <c r="H152" s="274"/>
      <c r="I152" s="274"/>
      <c r="J152" s="214">
        <f>SUM(J149:J151)</f>
        <v>3868880759.98</v>
      </c>
      <c r="K152" s="260">
        <f>(J152/$J$170)</f>
        <v>2.0071122570327958E-3</v>
      </c>
      <c r="L152" s="262"/>
      <c r="M152" s="181"/>
      <c r="N152" s="275"/>
      <c r="O152" s="275"/>
      <c r="P152" s="264">
        <f>((J152-D152)/D152)</f>
        <v>-4.7071587865017512E-3</v>
      </c>
      <c r="Q152" s="264"/>
      <c r="R152" s="264">
        <f>N152-H152</f>
        <v>0</v>
      </c>
      <c r="S152" s="392">
        <f t="shared" ref="S152" si="87">O152-I152</f>
        <v>0</v>
      </c>
      <c r="V152" s="111"/>
    </row>
    <row r="153" spans="1:25" s="112" customFormat="1" ht="4.5" customHeight="1">
      <c r="A153" s="408"/>
      <c r="B153" s="409"/>
      <c r="C153" s="410"/>
      <c r="D153" s="410"/>
      <c r="E153" s="410"/>
      <c r="F153" s="410"/>
      <c r="G153" s="410"/>
      <c r="H153" s="410"/>
      <c r="I153" s="410"/>
      <c r="J153" s="410"/>
      <c r="K153" s="410"/>
      <c r="L153" s="410"/>
      <c r="M153" s="410"/>
      <c r="N153" s="410"/>
      <c r="O153" s="410"/>
      <c r="P153" s="410"/>
      <c r="Q153" s="410"/>
      <c r="R153" s="410"/>
      <c r="S153" s="411"/>
      <c r="V153" s="111"/>
    </row>
    <row r="154" spans="1:25" s="112" customFormat="1" ht="12.75" customHeight="1">
      <c r="A154" s="428" t="s">
        <v>196</v>
      </c>
      <c r="B154" s="429"/>
      <c r="C154" s="430"/>
      <c r="D154" s="430"/>
      <c r="E154" s="430"/>
      <c r="F154" s="430"/>
      <c r="G154" s="430"/>
      <c r="H154" s="430"/>
      <c r="I154" s="430"/>
      <c r="J154" s="430"/>
      <c r="K154" s="430"/>
      <c r="L154" s="430"/>
      <c r="M154" s="430"/>
      <c r="N154" s="430"/>
      <c r="O154" s="430"/>
      <c r="P154" s="430"/>
      <c r="Q154" s="430"/>
      <c r="R154" s="430"/>
      <c r="S154" s="431"/>
      <c r="V154" s="111"/>
    </row>
    <row r="155" spans="1:25" s="112" customFormat="1" ht="12.75" customHeight="1">
      <c r="A155" s="416" t="s">
        <v>197</v>
      </c>
      <c r="B155" s="417"/>
      <c r="C155" s="418"/>
      <c r="D155" s="418"/>
      <c r="E155" s="418"/>
      <c r="F155" s="418"/>
      <c r="G155" s="418"/>
      <c r="H155" s="418"/>
      <c r="I155" s="418"/>
      <c r="J155" s="418"/>
      <c r="K155" s="418"/>
      <c r="L155" s="418"/>
      <c r="M155" s="418"/>
      <c r="N155" s="418"/>
      <c r="O155" s="418"/>
      <c r="P155" s="418"/>
      <c r="Q155" s="418"/>
      <c r="R155" s="418"/>
      <c r="S155" s="419"/>
      <c r="V155" s="111"/>
    </row>
    <row r="156" spans="1:25" s="112" customFormat="1" ht="12" customHeight="1">
      <c r="A156" s="406">
        <v>126</v>
      </c>
      <c r="B156" s="381" t="s">
        <v>128</v>
      </c>
      <c r="C156" s="382" t="s">
        <v>23</v>
      </c>
      <c r="D156" s="314">
        <v>3662980447.79</v>
      </c>
      <c r="E156" s="331">
        <f>(D156/$D$169)</f>
        <v>7.9461582268860145E-2</v>
      </c>
      <c r="F156" s="315">
        <v>1.81</v>
      </c>
      <c r="G156" s="315">
        <v>1.83</v>
      </c>
      <c r="H156" s="318">
        <v>-2.9999999999999997E-4</v>
      </c>
      <c r="I156" s="318">
        <v>0.12470000000000001</v>
      </c>
      <c r="J156" s="314">
        <v>3665464075.4899998</v>
      </c>
      <c r="K156" s="331">
        <f>(J156/$J$169)</f>
        <v>8.0661110523121873E-2</v>
      </c>
      <c r="L156" s="315">
        <v>1.81</v>
      </c>
      <c r="M156" s="315">
        <v>1.83</v>
      </c>
      <c r="N156" s="318">
        <v>1.1000000000000001E-3</v>
      </c>
      <c r="O156" s="318">
        <v>0.12590000000000001</v>
      </c>
      <c r="P156" s="109">
        <f>((J156-D156)/D156)</f>
        <v>6.7803465931636788E-4</v>
      </c>
      <c r="Q156" s="109">
        <f>((M156-G156)/G156)</f>
        <v>0</v>
      </c>
      <c r="R156" s="327">
        <f>N156-H156</f>
        <v>1.4E-3</v>
      </c>
      <c r="S156" s="392">
        <f t="shared" ref="S156" si="88">O156-I156</f>
        <v>1.2000000000000066E-3</v>
      </c>
      <c r="V156" s="111"/>
    </row>
    <row r="157" spans="1:25" s="328" customFormat="1" ht="12" customHeight="1">
      <c r="A157" s="406">
        <v>127</v>
      </c>
      <c r="B157" s="381" t="s">
        <v>65</v>
      </c>
      <c r="C157" s="382" t="s">
        <v>5</v>
      </c>
      <c r="D157" s="314">
        <v>517837902.87</v>
      </c>
      <c r="E157" s="331">
        <f>(D157/$D$169)</f>
        <v>1.1233535015362865E-2</v>
      </c>
      <c r="F157" s="315">
        <v>378.88</v>
      </c>
      <c r="G157" s="315">
        <v>383.72</v>
      </c>
      <c r="H157" s="318">
        <v>-2.8799999999999999E-2</v>
      </c>
      <c r="I157" s="318">
        <v>0.44529999999999997</v>
      </c>
      <c r="J157" s="314">
        <v>516822347.82999998</v>
      </c>
      <c r="K157" s="331">
        <f>(J157/$J$169)</f>
        <v>1.1373038627738337E-2</v>
      </c>
      <c r="L157" s="315">
        <v>372.91</v>
      </c>
      <c r="M157" s="315">
        <v>377.58</v>
      </c>
      <c r="N157" s="318">
        <v>-1.6E-2</v>
      </c>
      <c r="O157" s="318">
        <v>0.42220000000000002</v>
      </c>
      <c r="P157" s="327">
        <f>((J157-D157)/D157)</f>
        <v>-1.9611446639412377E-3</v>
      </c>
      <c r="Q157" s="327">
        <f>((M157-G157)/G157)</f>
        <v>-1.6001250912123535E-2</v>
      </c>
      <c r="R157" s="327">
        <f>N157-H157</f>
        <v>1.2799999999999999E-2</v>
      </c>
      <c r="S157" s="392">
        <f t="shared" ref="S157" si="89">O157-I157</f>
        <v>-2.3099999999999954E-2</v>
      </c>
      <c r="V157" s="111"/>
    </row>
    <row r="158" spans="1:25" s="112" customFormat="1" ht="6" customHeight="1">
      <c r="A158" s="408"/>
      <c r="B158" s="409"/>
      <c r="C158" s="410"/>
      <c r="D158" s="410"/>
      <c r="E158" s="410"/>
      <c r="F158" s="410"/>
      <c r="G158" s="410"/>
      <c r="H158" s="410"/>
      <c r="I158" s="410"/>
      <c r="J158" s="410"/>
      <c r="K158" s="410"/>
      <c r="L158" s="410"/>
      <c r="M158" s="410"/>
      <c r="N158" s="410"/>
      <c r="O158" s="410"/>
      <c r="P158" s="410"/>
      <c r="Q158" s="410"/>
      <c r="R158" s="410"/>
      <c r="S158" s="411"/>
      <c r="T158" s="186"/>
    </row>
    <row r="159" spans="1:25" s="112" customFormat="1" ht="12" customHeight="1">
      <c r="A159" s="416" t="s">
        <v>198</v>
      </c>
      <c r="B159" s="417"/>
      <c r="C159" s="418"/>
      <c r="D159" s="418"/>
      <c r="E159" s="418"/>
      <c r="F159" s="418"/>
      <c r="G159" s="418"/>
      <c r="H159" s="418"/>
      <c r="I159" s="418"/>
      <c r="J159" s="418"/>
      <c r="K159" s="418"/>
      <c r="L159" s="418"/>
      <c r="M159" s="418"/>
      <c r="N159" s="418"/>
      <c r="O159" s="418"/>
      <c r="P159" s="418"/>
      <c r="Q159" s="418"/>
      <c r="R159" s="418"/>
      <c r="S159" s="419"/>
      <c r="T159" s="186"/>
    </row>
    <row r="160" spans="1:25" s="112" customFormat="1" ht="12" customHeight="1">
      <c r="A160" s="398">
        <v>128</v>
      </c>
      <c r="B160" s="381" t="s">
        <v>226</v>
      </c>
      <c r="C160" s="382" t="s">
        <v>227</v>
      </c>
      <c r="D160" s="324">
        <v>449132137.16000003</v>
      </c>
      <c r="E160" s="331">
        <f t="shared" ref="E160:E166" si="90">(D160/$D$169)</f>
        <v>9.7430905720669488E-3</v>
      </c>
      <c r="F160" s="324">
        <v>1036.77</v>
      </c>
      <c r="G160" s="324">
        <v>1036.77</v>
      </c>
      <c r="H160" s="332">
        <v>3.6799999999999999E-2</v>
      </c>
      <c r="I160" s="332">
        <v>2.3999999999999998E-3</v>
      </c>
      <c r="J160" s="324">
        <v>450038155.29000002</v>
      </c>
      <c r="K160" s="331">
        <f t="shared" ref="K160:K168" si="91">(J160/$J$169)</f>
        <v>9.9034055813562727E-3</v>
      </c>
      <c r="L160" s="324">
        <v>1038.8599999999999</v>
      </c>
      <c r="M160" s="324">
        <v>1038.8599999999999</v>
      </c>
      <c r="N160" s="332">
        <v>3.8899999999999997E-2</v>
      </c>
      <c r="O160" s="332">
        <v>2.5000000000000001E-3</v>
      </c>
      <c r="P160" s="327">
        <f t="shared" ref="P160:P166" si="92">((J160-D160)/D160)</f>
        <v>2.0172640856408654E-3</v>
      </c>
      <c r="Q160" s="327">
        <f t="shared" ref="Q160:Q166" si="93">((M160-G160)/G160)</f>
        <v>2.015876230986543E-3</v>
      </c>
      <c r="R160" s="327">
        <f t="shared" ref="R160:S166" si="94">N160-H160</f>
        <v>2.0999999999999977E-3</v>
      </c>
      <c r="S160" s="392">
        <f t="shared" si="94"/>
        <v>1.0000000000000026E-4</v>
      </c>
      <c r="T160" s="186"/>
    </row>
    <row r="161" spans="1:20" s="112" customFormat="1" ht="12" customHeight="1">
      <c r="A161" s="399">
        <v>129</v>
      </c>
      <c r="B161" s="381" t="s">
        <v>229</v>
      </c>
      <c r="C161" s="382" t="s">
        <v>88</v>
      </c>
      <c r="D161" s="324">
        <v>47754112.850000001</v>
      </c>
      <c r="E161" s="331">
        <f t="shared" si="90"/>
        <v>1.0359371066793785E-3</v>
      </c>
      <c r="F161" s="320">
        <v>109.51</v>
      </c>
      <c r="G161" s="320">
        <v>109.51</v>
      </c>
      <c r="H161" s="332">
        <v>2.7000000000000001E-3</v>
      </c>
      <c r="I161" s="332">
        <v>0.1205</v>
      </c>
      <c r="J161" s="324">
        <v>45681050.659999996</v>
      </c>
      <c r="K161" s="331">
        <f t="shared" si="91"/>
        <v>1.0052435926836958E-3</v>
      </c>
      <c r="L161" s="320">
        <v>109.72</v>
      </c>
      <c r="M161" s="320">
        <v>109.72</v>
      </c>
      <c r="N161" s="332">
        <v>1.9E-3</v>
      </c>
      <c r="O161" s="332">
        <v>0.1202</v>
      </c>
      <c r="P161" s="327">
        <f t="shared" si="92"/>
        <v>-4.3411175839695344E-2</v>
      </c>
      <c r="Q161" s="327">
        <f t="shared" si="93"/>
        <v>1.9176330928681741E-3</v>
      </c>
      <c r="R161" s="327">
        <f t="shared" si="94"/>
        <v>-8.0000000000000015E-4</v>
      </c>
      <c r="S161" s="392">
        <f t="shared" si="94"/>
        <v>-2.9999999999999472E-4</v>
      </c>
      <c r="T161" s="186"/>
    </row>
    <row r="162" spans="1:20" s="112" customFormat="1" ht="12" customHeight="1">
      <c r="A162" s="406">
        <v>130</v>
      </c>
      <c r="B162" s="405" t="s">
        <v>233</v>
      </c>
      <c r="C162" s="382" t="s">
        <v>98</v>
      </c>
      <c r="D162" s="319">
        <v>53349143.259999998</v>
      </c>
      <c r="E162" s="331">
        <f t="shared" si="90"/>
        <v>1.157310937514109E-3</v>
      </c>
      <c r="F162" s="320">
        <v>102.37</v>
      </c>
      <c r="G162" s="320">
        <v>108.2</v>
      </c>
      <c r="H162" s="332">
        <v>1.8E-3</v>
      </c>
      <c r="I162" s="332">
        <v>6.2100000000000002E-2</v>
      </c>
      <c r="J162" s="319">
        <v>53406240.590000004</v>
      </c>
      <c r="K162" s="331">
        <f t="shared" si="91"/>
        <v>1.175241820990582E-3</v>
      </c>
      <c r="L162" s="320">
        <v>102.48</v>
      </c>
      <c r="M162" s="320">
        <v>108.45</v>
      </c>
      <c r="N162" s="332">
        <v>1.8E-3</v>
      </c>
      <c r="O162" s="332">
        <v>6.3899999999999998E-2</v>
      </c>
      <c r="P162" s="327">
        <f t="shared" si="92"/>
        <v>1.0702576744623371E-3</v>
      </c>
      <c r="Q162" s="327">
        <f t="shared" si="93"/>
        <v>2.3105360443622918E-3</v>
      </c>
      <c r="R162" s="327">
        <f t="shared" si="94"/>
        <v>0</v>
      </c>
      <c r="S162" s="392">
        <f t="shared" si="94"/>
        <v>1.799999999999996E-3</v>
      </c>
      <c r="T162" s="186"/>
    </row>
    <row r="163" spans="1:20" s="112" customFormat="1" ht="12" customHeight="1">
      <c r="A163" s="406">
        <v>131</v>
      </c>
      <c r="B163" s="381" t="s">
        <v>185</v>
      </c>
      <c r="C163" s="382" t="s">
        <v>184</v>
      </c>
      <c r="D163" s="324">
        <v>10157425882.790001</v>
      </c>
      <c r="E163" s="331">
        <f t="shared" si="90"/>
        <v>0.22034655765420014</v>
      </c>
      <c r="F163" s="320">
        <v>133.78</v>
      </c>
      <c r="G163" s="320">
        <v>133.78</v>
      </c>
      <c r="H163" s="332">
        <v>2.3999999999999998E-3</v>
      </c>
      <c r="I163" s="332">
        <v>0.13139999999999999</v>
      </c>
      <c r="J163" s="324">
        <v>9332852719.0300007</v>
      </c>
      <c r="K163" s="331">
        <f t="shared" si="91"/>
        <v>0.20537597672814817</v>
      </c>
      <c r="L163" s="320">
        <v>134.11000000000001</v>
      </c>
      <c r="M163" s="320">
        <v>134.11000000000001</v>
      </c>
      <c r="N163" s="332">
        <v>2.5000000000000001E-3</v>
      </c>
      <c r="O163" s="332">
        <v>0.1313</v>
      </c>
      <c r="P163" s="327">
        <f t="shared" si="92"/>
        <v>-8.1179343396154791E-2</v>
      </c>
      <c r="Q163" s="327">
        <f t="shared" si="93"/>
        <v>2.4667364329497123E-3</v>
      </c>
      <c r="R163" s="327">
        <f t="shared" si="94"/>
        <v>1.0000000000000026E-4</v>
      </c>
      <c r="S163" s="392">
        <f t="shared" si="94"/>
        <v>-9.9999999999988987E-5</v>
      </c>
      <c r="T163" s="186"/>
    </row>
    <row r="164" spans="1:20" s="328" customFormat="1" ht="12" customHeight="1">
      <c r="A164" s="406">
        <v>132</v>
      </c>
      <c r="B164" s="381" t="s">
        <v>85</v>
      </c>
      <c r="C164" s="382" t="s">
        <v>23</v>
      </c>
      <c r="D164" s="324">
        <v>18063713716.709999</v>
      </c>
      <c r="E164" s="331">
        <f t="shared" ref="E164" si="95">(D164/$D$86)</f>
        <v>5.9761677944805754E-2</v>
      </c>
      <c r="F164" s="324">
        <v>1198.81</v>
      </c>
      <c r="G164" s="324">
        <v>1198.81</v>
      </c>
      <c r="H164" s="332">
        <v>2.0999999999999999E-3</v>
      </c>
      <c r="I164" s="332">
        <v>7.1999999999999995E-2</v>
      </c>
      <c r="J164" s="324">
        <v>18110055307.509998</v>
      </c>
      <c r="K164" s="331">
        <f t="shared" si="91"/>
        <v>0.39852448220861009</v>
      </c>
      <c r="L164" s="324">
        <v>1204.28</v>
      </c>
      <c r="M164" s="324">
        <v>1204.28</v>
      </c>
      <c r="N164" s="332">
        <v>4.5999999999999999E-3</v>
      </c>
      <c r="O164" s="332">
        <v>7.6600000000000001E-2</v>
      </c>
      <c r="P164" s="327">
        <f t="shared" si="92"/>
        <v>2.5654520176064646E-3</v>
      </c>
      <c r="Q164" s="327">
        <f t="shared" si="93"/>
        <v>4.5628581676829755E-3</v>
      </c>
      <c r="R164" s="327">
        <f t="shared" si="94"/>
        <v>2.5000000000000001E-3</v>
      </c>
      <c r="S164" s="392">
        <f t="shared" si="94"/>
        <v>4.6000000000000069E-3</v>
      </c>
      <c r="T164" s="317"/>
    </row>
    <row r="165" spans="1:20" s="112" customFormat="1" ht="12" customHeight="1">
      <c r="A165" s="406">
        <v>133</v>
      </c>
      <c r="B165" s="381" t="s">
        <v>172</v>
      </c>
      <c r="C165" s="382" t="s">
        <v>171</v>
      </c>
      <c r="D165" s="324">
        <v>693735502.30999994</v>
      </c>
      <c r="E165" s="331">
        <f t="shared" si="90"/>
        <v>1.5049307927071804E-2</v>
      </c>
      <c r="F165" s="325">
        <v>103.8</v>
      </c>
      <c r="G165" s="325">
        <v>103.8</v>
      </c>
      <c r="H165" s="332">
        <v>2E-3</v>
      </c>
      <c r="I165" s="332">
        <v>7.22E-2</v>
      </c>
      <c r="J165" s="324">
        <v>697637105.63999999</v>
      </c>
      <c r="K165" s="331">
        <f t="shared" si="91"/>
        <v>1.5351994324357526E-2</v>
      </c>
      <c r="L165" s="325">
        <v>104.035668744053</v>
      </c>
      <c r="M165" s="325">
        <v>104.035668744053</v>
      </c>
      <c r="N165" s="332">
        <v>2.2000000000000001E-3</v>
      </c>
      <c r="O165" s="332">
        <v>7.4499999999999997E-2</v>
      </c>
      <c r="P165" s="327">
        <f t="shared" si="92"/>
        <v>5.6240502569185041E-3</v>
      </c>
      <c r="Q165" s="327">
        <f t="shared" si="93"/>
        <v>2.2704117924181211E-3</v>
      </c>
      <c r="R165" s="327">
        <f t="shared" si="94"/>
        <v>2.0000000000000009E-4</v>
      </c>
      <c r="S165" s="392">
        <f t="shared" si="94"/>
        <v>2.2999999999999965E-3</v>
      </c>
      <c r="T165" s="186"/>
    </row>
    <row r="166" spans="1:20" s="316" customFormat="1" ht="12" customHeight="1">
      <c r="A166" s="406">
        <v>134</v>
      </c>
      <c r="B166" s="381" t="s">
        <v>130</v>
      </c>
      <c r="C166" s="382" t="s">
        <v>5</v>
      </c>
      <c r="D166" s="324">
        <v>8480954472.5100002</v>
      </c>
      <c r="E166" s="331">
        <f t="shared" si="90"/>
        <v>0.18397861281034233</v>
      </c>
      <c r="F166" s="325">
        <v>125.93</v>
      </c>
      <c r="G166" s="325">
        <v>125.93</v>
      </c>
      <c r="H166" s="332">
        <v>6.9999999999999999E-4</v>
      </c>
      <c r="I166" s="332">
        <v>4.0599999999999997E-2</v>
      </c>
      <c r="J166" s="324">
        <v>8513667173.5900002</v>
      </c>
      <c r="K166" s="331">
        <f t="shared" si="91"/>
        <v>0.18734922364618087</v>
      </c>
      <c r="L166" s="325">
        <v>126.1</v>
      </c>
      <c r="M166" s="325">
        <v>126.1</v>
      </c>
      <c r="N166" s="332">
        <v>1.2999999999999999E-3</v>
      </c>
      <c r="O166" s="332">
        <v>4.2000000000000003E-2</v>
      </c>
      <c r="P166" s="327">
        <f t="shared" si="92"/>
        <v>3.857195694898992E-3</v>
      </c>
      <c r="Q166" s="327">
        <f t="shared" si="93"/>
        <v>1.3499563249423289E-3</v>
      </c>
      <c r="R166" s="327">
        <f t="shared" si="94"/>
        <v>5.9999999999999995E-4</v>
      </c>
      <c r="S166" s="392">
        <f t="shared" si="94"/>
        <v>1.4000000000000054E-3</v>
      </c>
      <c r="T166" s="317"/>
    </row>
    <row r="167" spans="1:20" s="328" customFormat="1" ht="12" customHeight="1">
      <c r="A167" s="406">
        <v>135</v>
      </c>
      <c r="B167" s="381" t="s">
        <v>163</v>
      </c>
      <c r="C167" s="382" t="s">
        <v>41</v>
      </c>
      <c r="D167" s="324">
        <v>3654403630.3299999</v>
      </c>
      <c r="E167" s="331">
        <f t="shared" ref="E167" si="96">(D167/$D$169)</f>
        <v>7.9275524085935911E-2</v>
      </c>
      <c r="F167" s="325">
        <v>1.1415</v>
      </c>
      <c r="G167" s="325">
        <v>1.1415</v>
      </c>
      <c r="H167" s="332">
        <v>0.1008</v>
      </c>
      <c r="I167" s="332">
        <v>0.1134</v>
      </c>
      <c r="J167" s="324">
        <v>3741352427.71</v>
      </c>
      <c r="K167" s="331">
        <f t="shared" si="91"/>
        <v>8.2331086995341626E-2</v>
      </c>
      <c r="L167" s="325">
        <v>1.1435</v>
      </c>
      <c r="M167" s="325">
        <v>1.1435</v>
      </c>
      <c r="N167" s="332">
        <v>9.5600000000000004E-2</v>
      </c>
      <c r="O167" s="332">
        <v>0.1128</v>
      </c>
      <c r="P167" s="327">
        <f t="shared" ref="P167" si="97">((J167-D167)/D167)</f>
        <v>2.3792882827272276E-2</v>
      </c>
      <c r="Q167" s="327">
        <f t="shared" ref="Q167" si="98">((M167-G167)/G167)</f>
        <v>1.7520805957074042E-3</v>
      </c>
      <c r="R167" s="327">
        <f t="shared" ref="R167" si="99">N167-H167</f>
        <v>-5.1999999999999963E-3</v>
      </c>
      <c r="S167" s="392">
        <f t="shared" ref="S167:S168" si="100">O167-I167</f>
        <v>-6.0000000000000331E-4</v>
      </c>
      <c r="T167" s="317"/>
    </row>
    <row r="168" spans="1:20" s="112" customFormat="1" ht="12" customHeight="1">
      <c r="A168" s="406">
        <v>136</v>
      </c>
      <c r="B168" s="381" t="s">
        <v>275</v>
      </c>
      <c r="C168" s="382" t="s">
        <v>276</v>
      </c>
      <c r="D168" s="314">
        <v>316215054.29000002</v>
      </c>
      <c r="E168" s="331">
        <f>(D168/$D$169)</f>
        <v>6.8597004295441579E-3</v>
      </c>
      <c r="F168" s="315">
        <v>98.984899999999996</v>
      </c>
      <c r="G168" s="315">
        <v>98.9876</v>
      </c>
      <c r="H168" s="318">
        <v>-4.8000000000000001E-5</v>
      </c>
      <c r="I168" s="318">
        <v>0</v>
      </c>
      <c r="J168" s="314">
        <v>315790694.52999997</v>
      </c>
      <c r="K168" s="331">
        <f t="shared" si="91"/>
        <v>6.9491959514710669E-3</v>
      </c>
      <c r="L168" s="315">
        <v>98.833299999999994</v>
      </c>
      <c r="M168" s="315">
        <v>98.859300000000005</v>
      </c>
      <c r="N168" s="318">
        <v>5.0000000000000001E-4</v>
      </c>
      <c r="O168" s="318">
        <v>5.0000000000000001E-4</v>
      </c>
      <c r="P168" s="327">
        <f>((J168-D168)/D168)</f>
        <v>-1.3419973345445812E-3</v>
      </c>
      <c r="Q168" s="327">
        <f>((M168-G168)/G168)</f>
        <v>-1.2961219385053872E-3</v>
      </c>
      <c r="R168" s="327">
        <f>N168-H168</f>
        <v>5.4799999999999998E-4</v>
      </c>
      <c r="S168" s="392">
        <f t="shared" si="100"/>
        <v>5.0000000000000001E-4</v>
      </c>
      <c r="T168" s="186"/>
    </row>
    <row r="169" spans="1:20" s="112" customFormat="1" ht="12" customHeight="1">
      <c r="A169" s="259"/>
      <c r="C169" s="284" t="s">
        <v>42</v>
      </c>
      <c r="D169" s="76">
        <f>SUM(D156:D168)</f>
        <v>46097502002.870003</v>
      </c>
      <c r="E169" s="260">
        <f>(D169/$D$170)</f>
        <v>2.3884290300091978E-2</v>
      </c>
      <c r="F169" s="261"/>
      <c r="G169" s="72"/>
      <c r="H169" s="243"/>
      <c r="I169" s="243"/>
      <c r="J169" s="76">
        <f>SUM(J156:J168)</f>
        <v>45442767297.869995</v>
      </c>
      <c r="K169" s="260">
        <f>(J169/$J$170)</f>
        <v>2.3574966739868058E-2</v>
      </c>
      <c r="L169" s="262"/>
      <c r="M169" s="72"/>
      <c r="N169" s="263"/>
      <c r="O169" s="263"/>
      <c r="P169" s="264">
        <f t="shared" ref="P169:P170" si="101">((J169-D169)/D169)</f>
        <v>-1.4203257802543058E-2</v>
      </c>
      <c r="Q169" s="264"/>
      <c r="R169" s="264">
        <f t="shared" ref="R169:S169" si="102">N169-H169</f>
        <v>0</v>
      </c>
      <c r="S169" s="392">
        <f t="shared" si="102"/>
        <v>0</v>
      </c>
      <c r="T169" s="137" t="s">
        <v>256</v>
      </c>
    </row>
    <row r="170" spans="1:20" s="112" customFormat="1" ht="12" customHeight="1">
      <c r="A170" s="265"/>
      <c r="B170" s="266"/>
      <c r="C170" s="266" t="s">
        <v>28</v>
      </c>
      <c r="D170" s="267">
        <f>SUM(D22,D54,D86,D112,D119,D146,D152,D169)</f>
        <v>1930034404358.7715</v>
      </c>
      <c r="E170" s="268"/>
      <c r="F170" s="268"/>
      <c r="G170" s="269"/>
      <c r="H170" s="270"/>
      <c r="I170" s="270"/>
      <c r="J170" s="267">
        <f>SUM(J22,J54,J86,J112,J119,J146,J152,J169)</f>
        <v>1927585637735.8486</v>
      </c>
      <c r="K170" s="268"/>
      <c r="L170" s="268"/>
      <c r="M170" s="269"/>
      <c r="N170" s="271"/>
      <c r="O170" s="271"/>
      <c r="P170" s="272">
        <f t="shared" si="101"/>
        <v>-1.2687683791504339E-3</v>
      </c>
      <c r="Q170" s="272"/>
      <c r="R170" s="272"/>
      <c r="S170" s="273"/>
      <c r="T170" s="138">
        <f>((J170-D170)/D170)</f>
        <v>-1.2687683791504339E-3</v>
      </c>
    </row>
    <row r="171" spans="1:20" s="112" customFormat="1" ht="6.75" customHeight="1">
      <c r="A171" s="408"/>
      <c r="B171" s="409"/>
      <c r="C171" s="410"/>
      <c r="D171" s="410"/>
      <c r="E171" s="410"/>
      <c r="F171" s="410"/>
      <c r="G171" s="410"/>
      <c r="H171" s="410"/>
      <c r="I171" s="410"/>
      <c r="J171" s="410"/>
      <c r="K171" s="410"/>
      <c r="L171" s="410"/>
      <c r="M171" s="410"/>
      <c r="N171" s="410"/>
      <c r="O171" s="410"/>
      <c r="P171" s="410"/>
      <c r="Q171" s="410"/>
      <c r="R171" s="410"/>
      <c r="S171" s="362"/>
      <c r="T171" s="186"/>
    </row>
    <row r="172" spans="1:20" s="112" customFormat="1" ht="12" customHeight="1">
      <c r="A172" s="412" t="s">
        <v>199</v>
      </c>
      <c r="B172" s="413"/>
      <c r="C172" s="414"/>
      <c r="D172" s="414"/>
      <c r="E172" s="414"/>
      <c r="F172" s="414"/>
      <c r="G172" s="414"/>
      <c r="H172" s="414"/>
      <c r="I172" s="414"/>
      <c r="J172" s="414"/>
      <c r="K172" s="414"/>
      <c r="L172" s="414"/>
      <c r="M172" s="414"/>
      <c r="N172" s="414"/>
      <c r="O172" s="414"/>
      <c r="P172" s="414"/>
      <c r="Q172" s="414"/>
      <c r="R172" s="414"/>
      <c r="S172" s="415"/>
      <c r="T172" s="186"/>
    </row>
    <row r="173" spans="1:20" s="112" customFormat="1" ht="25.5" customHeight="1">
      <c r="A173" s="240"/>
      <c r="B173" s="241"/>
      <c r="C173" s="241"/>
      <c r="D173" s="255" t="s">
        <v>203</v>
      </c>
      <c r="E173" s="256"/>
      <c r="F173" s="256"/>
      <c r="G173" s="360" t="s">
        <v>204</v>
      </c>
      <c r="H173" s="257"/>
      <c r="I173" s="257"/>
      <c r="J173" s="258" t="s">
        <v>203</v>
      </c>
      <c r="K173" s="256"/>
      <c r="L173" s="254" t="s">
        <v>211</v>
      </c>
      <c r="M173" s="254" t="s">
        <v>212</v>
      </c>
      <c r="N173" s="360"/>
      <c r="O173" s="360"/>
      <c r="P173" s="437" t="s">
        <v>62</v>
      </c>
      <c r="Q173" s="437"/>
      <c r="R173" s="437"/>
      <c r="S173" s="361"/>
      <c r="T173" s="186"/>
    </row>
    <row r="174" spans="1:20" s="112" customFormat="1" ht="12" customHeight="1">
      <c r="A174" s="280" t="s">
        <v>1</v>
      </c>
      <c r="B174" s="282" t="s">
        <v>2</v>
      </c>
      <c r="C174" s="281" t="s">
        <v>192</v>
      </c>
      <c r="D174" s="196"/>
      <c r="E174" s="196"/>
      <c r="F174" s="196"/>
      <c r="G174" s="196"/>
      <c r="H174" s="196"/>
      <c r="I174" s="196"/>
      <c r="J174" s="223"/>
      <c r="K174" s="224"/>
      <c r="L174" s="224"/>
      <c r="M174" s="225"/>
      <c r="N174" s="225"/>
      <c r="O174" s="225"/>
      <c r="P174" s="297" t="s">
        <v>202</v>
      </c>
      <c r="Q174" s="295" t="s">
        <v>205</v>
      </c>
      <c r="R174" s="295" t="s">
        <v>213</v>
      </c>
      <c r="S174" s="363"/>
      <c r="T174" s="186"/>
    </row>
    <row r="175" spans="1:20" s="112" customFormat="1" ht="12" customHeight="1">
      <c r="A175" s="398">
        <v>1</v>
      </c>
      <c r="B175" s="381" t="s">
        <v>217</v>
      </c>
      <c r="C175" s="382" t="s">
        <v>117</v>
      </c>
      <c r="D175" s="324">
        <v>92548651821</v>
      </c>
      <c r="E175" s="331">
        <f>(D175/$D$177)</f>
        <v>0.97882732206079381</v>
      </c>
      <c r="F175" s="325">
        <v>108.39</v>
      </c>
      <c r="G175" s="325">
        <v>108.39</v>
      </c>
      <c r="H175" s="321">
        <v>0</v>
      </c>
      <c r="I175" s="321">
        <v>0.13800000000000001</v>
      </c>
      <c r="J175" s="324">
        <v>92548651821</v>
      </c>
      <c r="K175" s="331">
        <f>(J175/$J$177)</f>
        <v>0.97897899932978039</v>
      </c>
      <c r="L175" s="325">
        <v>108.39</v>
      </c>
      <c r="M175" s="325">
        <v>108.39</v>
      </c>
      <c r="N175" s="321">
        <v>0</v>
      </c>
      <c r="O175" s="321">
        <v>0.13800000000000001</v>
      </c>
      <c r="P175" s="327">
        <f>((J175-D175)/D175)</f>
        <v>0</v>
      </c>
      <c r="Q175" s="327">
        <f>((M175-G175)/G175)</f>
        <v>0</v>
      </c>
      <c r="R175" s="327">
        <f>N175-H175</f>
        <v>0</v>
      </c>
      <c r="S175" s="392">
        <f t="shared" ref="S175:S177" si="103">O175-I175</f>
        <v>0</v>
      </c>
      <c r="T175" s="186"/>
    </row>
    <row r="176" spans="1:20" s="112" customFormat="1" ht="12" customHeight="1">
      <c r="A176" s="399">
        <v>2</v>
      </c>
      <c r="B176" s="381" t="s">
        <v>241</v>
      </c>
      <c r="C176" s="382" t="s">
        <v>41</v>
      </c>
      <c r="D176" s="324">
        <v>2001888131.3900001</v>
      </c>
      <c r="E176" s="331">
        <f>(D176/$D$177)</f>
        <v>2.1172677939206179E-2</v>
      </c>
      <c r="F176" s="326">
        <v>1000000</v>
      </c>
      <c r="G176" s="326">
        <v>1000000</v>
      </c>
      <c r="H176" s="321">
        <v>0.18099999999999999</v>
      </c>
      <c r="I176" s="321">
        <v>0.18099999999999999</v>
      </c>
      <c r="J176" s="324">
        <v>1987239024.8299999</v>
      </c>
      <c r="K176" s="331">
        <f>(J176/$J$177)</f>
        <v>2.1021000670219607E-2</v>
      </c>
      <c r="L176" s="326">
        <v>1000000</v>
      </c>
      <c r="M176" s="326">
        <v>1000000</v>
      </c>
      <c r="N176" s="321">
        <v>0.16600000000000001</v>
      </c>
      <c r="O176" s="321">
        <v>0.16600000000000001</v>
      </c>
      <c r="P176" s="327">
        <f>((J176-D176)/D176)</f>
        <v>-7.3176449424417409E-3</v>
      </c>
      <c r="Q176" s="327">
        <f>((M176-G176)/G176)</f>
        <v>0</v>
      </c>
      <c r="R176" s="327">
        <f>N176-H176</f>
        <v>-1.4999999999999986E-2</v>
      </c>
      <c r="S176" s="392">
        <f t="shared" si="103"/>
        <v>-1.4999999999999986E-2</v>
      </c>
      <c r="T176" s="137" t="s">
        <v>207</v>
      </c>
    </row>
    <row r="177" spans="1:21" s="112" customFormat="1" ht="12" customHeight="1">
      <c r="A177" s="266"/>
      <c r="B177" s="266"/>
      <c r="C177" s="266" t="s">
        <v>200</v>
      </c>
      <c r="D177" s="366">
        <f>SUM(D175:D176)</f>
        <v>94550539952.389999</v>
      </c>
      <c r="E177" s="366"/>
      <c r="F177" s="367"/>
      <c r="G177" s="367"/>
      <c r="H177" s="368"/>
      <c r="I177" s="368"/>
      <c r="J177" s="366">
        <f>SUM(J175:J176)</f>
        <v>94535890845.830002</v>
      </c>
      <c r="K177" s="369"/>
      <c r="L177" s="367"/>
      <c r="M177" s="367"/>
      <c r="N177" s="368"/>
      <c r="O177" s="368"/>
      <c r="P177" s="370">
        <f>((J177-D177)/D177)</f>
        <v>-1.5493413963975217E-4</v>
      </c>
      <c r="Q177" s="371"/>
      <c r="R177" s="370">
        <f>N177-H177</f>
        <v>0</v>
      </c>
      <c r="S177" s="393">
        <f t="shared" si="103"/>
        <v>0</v>
      </c>
      <c r="T177" s="138">
        <f>((J177-D177)/D177)</f>
        <v>-1.5493413963975217E-4</v>
      </c>
    </row>
    <row r="178" spans="1:21" s="112" customFormat="1" ht="7.5" customHeight="1">
      <c r="A178" s="420"/>
      <c r="B178" s="421"/>
      <c r="C178" s="422"/>
      <c r="D178" s="422"/>
      <c r="E178" s="422"/>
      <c r="F178" s="422"/>
      <c r="G178" s="422"/>
      <c r="H178" s="422"/>
      <c r="I178" s="422"/>
      <c r="J178" s="422"/>
      <c r="K178" s="422"/>
      <c r="L178" s="422"/>
      <c r="M178" s="422"/>
      <c r="N178" s="422"/>
      <c r="O178" s="422"/>
      <c r="P178" s="422"/>
      <c r="Q178" s="422"/>
      <c r="R178" s="422"/>
      <c r="S178" s="423"/>
      <c r="T178" s="186"/>
    </row>
    <row r="179" spans="1:21" s="112" customFormat="1" ht="12" customHeight="1">
      <c r="A179" s="412" t="s">
        <v>46</v>
      </c>
      <c r="B179" s="413"/>
      <c r="C179" s="414"/>
      <c r="D179" s="414"/>
      <c r="E179" s="414"/>
      <c r="F179" s="414"/>
      <c r="G179" s="414"/>
      <c r="H179" s="414"/>
      <c r="I179" s="414"/>
      <c r="J179" s="414"/>
      <c r="K179" s="414"/>
      <c r="L179" s="414"/>
      <c r="M179" s="414"/>
      <c r="N179" s="414"/>
      <c r="O179" s="414"/>
      <c r="P179" s="414"/>
      <c r="Q179" s="414"/>
      <c r="R179" s="414"/>
      <c r="S179" s="415"/>
      <c r="T179" s="186"/>
    </row>
    <row r="180" spans="1:21" s="112" customFormat="1" ht="25.5" customHeight="1">
      <c r="A180" s="249"/>
      <c r="B180" s="251" t="s">
        <v>46</v>
      </c>
      <c r="C180" s="250" t="s">
        <v>192</v>
      </c>
      <c r="D180" s="251" t="s">
        <v>72</v>
      </c>
      <c r="E180" s="252" t="s">
        <v>61</v>
      </c>
      <c r="F180" s="252"/>
      <c r="G180" s="252" t="s">
        <v>73</v>
      </c>
      <c r="H180" s="253"/>
      <c r="I180" s="253"/>
      <c r="J180" s="254" t="s">
        <v>72</v>
      </c>
      <c r="K180" s="252" t="s">
        <v>61</v>
      </c>
      <c r="L180" s="254" t="s">
        <v>211</v>
      </c>
      <c r="M180" s="254" t="s">
        <v>212</v>
      </c>
      <c r="N180" s="252"/>
      <c r="O180" s="252"/>
      <c r="P180" s="437" t="s">
        <v>62</v>
      </c>
      <c r="Q180" s="437"/>
      <c r="R180" s="437"/>
      <c r="S180" s="364"/>
      <c r="T180" s="186"/>
    </row>
    <row r="181" spans="1:21" s="112" customFormat="1" ht="12" customHeight="1">
      <c r="A181" s="187"/>
      <c r="B181" s="68"/>
      <c r="C181" s="68"/>
      <c r="D181" s="196"/>
      <c r="E181" s="196"/>
      <c r="F181" s="196"/>
      <c r="G181" s="196"/>
      <c r="H181" s="219"/>
      <c r="I181" s="219"/>
      <c r="J181" s="215"/>
      <c r="K181" s="196"/>
      <c r="L181" s="196"/>
      <c r="M181" s="196"/>
      <c r="N181" s="218"/>
      <c r="O181" s="218"/>
      <c r="P181" s="295" t="s">
        <v>202</v>
      </c>
      <c r="Q181" s="298" t="s">
        <v>119</v>
      </c>
      <c r="R181" s="295" t="s">
        <v>213</v>
      </c>
      <c r="S181" s="392">
        <f t="shared" ref="S181:S194" si="104">O181-I181</f>
        <v>0</v>
      </c>
      <c r="T181" s="186"/>
    </row>
    <row r="182" spans="1:21" s="112" customFormat="1" ht="12" customHeight="1">
      <c r="A182" s="400">
        <v>1</v>
      </c>
      <c r="B182" s="381" t="s">
        <v>221</v>
      </c>
      <c r="C182" s="382" t="s">
        <v>87</v>
      </c>
      <c r="D182" s="322">
        <v>684785503.34995151</v>
      </c>
      <c r="E182" s="191">
        <f t="shared" ref="E182:E193" si="105">(D182/$D$194)</f>
        <v>7.2417205474154575E-2</v>
      </c>
      <c r="F182" s="326">
        <v>157.66</v>
      </c>
      <c r="G182" s="326">
        <v>160.63</v>
      </c>
      <c r="H182" s="333">
        <v>9.9000000000000008E-3</v>
      </c>
      <c r="I182" s="333">
        <v>3.4700000000000002E-2</v>
      </c>
      <c r="J182" s="322">
        <v>683734177.20645022</v>
      </c>
      <c r="K182" s="191">
        <f t="shared" ref="K182:K192" si="106">(J182/$J$194)</f>
        <v>7.2716645248080636E-2</v>
      </c>
      <c r="L182" s="326">
        <v>157.41548916920692</v>
      </c>
      <c r="M182" s="326">
        <v>160.39072153562796</v>
      </c>
      <c r="N182" s="333">
        <v>0.01</v>
      </c>
      <c r="O182" s="333">
        <v>3.4799999999999998E-2</v>
      </c>
      <c r="P182" s="327">
        <f t="shared" ref="P182:P193" si="107">((J182-D182)/D182)</f>
        <v>-1.5352634341092557E-3</v>
      </c>
      <c r="Q182" s="327">
        <f t="shared" ref="Q182:Q193" si="108">((M182-G182)/G182)</f>
        <v>-1.489625003872469E-3</v>
      </c>
      <c r="R182" s="327">
        <f t="shared" ref="R182:R193" si="109">N182-H182</f>
        <v>9.9999999999999395E-5</v>
      </c>
      <c r="S182" s="392">
        <f t="shared" si="104"/>
        <v>9.9999999999995925E-5</v>
      </c>
      <c r="T182" s="186"/>
    </row>
    <row r="183" spans="1:21" s="112" customFormat="1" ht="12" customHeight="1">
      <c r="A183" s="406">
        <v>2</v>
      </c>
      <c r="B183" s="381" t="s">
        <v>96</v>
      </c>
      <c r="C183" s="382" t="s">
        <v>23</v>
      </c>
      <c r="D183" s="322">
        <v>718787830.10000002</v>
      </c>
      <c r="E183" s="191">
        <f t="shared" si="105"/>
        <v>7.6013008058776824E-2</v>
      </c>
      <c r="F183" s="326">
        <v>21.52</v>
      </c>
      <c r="G183" s="326">
        <v>21.52</v>
      </c>
      <c r="H183" s="333">
        <v>-7.1999999999999998E-3</v>
      </c>
      <c r="I183" s="333">
        <v>0.38629999999999998</v>
      </c>
      <c r="J183" s="322">
        <v>720360218.08000004</v>
      </c>
      <c r="K183" s="191">
        <f t="shared" si="106"/>
        <v>7.6611905876889957E-2</v>
      </c>
      <c r="L183" s="326">
        <v>21.65</v>
      </c>
      <c r="M183" s="326">
        <v>21.65</v>
      </c>
      <c r="N183" s="333">
        <v>-2.2000000000000001E-3</v>
      </c>
      <c r="O183" s="333">
        <v>0.38929999999999998</v>
      </c>
      <c r="P183" s="327">
        <f t="shared" si="107"/>
        <v>2.1875550950567202E-3</v>
      </c>
      <c r="Q183" s="327">
        <f t="shared" si="108"/>
        <v>6.0408921933085037E-3</v>
      </c>
      <c r="R183" s="327">
        <f t="shared" si="109"/>
        <v>4.9999999999999992E-3</v>
      </c>
      <c r="S183" s="392">
        <f t="shared" si="104"/>
        <v>3.0000000000000027E-3</v>
      </c>
      <c r="T183" s="186"/>
    </row>
    <row r="184" spans="1:21" s="112" customFormat="1" ht="12" customHeight="1">
      <c r="A184" s="402">
        <v>3</v>
      </c>
      <c r="B184" s="381" t="s">
        <v>183</v>
      </c>
      <c r="C184" s="382" t="s">
        <v>54</v>
      </c>
      <c r="D184" s="322">
        <v>286927810.92000002</v>
      </c>
      <c r="E184" s="191">
        <f t="shared" si="105"/>
        <v>3.0343093038615921E-2</v>
      </c>
      <c r="F184" s="326">
        <v>19.149999999999999</v>
      </c>
      <c r="G184" s="326">
        <v>19.25</v>
      </c>
      <c r="H184" s="333">
        <v>1.6499290473954899E-2</v>
      </c>
      <c r="I184" s="333">
        <v>0.51209356164000797</v>
      </c>
      <c r="J184" s="322">
        <v>297583151.73000002</v>
      </c>
      <c r="K184" s="191">
        <f t="shared" si="106"/>
        <v>3.1648627781878887E-2</v>
      </c>
      <c r="L184" s="326">
        <v>19.25</v>
      </c>
      <c r="M184" s="326">
        <v>19.350000000000001</v>
      </c>
      <c r="N184" s="333">
        <v>3.8300000000000001E-2</v>
      </c>
      <c r="O184" s="333">
        <v>0.56820000000000004</v>
      </c>
      <c r="P184" s="327">
        <f t="shared" si="107"/>
        <v>3.7135963836460867E-2</v>
      </c>
      <c r="Q184" s="327">
        <f t="shared" si="108"/>
        <v>5.1948051948052685E-3</v>
      </c>
      <c r="R184" s="327">
        <f t="shared" si="109"/>
        <v>2.1800709526045101E-2</v>
      </c>
      <c r="S184" s="392">
        <f t="shared" si="104"/>
        <v>5.6106438359992072E-2</v>
      </c>
      <c r="T184" s="186"/>
      <c r="U184" s="390"/>
    </row>
    <row r="185" spans="1:21" s="112" customFormat="1" ht="12" customHeight="1">
      <c r="A185" s="402">
        <v>4</v>
      </c>
      <c r="B185" s="381" t="s">
        <v>182</v>
      </c>
      <c r="C185" s="382" t="s">
        <v>54</v>
      </c>
      <c r="D185" s="322">
        <v>404605814.07999998</v>
      </c>
      <c r="E185" s="191">
        <f t="shared" si="105"/>
        <v>4.2787737519167819E-2</v>
      </c>
      <c r="F185" s="326">
        <v>27.7</v>
      </c>
      <c r="G185" s="326">
        <v>27.8</v>
      </c>
      <c r="H185" s="333">
        <v>4.7172579447980902E-2</v>
      </c>
      <c r="I185" s="333">
        <v>0.74108747509158202</v>
      </c>
      <c r="J185" s="322">
        <v>393235014.62</v>
      </c>
      <c r="K185" s="191">
        <f t="shared" si="106"/>
        <v>4.1821415413335845E-2</v>
      </c>
      <c r="L185" s="326">
        <v>27.8</v>
      </c>
      <c r="M185" s="326">
        <v>27.9</v>
      </c>
      <c r="N185" s="333">
        <v>3.5999999999999999E-3</v>
      </c>
      <c r="O185" s="333">
        <v>0.69220000000000004</v>
      </c>
      <c r="P185" s="327">
        <f t="shared" si="107"/>
        <v>-2.8103401049377176E-2</v>
      </c>
      <c r="Q185" s="327">
        <f t="shared" si="108"/>
        <v>3.5971223021581968E-3</v>
      </c>
      <c r="R185" s="327">
        <f t="shared" si="109"/>
        <v>-4.3572579447980903E-2</v>
      </c>
      <c r="S185" s="392">
        <f t="shared" si="104"/>
        <v>-4.8887475091581978E-2</v>
      </c>
      <c r="T185" s="186"/>
    </row>
    <row r="186" spans="1:21" s="112" customFormat="1" ht="12" customHeight="1">
      <c r="A186" s="402">
        <v>5</v>
      </c>
      <c r="B186" s="381" t="s">
        <v>32</v>
      </c>
      <c r="C186" s="382" t="s">
        <v>31</v>
      </c>
      <c r="D186" s="322">
        <v>630380600</v>
      </c>
      <c r="E186" s="191">
        <f t="shared" si="105"/>
        <v>6.6663796493647079E-2</v>
      </c>
      <c r="F186" s="326">
        <v>14200</v>
      </c>
      <c r="G186" s="326">
        <v>14200</v>
      </c>
      <c r="H186" s="333">
        <v>0</v>
      </c>
      <c r="I186" s="333">
        <v>0</v>
      </c>
      <c r="J186" s="322">
        <v>577109000</v>
      </c>
      <c r="K186" s="191">
        <f t="shared" si="106"/>
        <v>6.1376821316631809E-2</v>
      </c>
      <c r="L186" s="326">
        <v>13000</v>
      </c>
      <c r="M186" s="326">
        <v>13000</v>
      </c>
      <c r="N186" s="333">
        <v>0</v>
      </c>
      <c r="O186" s="333">
        <v>0</v>
      </c>
      <c r="P186" s="327">
        <f t="shared" si="107"/>
        <v>-8.4507042253521125E-2</v>
      </c>
      <c r="Q186" s="327">
        <f t="shared" si="108"/>
        <v>-8.4507042253521125E-2</v>
      </c>
      <c r="R186" s="327">
        <f t="shared" si="109"/>
        <v>0</v>
      </c>
      <c r="S186" s="392">
        <f t="shared" si="104"/>
        <v>0</v>
      </c>
      <c r="T186" s="186"/>
    </row>
    <row r="187" spans="1:21" s="112" customFormat="1" ht="12" customHeight="1">
      <c r="A187" s="406">
        <v>6</v>
      </c>
      <c r="B187" s="381" t="s">
        <v>94</v>
      </c>
      <c r="C187" s="382" t="s">
        <v>39</v>
      </c>
      <c r="D187" s="322">
        <v>877612571.36000001</v>
      </c>
      <c r="E187" s="191">
        <f t="shared" si="105"/>
        <v>9.2808988502199083E-2</v>
      </c>
      <c r="F187" s="326">
        <v>205</v>
      </c>
      <c r="G187" s="326">
        <v>205</v>
      </c>
      <c r="H187" s="333">
        <v>-9.4000000000000004E-3</v>
      </c>
      <c r="I187" s="333">
        <v>0.53680000000000005</v>
      </c>
      <c r="J187" s="322">
        <v>883939863.95000005</v>
      </c>
      <c r="K187" s="191">
        <f t="shared" si="106"/>
        <v>9.4008963790734479E-2</v>
      </c>
      <c r="L187" s="326">
        <v>205</v>
      </c>
      <c r="M187" s="326">
        <v>205</v>
      </c>
      <c r="N187" s="333">
        <v>7.1999999999999998E-3</v>
      </c>
      <c r="O187" s="333">
        <v>0.54749999999999999</v>
      </c>
      <c r="P187" s="327">
        <f t="shared" si="107"/>
        <v>7.2096649438315235E-3</v>
      </c>
      <c r="Q187" s="327">
        <f t="shared" si="108"/>
        <v>0</v>
      </c>
      <c r="R187" s="327">
        <f t="shared" si="109"/>
        <v>1.66E-2</v>
      </c>
      <c r="S187" s="392">
        <f t="shared" si="104"/>
        <v>1.0699999999999932E-2</v>
      </c>
      <c r="T187" s="186"/>
    </row>
    <row r="188" spans="1:21" s="112" customFormat="1" ht="12" customHeight="1">
      <c r="A188" s="406">
        <v>7</v>
      </c>
      <c r="B188" s="381" t="s">
        <v>40</v>
      </c>
      <c r="C188" s="382" t="s">
        <v>39</v>
      </c>
      <c r="D188" s="322">
        <v>589894658.48000002</v>
      </c>
      <c r="E188" s="191">
        <f t="shared" si="105"/>
        <v>6.2382340867723665E-2</v>
      </c>
      <c r="F188" s="326">
        <v>280</v>
      </c>
      <c r="G188" s="326">
        <v>280</v>
      </c>
      <c r="H188" s="333">
        <v>-1.14E-2</v>
      </c>
      <c r="I188" s="333">
        <v>0.34699999999999998</v>
      </c>
      <c r="J188" s="322">
        <v>588610293.54999995</v>
      </c>
      <c r="K188" s="191">
        <f t="shared" si="106"/>
        <v>6.2600009378381796E-2</v>
      </c>
      <c r="L188" s="326">
        <v>288</v>
      </c>
      <c r="M188" s="326">
        <v>288</v>
      </c>
      <c r="N188" s="333">
        <v>-2.0999999999999999E-3</v>
      </c>
      <c r="O188" s="333">
        <v>0.3453</v>
      </c>
      <c r="P188" s="327">
        <f t="shared" si="107"/>
        <v>-2.1772784539353688E-3</v>
      </c>
      <c r="Q188" s="327">
        <f t="shared" si="108"/>
        <v>2.8571428571428571E-2</v>
      </c>
      <c r="R188" s="327">
        <f t="shared" si="109"/>
        <v>9.300000000000001E-3</v>
      </c>
      <c r="S188" s="392">
        <f t="shared" si="104"/>
        <v>-1.6999999999999793E-3</v>
      </c>
      <c r="T188" s="186"/>
    </row>
    <row r="189" spans="1:21" s="112" customFormat="1" ht="12" customHeight="1">
      <c r="A189" s="400">
        <v>8</v>
      </c>
      <c r="B189" s="381" t="s">
        <v>50</v>
      </c>
      <c r="C189" s="382" t="s">
        <v>29</v>
      </c>
      <c r="D189" s="322">
        <v>244398156.22</v>
      </c>
      <c r="E189" s="191">
        <f t="shared" si="105"/>
        <v>2.5845511346117959E-2</v>
      </c>
      <c r="F189" s="326">
        <v>10.77</v>
      </c>
      <c r="G189" s="326">
        <v>10.87</v>
      </c>
      <c r="H189" s="333">
        <v>-1.4500000000000001E-2</v>
      </c>
      <c r="I189" s="333">
        <v>0.84860000000000002</v>
      </c>
      <c r="J189" s="322">
        <v>251661465.49000001</v>
      </c>
      <c r="K189" s="191">
        <f t="shared" si="106"/>
        <v>2.6764754664476611E-2</v>
      </c>
      <c r="L189" s="326">
        <v>11.1</v>
      </c>
      <c r="M189" s="326">
        <v>11.2</v>
      </c>
      <c r="N189" s="333">
        <v>2.58E-2</v>
      </c>
      <c r="O189" s="333">
        <v>0.89629999999999999</v>
      </c>
      <c r="P189" s="327">
        <f t="shared" si="107"/>
        <v>2.9719165571207479E-2</v>
      </c>
      <c r="Q189" s="327">
        <f t="shared" si="108"/>
        <v>3.0358785648574065E-2</v>
      </c>
      <c r="R189" s="327">
        <f t="shared" si="109"/>
        <v>4.0300000000000002E-2</v>
      </c>
      <c r="S189" s="392">
        <f t="shared" si="104"/>
        <v>4.7699999999999965E-2</v>
      </c>
      <c r="T189" s="186"/>
    </row>
    <row r="190" spans="1:21" s="112" customFormat="1" ht="12" customHeight="1">
      <c r="A190" s="400">
        <v>9</v>
      </c>
      <c r="B190" s="381" t="s">
        <v>59</v>
      </c>
      <c r="C190" s="382" t="s">
        <v>29</v>
      </c>
      <c r="D190" s="75">
        <v>577269462.83000004</v>
      </c>
      <c r="E190" s="191">
        <f t="shared" si="105"/>
        <v>6.1047205437629405E-2</v>
      </c>
      <c r="F190" s="326">
        <v>6.86</v>
      </c>
      <c r="G190" s="326">
        <v>6.96</v>
      </c>
      <c r="H190" s="333">
        <v>-3.2399999999999998E-2</v>
      </c>
      <c r="I190" s="333">
        <v>0.62170000000000003</v>
      </c>
      <c r="J190" s="75">
        <v>581595539.76999998</v>
      </c>
      <c r="K190" s="191">
        <f t="shared" si="106"/>
        <v>6.1853974765621947E-2</v>
      </c>
      <c r="L190" s="326">
        <v>6.9</v>
      </c>
      <c r="M190" s="326">
        <v>7</v>
      </c>
      <c r="N190" s="333">
        <v>0.73</v>
      </c>
      <c r="O190" s="333">
        <v>0.63360000000000005</v>
      </c>
      <c r="P190" s="327">
        <f t="shared" si="107"/>
        <v>7.4940339279195916E-3</v>
      </c>
      <c r="Q190" s="327">
        <f t="shared" si="108"/>
        <v>5.7471264367816143E-3</v>
      </c>
      <c r="R190" s="327">
        <f t="shared" si="109"/>
        <v>0.76239999999999997</v>
      </c>
      <c r="S190" s="392">
        <f t="shared" si="104"/>
        <v>1.1900000000000022E-2</v>
      </c>
      <c r="T190" s="186"/>
    </row>
    <row r="191" spans="1:21" s="112" customFormat="1" ht="12" customHeight="1">
      <c r="A191" s="400">
        <v>10</v>
      </c>
      <c r="B191" s="381" t="s">
        <v>92</v>
      </c>
      <c r="C191" s="382" t="s">
        <v>29</v>
      </c>
      <c r="D191" s="322">
        <v>493812313.94</v>
      </c>
      <c r="E191" s="191">
        <f t="shared" si="105"/>
        <v>5.2221473190249064E-2</v>
      </c>
      <c r="F191" s="326">
        <v>139.27000000000001</v>
      </c>
      <c r="G191" s="326">
        <v>141.27000000000001</v>
      </c>
      <c r="H191" s="333">
        <v>0</v>
      </c>
      <c r="I191" s="333">
        <v>-0.1031</v>
      </c>
      <c r="J191" s="322">
        <v>494643556.45999998</v>
      </c>
      <c r="K191" s="191">
        <f t="shared" si="106"/>
        <v>5.2606438610849418E-2</v>
      </c>
      <c r="L191" s="326">
        <v>139.51</v>
      </c>
      <c r="M191" s="326">
        <v>141.51</v>
      </c>
      <c r="N191" s="333">
        <v>0</v>
      </c>
      <c r="O191" s="333">
        <v>-0.1031</v>
      </c>
      <c r="P191" s="327">
        <f t="shared" si="107"/>
        <v>1.6833167106905722E-3</v>
      </c>
      <c r="Q191" s="327">
        <f t="shared" si="108"/>
        <v>1.6988744956464971E-3</v>
      </c>
      <c r="R191" s="327">
        <f t="shared" si="109"/>
        <v>0</v>
      </c>
      <c r="S191" s="392">
        <f t="shared" si="104"/>
        <v>0</v>
      </c>
      <c r="T191" s="186"/>
    </row>
    <row r="192" spans="1:21" s="112" customFormat="1" ht="12" customHeight="1">
      <c r="A192" s="400">
        <v>11</v>
      </c>
      <c r="B192" s="381" t="s">
        <v>30</v>
      </c>
      <c r="C192" s="382" t="s">
        <v>29</v>
      </c>
      <c r="D192" s="322">
        <v>3644999523.2199998</v>
      </c>
      <c r="E192" s="191">
        <f t="shared" si="105"/>
        <v>0.38546475959980159</v>
      </c>
      <c r="F192" s="326">
        <v>25.06</v>
      </c>
      <c r="G192" s="326">
        <v>25.26</v>
      </c>
      <c r="H192" s="333">
        <v>0</v>
      </c>
      <c r="I192" s="333">
        <v>0.3533</v>
      </c>
      <c r="J192" s="322">
        <v>3640501585.79</v>
      </c>
      <c r="K192" s="191">
        <f t="shared" si="106"/>
        <v>0.38717541284912826</v>
      </c>
      <c r="L192" s="326">
        <v>25.03</v>
      </c>
      <c r="M192" s="326">
        <v>25.26</v>
      </c>
      <c r="N192" s="333">
        <v>-1.04E-2</v>
      </c>
      <c r="O192" s="333">
        <v>0.33910000000000001</v>
      </c>
      <c r="P192" s="327">
        <f t="shared" si="107"/>
        <v>-1.2340021998209596E-3</v>
      </c>
      <c r="Q192" s="327">
        <f t="shared" si="108"/>
        <v>0</v>
      </c>
      <c r="R192" s="327">
        <f t="shared" si="109"/>
        <v>-1.04E-2</v>
      </c>
      <c r="S192" s="392">
        <f t="shared" si="104"/>
        <v>-1.419999999999999E-2</v>
      </c>
      <c r="T192" s="186"/>
    </row>
    <row r="193" spans="1:20" s="112" customFormat="1" ht="12" customHeight="1">
      <c r="A193" s="400">
        <v>12</v>
      </c>
      <c r="B193" s="381" t="s">
        <v>51</v>
      </c>
      <c r="C193" s="382" t="s">
        <v>29</v>
      </c>
      <c r="D193" s="75">
        <v>302641865.83999997</v>
      </c>
      <c r="E193" s="191">
        <f t="shared" si="105"/>
        <v>3.2004880471917123E-2</v>
      </c>
      <c r="F193" s="326">
        <v>28.75</v>
      </c>
      <c r="G193" s="326">
        <v>28.95</v>
      </c>
      <c r="H193" s="333">
        <v>-2.8E-3</v>
      </c>
      <c r="I193" s="333">
        <v>0.2026</v>
      </c>
      <c r="J193" s="75">
        <v>289745068.94</v>
      </c>
      <c r="K193" s="191">
        <v>0.24610000000000001</v>
      </c>
      <c r="L193" s="326">
        <v>27.36</v>
      </c>
      <c r="M193" s="326">
        <v>27.56</v>
      </c>
      <c r="N193" s="333">
        <v>-4.7800000000000002E-2</v>
      </c>
      <c r="O193" s="333">
        <v>0.14510000000000001</v>
      </c>
      <c r="P193" s="327">
        <f t="shared" si="107"/>
        <v>-4.2614054285596517E-2</v>
      </c>
      <c r="Q193" s="327">
        <f t="shared" si="108"/>
        <v>-4.8013816925734046E-2</v>
      </c>
      <c r="R193" s="327">
        <f t="shared" si="109"/>
        <v>-4.5000000000000005E-2</v>
      </c>
      <c r="S193" s="392">
        <f t="shared" si="104"/>
        <v>-5.7499999999999996E-2</v>
      </c>
      <c r="T193" s="188"/>
    </row>
    <row r="194" spans="1:20" s="112" customFormat="1" ht="12" customHeight="1">
      <c r="A194" s="372"/>
      <c r="B194" s="373"/>
      <c r="C194" s="373" t="s">
        <v>33</v>
      </c>
      <c r="D194" s="366">
        <f>SUM(D182:D193)</f>
        <v>9456116110.3399506</v>
      </c>
      <c r="E194" s="366"/>
      <c r="F194" s="369"/>
      <c r="G194" s="367"/>
      <c r="H194" s="368"/>
      <c r="I194" s="368"/>
      <c r="J194" s="366">
        <f>SUM(J182:J193)</f>
        <v>9402718935.5864506</v>
      </c>
      <c r="K194" s="369"/>
      <c r="L194" s="369"/>
      <c r="M194" s="367"/>
      <c r="N194" s="368"/>
      <c r="O194" s="368"/>
      <c r="P194" s="370">
        <f t="shared" ref="P194" si="110">((J194-D194)/D194)</f>
        <v>-5.6468400060265692E-3</v>
      </c>
      <c r="Q194" s="371"/>
      <c r="R194" s="370">
        <f t="shared" ref="R194" si="111">N194-H194</f>
        <v>0</v>
      </c>
      <c r="S194" s="393">
        <f t="shared" si="104"/>
        <v>0</v>
      </c>
      <c r="T194" s="137" t="s">
        <v>255</v>
      </c>
    </row>
    <row r="195" spans="1:20" s="112" customFormat="1" ht="12" customHeight="1" thickBot="1">
      <c r="A195" s="244"/>
      <c r="B195" s="245"/>
      <c r="C195" s="245" t="s">
        <v>43</v>
      </c>
      <c r="D195" s="246">
        <f>SUM(D170,D177,D194)</f>
        <v>2034041060421.5012</v>
      </c>
      <c r="E195" s="246"/>
      <c r="F195" s="246"/>
      <c r="G195" s="247"/>
      <c r="H195" s="248"/>
      <c r="I195" s="248"/>
      <c r="J195" s="246">
        <f>SUM(J170,J177,J194)</f>
        <v>2031524247517.2651</v>
      </c>
      <c r="K195" s="226"/>
      <c r="L195" s="226"/>
      <c r="M195" s="227"/>
      <c r="N195" s="228"/>
      <c r="O195" s="228"/>
      <c r="P195" s="209"/>
      <c r="Q195" s="213"/>
      <c r="R195" s="213"/>
      <c r="S195" s="210"/>
      <c r="T195" s="138">
        <f>((J194-D194)/D194)</f>
        <v>-5.6468400060265692E-3</v>
      </c>
    </row>
    <row r="196" spans="1:20" ht="12" customHeight="1">
      <c r="A196" s="229"/>
      <c r="B196" s="92"/>
      <c r="C196" s="230"/>
      <c r="D196" s="66"/>
      <c r="E196" s="66"/>
      <c r="F196" s="66"/>
      <c r="G196" s="231"/>
      <c r="H196" s="232"/>
      <c r="I196" s="232"/>
      <c r="J196" s="7"/>
      <c r="K196" s="66"/>
      <c r="L196" s="66"/>
      <c r="M196" s="233"/>
      <c r="N196" s="234"/>
      <c r="O196" s="234"/>
    </row>
    <row r="197" spans="1:20" ht="12" customHeight="1">
      <c r="A197" s="234"/>
      <c r="B197" s="233"/>
      <c r="C197" s="236"/>
      <c r="D197" s="233"/>
      <c r="E197" s="233"/>
      <c r="F197" s="233"/>
      <c r="G197" s="233"/>
      <c r="H197" s="235"/>
      <c r="I197" s="235"/>
      <c r="J197" s="237"/>
      <c r="K197" s="233"/>
      <c r="L197" s="233"/>
      <c r="M197" s="233"/>
      <c r="N197" s="234"/>
      <c r="O197" s="234"/>
    </row>
    <row r="198" spans="1:20" ht="12" customHeight="1">
      <c r="A198" s="234"/>
      <c r="B198" s="236"/>
      <c r="C198" s="233"/>
      <c r="D198" s="233"/>
      <c r="E198" s="233"/>
      <c r="F198" s="233"/>
      <c r="G198" s="233"/>
      <c r="H198" s="235"/>
      <c r="I198" s="235"/>
      <c r="J198" s="237"/>
      <c r="K198" s="233"/>
      <c r="L198" s="233"/>
      <c r="M198" s="233"/>
      <c r="N198" s="234"/>
      <c r="O198" s="234"/>
    </row>
    <row r="199" spans="1:20" ht="12" customHeight="1">
      <c r="A199" s="234"/>
      <c r="B199" s="239"/>
      <c r="C199" s="238"/>
      <c r="D199" s="233"/>
      <c r="E199" s="233"/>
      <c r="F199" s="233"/>
      <c r="G199" s="233"/>
      <c r="H199" s="235"/>
      <c r="I199" s="235"/>
      <c r="J199" s="237"/>
      <c r="K199" s="233"/>
      <c r="L199" s="233"/>
      <c r="M199" s="233"/>
      <c r="N199" s="234"/>
      <c r="O199" s="234"/>
    </row>
    <row r="200" spans="1:20" ht="12" customHeight="1">
      <c r="A200" s="234"/>
      <c r="B200" s="238"/>
      <c r="C200" s="238"/>
      <c r="D200" s="233"/>
      <c r="E200" s="233"/>
      <c r="F200" s="233"/>
      <c r="G200" s="233"/>
      <c r="H200" s="235"/>
      <c r="I200" s="235"/>
      <c r="J200" s="237"/>
      <c r="K200" s="233"/>
      <c r="L200" s="233"/>
      <c r="M200" s="233"/>
      <c r="N200" s="234"/>
      <c r="O200" s="234"/>
    </row>
    <row r="201" spans="1:20" ht="12" customHeight="1">
      <c r="A201" s="234"/>
      <c r="B201" s="238"/>
      <c r="C201" s="238"/>
      <c r="D201" s="233"/>
      <c r="E201" s="233"/>
      <c r="F201" s="233"/>
      <c r="G201" s="233"/>
      <c r="H201" s="235"/>
      <c r="I201" s="235"/>
      <c r="J201" s="237"/>
      <c r="K201" s="233"/>
      <c r="L201" s="233"/>
      <c r="M201" s="233"/>
      <c r="N201" s="234"/>
      <c r="O201" s="234"/>
    </row>
    <row r="202" spans="1:20" ht="12" customHeight="1">
      <c r="A202" s="234"/>
      <c r="B202" s="238"/>
      <c r="C202" s="238"/>
      <c r="D202" s="233"/>
      <c r="E202" s="233"/>
      <c r="F202" s="233"/>
      <c r="G202" s="233"/>
      <c r="H202" s="235"/>
      <c r="I202" s="235"/>
      <c r="J202" s="237"/>
      <c r="K202" s="233"/>
      <c r="L202" s="233"/>
      <c r="M202" s="233"/>
      <c r="N202" s="234"/>
      <c r="O202" s="234"/>
    </row>
    <row r="203" spans="1:20" ht="12" customHeight="1">
      <c r="A203" s="234"/>
      <c r="B203" s="239"/>
      <c r="C203" s="238"/>
      <c r="D203" s="233"/>
      <c r="E203" s="233"/>
      <c r="F203" s="233"/>
      <c r="G203" s="233"/>
      <c r="H203" s="235"/>
      <c r="I203" s="235"/>
      <c r="J203" s="237"/>
      <c r="K203" s="233"/>
      <c r="L203" s="233"/>
      <c r="M203" s="233"/>
      <c r="N203" s="234"/>
      <c r="O203" s="234"/>
    </row>
    <row r="204" spans="1:20" ht="12" customHeight="1">
      <c r="B204" s="238"/>
      <c r="C204" s="238"/>
      <c r="D204" s="233"/>
      <c r="E204" s="233"/>
      <c r="F204" s="233"/>
      <c r="G204" s="233"/>
      <c r="H204" s="235"/>
      <c r="I204" s="235"/>
      <c r="J204" s="237"/>
      <c r="K204" s="233"/>
      <c r="L204" s="233"/>
      <c r="M204" s="233"/>
      <c r="N204" s="234"/>
      <c r="O204" s="234"/>
    </row>
    <row r="205" spans="1:20" ht="12" customHeight="1">
      <c r="B205" s="4"/>
      <c r="C205" s="4"/>
    </row>
    <row r="206" spans="1:20" ht="12" customHeight="1">
      <c r="B206" s="4"/>
      <c r="C206" s="4"/>
    </row>
    <row r="207" spans="1:20" ht="12" customHeight="1">
      <c r="B207" s="6"/>
      <c r="C207" s="4"/>
    </row>
    <row r="208" spans="1:20" ht="12" customHeight="1">
      <c r="B208" s="4"/>
      <c r="C208" s="4"/>
    </row>
    <row r="209" spans="2:3" ht="12" customHeight="1">
      <c r="B209" s="4"/>
      <c r="C209" s="4"/>
    </row>
    <row r="210" spans="2:3" ht="12" customHeight="1">
      <c r="B210" s="4"/>
      <c r="C210" s="4"/>
    </row>
    <row r="211" spans="2:3" ht="12" customHeight="1">
      <c r="B211" s="4"/>
      <c r="C211" s="4"/>
    </row>
    <row r="212" spans="2:3" ht="12" customHeight="1">
      <c r="B212" s="4"/>
      <c r="C212" s="4"/>
    </row>
    <row r="213" spans="2:3" ht="12" customHeight="1">
      <c r="B213" s="4"/>
      <c r="C213" s="4"/>
    </row>
    <row r="214" spans="2:3" ht="12" customHeight="1">
      <c r="B214" s="4"/>
      <c r="C214" s="4"/>
    </row>
    <row r="215" spans="2:3" ht="12" customHeight="1">
      <c r="B215" s="4"/>
      <c r="C215" s="4"/>
    </row>
    <row r="216" spans="2:3" ht="12" customHeight="1">
      <c r="B216" s="4"/>
      <c r="C216" s="4"/>
    </row>
    <row r="217" spans="2:3" ht="12" customHeight="1">
      <c r="B217" s="4"/>
      <c r="C217" s="4"/>
    </row>
    <row r="218" spans="2:3" ht="12" customHeight="1">
      <c r="B218" s="4"/>
      <c r="C218" s="4"/>
    </row>
    <row r="219" spans="2:3" ht="12" customHeight="1">
      <c r="B219" s="4"/>
      <c r="C219" s="4"/>
    </row>
    <row r="220" spans="2:3" ht="12" customHeight="1">
      <c r="B220" s="4"/>
      <c r="C220" s="4"/>
    </row>
    <row r="221" spans="2:3" ht="12" customHeight="1">
      <c r="B221" s="4"/>
      <c r="C221" s="4"/>
    </row>
    <row r="222" spans="2:3" ht="12" customHeight="1">
      <c r="B222" s="4"/>
      <c r="C222" s="4"/>
    </row>
    <row r="223" spans="2:3" ht="12" customHeight="1">
      <c r="B223" s="4"/>
      <c r="C223" s="4"/>
    </row>
    <row r="224" spans="2:3" ht="12" customHeight="1">
      <c r="B224" s="4"/>
      <c r="C224" s="4"/>
    </row>
    <row r="225" spans="2:3" ht="12" customHeight="1">
      <c r="B225" s="4"/>
      <c r="C225" s="4"/>
    </row>
    <row r="226" spans="2:3" ht="12" customHeight="1">
      <c r="B226" s="4"/>
      <c r="C226" s="4"/>
    </row>
    <row r="227" spans="2:3" ht="12" customHeight="1">
      <c r="B227" s="4"/>
      <c r="C227" s="4"/>
    </row>
    <row r="228" spans="2:3" ht="12" customHeight="1">
      <c r="B228" s="4"/>
      <c r="C228" s="4"/>
    </row>
    <row r="229" spans="2:3" ht="12" customHeight="1">
      <c r="B229" s="4"/>
      <c r="C229" s="4"/>
    </row>
    <row r="230" spans="2:3" ht="12" customHeight="1">
      <c r="B230" s="4"/>
      <c r="C230" s="4"/>
    </row>
    <row r="231" spans="2:3" ht="12" customHeight="1">
      <c r="B231" s="4"/>
      <c r="C231" s="4"/>
    </row>
    <row r="232" spans="2:3" ht="12" customHeight="1">
      <c r="B232" s="4"/>
      <c r="C232" s="4"/>
    </row>
    <row r="233" spans="2:3" ht="12" customHeight="1">
      <c r="B233" s="4"/>
      <c r="C233" s="4"/>
    </row>
    <row r="234" spans="2:3" ht="12" customHeight="1">
      <c r="B234" s="4"/>
      <c r="C234" s="4"/>
    </row>
    <row r="235" spans="2:3" ht="12" customHeight="1">
      <c r="B235" s="4"/>
      <c r="C235" s="4"/>
    </row>
    <row r="236" spans="2:3" ht="12" customHeight="1">
      <c r="B236" s="4"/>
      <c r="C236" s="4"/>
    </row>
    <row r="237" spans="2:3" ht="12" customHeight="1">
      <c r="B237" s="4"/>
      <c r="C237" s="4"/>
    </row>
    <row r="238" spans="2:3" ht="12" customHeight="1">
      <c r="B238" s="4"/>
      <c r="C238" s="4"/>
    </row>
    <row r="239" spans="2:3" ht="12" customHeight="1">
      <c r="B239" s="4"/>
      <c r="C239" s="4"/>
    </row>
    <row r="240" spans="2:3" ht="12" customHeight="1">
      <c r="B240" s="5"/>
      <c r="C240" s="5"/>
    </row>
    <row r="241" spans="2:3" ht="12" customHeight="1">
      <c r="B241" s="5"/>
      <c r="C241" s="5"/>
    </row>
    <row r="242" spans="2:3" ht="12" customHeight="1">
      <c r="B242" s="5"/>
      <c r="C242" s="5"/>
    </row>
  </sheetData>
  <protectedRanges>
    <protectedRange password="CADF" sqref="E47" name="Yield_1_1_2_1_1_1"/>
    <protectedRange password="CADF" sqref="E52" name="Yield_1_1_1_1"/>
    <protectedRange password="CADF" sqref="J10 D10" name="Fund Name_1_1_1_3_1_1"/>
    <protectedRange password="CADF" sqref="N10:O10 H10:I10" name="Yield_1_1_2_1_3"/>
    <protectedRange password="CADF" sqref="L10:M10 F10:G10" name="Fund Name_1_1_1_1_1_1"/>
    <protectedRange password="CADF" sqref="J47 D47" name="Yield_2_1_2_3_1"/>
    <protectedRange password="CADF" sqref="J52 D52" name="Yield_2_1_2_4_1"/>
    <protectedRange password="CADF" sqref="N52:O52 H52:I52" name="Yield_1_1_1_1_1"/>
    <protectedRange password="CADF" sqref="J77 D77" name="Yield_2_1_2_1_1"/>
    <protectedRange password="CADF" sqref="N77:O77 H77:I77" name="Yield_1_1_2_1_2_1"/>
    <protectedRange password="CADF" sqref="L77:M77 F77:G77" name="Fund Name_2_2_1_1"/>
    <protectedRange password="CADF" sqref="M76 G76" name="BidOffer Prices_2_1_1_1_1_1_1_1_1_1"/>
    <protectedRange password="CADF" sqref="J136 J144:J145 D136 D144:D145" name="Fund Name_1_1_1_2"/>
    <protectedRange password="CADF" sqref="N136:O136 N144:O145 H136:I136 H144:I145" name="Yield_1_1_2_2"/>
    <protectedRange password="CADF" sqref="L136:M136 L144:M145 F136:G136 F144:G145" name="Fund Name_1_1_1_1_2"/>
    <protectedRange password="CADF" sqref="N47:O47 H47:I47" name="Yield_1_1_2_1_1_1_1_1"/>
    <protectedRange password="CADF" sqref="J93:J94 D93:D94" name="Yield_2_1_2_6_3"/>
    <protectedRange password="CADF" sqref="J17 D17" name="Yield_2_1_2_5"/>
  </protectedRanges>
  <mergeCells count="41">
    <mergeCell ref="W119:W121"/>
    <mergeCell ref="V72:V82"/>
    <mergeCell ref="T122:T123"/>
    <mergeCell ref="P180:R180"/>
    <mergeCell ref="P173:R173"/>
    <mergeCell ref="A171:R171"/>
    <mergeCell ref="A114:S114"/>
    <mergeCell ref="A154:S154"/>
    <mergeCell ref="A155:S155"/>
    <mergeCell ref="A153:S153"/>
    <mergeCell ref="A102:S102"/>
    <mergeCell ref="A101:S101"/>
    <mergeCell ref="A113:S113"/>
    <mergeCell ref="A121:S121"/>
    <mergeCell ref="A120:S120"/>
    <mergeCell ref="A148:S148"/>
    <mergeCell ref="U71:V71"/>
    <mergeCell ref="V29:W29"/>
    <mergeCell ref="P2:Q2"/>
    <mergeCell ref="R2:S2"/>
    <mergeCell ref="V30:W30"/>
    <mergeCell ref="V31:W31"/>
    <mergeCell ref="V34:W34"/>
    <mergeCell ref="A4:S4"/>
    <mergeCell ref="A5:S5"/>
    <mergeCell ref="A24:S24"/>
    <mergeCell ref="A23:S23"/>
    <mergeCell ref="A1:S1"/>
    <mergeCell ref="A56:S56"/>
    <mergeCell ref="A55:S55"/>
    <mergeCell ref="A88:S88"/>
    <mergeCell ref="A89:S89"/>
    <mergeCell ref="A87:S87"/>
    <mergeCell ref="D2:I2"/>
    <mergeCell ref="J2:O2"/>
    <mergeCell ref="A147:S147"/>
    <mergeCell ref="A179:S179"/>
    <mergeCell ref="A159:S159"/>
    <mergeCell ref="A158:S158"/>
    <mergeCell ref="A172:S172"/>
    <mergeCell ref="A178:S178"/>
  </mergeCells>
  <pageMargins left="0.44" right="0.49" top="0.17" bottom="0.69" header="0.33" footer="0.55000000000000004"/>
  <pageSetup paperSize="9" scale="89" orientation="landscape" r:id="rId1"/>
  <rowBreaks count="3" manualBreakCount="3">
    <brk id="45" max="16383" man="1"/>
    <brk id="88" max="16383" man="1"/>
    <brk id="100" max="16383" man="1"/>
  </rowBreaks>
  <colBreaks count="1" manualBreakCount="1">
    <brk id="11" max="19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zoomScaleNormal="100" workbookViewId="0">
      <selection activeCell="M1" sqref="M1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02"/>
      <c r="F3" s="102"/>
      <c r="G3" s="102"/>
    </row>
    <row r="4" spans="1:7">
      <c r="E4" s="102"/>
      <c r="F4" s="102"/>
      <c r="G4" s="102"/>
    </row>
    <row r="5" spans="1:7">
      <c r="E5" s="102"/>
      <c r="F5" s="102"/>
      <c r="G5" s="102"/>
    </row>
    <row r="6" spans="1:7">
      <c r="E6" s="99" t="s">
        <v>64</v>
      </c>
      <c r="F6" s="100" t="s">
        <v>151</v>
      </c>
      <c r="G6" s="102"/>
    </row>
    <row r="7" spans="1:7">
      <c r="E7" s="192" t="s">
        <v>0</v>
      </c>
      <c r="F7" s="101">
        <f>'NAV Trend'!J2</f>
        <v>22684841502.700001</v>
      </c>
      <c r="G7" s="102"/>
    </row>
    <row r="8" spans="1:7">
      <c r="E8" s="192" t="s">
        <v>44</v>
      </c>
      <c r="F8" s="101">
        <f>'NAV Trend'!J3</f>
        <v>842959336565.12207</v>
      </c>
      <c r="G8" s="102"/>
    </row>
    <row r="9" spans="1:7">
      <c r="A9" s="102"/>
      <c r="B9" s="102"/>
      <c r="E9" s="192" t="s">
        <v>191</v>
      </c>
      <c r="F9" s="101">
        <f>'NAV Trend'!J4</f>
        <v>320326205967.90063</v>
      </c>
      <c r="G9" s="102"/>
    </row>
    <row r="10" spans="1:7">
      <c r="A10" s="456"/>
      <c r="B10" s="456"/>
      <c r="E10" s="192" t="s">
        <v>193</v>
      </c>
      <c r="F10" s="101">
        <f>'NAV Trend'!J5</f>
        <v>579242821265.46704</v>
      </c>
      <c r="G10" s="102"/>
    </row>
    <row r="11" spans="1:7">
      <c r="A11" s="95"/>
      <c r="B11" s="95"/>
      <c r="E11" s="192" t="s">
        <v>209</v>
      </c>
      <c r="F11" s="101">
        <f>'NAV Trend'!J6</f>
        <v>92900265036.520004</v>
      </c>
      <c r="G11" s="102"/>
    </row>
    <row r="12" spans="1:7">
      <c r="A12" s="96"/>
      <c r="B12" s="97"/>
      <c r="E12" s="192" t="s">
        <v>60</v>
      </c>
      <c r="F12" s="101">
        <f>'NAV Trend'!J7</f>
        <v>39999967409.311623</v>
      </c>
      <c r="G12" s="102"/>
    </row>
    <row r="13" spans="1:7">
      <c r="A13" s="96"/>
      <c r="B13" s="97"/>
      <c r="E13" s="192" t="s">
        <v>66</v>
      </c>
      <c r="F13" s="101">
        <f>'NAV Trend'!J8</f>
        <v>3887178325.5900002</v>
      </c>
      <c r="G13" s="102"/>
    </row>
    <row r="14" spans="1:7">
      <c r="A14" s="96"/>
      <c r="B14" s="97"/>
      <c r="E14" s="192" t="s">
        <v>206</v>
      </c>
      <c r="F14" s="193">
        <f>'NAV Trend'!J9</f>
        <v>28033788286.160004</v>
      </c>
      <c r="G14" s="102"/>
    </row>
    <row r="15" spans="1:7">
      <c r="A15" s="96"/>
      <c r="B15" s="97"/>
      <c r="E15" s="102"/>
      <c r="F15" s="102"/>
      <c r="G15" s="102"/>
    </row>
    <row r="16" spans="1:7">
      <c r="A16" s="96"/>
      <c r="B16" s="97"/>
      <c r="E16" s="102"/>
      <c r="F16" s="102"/>
      <c r="G16" s="102"/>
    </row>
    <row r="17" spans="1:13">
      <c r="A17" s="96"/>
      <c r="B17" s="97"/>
      <c r="E17" s="102"/>
      <c r="F17" s="102"/>
      <c r="G17" s="102"/>
    </row>
    <row r="18" spans="1:13">
      <c r="A18" s="96"/>
      <c r="B18" s="97"/>
      <c r="E18" s="102"/>
      <c r="F18" s="102"/>
      <c r="G18" s="102"/>
    </row>
    <row r="19" spans="1:13">
      <c r="A19" s="96"/>
      <c r="B19" s="97"/>
      <c r="E19" s="102"/>
      <c r="F19" s="102"/>
      <c r="G19" s="102"/>
    </row>
    <row r="24" spans="1:13" s="93" customFormat="1" ht="21.75" customHeight="1"/>
    <row r="25" spans="1:13" ht="30.75" customHeight="1">
      <c r="B25" s="374" t="s">
        <v>153</v>
      </c>
      <c r="M25" s="94"/>
    </row>
    <row r="26" spans="1:13" ht="43.5" customHeight="1">
      <c r="B26" s="457" t="s">
        <v>288</v>
      </c>
      <c r="C26" s="457"/>
      <c r="D26" s="457"/>
      <c r="E26" s="457"/>
      <c r="F26" s="457"/>
      <c r="G26" s="457"/>
      <c r="H26" s="457"/>
      <c r="I26" s="457"/>
      <c r="J26" s="457"/>
      <c r="K26" s="457"/>
      <c r="L26" s="457"/>
      <c r="M26" s="98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topLeftCell="B1" zoomScale="120" zoomScaleNormal="120" workbookViewId="0">
      <pane xSplit="1" topLeftCell="H1" activePane="topRight" state="frozen"/>
      <selection activeCell="B1" sqref="B1"/>
      <selection pane="topRight" activeCell="L1" sqref="L1"/>
    </sheetView>
  </sheetViews>
  <sheetFormatPr defaultColWidth="8.85546875" defaultRowHeight="15"/>
  <cols>
    <col min="1" max="1" width="0.28515625" hidden="1" customWidth="1"/>
    <col min="2" max="2" width="32" customWidth="1"/>
    <col min="3" max="3" width="21.7109375" customWidth="1"/>
    <col min="4" max="4" width="22.28515625" customWidth="1"/>
    <col min="5" max="5" width="22.140625" customWidth="1"/>
    <col min="6" max="6" width="23.140625" customWidth="1"/>
    <col min="7" max="7" width="22.140625" customWidth="1"/>
    <col min="8" max="8" width="23.28515625" customWidth="1"/>
    <col min="9" max="9" width="23.85546875" customWidth="1"/>
    <col min="10" max="10" width="22.7109375" customWidth="1"/>
    <col min="11" max="11" width="23" customWidth="1"/>
  </cols>
  <sheetData>
    <row r="1" spans="2:24" ht="16.5">
      <c r="B1" s="344" t="s">
        <v>64</v>
      </c>
      <c r="C1" s="338">
        <v>45135</v>
      </c>
      <c r="D1" s="338">
        <v>45142</v>
      </c>
      <c r="E1" s="338">
        <v>45149</v>
      </c>
      <c r="F1" s="338">
        <v>45156</v>
      </c>
      <c r="G1" s="338">
        <v>45163</v>
      </c>
      <c r="H1" s="338">
        <v>45170</v>
      </c>
      <c r="I1" s="338">
        <v>45177</v>
      </c>
      <c r="J1" s="338">
        <v>45184</v>
      </c>
      <c r="K1" s="338">
        <v>45191</v>
      </c>
      <c r="L1" s="302"/>
    </row>
    <row r="2" spans="2:24" s="108" customFormat="1" ht="16.5">
      <c r="B2" s="345" t="s">
        <v>0</v>
      </c>
      <c r="C2" s="339">
        <v>21710538133.900002</v>
      </c>
      <c r="D2" s="339">
        <v>21798118395</v>
      </c>
      <c r="E2" s="339">
        <v>21799255745.139996</v>
      </c>
      <c r="F2" s="339">
        <v>21756530204.330006</v>
      </c>
      <c r="G2" s="339">
        <v>21948547893.360001</v>
      </c>
      <c r="H2" s="339">
        <v>22687921199.809998</v>
      </c>
      <c r="I2" s="339">
        <v>23086923138.879997</v>
      </c>
      <c r="J2" s="339">
        <v>22684841502.700001</v>
      </c>
      <c r="K2" s="339">
        <v>22617340342.240005</v>
      </c>
    </row>
    <row r="3" spans="2:24" s="108" customFormat="1" ht="16.5">
      <c r="B3" s="345" t="s">
        <v>44</v>
      </c>
      <c r="C3" s="340">
        <v>849994179796.46228</v>
      </c>
      <c r="D3" s="340">
        <v>856179741726.49231</v>
      </c>
      <c r="E3" s="340">
        <v>857163632618.47339</v>
      </c>
      <c r="F3" s="340">
        <v>855610980289.1698</v>
      </c>
      <c r="G3" s="340">
        <v>852824801464.56006</v>
      </c>
      <c r="H3" s="340">
        <v>854338532735.88501</v>
      </c>
      <c r="I3" s="340">
        <v>842459027080.45435</v>
      </c>
      <c r="J3" s="340">
        <v>842959336565.12207</v>
      </c>
      <c r="K3" s="340">
        <v>849677574373.34802</v>
      </c>
    </row>
    <row r="4" spans="2:24" s="108" customFormat="1" ht="16.5">
      <c r="B4" s="345" t="s">
        <v>191</v>
      </c>
      <c r="C4" s="339">
        <v>320399612573.65601</v>
      </c>
      <c r="D4" s="339">
        <v>320872331713.32611</v>
      </c>
      <c r="E4" s="339">
        <v>321156453816.64587</v>
      </c>
      <c r="F4" s="339">
        <v>320687160580.93243</v>
      </c>
      <c r="G4" s="339">
        <v>319581951019.79437</v>
      </c>
      <c r="H4" s="339">
        <v>319127187068.50275</v>
      </c>
      <c r="I4" s="339">
        <v>320114444673.33032</v>
      </c>
      <c r="J4" s="339">
        <v>320326205967.90063</v>
      </c>
      <c r="K4" s="339">
        <v>299618437754.16949</v>
      </c>
    </row>
    <row r="5" spans="2:24" s="108" customFormat="1" ht="16.5">
      <c r="B5" s="345" t="s">
        <v>193</v>
      </c>
      <c r="C5" s="340">
        <v>569956762301.13733</v>
      </c>
      <c r="D5" s="340">
        <v>553123134779.05676</v>
      </c>
      <c r="E5" s="340">
        <v>554621583051.02319</v>
      </c>
      <c r="F5" s="340">
        <v>555450233256.58521</v>
      </c>
      <c r="G5" s="340">
        <v>584920699343.90466</v>
      </c>
      <c r="H5" s="340">
        <v>561324750435.97546</v>
      </c>
      <c r="I5" s="340">
        <v>554560757841.43372</v>
      </c>
      <c r="J5" s="340">
        <v>579242821265.46704</v>
      </c>
      <c r="K5" s="340">
        <v>573412197469.83374</v>
      </c>
    </row>
    <row r="6" spans="2:24" s="108" customFormat="1" ht="16.5">
      <c r="B6" s="345" t="s">
        <v>210</v>
      </c>
      <c r="C6" s="339">
        <v>93558457831.729996</v>
      </c>
      <c r="D6" s="339">
        <v>93574800912.410004</v>
      </c>
      <c r="E6" s="339">
        <v>93594876666.309998</v>
      </c>
      <c r="F6" s="339">
        <v>93626727218.01001</v>
      </c>
      <c r="G6" s="339">
        <v>93509583223.449997</v>
      </c>
      <c r="H6" s="339">
        <v>93504922541.330002</v>
      </c>
      <c r="I6" s="339">
        <v>92863739575.880005</v>
      </c>
      <c r="J6" s="339">
        <v>92900265036.520004</v>
      </c>
      <c r="K6" s="339">
        <v>92930445555.669998</v>
      </c>
    </row>
    <row r="7" spans="2:24" s="108" customFormat="1" ht="16.5">
      <c r="B7" s="345" t="s">
        <v>219</v>
      </c>
      <c r="C7" s="341">
        <v>38690467865.717575</v>
      </c>
      <c r="D7" s="341">
        <v>38884096485.686134</v>
      </c>
      <c r="E7" s="341">
        <v>38936521066.392647</v>
      </c>
      <c r="F7" s="341">
        <v>38811275853.394905</v>
      </c>
      <c r="G7" s="341">
        <v>39079043179.509552</v>
      </c>
      <c r="H7" s="341">
        <v>39909523580.55719</v>
      </c>
      <c r="I7" s="341">
        <v>40429036765.108025</v>
      </c>
      <c r="J7" s="341">
        <v>39999967409.311623</v>
      </c>
      <c r="K7" s="341">
        <v>40017994182.737228</v>
      </c>
    </row>
    <row r="8" spans="2:24" s="283" customFormat="1" ht="16.5">
      <c r="B8" s="345" t="s">
        <v>66</v>
      </c>
      <c r="C8" s="339">
        <v>3765883383.1199999</v>
      </c>
      <c r="D8" s="339">
        <v>3796886715.4300003</v>
      </c>
      <c r="E8" s="339">
        <v>3821769493.7000003</v>
      </c>
      <c r="F8" s="339">
        <v>3802289133.5500002</v>
      </c>
      <c r="G8" s="339">
        <v>3833193790.9099998</v>
      </c>
      <c r="H8" s="339">
        <v>3950705160.4500003</v>
      </c>
      <c r="I8" s="339">
        <v>3988679154.2799997</v>
      </c>
      <c r="J8" s="339">
        <v>3887178325.5900002</v>
      </c>
      <c r="K8" s="339">
        <v>3868880759.98</v>
      </c>
    </row>
    <row r="9" spans="2:24" ht="16.5">
      <c r="B9" s="345" t="s">
        <v>206</v>
      </c>
      <c r="C9" s="339">
        <v>27315712442.810001</v>
      </c>
      <c r="D9" s="339">
        <v>27962550206.07</v>
      </c>
      <c r="E9" s="339">
        <v>27781533807.059998</v>
      </c>
      <c r="F9" s="339">
        <v>27801303893.869999</v>
      </c>
      <c r="G9" s="339">
        <v>27709525793.34</v>
      </c>
      <c r="H9" s="339">
        <v>27966500870.759998</v>
      </c>
      <c r="I9" s="339">
        <v>28062421939.949997</v>
      </c>
      <c r="J9" s="339">
        <v>28033788286.160004</v>
      </c>
      <c r="K9" s="339">
        <v>45442767297.869995</v>
      </c>
    </row>
    <row r="10" spans="2:24" s="1" customFormat="1" ht="15.75">
      <c r="B10" s="346" t="s">
        <v>244</v>
      </c>
      <c r="C10" s="347">
        <f t="shared" ref="C10:J10" si="0">SUM(C2:C9)</f>
        <v>1925391614328.5334</v>
      </c>
      <c r="D10" s="347">
        <f t="shared" si="0"/>
        <v>1916191660933.4709</v>
      </c>
      <c r="E10" s="347">
        <f t="shared" si="0"/>
        <v>1918875626264.7451</v>
      </c>
      <c r="F10" s="347">
        <f t="shared" si="0"/>
        <v>1917546500429.8425</v>
      </c>
      <c r="G10" s="347">
        <f t="shared" si="0"/>
        <v>1943407345708.8286</v>
      </c>
      <c r="H10" s="347">
        <f t="shared" si="0"/>
        <v>1922810043593.2705</v>
      </c>
      <c r="I10" s="347">
        <f t="shared" si="0"/>
        <v>1905565030169.3159</v>
      </c>
      <c r="J10" s="347">
        <f t="shared" si="0"/>
        <v>1930034404358.7712</v>
      </c>
      <c r="K10" s="347">
        <f t="shared" ref="K10" si="1">SUM(K2:K9)</f>
        <v>1927585637735.8486</v>
      </c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</row>
    <row r="11" spans="2:24" ht="6.75" customHeight="1">
      <c r="B11" s="342"/>
      <c r="C11" s="343"/>
      <c r="D11" s="343"/>
      <c r="E11" s="343"/>
      <c r="F11" s="343"/>
      <c r="G11" s="343"/>
      <c r="H11" s="343"/>
      <c r="I11" s="343"/>
      <c r="J11" s="342"/>
      <c r="K11" s="342"/>
    </row>
    <row r="12" spans="2:24" ht="15.75">
      <c r="B12" s="348" t="s">
        <v>114</v>
      </c>
      <c r="C12" s="349" t="s">
        <v>113</v>
      </c>
      <c r="D12" s="350">
        <f>(C10+D10)/2</f>
        <v>1920791637631.0022</v>
      </c>
      <c r="E12" s="351">
        <f t="shared" ref="E12:K12" si="2">(D10+E10)/2</f>
        <v>1917533643599.1079</v>
      </c>
      <c r="F12" s="351">
        <f t="shared" si="2"/>
        <v>1918211063347.2939</v>
      </c>
      <c r="G12" s="351">
        <f t="shared" si="2"/>
        <v>1930476923069.3354</v>
      </c>
      <c r="H12" s="351">
        <f>(G10+H10)/2</f>
        <v>1933108694651.0496</v>
      </c>
      <c r="I12" s="351">
        <f t="shared" si="2"/>
        <v>1914187536881.2932</v>
      </c>
      <c r="J12" s="351">
        <f t="shared" si="2"/>
        <v>1917799717264.0435</v>
      </c>
      <c r="K12" s="351">
        <f t="shared" si="2"/>
        <v>1928810021047.3101</v>
      </c>
    </row>
    <row r="13" spans="2:24">
      <c r="B13" s="8"/>
      <c r="C13" s="10"/>
      <c r="D13" s="10"/>
      <c r="E13" s="10"/>
      <c r="F13" s="10"/>
      <c r="G13" s="10"/>
      <c r="H13" s="10"/>
      <c r="I13" s="10"/>
    </row>
    <row r="14" spans="2:24">
      <c r="B14" s="8"/>
      <c r="C14" s="10"/>
      <c r="D14" s="10"/>
      <c r="E14" s="10"/>
      <c r="F14" s="10"/>
      <c r="G14" s="10"/>
      <c r="H14" s="285"/>
      <c r="I14" s="90"/>
      <c r="J14" s="89"/>
      <c r="L14" s="376"/>
    </row>
    <row r="15" spans="2:24" ht="16.5">
      <c r="B15" s="344" t="s">
        <v>64</v>
      </c>
      <c r="C15" s="338">
        <v>45184</v>
      </c>
      <c r="D15" s="338">
        <v>45191</v>
      </c>
      <c r="E15" s="10"/>
      <c r="F15" s="10"/>
      <c r="G15" s="10"/>
      <c r="H15" s="355"/>
      <c r="I15" s="355"/>
    </row>
    <row r="16" spans="2:24" ht="16.5">
      <c r="B16" s="345" t="s">
        <v>0</v>
      </c>
      <c r="C16" s="339">
        <v>22684841502.700001</v>
      </c>
      <c r="D16" s="339">
        <v>22617340342.240005</v>
      </c>
      <c r="E16" s="10"/>
      <c r="F16" s="10"/>
      <c r="G16" s="10"/>
      <c r="H16" s="357"/>
      <c r="I16" s="357"/>
      <c r="J16" s="90"/>
    </row>
    <row r="17" spans="2:10" ht="16.5">
      <c r="B17" s="345" t="s">
        <v>44</v>
      </c>
      <c r="C17" s="340">
        <v>842959336565.12207</v>
      </c>
      <c r="D17" s="340">
        <v>849677574373.34802</v>
      </c>
      <c r="E17" s="10"/>
      <c r="F17" s="10"/>
      <c r="G17" s="10"/>
      <c r="H17" s="358"/>
      <c r="I17" s="358"/>
    </row>
    <row r="18" spans="2:10" ht="16.5">
      <c r="B18" s="345" t="s">
        <v>191</v>
      </c>
      <c r="C18" s="339">
        <v>320326205967.90063</v>
      </c>
      <c r="D18" s="339">
        <v>299618437754.16949</v>
      </c>
      <c r="E18" s="9"/>
      <c r="F18" s="9"/>
      <c r="G18" s="9"/>
      <c r="H18" s="357"/>
      <c r="I18" s="357"/>
    </row>
    <row r="19" spans="2:10" ht="16.5">
      <c r="B19" s="345" t="s">
        <v>193</v>
      </c>
      <c r="C19" s="340">
        <v>579242821265.46704</v>
      </c>
      <c r="D19" s="340">
        <v>573412197469.83374</v>
      </c>
      <c r="E19" s="8"/>
      <c r="F19" s="8"/>
      <c r="G19" s="8"/>
      <c r="H19" s="358"/>
      <c r="I19" s="358"/>
    </row>
    <row r="20" spans="2:10" ht="16.5">
      <c r="B20" s="345" t="s">
        <v>210</v>
      </c>
      <c r="C20" s="339">
        <v>92900265036.520004</v>
      </c>
      <c r="D20" s="339">
        <v>92930445555.669998</v>
      </c>
      <c r="E20" s="8"/>
      <c r="F20" s="8"/>
      <c r="G20" s="8"/>
      <c r="H20" s="357"/>
      <c r="I20" s="357"/>
      <c r="J20" s="91"/>
    </row>
    <row r="21" spans="2:10" ht="16.5">
      <c r="B21" s="345" t="s">
        <v>219</v>
      </c>
      <c r="C21" s="341">
        <v>39999967409.311623</v>
      </c>
      <c r="D21" s="341">
        <v>40017994182.737228</v>
      </c>
      <c r="E21" s="8"/>
      <c r="F21" s="8"/>
      <c r="G21" s="8"/>
      <c r="H21" s="359"/>
      <c r="I21" s="359"/>
    </row>
    <row r="22" spans="2:10" ht="16.5">
      <c r="B22" s="345" t="s">
        <v>66</v>
      </c>
      <c r="C22" s="339">
        <v>3887178325.5900002</v>
      </c>
      <c r="D22" s="339">
        <v>3868880759.98</v>
      </c>
      <c r="E22" s="8"/>
      <c r="F22" s="8"/>
      <c r="G22" s="8"/>
      <c r="H22" s="357"/>
      <c r="I22" s="357"/>
    </row>
    <row r="23" spans="2:10" ht="16.5">
      <c r="B23" s="345" t="s">
        <v>206</v>
      </c>
      <c r="C23" s="339">
        <v>28033788286.160004</v>
      </c>
      <c r="D23" s="339">
        <v>45442767297.869995</v>
      </c>
      <c r="E23" s="8"/>
      <c r="F23" s="8"/>
      <c r="G23" s="8"/>
      <c r="H23" s="357"/>
      <c r="I23" s="357"/>
    </row>
    <row r="24" spans="2:10" ht="16.5">
      <c r="B24" s="356"/>
      <c r="C24" s="357"/>
      <c r="D24" s="8"/>
      <c r="E24" s="8"/>
      <c r="F24" s="8"/>
      <c r="G24" s="8"/>
      <c r="H24" s="357"/>
    </row>
    <row r="25" spans="2:10" ht="16.5">
      <c r="B25" s="356"/>
      <c r="C25" s="357"/>
      <c r="D25" s="8"/>
      <c r="E25" s="8"/>
      <c r="F25" s="8"/>
      <c r="G25" s="8"/>
      <c r="H25" s="357"/>
    </row>
    <row r="26" spans="2:10">
      <c r="B26" s="8"/>
      <c r="C26" s="8"/>
      <c r="D26" s="8"/>
      <c r="E26" s="8"/>
      <c r="F26" s="8"/>
      <c r="G26" s="8"/>
      <c r="H26" s="8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90"/>
  <sheetViews>
    <sheetView zoomScale="120" zoomScaleNormal="120" workbookViewId="0">
      <pane xSplit="1" ySplit="8" topLeftCell="AE9" activePane="bottomRight" state="frozen"/>
      <selection pane="topRight" activeCell="E1" sqref="E1"/>
      <selection pane="bottomLeft" activeCell="A8" sqref="A8"/>
      <selection pane="bottomRight" activeCell="AP1" sqref="AP1"/>
    </sheetView>
  </sheetViews>
  <sheetFormatPr defaultColWidth="8.85546875" defaultRowHeight="15"/>
  <cols>
    <col min="1" max="1" width="44" customWidth="1"/>
    <col min="2" max="2" width="20.140625" style="365" customWidth="1"/>
    <col min="3" max="3" width="9.28515625" style="365" customWidth="1"/>
    <col min="4" max="4" width="20.42578125" style="365" customWidth="1"/>
    <col min="5" max="5" width="10" style="365" customWidth="1"/>
    <col min="6" max="7" width="9.28515625" style="365" customWidth="1"/>
    <col min="8" max="8" width="19.7109375" style="365" customWidth="1"/>
    <col min="9" max="11" width="9.28515625" style="365" customWidth="1"/>
    <col min="12" max="12" width="20.5703125" style="365" customWidth="1"/>
    <col min="13" max="15" width="9.28515625" style="365" customWidth="1"/>
    <col min="16" max="16" width="22.7109375" style="365" customWidth="1"/>
    <col min="17" max="19" width="9.28515625" style="365" customWidth="1"/>
    <col min="20" max="20" width="21.28515625" style="365" customWidth="1"/>
    <col min="21" max="21" width="9.5703125" style="365" customWidth="1"/>
    <col min="22" max="23" width="9.28515625" style="365" customWidth="1"/>
    <col min="24" max="24" width="20" style="365" customWidth="1"/>
    <col min="25" max="25" width="10.42578125" style="365" customWidth="1"/>
    <col min="26" max="27" width="9.28515625" style="365" customWidth="1"/>
    <col min="28" max="28" width="20.28515625" style="365" customWidth="1"/>
    <col min="29" max="29" width="10" style="365" customWidth="1"/>
    <col min="30" max="31" width="9.28515625" style="365" customWidth="1"/>
    <col min="32" max="32" width="19.85546875" style="365" customWidth="1"/>
    <col min="33" max="35" width="9.28515625" style="365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8.7109375" customWidth="1"/>
    <col min="41" max="41" width="8.140625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  <col min="48" max="48" width="15.7109375" bestFit="1" customWidth="1"/>
  </cols>
  <sheetData>
    <row r="1" spans="1:49" s="108" customFormat="1" ht="37.5" customHeight="1" thickBot="1">
      <c r="A1" s="459" t="s">
        <v>71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460"/>
      <c r="AN1" s="460"/>
      <c r="AO1" s="461"/>
    </row>
    <row r="2" spans="1:49" ht="30.75" customHeight="1">
      <c r="A2" s="197"/>
      <c r="B2" s="458" t="s">
        <v>268</v>
      </c>
      <c r="C2" s="458"/>
      <c r="D2" s="458" t="s">
        <v>269</v>
      </c>
      <c r="E2" s="458"/>
      <c r="F2" s="458" t="s">
        <v>62</v>
      </c>
      <c r="G2" s="458"/>
      <c r="H2" s="458" t="s">
        <v>270</v>
      </c>
      <c r="I2" s="458"/>
      <c r="J2" s="458" t="s">
        <v>62</v>
      </c>
      <c r="K2" s="458"/>
      <c r="L2" s="458" t="s">
        <v>272</v>
      </c>
      <c r="M2" s="458"/>
      <c r="N2" s="458" t="s">
        <v>62</v>
      </c>
      <c r="O2" s="458"/>
      <c r="P2" s="458" t="s">
        <v>273</v>
      </c>
      <c r="Q2" s="458"/>
      <c r="R2" s="458" t="s">
        <v>62</v>
      </c>
      <c r="S2" s="458"/>
      <c r="T2" s="458" t="s">
        <v>274</v>
      </c>
      <c r="U2" s="458"/>
      <c r="V2" s="458" t="s">
        <v>62</v>
      </c>
      <c r="W2" s="458"/>
      <c r="X2" s="458" t="s">
        <v>277</v>
      </c>
      <c r="Y2" s="458"/>
      <c r="Z2" s="458" t="s">
        <v>62</v>
      </c>
      <c r="AA2" s="458"/>
      <c r="AB2" s="458" t="s">
        <v>284</v>
      </c>
      <c r="AC2" s="458"/>
      <c r="AD2" s="458" t="s">
        <v>62</v>
      </c>
      <c r="AE2" s="458"/>
      <c r="AF2" s="458" t="s">
        <v>287</v>
      </c>
      <c r="AG2" s="458"/>
      <c r="AH2" s="458" t="s">
        <v>62</v>
      </c>
      <c r="AI2" s="458"/>
      <c r="AJ2" s="458" t="s">
        <v>78</v>
      </c>
      <c r="AK2" s="458"/>
      <c r="AL2" s="458" t="s">
        <v>79</v>
      </c>
      <c r="AM2" s="458"/>
      <c r="AN2" s="458" t="s">
        <v>70</v>
      </c>
      <c r="AO2" s="462"/>
      <c r="AP2" s="14"/>
      <c r="AQ2" s="463" t="s">
        <v>83</v>
      </c>
      <c r="AR2" s="464"/>
      <c r="AS2" s="14"/>
      <c r="AT2" s="14"/>
    </row>
    <row r="3" spans="1:49" ht="27.75" customHeight="1">
      <c r="A3" s="198" t="s">
        <v>2</v>
      </c>
      <c r="B3" s="189" t="s">
        <v>58</v>
      </c>
      <c r="C3" s="190" t="s">
        <v>3</v>
      </c>
      <c r="D3" s="189" t="s">
        <v>58</v>
      </c>
      <c r="E3" s="190" t="s">
        <v>3</v>
      </c>
      <c r="F3" s="194" t="s">
        <v>58</v>
      </c>
      <c r="G3" s="195" t="s">
        <v>3</v>
      </c>
      <c r="H3" s="189" t="s">
        <v>58</v>
      </c>
      <c r="I3" s="190" t="s">
        <v>3</v>
      </c>
      <c r="J3" s="194" t="s">
        <v>58</v>
      </c>
      <c r="K3" s="195" t="s">
        <v>3</v>
      </c>
      <c r="L3" s="189" t="s">
        <v>58</v>
      </c>
      <c r="M3" s="190" t="s">
        <v>3</v>
      </c>
      <c r="N3" s="194" t="s">
        <v>58</v>
      </c>
      <c r="O3" s="195" t="s">
        <v>3</v>
      </c>
      <c r="P3" s="189" t="s">
        <v>58</v>
      </c>
      <c r="Q3" s="190" t="s">
        <v>3</v>
      </c>
      <c r="R3" s="194" t="s">
        <v>58</v>
      </c>
      <c r="S3" s="195" t="s">
        <v>3</v>
      </c>
      <c r="T3" s="189" t="s">
        <v>58</v>
      </c>
      <c r="U3" s="190" t="s">
        <v>3</v>
      </c>
      <c r="V3" s="194" t="s">
        <v>58</v>
      </c>
      <c r="W3" s="195" t="s">
        <v>3</v>
      </c>
      <c r="X3" s="189" t="s">
        <v>58</v>
      </c>
      <c r="Y3" s="190" t="s">
        <v>3</v>
      </c>
      <c r="Z3" s="194" t="s">
        <v>58</v>
      </c>
      <c r="AA3" s="195" t="s">
        <v>3</v>
      </c>
      <c r="AB3" s="189" t="s">
        <v>58</v>
      </c>
      <c r="AC3" s="190" t="s">
        <v>3</v>
      </c>
      <c r="AD3" s="194" t="s">
        <v>58</v>
      </c>
      <c r="AE3" s="195" t="s">
        <v>3</v>
      </c>
      <c r="AF3" s="189" t="s">
        <v>58</v>
      </c>
      <c r="AG3" s="190" t="s">
        <v>3</v>
      </c>
      <c r="AH3" s="194" t="s">
        <v>58</v>
      </c>
      <c r="AI3" s="195" t="s">
        <v>3</v>
      </c>
      <c r="AJ3" s="194" t="s">
        <v>58</v>
      </c>
      <c r="AK3" s="195" t="s">
        <v>3</v>
      </c>
      <c r="AL3" s="194" t="s">
        <v>58</v>
      </c>
      <c r="AM3" s="195" t="s">
        <v>3</v>
      </c>
      <c r="AN3" s="194" t="s">
        <v>58</v>
      </c>
      <c r="AO3" s="377" t="s">
        <v>3</v>
      </c>
      <c r="AP3" s="14"/>
      <c r="AQ3" s="17" t="s">
        <v>58</v>
      </c>
      <c r="AR3" s="18" t="s">
        <v>3</v>
      </c>
      <c r="AS3" s="14"/>
      <c r="AT3" s="14"/>
    </row>
    <row r="4" spans="1:49">
      <c r="A4" s="199" t="s">
        <v>0</v>
      </c>
      <c r="B4" s="67" t="s">
        <v>4</v>
      </c>
      <c r="C4" s="67" t="s">
        <v>4</v>
      </c>
      <c r="D4" s="67" t="s">
        <v>4</v>
      </c>
      <c r="E4" s="67" t="s">
        <v>4</v>
      </c>
      <c r="F4" s="19" t="s">
        <v>77</v>
      </c>
      <c r="G4" s="19" t="s">
        <v>77</v>
      </c>
      <c r="H4" s="67" t="s">
        <v>4</v>
      </c>
      <c r="I4" s="67" t="s">
        <v>4</v>
      </c>
      <c r="J4" s="19" t="s">
        <v>77</v>
      </c>
      <c r="K4" s="19" t="s">
        <v>77</v>
      </c>
      <c r="L4" s="67" t="s">
        <v>4</v>
      </c>
      <c r="M4" s="67" t="s">
        <v>4</v>
      </c>
      <c r="N4" s="19" t="s">
        <v>77</v>
      </c>
      <c r="O4" s="19" t="s">
        <v>77</v>
      </c>
      <c r="P4" s="67" t="s">
        <v>4</v>
      </c>
      <c r="Q4" s="67" t="s">
        <v>4</v>
      </c>
      <c r="R4" s="19" t="s">
        <v>77</v>
      </c>
      <c r="S4" s="19" t="s">
        <v>77</v>
      </c>
      <c r="T4" s="67" t="s">
        <v>4</v>
      </c>
      <c r="U4" s="67" t="s">
        <v>4</v>
      </c>
      <c r="V4" s="19" t="s">
        <v>77</v>
      </c>
      <c r="W4" s="19" t="s">
        <v>77</v>
      </c>
      <c r="X4" s="67" t="s">
        <v>4</v>
      </c>
      <c r="Y4" s="67" t="s">
        <v>4</v>
      </c>
      <c r="Z4" s="19" t="s">
        <v>77</v>
      </c>
      <c r="AA4" s="19" t="s">
        <v>77</v>
      </c>
      <c r="AB4" s="67" t="s">
        <v>4</v>
      </c>
      <c r="AC4" s="67" t="s">
        <v>4</v>
      </c>
      <c r="AD4" s="19" t="s">
        <v>77</v>
      </c>
      <c r="AE4" s="19" t="s">
        <v>77</v>
      </c>
      <c r="AF4" s="67" t="s">
        <v>4</v>
      </c>
      <c r="AG4" s="67" t="s">
        <v>4</v>
      </c>
      <c r="AH4" s="19" t="s">
        <v>77</v>
      </c>
      <c r="AI4" s="19" t="s">
        <v>77</v>
      </c>
      <c r="AJ4" s="20" t="s">
        <v>77</v>
      </c>
      <c r="AK4" s="20" t="s">
        <v>77</v>
      </c>
      <c r="AL4" s="21" t="s">
        <v>77</v>
      </c>
      <c r="AM4" s="21" t="s">
        <v>77</v>
      </c>
      <c r="AN4" s="15" t="s">
        <v>77</v>
      </c>
      <c r="AO4" s="16" t="s">
        <v>77</v>
      </c>
      <c r="AP4" s="14"/>
      <c r="AQ4" s="22" t="s">
        <v>4</v>
      </c>
      <c r="AR4" s="22" t="s">
        <v>4</v>
      </c>
      <c r="AS4" s="14"/>
      <c r="AT4" s="14"/>
    </row>
    <row r="5" spans="1:49">
      <c r="A5" s="200" t="s">
        <v>13</v>
      </c>
      <c r="B5" s="324">
        <v>612427190.11000001</v>
      </c>
      <c r="C5" s="323">
        <v>260.09980000000002</v>
      </c>
      <c r="D5" s="324">
        <v>621969400.20000005</v>
      </c>
      <c r="E5" s="323">
        <v>259.68880000000001</v>
      </c>
      <c r="F5" s="23">
        <f t="shared" ref="F5:F20" si="0">((D5-B5)/B5)</f>
        <v>1.5580970675528182E-2</v>
      </c>
      <c r="G5" s="23">
        <f t="shared" ref="G5:G20" si="1">((E5-C5)/C5)</f>
        <v>-1.5801626913976917E-3</v>
      </c>
      <c r="H5" s="324">
        <v>628602252.70000005</v>
      </c>
      <c r="I5" s="323">
        <v>260.66609999999997</v>
      </c>
      <c r="J5" s="23">
        <f t="shared" ref="J5:J20" si="2">((H5-D5)/D5)</f>
        <v>1.0664274637734821E-2</v>
      </c>
      <c r="K5" s="23">
        <f t="shared" ref="K5:K20" si="3">((I5-E5)/E5)</f>
        <v>3.7633505950197196E-3</v>
      </c>
      <c r="L5" s="324">
        <v>623207876.88</v>
      </c>
      <c r="M5" s="323">
        <v>259.41590000000002</v>
      </c>
      <c r="N5" s="23">
        <f t="shared" ref="N5:N20" si="4">((L5-H5)/H5)</f>
        <v>-8.5815407069094844E-3</v>
      </c>
      <c r="O5" s="23">
        <f t="shared" ref="O5:O20" si="5">((M5-I5)/I5)</f>
        <v>-4.7961741093297131E-3</v>
      </c>
      <c r="P5" s="324">
        <v>631067890.95000005</v>
      </c>
      <c r="Q5" s="323">
        <v>264.0881</v>
      </c>
      <c r="R5" s="23">
        <f t="shared" ref="R5:R20" si="6">((P5-L5)/L5)</f>
        <v>1.2612186658086022E-2</v>
      </c>
      <c r="S5" s="23">
        <f t="shared" ref="S5:S20" si="7">((Q5-M5)/M5)</f>
        <v>1.8010461193781781E-2</v>
      </c>
      <c r="T5" s="324">
        <v>663599274.85000002</v>
      </c>
      <c r="U5" s="323">
        <v>276.63319999999999</v>
      </c>
      <c r="V5" s="23">
        <f t="shared" ref="V5:V20" si="8">((T5-P5)/P5)</f>
        <v>5.154973714639121E-2</v>
      </c>
      <c r="W5" s="23">
        <f t="shared" ref="W5:W20" si="9">((U5-Q5)/Q5)</f>
        <v>4.7503465699514635E-2</v>
      </c>
      <c r="X5" s="324">
        <v>676823035.13</v>
      </c>
      <c r="Y5" s="323">
        <v>281.70780000000002</v>
      </c>
      <c r="Z5" s="23">
        <f t="shared" ref="Z5:Z20" si="10">((X5-T5)/T5)</f>
        <v>1.992732780334799E-2</v>
      </c>
      <c r="AA5" s="23">
        <f t="shared" ref="AA5:AA20" si="11">((Y5-U5)/U5)</f>
        <v>1.8344146689551481E-2</v>
      </c>
      <c r="AB5" s="324">
        <v>684549382</v>
      </c>
      <c r="AC5" s="323">
        <v>275.67899999999997</v>
      </c>
      <c r="AD5" s="23">
        <f t="shared" ref="AD5:AD20" si="12">((AB5-X5)/X5)</f>
        <v>1.141560861402416E-2</v>
      </c>
      <c r="AE5" s="23">
        <f t="shared" ref="AE5:AE20" si="13">((AC5-Y5)/Y5)</f>
        <v>-2.1400898377680867E-2</v>
      </c>
      <c r="AF5" s="324">
        <v>682126439.33000004</v>
      </c>
      <c r="AG5" s="323">
        <v>276.96660000000003</v>
      </c>
      <c r="AH5" s="23">
        <f t="shared" ref="AH5:AH20" si="14">((AF5-AB5)/AB5)</f>
        <v>-3.539470977128071E-3</v>
      </c>
      <c r="AI5" s="23">
        <f t="shared" ref="AI5:AI20" si="15">((AG5-AC5)/AC5)</f>
        <v>4.6706495598143301E-3</v>
      </c>
      <c r="AJ5" s="24">
        <f>AVERAGE(F5,J5,N5,R5,V5,Z5,AD5,AH5)</f>
        <v>1.3703636731384352E-2</v>
      </c>
      <c r="AK5" s="24">
        <f>AVERAGE(G5,K5,O5,S5,W5,AA5,AE5,AI5)</f>
        <v>8.0643548199092075E-3</v>
      </c>
      <c r="AL5" s="25">
        <f>((AF5-D5)/D5)</f>
        <v>9.6720255225829346E-2</v>
      </c>
      <c r="AM5" s="25">
        <f>((AG5-E5)/E5)</f>
        <v>6.6532711460794661E-2</v>
      </c>
      <c r="AN5" s="378">
        <f>STDEV(F5,J5,N5,R5,V5,Z5,AD5,AH5)</f>
        <v>1.80641870826075E-2</v>
      </c>
      <c r="AO5" s="379">
        <f>STDEV(G5,K5,O5,S5,W5,AA5,AD5,AI5)</f>
        <v>1.6583485440808121E-2</v>
      </c>
      <c r="AP5" s="27"/>
      <c r="AQ5" s="28">
        <v>7877662528.1199999</v>
      </c>
      <c r="AR5" s="28">
        <v>7704.04</v>
      </c>
      <c r="AS5" s="29" t="e">
        <f>(#REF!/AQ5)-1</f>
        <v>#REF!</v>
      </c>
      <c r="AT5" s="29" t="e">
        <f>(#REF!/AR5)-1</f>
        <v>#REF!</v>
      </c>
    </row>
    <row r="6" spans="1:49">
      <c r="A6" s="200" t="s">
        <v>135</v>
      </c>
      <c r="B6" s="323">
        <v>518294394.38999999</v>
      </c>
      <c r="C6" s="323">
        <v>188.03749999999999</v>
      </c>
      <c r="D6" s="323">
        <v>510579594.36000001</v>
      </c>
      <c r="E6" s="323">
        <v>188.75640000000001</v>
      </c>
      <c r="F6" s="23">
        <f t="shared" si="0"/>
        <v>-1.4884976788297715E-2</v>
      </c>
      <c r="G6" s="23">
        <f t="shared" si="1"/>
        <v>3.8231735691020099E-3</v>
      </c>
      <c r="H6" s="323">
        <v>511617940.92000002</v>
      </c>
      <c r="I6" s="323">
        <v>189.21789999999999</v>
      </c>
      <c r="J6" s="23">
        <f t="shared" si="2"/>
        <v>2.0336624719629586E-3</v>
      </c>
      <c r="K6" s="23">
        <f t="shared" si="3"/>
        <v>2.4449502109595883E-3</v>
      </c>
      <c r="L6" s="323">
        <v>508348620.04000002</v>
      </c>
      <c r="M6" s="323">
        <v>188.1045</v>
      </c>
      <c r="N6" s="23">
        <f t="shared" si="4"/>
        <v>-6.3901607401043196E-3</v>
      </c>
      <c r="O6" s="23">
        <f t="shared" si="5"/>
        <v>-5.8842213130997885E-3</v>
      </c>
      <c r="P6" s="323">
        <v>506604063.85000002</v>
      </c>
      <c r="Q6" s="323">
        <v>187.60990000000001</v>
      </c>
      <c r="R6" s="23">
        <f t="shared" si="6"/>
        <v>-3.4318106142645281E-3</v>
      </c>
      <c r="S6" s="23">
        <f t="shared" si="7"/>
        <v>-2.6293895148706771E-3</v>
      </c>
      <c r="T6" s="323">
        <v>519049234.76999998</v>
      </c>
      <c r="U6" s="323">
        <v>192.2671</v>
      </c>
      <c r="V6" s="23">
        <f t="shared" si="8"/>
        <v>2.4565872656885826E-2</v>
      </c>
      <c r="W6" s="23">
        <f t="shared" si="9"/>
        <v>2.4823849914103621E-2</v>
      </c>
      <c r="X6" s="323">
        <v>531115431.49000001</v>
      </c>
      <c r="Y6" s="323">
        <v>196.2141</v>
      </c>
      <c r="Z6" s="23">
        <f t="shared" si="10"/>
        <v>2.3246728656380309E-2</v>
      </c>
      <c r="AA6" s="23">
        <f t="shared" si="11"/>
        <v>2.0528733205004927E-2</v>
      </c>
      <c r="AB6" s="323">
        <v>531115431.49000001</v>
      </c>
      <c r="AC6" s="323">
        <v>196.2141</v>
      </c>
      <c r="AD6" s="23">
        <f t="shared" si="12"/>
        <v>0</v>
      </c>
      <c r="AE6" s="23">
        <f t="shared" si="13"/>
        <v>0</v>
      </c>
      <c r="AF6" s="323">
        <v>500203459.44</v>
      </c>
      <c r="AG6" s="323">
        <v>185.44909999999999</v>
      </c>
      <c r="AH6" s="23">
        <f t="shared" si="14"/>
        <v>-5.8201984384598004E-2</v>
      </c>
      <c r="AI6" s="23">
        <f t="shared" si="15"/>
        <v>-5.4863539368475635E-2</v>
      </c>
      <c r="AJ6" s="24">
        <f t="shared" ref="AJ6:AJ69" si="16">AVERAGE(F6,J6,N6,R6,V6,Z6,AD6,AH6)</f>
        <v>-4.1328335927544348E-3</v>
      </c>
      <c r="AK6" s="24">
        <f t="shared" ref="AK6:AK69" si="17">AVERAGE(G6,K6,O6,S6,W6,AA6,AE6,AI6)</f>
        <v>-1.469555412159494E-3</v>
      </c>
      <c r="AL6" s="25">
        <f t="shared" ref="AL6:AL69" si="18">((AF6-D6)/D6)</f>
        <v>-2.0322267154068832E-2</v>
      </c>
      <c r="AM6" s="25">
        <f t="shared" ref="AM6:AM69" si="19">((AG6-E6)/E6)</f>
        <v>-1.7521525097957083E-2</v>
      </c>
      <c r="AN6" s="378">
        <f t="shared" ref="AN6:AN69" si="20">STDEV(F6,J6,N6,R6,V6,Z6,AD6,AH6)</f>
        <v>2.5837488727743975E-2</v>
      </c>
      <c r="AO6" s="379">
        <f t="shared" ref="AO6:AO69" si="21">STDEV(G6,K6,O6,S6,W6,AA6,AD6,AI6)</f>
        <v>2.4179435790644299E-2</v>
      </c>
      <c r="AP6" s="30"/>
      <c r="AQ6" s="31">
        <v>486981928.81999999</v>
      </c>
      <c r="AR6" s="32">
        <v>0.95</v>
      </c>
      <c r="AS6" s="29" t="e">
        <f>(#REF!/AQ6)-1</f>
        <v>#REF!</v>
      </c>
      <c r="AT6" s="29" t="e">
        <f>(#REF!/AR6)-1</f>
        <v>#REF!</v>
      </c>
    </row>
    <row r="7" spans="1:49">
      <c r="A7" s="200" t="s">
        <v>11</v>
      </c>
      <c r="B7" s="323">
        <v>3218728320.0500002</v>
      </c>
      <c r="C7" s="323">
        <v>29.732199999999999</v>
      </c>
      <c r="D7" s="323">
        <v>3206531932.8299999</v>
      </c>
      <c r="E7" s="323">
        <v>29.638500000000001</v>
      </c>
      <c r="F7" s="23">
        <f t="shared" si="0"/>
        <v>-3.7891943672371847E-3</v>
      </c>
      <c r="G7" s="23">
        <f t="shared" si="1"/>
        <v>-3.1514654146009491E-3</v>
      </c>
      <c r="H7" s="323">
        <v>3211342345.2600002</v>
      </c>
      <c r="I7" s="323">
        <v>29.691299999999998</v>
      </c>
      <c r="J7" s="23">
        <f t="shared" si="2"/>
        <v>1.5001916496601869E-3</v>
      </c>
      <c r="K7" s="23">
        <f t="shared" si="3"/>
        <v>1.7814666734145702E-3</v>
      </c>
      <c r="L7" s="323">
        <v>3208966322.8099999</v>
      </c>
      <c r="M7" s="323">
        <v>29.677700000000002</v>
      </c>
      <c r="N7" s="23">
        <f t="shared" si="4"/>
        <v>-7.3988450764439311E-4</v>
      </c>
      <c r="O7" s="23">
        <f t="shared" si="5"/>
        <v>-4.5804663318873629E-4</v>
      </c>
      <c r="P7" s="323">
        <v>3236722755.8800001</v>
      </c>
      <c r="Q7" s="323">
        <v>29.9483</v>
      </c>
      <c r="R7" s="23">
        <f t="shared" si="6"/>
        <v>8.6496492258898681E-3</v>
      </c>
      <c r="S7" s="23">
        <f t="shared" si="7"/>
        <v>9.117957254099817E-3</v>
      </c>
      <c r="T7" s="323">
        <v>3287674125.29</v>
      </c>
      <c r="U7" s="323">
        <v>30.401199999999999</v>
      </c>
      <c r="V7" s="23">
        <f t="shared" si="8"/>
        <v>1.5741653905154192E-2</v>
      </c>
      <c r="W7" s="23">
        <f t="shared" si="9"/>
        <v>1.512272816820987E-2</v>
      </c>
      <c r="X7" s="323">
        <v>3305314654.4299998</v>
      </c>
      <c r="Y7" s="323">
        <v>30.571899999999999</v>
      </c>
      <c r="Z7" s="23">
        <f t="shared" si="10"/>
        <v>5.365656226175952E-3</v>
      </c>
      <c r="AA7" s="23">
        <f t="shared" si="11"/>
        <v>5.6149099377656173E-3</v>
      </c>
      <c r="AB7" s="323">
        <v>3271006234.54</v>
      </c>
      <c r="AC7" s="323">
        <v>30.237500000000001</v>
      </c>
      <c r="AD7" s="23">
        <f t="shared" si="12"/>
        <v>-1.0379774235417336E-2</v>
      </c>
      <c r="AE7" s="23">
        <f t="shared" si="13"/>
        <v>-1.0938149084616877E-2</v>
      </c>
      <c r="AF7" s="323">
        <v>3263035357.75</v>
      </c>
      <c r="AG7" s="323">
        <v>30.177499999999998</v>
      </c>
      <c r="AH7" s="23">
        <f t="shared" si="14"/>
        <v>-2.4368271468980865E-3</v>
      </c>
      <c r="AI7" s="23">
        <f t="shared" si="15"/>
        <v>-1.9842910293510468E-3</v>
      </c>
      <c r="AJ7" s="24">
        <f t="shared" si="16"/>
        <v>1.7389338437104E-3</v>
      </c>
      <c r="AK7" s="24">
        <f t="shared" si="17"/>
        <v>1.8881387339665329E-3</v>
      </c>
      <c r="AL7" s="25">
        <f t="shared" si="18"/>
        <v>1.762135107450237E-2</v>
      </c>
      <c r="AM7" s="25">
        <f t="shared" si="19"/>
        <v>1.8185805624441113E-2</v>
      </c>
      <c r="AN7" s="378">
        <f t="shared" si="20"/>
        <v>8.0892263145922339E-3</v>
      </c>
      <c r="AO7" s="379">
        <f t="shared" si="21"/>
        <v>7.9073696159207407E-3</v>
      </c>
      <c r="AP7" s="30"/>
      <c r="AQ7" s="28">
        <v>204065067.03999999</v>
      </c>
      <c r="AR7" s="32">
        <v>105.02</v>
      </c>
      <c r="AS7" s="29" t="e">
        <f>(#REF!/AQ7)-1</f>
        <v>#REF!</v>
      </c>
      <c r="AT7" s="29" t="e">
        <f>(#REF!/AR7)-1</f>
        <v>#REF!</v>
      </c>
    </row>
    <row r="8" spans="1:49">
      <c r="A8" s="200" t="s">
        <v>81</v>
      </c>
      <c r="B8" s="323">
        <v>352680850.66000003</v>
      </c>
      <c r="C8" s="323">
        <v>173.42</v>
      </c>
      <c r="D8" s="323">
        <v>360548914.51999998</v>
      </c>
      <c r="E8" s="323">
        <v>174.23</v>
      </c>
      <c r="F8" s="23">
        <f t="shared" si="0"/>
        <v>2.2309302717388298E-2</v>
      </c>
      <c r="G8" s="23">
        <f t="shared" si="1"/>
        <v>4.6707415523007858E-3</v>
      </c>
      <c r="H8" s="323">
        <v>355115026.75999999</v>
      </c>
      <c r="I8" s="323">
        <v>175.14</v>
      </c>
      <c r="J8" s="23">
        <f t="shared" si="2"/>
        <v>-1.5071152737303741E-2</v>
      </c>
      <c r="K8" s="23">
        <f t="shared" si="3"/>
        <v>5.2229811169144042E-3</v>
      </c>
      <c r="L8" s="323">
        <v>362161349.74000001</v>
      </c>
      <c r="M8" s="323">
        <v>176.22</v>
      </c>
      <c r="N8" s="23">
        <f t="shared" si="4"/>
        <v>1.9842367821742975E-2</v>
      </c>
      <c r="O8" s="23">
        <f t="shared" si="5"/>
        <v>6.1664953751285403E-3</v>
      </c>
      <c r="P8" s="323">
        <v>390975487.38999999</v>
      </c>
      <c r="Q8" s="323">
        <v>180.24</v>
      </c>
      <c r="R8" s="23">
        <f t="shared" si="6"/>
        <v>7.956160333145984E-2</v>
      </c>
      <c r="S8" s="23">
        <f t="shared" si="7"/>
        <v>2.2812393598910512E-2</v>
      </c>
      <c r="T8" s="323">
        <v>415720670.63</v>
      </c>
      <c r="U8" s="323">
        <v>182.88</v>
      </c>
      <c r="V8" s="23">
        <f t="shared" si="8"/>
        <v>6.329088149538277E-2</v>
      </c>
      <c r="W8" s="23">
        <f t="shared" si="9"/>
        <v>1.4647137150465969E-2</v>
      </c>
      <c r="X8" s="323">
        <v>425086144.97000003</v>
      </c>
      <c r="Y8" s="323">
        <v>185.47</v>
      </c>
      <c r="Z8" s="23">
        <f t="shared" si="10"/>
        <v>2.2528286423206267E-2</v>
      </c>
      <c r="AA8" s="23">
        <f t="shared" si="11"/>
        <v>1.4162292213473334E-2</v>
      </c>
      <c r="AB8" s="323">
        <v>416547539.07999998</v>
      </c>
      <c r="AC8" s="323">
        <v>181.33</v>
      </c>
      <c r="AD8" s="23">
        <f t="shared" si="12"/>
        <v>-2.0086765920358678E-2</v>
      </c>
      <c r="AE8" s="23">
        <f t="shared" si="13"/>
        <v>-2.2321669272658579E-2</v>
      </c>
      <c r="AF8" s="323">
        <v>407475617.75999999</v>
      </c>
      <c r="AG8" s="323">
        <v>183.85</v>
      </c>
      <c r="AH8" s="23">
        <f t="shared" si="14"/>
        <v>-2.1778837872950887E-2</v>
      </c>
      <c r="AI8" s="23">
        <f t="shared" si="15"/>
        <v>1.3897314288865504E-2</v>
      </c>
      <c r="AJ8" s="24">
        <f t="shared" si="16"/>
        <v>1.8824460657320852E-2</v>
      </c>
      <c r="AK8" s="24">
        <f t="shared" si="17"/>
        <v>7.4072107529250591E-3</v>
      </c>
      <c r="AL8" s="25">
        <f t="shared" si="18"/>
        <v>0.13015350026077235</v>
      </c>
      <c r="AM8" s="25">
        <f t="shared" si="19"/>
        <v>5.5214371807381077E-2</v>
      </c>
      <c r="AN8" s="378">
        <f t="shared" si="20"/>
        <v>3.7805490303403431E-2</v>
      </c>
      <c r="AO8" s="379">
        <f t="shared" si="21"/>
        <v>1.2798335069342989E-2</v>
      </c>
      <c r="AP8" s="30"/>
      <c r="AQ8" s="33">
        <v>166618649</v>
      </c>
      <c r="AR8" s="34">
        <v>9.4</v>
      </c>
      <c r="AS8" s="29" t="e">
        <f>(#REF!/AQ8)-1</f>
        <v>#REF!</v>
      </c>
      <c r="AT8" s="29" t="e">
        <f>(#REF!/AR8)-1</f>
        <v>#REF!</v>
      </c>
      <c r="AU8" s="91"/>
    </row>
    <row r="9" spans="1:49" s="365" customFormat="1">
      <c r="A9" s="200" t="s">
        <v>283</v>
      </c>
      <c r="B9" s="74">
        <v>69684504.700000003</v>
      </c>
      <c r="C9" s="323">
        <v>130.1129</v>
      </c>
      <c r="D9" s="74">
        <v>71901495.480000004</v>
      </c>
      <c r="E9" s="323">
        <v>128.4442</v>
      </c>
      <c r="F9" s="23">
        <f t="shared" si="0"/>
        <v>3.1814688065078561E-2</v>
      </c>
      <c r="G9" s="23">
        <f t="shared" si="1"/>
        <v>-1.2825015813189939E-2</v>
      </c>
      <c r="H9" s="74">
        <v>72537474.200000003</v>
      </c>
      <c r="I9" s="323">
        <v>129.20670000000001</v>
      </c>
      <c r="J9" s="23">
        <f t="shared" ref="J9" si="22">((H9-D9)/D9)</f>
        <v>8.8451389745697502E-3</v>
      </c>
      <c r="K9" s="23">
        <f t="shared" ref="K9" si="23">((I9-E9)/E9)</f>
        <v>5.9364299828253602E-3</v>
      </c>
      <c r="L9" s="74">
        <v>72135357.400000006</v>
      </c>
      <c r="M9" s="323">
        <v>128.48689999999999</v>
      </c>
      <c r="N9" s="23">
        <f t="shared" ref="N9" si="24">((L9-H9)/H9)</f>
        <v>-5.5435732279743065E-3</v>
      </c>
      <c r="O9" s="23">
        <f t="shared" ref="O9" si="25">((M9-I9)/I9)</f>
        <v>-5.5709185359584341E-3</v>
      </c>
      <c r="P9" s="74">
        <v>71865969.430000007</v>
      </c>
      <c r="Q9" s="323">
        <v>128.00309999999999</v>
      </c>
      <c r="R9" s="23">
        <f t="shared" ref="R9" si="26">((P9-L9)/L9)</f>
        <v>-3.7344788978615194E-3</v>
      </c>
      <c r="S9" s="23">
        <f t="shared" ref="S9" si="27">((Q9-M9)/M9)</f>
        <v>-3.7653644067994654E-3</v>
      </c>
      <c r="T9" s="74">
        <v>73406882.510000005</v>
      </c>
      <c r="U9" s="323">
        <v>130.34989999999999</v>
      </c>
      <c r="V9" s="23">
        <f t="shared" ref="V9" si="28">((T9-P9)/P9)</f>
        <v>2.1441484644563264E-2</v>
      </c>
      <c r="W9" s="23">
        <f t="shared" ref="W9" si="29">((U9-Q9)/Q9)</f>
        <v>1.833393097510921E-2</v>
      </c>
      <c r="X9" s="74">
        <v>75819162.890000001</v>
      </c>
      <c r="Y9" s="323">
        <v>133.14189999999999</v>
      </c>
      <c r="Z9" s="23">
        <f t="shared" ref="Z9" si="30">((X9-T9)/T9)</f>
        <v>3.2861773957930676E-2</v>
      </c>
      <c r="AA9" s="23">
        <f t="shared" ref="AA9" si="31">((Y9-U9)/U9)</f>
        <v>2.1419272281758574E-2</v>
      </c>
      <c r="AB9" s="74">
        <v>74463521.510000005</v>
      </c>
      <c r="AC9" s="323">
        <v>130.54300000000001</v>
      </c>
      <c r="AD9" s="23">
        <f t="shared" si="12"/>
        <v>-1.7879930723671899E-2</v>
      </c>
      <c r="AE9" s="23">
        <f t="shared" si="13"/>
        <v>-1.9519775517699435E-2</v>
      </c>
      <c r="AF9" s="74">
        <v>123852080.36</v>
      </c>
      <c r="AG9" s="323">
        <v>129.8289</v>
      </c>
      <c r="AH9" s="23">
        <f t="shared" si="14"/>
        <v>0.66325843645962146</v>
      </c>
      <c r="AI9" s="23">
        <f t="shared" si="15"/>
        <v>-5.4702282006695259E-3</v>
      </c>
      <c r="AJ9" s="24">
        <f t="shared" si="16"/>
        <v>9.1382942406531997E-2</v>
      </c>
      <c r="AK9" s="24">
        <f t="shared" si="17"/>
        <v>-1.827086543279569E-4</v>
      </c>
      <c r="AL9" s="25">
        <f t="shared" si="18"/>
        <v>0.72252439998901663</v>
      </c>
      <c r="AM9" s="25">
        <f t="shared" si="19"/>
        <v>1.0780556848810685E-2</v>
      </c>
      <c r="AN9" s="378">
        <f t="shared" si="20"/>
        <v>0.23179406808720046</v>
      </c>
      <c r="AO9" s="379">
        <f t="shared" si="21"/>
        <v>1.4088825029659285E-2</v>
      </c>
      <c r="AP9" s="30"/>
      <c r="AQ9" s="33"/>
      <c r="AR9" s="34"/>
      <c r="AS9" s="29"/>
      <c r="AT9" s="29"/>
      <c r="AU9" s="91"/>
    </row>
    <row r="10" spans="1:49" s="86" customFormat="1">
      <c r="A10" s="200" t="s">
        <v>52</v>
      </c>
      <c r="B10" s="323">
        <v>572941963.38999999</v>
      </c>
      <c r="C10" s="323">
        <v>239.8</v>
      </c>
      <c r="D10" s="323">
        <v>565564799.84000003</v>
      </c>
      <c r="E10" s="323">
        <v>237.83</v>
      </c>
      <c r="F10" s="23">
        <f t="shared" si="0"/>
        <v>-1.2875935123254949E-2</v>
      </c>
      <c r="G10" s="23">
        <f t="shared" si="1"/>
        <v>-8.2151793160967421E-3</v>
      </c>
      <c r="H10" s="323">
        <v>589060642.75</v>
      </c>
      <c r="I10" s="323">
        <v>239.28</v>
      </c>
      <c r="J10" s="23">
        <f t="shared" si="2"/>
        <v>4.154403335682668E-2</v>
      </c>
      <c r="K10" s="23">
        <f t="shared" si="3"/>
        <v>6.0967918260942206E-3</v>
      </c>
      <c r="L10" s="323">
        <v>588294579.13</v>
      </c>
      <c r="M10" s="323">
        <v>237.84</v>
      </c>
      <c r="N10" s="23">
        <f t="shared" si="4"/>
        <v>-1.3004834551900723E-3</v>
      </c>
      <c r="O10" s="23">
        <f t="shared" si="5"/>
        <v>-6.0180541624874524E-3</v>
      </c>
      <c r="P10" s="323">
        <v>603953308.50999999</v>
      </c>
      <c r="Q10" s="323">
        <v>241.46</v>
      </c>
      <c r="R10" s="23">
        <f t="shared" si="6"/>
        <v>2.6617157348546236E-2</v>
      </c>
      <c r="S10" s="23">
        <f t="shared" si="7"/>
        <v>1.5220316178943847E-2</v>
      </c>
      <c r="T10" s="323">
        <v>663235844.59000003</v>
      </c>
      <c r="U10" s="323">
        <v>251.68</v>
      </c>
      <c r="V10" s="23">
        <f t="shared" si="8"/>
        <v>9.8157482117706571E-2</v>
      </c>
      <c r="W10" s="23">
        <f t="shared" si="9"/>
        <v>4.2325851072641425E-2</v>
      </c>
      <c r="X10" s="323">
        <v>685567088.65999997</v>
      </c>
      <c r="Y10" s="323">
        <v>257.08999999999997</v>
      </c>
      <c r="Z10" s="23">
        <f t="shared" si="10"/>
        <v>3.3670140497012328E-2</v>
      </c>
      <c r="AA10" s="23">
        <f t="shared" si="11"/>
        <v>2.1495549904640688E-2</v>
      </c>
      <c r="AB10" s="323">
        <v>682849073.95000005</v>
      </c>
      <c r="AC10" s="323">
        <v>253.82</v>
      </c>
      <c r="AD10" s="23">
        <f t="shared" si="12"/>
        <v>-3.9646225073501021E-3</v>
      </c>
      <c r="AE10" s="23">
        <f t="shared" si="13"/>
        <v>-1.2719281185576966E-2</v>
      </c>
      <c r="AF10" s="323">
        <v>687699632.98000002</v>
      </c>
      <c r="AG10" s="323">
        <v>253.86</v>
      </c>
      <c r="AH10" s="23">
        <f t="shared" si="14"/>
        <v>7.1034130601385888E-3</v>
      </c>
      <c r="AI10" s="23">
        <f t="shared" si="15"/>
        <v>1.5759199432676882E-4</v>
      </c>
      <c r="AJ10" s="24">
        <f t="shared" si="16"/>
        <v>2.3618898161804409E-2</v>
      </c>
      <c r="AK10" s="24">
        <f t="shared" si="17"/>
        <v>7.2929482890607238E-3</v>
      </c>
      <c r="AL10" s="25">
        <f t="shared" si="18"/>
        <v>0.21595197079901771</v>
      </c>
      <c r="AM10" s="25">
        <f t="shared" si="19"/>
        <v>6.7401084808476647E-2</v>
      </c>
      <c r="AN10" s="378">
        <f t="shared" si="20"/>
        <v>3.5804605246232059E-2</v>
      </c>
      <c r="AO10" s="379">
        <f t="shared" si="21"/>
        <v>1.7233864643032566E-2</v>
      </c>
      <c r="AP10" s="30"/>
      <c r="AQ10" s="33"/>
      <c r="AR10" s="34"/>
      <c r="AS10" s="29"/>
      <c r="AT10" s="29"/>
    </row>
    <row r="11" spans="1:49">
      <c r="A11" s="200" t="s">
        <v>8</v>
      </c>
      <c r="B11" s="324">
        <v>309368782.70999998</v>
      </c>
      <c r="C11" s="323">
        <v>163.79</v>
      </c>
      <c r="D11" s="324">
        <v>319107515.81</v>
      </c>
      <c r="E11" s="323">
        <v>165.09</v>
      </c>
      <c r="F11" s="23">
        <f t="shared" si="0"/>
        <v>3.1479365871019509E-2</v>
      </c>
      <c r="G11" s="23">
        <f t="shared" si="1"/>
        <v>7.9369924903840983E-3</v>
      </c>
      <c r="H11" s="324">
        <v>322785456.94</v>
      </c>
      <c r="I11" s="323">
        <v>166.94</v>
      </c>
      <c r="J11" s="23">
        <f t="shared" si="2"/>
        <v>1.1525711391234922E-2</v>
      </c>
      <c r="K11" s="23">
        <f t="shared" si="3"/>
        <v>1.1206008843660999E-2</v>
      </c>
      <c r="L11" s="324">
        <v>319891885.48000002</v>
      </c>
      <c r="M11" s="323">
        <v>165.37</v>
      </c>
      <c r="N11" s="23">
        <f t="shared" si="4"/>
        <v>-8.9643798931679924E-3</v>
      </c>
      <c r="O11" s="23">
        <f t="shared" si="5"/>
        <v>-9.4045764945488997E-3</v>
      </c>
      <c r="P11" s="324">
        <v>316963138.69999999</v>
      </c>
      <c r="Q11" s="323">
        <v>163.82</v>
      </c>
      <c r="R11" s="23">
        <f t="shared" si="6"/>
        <v>-9.1554269205842021E-3</v>
      </c>
      <c r="S11" s="23">
        <f t="shared" si="7"/>
        <v>-9.3729213279313741E-3</v>
      </c>
      <c r="T11" s="324">
        <v>327853460.63999999</v>
      </c>
      <c r="U11" s="323">
        <v>169.53</v>
      </c>
      <c r="V11" s="23">
        <f t="shared" si="8"/>
        <v>3.4358323130777343E-2</v>
      </c>
      <c r="W11" s="23">
        <f t="shared" si="9"/>
        <v>3.4855329019655767E-2</v>
      </c>
      <c r="X11" s="324">
        <v>327504561.19</v>
      </c>
      <c r="Y11" s="323">
        <v>169.35</v>
      </c>
      <c r="Z11" s="23">
        <f t="shared" si="10"/>
        <v>-1.0641932811046265E-3</v>
      </c>
      <c r="AA11" s="23">
        <f t="shared" si="11"/>
        <v>-1.0617589807114186E-3</v>
      </c>
      <c r="AB11" s="324">
        <v>316716491.19999999</v>
      </c>
      <c r="AC11" s="323">
        <v>163.76</v>
      </c>
      <c r="AD11" s="23">
        <f t="shared" si="12"/>
        <v>-3.2940212957038389E-2</v>
      </c>
      <c r="AE11" s="23">
        <f t="shared" si="13"/>
        <v>-3.3008562149394766E-2</v>
      </c>
      <c r="AF11" s="324">
        <v>320982722.70999998</v>
      </c>
      <c r="AG11" s="323">
        <v>165.68</v>
      </c>
      <c r="AH11" s="23">
        <f t="shared" si="14"/>
        <v>1.3470190623278762E-2</v>
      </c>
      <c r="AI11" s="23">
        <f t="shared" si="15"/>
        <v>1.1724474841231168E-2</v>
      </c>
      <c r="AJ11" s="24">
        <f t="shared" si="16"/>
        <v>4.8386722455519161E-3</v>
      </c>
      <c r="AK11" s="24">
        <f t="shared" si="17"/>
        <v>1.6093732802931967E-3</v>
      </c>
      <c r="AL11" s="25">
        <f t="shared" si="18"/>
        <v>5.8764109495825674E-3</v>
      </c>
      <c r="AM11" s="25">
        <f t="shared" si="19"/>
        <v>3.5738082258162419E-3</v>
      </c>
      <c r="AN11" s="378">
        <f t="shared" si="20"/>
        <v>2.2516035541887261E-2</v>
      </c>
      <c r="AO11" s="379">
        <f t="shared" si="21"/>
        <v>1.9937291651917786E-2</v>
      </c>
      <c r="AP11" s="30"/>
      <c r="AQ11" s="28">
        <v>1147996444.8800001</v>
      </c>
      <c r="AR11" s="32">
        <v>0.69840000000000002</v>
      </c>
      <c r="AS11" s="29" t="e">
        <f>(#REF!/AQ11)-1</f>
        <v>#REF!</v>
      </c>
      <c r="AT11" s="29" t="e">
        <f>(#REF!/AR11)-1</f>
        <v>#REF!</v>
      </c>
    </row>
    <row r="12" spans="1:49">
      <c r="A12" s="200" t="s">
        <v>215</v>
      </c>
      <c r="B12" s="74">
        <v>37600681.560000002</v>
      </c>
      <c r="C12" s="323">
        <v>150.88</v>
      </c>
      <c r="D12" s="74">
        <v>37284486.909999996</v>
      </c>
      <c r="E12" s="323">
        <v>149.61000000000001</v>
      </c>
      <c r="F12" s="23">
        <f t="shared" si="0"/>
        <v>-8.4092797492367043E-3</v>
      </c>
      <c r="G12" s="23">
        <f t="shared" si="1"/>
        <v>-8.417285259808999E-3</v>
      </c>
      <c r="H12" s="74">
        <v>37880552.880000003</v>
      </c>
      <c r="I12" s="323">
        <v>152.01</v>
      </c>
      <c r="J12" s="23">
        <f t="shared" si="2"/>
        <v>1.5986969900882199E-2</v>
      </c>
      <c r="K12" s="23">
        <f t="shared" si="3"/>
        <v>1.6041708441948913E-2</v>
      </c>
      <c r="L12" s="74">
        <v>37074334.420000002</v>
      </c>
      <c r="M12" s="323">
        <v>148.76</v>
      </c>
      <c r="N12" s="23">
        <f t="shared" si="4"/>
        <v>-2.1283175632467191E-2</v>
      </c>
      <c r="O12" s="23">
        <f t="shared" si="5"/>
        <v>-2.1380172357081773E-2</v>
      </c>
      <c r="P12" s="74">
        <v>32783864.77</v>
      </c>
      <c r="Q12" s="323">
        <v>131.75</v>
      </c>
      <c r="R12" s="23">
        <f t="shared" si="6"/>
        <v>-0.11572614093067789</v>
      </c>
      <c r="S12" s="23">
        <f t="shared" si="7"/>
        <v>-0.11434525410056462</v>
      </c>
      <c r="T12" s="74">
        <v>32783864.77</v>
      </c>
      <c r="U12" s="323">
        <v>131.75</v>
      </c>
      <c r="V12" s="23">
        <f t="shared" si="8"/>
        <v>0</v>
      </c>
      <c r="W12" s="23">
        <f t="shared" si="9"/>
        <v>0</v>
      </c>
      <c r="X12" s="74">
        <v>36302130.390000001</v>
      </c>
      <c r="Y12" s="323">
        <v>145.85</v>
      </c>
      <c r="Z12" s="23">
        <f t="shared" si="10"/>
        <v>0.10731698793546485</v>
      </c>
      <c r="AA12" s="23">
        <f t="shared" si="11"/>
        <v>0.1070208728652751</v>
      </c>
      <c r="AB12" s="74">
        <v>36302130.390000001</v>
      </c>
      <c r="AC12" s="323">
        <v>145.85</v>
      </c>
      <c r="AD12" s="23">
        <f t="shared" si="12"/>
        <v>0</v>
      </c>
      <c r="AE12" s="23">
        <f t="shared" si="13"/>
        <v>0</v>
      </c>
      <c r="AF12" s="74">
        <v>35868987.869999997</v>
      </c>
      <c r="AG12" s="323">
        <v>144.11000000000001</v>
      </c>
      <c r="AH12" s="23">
        <f t="shared" si="14"/>
        <v>-1.1931600579543929E-2</v>
      </c>
      <c r="AI12" s="23">
        <f t="shared" si="15"/>
        <v>-1.1930065135412964E-2</v>
      </c>
      <c r="AJ12" s="24">
        <f t="shared" si="16"/>
        <v>-4.2557798819473323E-3</v>
      </c>
      <c r="AK12" s="24">
        <f t="shared" si="17"/>
        <v>-4.1262744432055409E-3</v>
      </c>
      <c r="AL12" s="25">
        <f t="shared" si="18"/>
        <v>-3.7964825516221629E-2</v>
      </c>
      <c r="AM12" s="25">
        <f t="shared" si="19"/>
        <v>-3.6762248512799946E-2</v>
      </c>
      <c r="AN12" s="378">
        <f t="shared" si="20"/>
        <v>6.0576065694209126E-2</v>
      </c>
      <c r="AO12" s="379">
        <f t="shared" si="21"/>
        <v>6.0142355603729374E-2</v>
      </c>
      <c r="AP12" s="30"/>
      <c r="AQ12" s="28">
        <v>2845469436.1399999</v>
      </c>
      <c r="AR12" s="32">
        <v>13.0688</v>
      </c>
      <c r="AS12" s="29" t="e">
        <f>(#REF!/AQ12)-1</f>
        <v>#REF!</v>
      </c>
      <c r="AT12" s="29" t="e">
        <f>(#REF!/AR12)-1</f>
        <v>#REF!</v>
      </c>
    </row>
    <row r="13" spans="1:49" s="365" customFormat="1">
      <c r="A13" s="200" t="s">
        <v>263</v>
      </c>
      <c r="B13" s="324">
        <v>464858734.13</v>
      </c>
      <c r="C13" s="323">
        <v>1.7</v>
      </c>
      <c r="D13" s="324">
        <v>465808101.41000003</v>
      </c>
      <c r="E13" s="323">
        <v>1.66</v>
      </c>
      <c r="F13" s="23">
        <f t="shared" si="0"/>
        <v>2.0422705013315632E-3</v>
      </c>
      <c r="G13" s="23">
        <f t="shared" si="1"/>
        <v>-2.3529411764705903E-2</v>
      </c>
      <c r="H13" s="324">
        <v>479673295.69</v>
      </c>
      <c r="I13" s="323">
        <v>1.71</v>
      </c>
      <c r="J13" s="23">
        <f t="shared" si="2"/>
        <v>2.9765893375469556E-2</v>
      </c>
      <c r="K13" s="23">
        <f t="shared" si="3"/>
        <v>3.0120481927710871E-2</v>
      </c>
      <c r="L13" s="324">
        <v>478737717.83999997</v>
      </c>
      <c r="M13" s="323">
        <v>1.7</v>
      </c>
      <c r="N13" s="23">
        <f t="shared" si="4"/>
        <v>-1.9504480620590201E-3</v>
      </c>
      <c r="O13" s="23">
        <f t="shared" si="5"/>
        <v>-5.8479532163742748E-3</v>
      </c>
      <c r="P13" s="324">
        <v>506139694.81999999</v>
      </c>
      <c r="Q13" s="323">
        <v>1.69</v>
      </c>
      <c r="R13" s="23">
        <f t="shared" si="6"/>
        <v>5.7237973860998555E-2</v>
      </c>
      <c r="S13" s="23">
        <f t="shared" si="7"/>
        <v>-5.8823529411764757E-3</v>
      </c>
      <c r="T13" s="324">
        <v>504097381.72000003</v>
      </c>
      <c r="U13" s="323">
        <v>1.68</v>
      </c>
      <c r="V13" s="23">
        <f t="shared" si="8"/>
        <v>-4.0350779061624053E-3</v>
      </c>
      <c r="W13" s="23">
        <f t="shared" si="9"/>
        <v>-5.9171597633136145E-3</v>
      </c>
      <c r="X13" s="324">
        <v>516714253.85000002</v>
      </c>
      <c r="Y13" s="323">
        <v>1.71</v>
      </c>
      <c r="Z13" s="23">
        <f t="shared" si="10"/>
        <v>2.5028640472106269E-2</v>
      </c>
      <c r="AA13" s="23">
        <f t="shared" si="11"/>
        <v>1.7857142857142873E-2</v>
      </c>
      <c r="AB13" s="324">
        <v>505487024.75999999</v>
      </c>
      <c r="AC13" s="323">
        <v>1.67</v>
      </c>
      <c r="AD13" s="23">
        <f t="shared" si="12"/>
        <v>-2.1728119567723886E-2</v>
      </c>
      <c r="AE13" s="23">
        <f t="shared" si="13"/>
        <v>-2.3391812865497099E-2</v>
      </c>
      <c r="AF13" s="324">
        <v>518532601.69999999</v>
      </c>
      <c r="AG13" s="323">
        <v>1.71</v>
      </c>
      <c r="AH13" s="23">
        <f t="shared" si="14"/>
        <v>2.5807936308936717E-2</v>
      </c>
      <c r="AI13" s="23">
        <f t="shared" si="15"/>
        <v>2.3952095808383256E-2</v>
      </c>
      <c r="AJ13" s="24">
        <f t="shared" si="16"/>
        <v>1.4021133622862166E-2</v>
      </c>
      <c r="AK13" s="24">
        <f t="shared" si="17"/>
        <v>9.2012875527120418E-4</v>
      </c>
      <c r="AL13" s="25">
        <f t="shared" si="18"/>
        <v>0.11318931579421444</v>
      </c>
      <c r="AM13" s="25">
        <f t="shared" si="19"/>
        <v>3.0120481927710871E-2</v>
      </c>
      <c r="AN13" s="378">
        <f t="shared" si="20"/>
        <v>2.5009447146744152E-2</v>
      </c>
      <c r="AO13" s="379">
        <f t="shared" si="21"/>
        <v>2.0421280856792703E-2</v>
      </c>
      <c r="AP13" s="30"/>
      <c r="AQ13" s="28"/>
      <c r="AR13" s="32"/>
      <c r="AS13" s="29"/>
      <c r="AT13" s="29"/>
    </row>
    <row r="14" spans="1:49" ht="12.75" customHeight="1">
      <c r="A14" s="200" t="s">
        <v>45</v>
      </c>
      <c r="B14" s="324">
        <v>1312949517.6400001</v>
      </c>
      <c r="C14" s="323">
        <v>2.68</v>
      </c>
      <c r="D14" s="324">
        <v>1312949517.6400001</v>
      </c>
      <c r="E14" s="323">
        <v>2.67</v>
      </c>
      <c r="F14" s="23">
        <f t="shared" si="0"/>
        <v>0</v>
      </c>
      <c r="G14" s="23">
        <f t="shared" si="1"/>
        <v>-3.7313432835821753E-3</v>
      </c>
      <c r="H14" s="324">
        <v>1319364817.4000001</v>
      </c>
      <c r="I14" s="323">
        <v>2.69</v>
      </c>
      <c r="J14" s="23">
        <f t="shared" si="2"/>
        <v>4.8861739722722624E-3</v>
      </c>
      <c r="K14" s="23">
        <f t="shared" si="3"/>
        <v>7.4906367041198572E-3</v>
      </c>
      <c r="L14" s="324">
        <v>1304727065.6300001</v>
      </c>
      <c r="M14" s="323">
        <v>2.66</v>
      </c>
      <c r="N14" s="23">
        <f t="shared" si="4"/>
        <v>-1.1094544569443495E-2</v>
      </c>
      <c r="O14" s="23">
        <f t="shared" si="5"/>
        <v>-1.1152416356877252E-2</v>
      </c>
      <c r="P14" s="324">
        <v>1295094686.1099999</v>
      </c>
      <c r="Q14" s="323">
        <v>2.64</v>
      </c>
      <c r="R14" s="23">
        <f t="shared" si="6"/>
        <v>-7.3826777827661078E-3</v>
      </c>
      <c r="S14" s="23">
        <f t="shared" si="7"/>
        <v>-7.5187969924812095E-3</v>
      </c>
      <c r="T14" s="324">
        <v>1324910856.03</v>
      </c>
      <c r="U14" s="323">
        <v>2.7</v>
      </c>
      <c r="V14" s="23">
        <f t="shared" si="8"/>
        <v>2.3022386115687927E-2</v>
      </c>
      <c r="W14" s="23">
        <f t="shared" si="9"/>
        <v>2.2727272727272745E-2</v>
      </c>
      <c r="X14" s="324">
        <v>1338084482.5</v>
      </c>
      <c r="Y14" s="323">
        <v>2.73</v>
      </c>
      <c r="Z14" s="23">
        <f t="shared" si="10"/>
        <v>9.9430285517275122E-3</v>
      </c>
      <c r="AA14" s="23">
        <f t="shared" si="11"/>
        <v>1.1111111111111039E-2</v>
      </c>
      <c r="AB14" s="324">
        <v>1312765042.4200001</v>
      </c>
      <c r="AC14" s="323">
        <v>2.68</v>
      </c>
      <c r="AD14" s="23">
        <f t="shared" si="12"/>
        <v>-1.8922153579342418E-2</v>
      </c>
      <c r="AE14" s="23">
        <f t="shared" si="13"/>
        <v>-1.831501831501825E-2</v>
      </c>
      <c r="AF14" s="324">
        <v>1300152875.5799999</v>
      </c>
      <c r="AG14" s="323">
        <v>2.65</v>
      </c>
      <c r="AH14" s="23">
        <f t="shared" si="14"/>
        <v>-9.607329897169118E-3</v>
      </c>
      <c r="AI14" s="23">
        <f t="shared" si="15"/>
        <v>-1.119402985074636E-2</v>
      </c>
      <c r="AJ14" s="24">
        <f t="shared" si="16"/>
        <v>-1.1443896486291794E-3</v>
      </c>
      <c r="AK14" s="24">
        <f t="shared" si="17"/>
        <v>-1.3228230320252005E-3</v>
      </c>
      <c r="AL14" s="25">
        <f t="shared" si="18"/>
        <v>-9.7464844520464763E-3</v>
      </c>
      <c r="AM14" s="25">
        <f t="shared" si="19"/>
        <v>-7.4906367041198572E-3</v>
      </c>
      <c r="AN14" s="378">
        <f t="shared" si="20"/>
        <v>1.3470779425245168E-2</v>
      </c>
      <c r="AO14" s="379">
        <f t="shared" si="21"/>
        <v>1.3931618447662431E-2</v>
      </c>
      <c r="AP14" s="30"/>
      <c r="AQ14" s="33">
        <v>155057555.75</v>
      </c>
      <c r="AR14" s="33">
        <v>111.51</v>
      </c>
      <c r="AS14" s="29" t="e">
        <f>(#REF!/AQ14)-1</f>
        <v>#REF!</v>
      </c>
      <c r="AT14" s="29" t="e">
        <f>(#REF!/AR14)-1</f>
        <v>#REF!</v>
      </c>
      <c r="AU14" s="81"/>
      <c r="AV14" s="82"/>
      <c r="AW14" s="87"/>
    </row>
    <row r="15" spans="1:49" ht="12.75" customHeight="1">
      <c r="A15" s="200" t="s">
        <v>53</v>
      </c>
      <c r="B15" s="323">
        <v>408928035.31999999</v>
      </c>
      <c r="C15" s="323">
        <v>16.093239000000001</v>
      </c>
      <c r="D15" s="323">
        <v>408936246.33999997</v>
      </c>
      <c r="E15" s="323">
        <v>16.071612999999999</v>
      </c>
      <c r="F15" s="23">
        <f t="shared" si="0"/>
        <v>2.0079376542514446E-5</v>
      </c>
      <c r="G15" s="23">
        <f t="shared" si="1"/>
        <v>-1.3437941237311678E-3</v>
      </c>
      <c r="H15" s="323">
        <v>411222973.30000001</v>
      </c>
      <c r="I15" s="323">
        <v>16.169574000000001</v>
      </c>
      <c r="J15" s="23">
        <f t="shared" si="2"/>
        <v>5.5918911088619801E-3</v>
      </c>
      <c r="K15" s="23">
        <f t="shared" si="3"/>
        <v>6.0952811643735774E-3</v>
      </c>
      <c r="L15" s="323">
        <v>409404644.50999999</v>
      </c>
      <c r="M15" s="323">
        <v>16.053937000000001</v>
      </c>
      <c r="N15" s="23">
        <f t="shared" si="4"/>
        <v>-4.4217587733686604E-3</v>
      </c>
      <c r="O15" s="23">
        <f t="shared" si="5"/>
        <v>-7.1515180300977341E-3</v>
      </c>
      <c r="P15" s="323">
        <v>406811110.36000001</v>
      </c>
      <c r="Q15" s="323">
        <v>15.973378</v>
      </c>
      <c r="R15" s="23">
        <f t="shared" si="6"/>
        <v>-6.3348918601157378E-3</v>
      </c>
      <c r="S15" s="23">
        <f t="shared" si="7"/>
        <v>-5.0180214361125828E-3</v>
      </c>
      <c r="T15" s="323">
        <v>417854314.31</v>
      </c>
      <c r="U15" s="323">
        <v>16.429981000000002</v>
      </c>
      <c r="V15" s="23">
        <f t="shared" si="8"/>
        <v>2.7145777656434968E-2</v>
      </c>
      <c r="W15" s="23">
        <f t="shared" si="9"/>
        <v>2.8585249782481902E-2</v>
      </c>
      <c r="X15" s="323">
        <v>427742462.5</v>
      </c>
      <c r="Y15" s="323">
        <v>16.766660000000002</v>
      </c>
      <c r="Z15" s="23">
        <f t="shared" si="10"/>
        <v>2.366410457273423E-2</v>
      </c>
      <c r="AA15" s="23">
        <f t="shared" si="11"/>
        <v>2.0491746156005911E-2</v>
      </c>
      <c r="AB15" s="323">
        <v>427742462.5</v>
      </c>
      <c r="AC15" s="323">
        <v>16.766660000000002</v>
      </c>
      <c r="AD15" s="23">
        <f t="shared" si="12"/>
        <v>0</v>
      </c>
      <c r="AE15" s="23">
        <f t="shared" si="13"/>
        <v>0</v>
      </c>
      <c r="AF15" s="323">
        <v>427680140.57999998</v>
      </c>
      <c r="AG15" s="323">
        <v>16.494102000000002</v>
      </c>
      <c r="AH15" s="23">
        <f t="shared" si="14"/>
        <v>-1.4569963345646724E-4</v>
      </c>
      <c r="AI15" s="23">
        <f t="shared" si="15"/>
        <v>-1.6255950797594752E-2</v>
      </c>
      <c r="AJ15" s="24">
        <f t="shared" si="16"/>
        <v>5.6899378059541029E-3</v>
      </c>
      <c r="AK15" s="24">
        <f t="shared" si="17"/>
        <v>3.1753740894156441E-3</v>
      </c>
      <c r="AL15" s="25">
        <f t="shared" si="18"/>
        <v>4.5835737007317912E-2</v>
      </c>
      <c r="AM15" s="25">
        <f t="shared" si="19"/>
        <v>2.6287902776155843E-2</v>
      </c>
      <c r="AN15" s="378">
        <f t="shared" si="20"/>
        <v>1.2699008033161169E-2</v>
      </c>
      <c r="AO15" s="379">
        <f t="shared" si="21"/>
        <v>1.481265424999309E-2</v>
      </c>
      <c r="AP15" s="30"/>
      <c r="AQ15" s="38">
        <v>212579164.06</v>
      </c>
      <c r="AR15" s="38">
        <v>9.9</v>
      </c>
      <c r="AS15" s="29" t="e">
        <f>(#REF!/AQ15)-1</f>
        <v>#REF!</v>
      </c>
      <c r="AT15" s="29" t="e">
        <f>(#REF!/AR15)-1</f>
        <v>#REF!</v>
      </c>
    </row>
    <row r="16" spans="1:49" ht="12.75" customHeight="1">
      <c r="A16" s="200" t="s">
        <v>125</v>
      </c>
      <c r="B16" s="323">
        <v>379252284.41000003</v>
      </c>
      <c r="C16" s="323">
        <v>2.1379790000000001</v>
      </c>
      <c r="D16" s="323">
        <v>379915413.87</v>
      </c>
      <c r="E16" s="323">
        <v>2.1423709999999998</v>
      </c>
      <c r="F16" s="23">
        <f t="shared" si="0"/>
        <v>1.7485180373576501E-3</v>
      </c>
      <c r="G16" s="23">
        <f t="shared" si="1"/>
        <v>2.054276491957933E-3</v>
      </c>
      <c r="H16" s="323">
        <v>351599144.61000001</v>
      </c>
      <c r="I16" s="323">
        <v>2.1636139999999999</v>
      </c>
      <c r="J16" s="23">
        <f t="shared" si="2"/>
        <v>-7.4533088751406365E-2</v>
      </c>
      <c r="K16" s="23">
        <f t="shared" si="3"/>
        <v>9.9156495303568456E-3</v>
      </c>
      <c r="L16" s="323">
        <v>347394259.76999998</v>
      </c>
      <c r="M16" s="323">
        <v>1.96</v>
      </c>
      <c r="N16" s="23">
        <f t="shared" si="4"/>
        <v>-1.1959314760745979E-2</v>
      </c>
      <c r="O16" s="23">
        <f t="shared" si="5"/>
        <v>-9.4108283640242651E-2</v>
      </c>
      <c r="P16" s="323">
        <v>343596394.29000002</v>
      </c>
      <c r="Q16" s="323">
        <v>1.9431369999999999</v>
      </c>
      <c r="R16" s="23">
        <f t="shared" si="6"/>
        <v>-1.0932435908740748E-2</v>
      </c>
      <c r="S16" s="23">
        <f t="shared" si="7"/>
        <v>-8.6035714285714656E-3</v>
      </c>
      <c r="T16" s="323">
        <v>358116699.97000003</v>
      </c>
      <c r="U16" s="323">
        <v>2.0251769999999998</v>
      </c>
      <c r="V16" s="23">
        <f t="shared" si="8"/>
        <v>4.2259773156247592E-2</v>
      </c>
      <c r="W16" s="23">
        <f t="shared" si="9"/>
        <v>4.2220388989556525E-2</v>
      </c>
      <c r="X16" s="323">
        <v>364635999.43000001</v>
      </c>
      <c r="Y16" s="323">
        <v>2.0619619999999999</v>
      </c>
      <c r="Z16" s="23">
        <f t="shared" si="10"/>
        <v>1.8204399461254139E-2</v>
      </c>
      <c r="AA16" s="23">
        <f t="shared" si="11"/>
        <v>1.8163844444214046E-2</v>
      </c>
      <c r="AB16" s="323">
        <v>351576771.43000001</v>
      </c>
      <c r="AC16" s="323">
        <v>1.99</v>
      </c>
      <c r="AD16" s="23">
        <f t="shared" si="12"/>
        <v>-3.5814423206743766E-2</v>
      </c>
      <c r="AE16" s="23">
        <f t="shared" si="13"/>
        <v>-3.4899770218849747E-2</v>
      </c>
      <c r="AF16" s="323">
        <v>347630849.52999997</v>
      </c>
      <c r="AG16" s="323">
        <v>1.9507490000000001</v>
      </c>
      <c r="AH16" s="23">
        <f t="shared" si="14"/>
        <v>-1.122350001665477E-2</v>
      </c>
      <c r="AI16" s="23">
        <f t="shared" si="15"/>
        <v>-1.9724120603015038E-2</v>
      </c>
      <c r="AJ16" s="24">
        <f t="shared" si="16"/>
        <v>-1.0281258998679032E-2</v>
      </c>
      <c r="AK16" s="24">
        <f t="shared" si="17"/>
        <v>-1.0622698304324194E-2</v>
      </c>
      <c r="AL16" s="25">
        <f t="shared" si="18"/>
        <v>-8.4978295592521583E-2</v>
      </c>
      <c r="AM16" s="25">
        <f t="shared" si="19"/>
        <v>-8.9443891837594769E-2</v>
      </c>
      <c r="AN16" s="378">
        <f t="shared" si="20"/>
        <v>3.4848808454793004E-2</v>
      </c>
      <c r="AO16" s="379">
        <f t="shared" si="21"/>
        <v>4.1222151620916164E-2</v>
      </c>
      <c r="AP16" s="30"/>
      <c r="AQ16" s="28">
        <v>305162610.31</v>
      </c>
      <c r="AR16" s="28">
        <v>1481.86</v>
      </c>
      <c r="AS16" s="29" t="e">
        <f>(#REF!/AQ16)-1</f>
        <v>#REF!</v>
      </c>
      <c r="AT16" s="29" t="e">
        <f>(#REF!/AR16)-1</f>
        <v>#REF!</v>
      </c>
    </row>
    <row r="17" spans="1:46" s="86" customFormat="1" ht="12.75" customHeight="1">
      <c r="A17" s="200" t="s">
        <v>10</v>
      </c>
      <c r="B17" s="324">
        <v>997332344.42999995</v>
      </c>
      <c r="C17" s="323">
        <v>23.88</v>
      </c>
      <c r="D17" s="324">
        <v>1005680298.39</v>
      </c>
      <c r="E17" s="323">
        <v>24.67</v>
      </c>
      <c r="F17" s="23">
        <f t="shared" si="0"/>
        <v>8.370282992046247E-3</v>
      </c>
      <c r="G17" s="23">
        <f t="shared" si="1"/>
        <v>3.3082077051926416E-2</v>
      </c>
      <c r="H17" s="324">
        <v>999557046.71000004</v>
      </c>
      <c r="I17" s="323">
        <v>24.74</v>
      </c>
      <c r="J17" s="23">
        <f t="shared" si="2"/>
        <v>-6.0886662389655049E-3</v>
      </c>
      <c r="K17" s="23">
        <f t="shared" si="3"/>
        <v>2.8374543980541843E-3</v>
      </c>
      <c r="L17" s="324">
        <v>996431665.01999998</v>
      </c>
      <c r="M17" s="323">
        <v>24.52</v>
      </c>
      <c r="N17" s="23">
        <f t="shared" si="4"/>
        <v>-3.1267667015975921E-3</v>
      </c>
      <c r="O17" s="23">
        <f t="shared" si="5"/>
        <v>-8.8924818108326135E-3</v>
      </c>
      <c r="P17" s="324">
        <v>984257839.70000005</v>
      </c>
      <c r="Q17" s="323">
        <v>24.22</v>
      </c>
      <c r="R17" s="23">
        <f t="shared" si="6"/>
        <v>-1.2217421171330987E-2</v>
      </c>
      <c r="S17" s="23">
        <f t="shared" si="7"/>
        <v>-1.2234910277324661E-2</v>
      </c>
      <c r="T17" s="324">
        <v>1005757250.91</v>
      </c>
      <c r="U17" s="323">
        <v>24.74</v>
      </c>
      <c r="V17" s="23">
        <f t="shared" si="8"/>
        <v>2.1843271491292261E-2</v>
      </c>
      <c r="W17" s="23">
        <f t="shared" si="9"/>
        <v>2.1469859620148621E-2</v>
      </c>
      <c r="X17" s="324">
        <v>1029094116.39</v>
      </c>
      <c r="Y17" s="323">
        <v>25.39</v>
      </c>
      <c r="Z17" s="23">
        <f t="shared" si="10"/>
        <v>2.3203278384406414E-2</v>
      </c>
      <c r="AA17" s="23">
        <f t="shared" si="11"/>
        <v>2.6273241713823853E-2</v>
      </c>
      <c r="AB17" s="324">
        <v>1004741488.83</v>
      </c>
      <c r="AC17" s="323">
        <v>24.72</v>
      </c>
      <c r="AD17" s="23">
        <f t="shared" si="12"/>
        <v>-2.3664140307620735E-2</v>
      </c>
      <c r="AE17" s="23">
        <f t="shared" si="13"/>
        <v>-2.6388341866876788E-2</v>
      </c>
      <c r="AF17" s="324">
        <v>1012383543.1900001</v>
      </c>
      <c r="AG17" s="323">
        <v>24.27</v>
      </c>
      <c r="AH17" s="23">
        <f t="shared" si="14"/>
        <v>7.605990640337768E-3</v>
      </c>
      <c r="AI17" s="23">
        <f t="shared" si="15"/>
        <v>-1.8203883495145602E-2</v>
      </c>
      <c r="AJ17" s="24">
        <f t="shared" si="16"/>
        <v>1.9907286360709838E-3</v>
      </c>
      <c r="AK17" s="24">
        <f t="shared" si="17"/>
        <v>2.2428769167216764E-3</v>
      </c>
      <c r="AL17" s="25">
        <f t="shared" si="18"/>
        <v>6.6653834332156443E-3</v>
      </c>
      <c r="AM17" s="25">
        <f t="shared" si="19"/>
        <v>-1.621402513173904E-2</v>
      </c>
      <c r="AN17" s="378">
        <f t="shared" si="20"/>
        <v>1.6335040370525165E-2</v>
      </c>
      <c r="AO17" s="379">
        <f t="shared" si="21"/>
        <v>2.177962190765672E-2</v>
      </c>
      <c r="AP17" s="30"/>
      <c r="AQ17" s="28"/>
      <c r="AR17" s="28"/>
      <c r="AS17" s="29"/>
      <c r="AT17" s="29"/>
    </row>
    <row r="18" spans="1:46" s="365" customFormat="1" ht="12.75" customHeight="1">
      <c r="A18" s="201" t="s">
        <v>67</v>
      </c>
      <c r="B18" s="324">
        <v>454152055.87</v>
      </c>
      <c r="C18" s="323">
        <v>4714.97</v>
      </c>
      <c r="D18" s="324">
        <v>455991554.86000001</v>
      </c>
      <c r="E18" s="323">
        <v>4734.1099999999997</v>
      </c>
      <c r="F18" s="23">
        <f t="shared" si="0"/>
        <v>4.0504033092532378E-3</v>
      </c>
      <c r="G18" s="23">
        <f t="shared" si="1"/>
        <v>4.0594107703759335E-3</v>
      </c>
      <c r="H18" s="324">
        <v>458558410.11000001</v>
      </c>
      <c r="I18" s="323">
        <v>4726.08</v>
      </c>
      <c r="J18" s="23">
        <f t="shared" si="2"/>
        <v>5.6291727832285931E-3</v>
      </c>
      <c r="K18" s="23">
        <f t="shared" si="3"/>
        <v>-1.6962005530077979E-3</v>
      </c>
      <c r="L18" s="324">
        <v>457079062.67000002</v>
      </c>
      <c r="M18" s="323">
        <v>4653.3500000000004</v>
      </c>
      <c r="N18" s="23">
        <f t="shared" si="4"/>
        <v>-3.2260828879904927E-3</v>
      </c>
      <c r="O18" s="23">
        <f t="shared" si="5"/>
        <v>-1.5389075089714852E-2</v>
      </c>
      <c r="P18" s="324">
        <v>461584380.60000002</v>
      </c>
      <c r="Q18" s="323">
        <v>4757.37</v>
      </c>
      <c r="R18" s="23">
        <f t="shared" si="6"/>
        <v>9.8567584865569251E-3</v>
      </c>
      <c r="S18" s="23">
        <f t="shared" si="7"/>
        <v>2.2353788131131234E-2</v>
      </c>
      <c r="T18" s="324">
        <v>503313596.73000002</v>
      </c>
      <c r="U18" s="323">
        <v>4972.4799999999996</v>
      </c>
      <c r="V18" s="23">
        <f t="shared" si="8"/>
        <v>9.0404307172953752E-2</v>
      </c>
      <c r="W18" s="23">
        <f t="shared" si="9"/>
        <v>4.5216159348547551E-2</v>
      </c>
      <c r="X18" s="324">
        <v>518461516.25</v>
      </c>
      <c r="Y18" s="323">
        <v>5122.4399999999996</v>
      </c>
      <c r="Z18" s="23">
        <f t="shared" si="10"/>
        <v>3.0096384477620232E-2</v>
      </c>
      <c r="AA18" s="23">
        <f t="shared" si="11"/>
        <v>3.015798957461871E-2</v>
      </c>
      <c r="AB18" s="324">
        <v>504670079.80000001</v>
      </c>
      <c r="AC18" s="323">
        <v>4924.97</v>
      </c>
      <c r="AD18" s="23">
        <f t="shared" si="12"/>
        <v>-2.6600694589161783E-2</v>
      </c>
      <c r="AE18" s="23">
        <f t="shared" si="13"/>
        <v>-3.8549987896393002E-2</v>
      </c>
      <c r="AF18" s="324">
        <v>501034542.52999997</v>
      </c>
      <c r="AG18" s="323">
        <v>4950.68</v>
      </c>
      <c r="AH18" s="23">
        <f t="shared" si="14"/>
        <v>-7.2037899917522319E-3</v>
      </c>
      <c r="AI18" s="23">
        <f t="shared" si="15"/>
        <v>5.2203363675311799E-3</v>
      </c>
      <c r="AJ18" s="24">
        <f t="shared" si="16"/>
        <v>1.2875807345088528E-2</v>
      </c>
      <c r="AK18" s="24">
        <f t="shared" si="17"/>
        <v>6.4215525816361191E-3</v>
      </c>
      <c r="AL18" s="25">
        <f t="shared" si="18"/>
        <v>9.8780311148150973E-2</v>
      </c>
      <c r="AM18" s="25">
        <f t="shared" si="19"/>
        <v>4.5746719024272908E-2</v>
      </c>
      <c r="AN18" s="378">
        <f t="shared" si="20"/>
        <v>3.5188447760326341E-2</v>
      </c>
      <c r="AO18" s="379">
        <f t="shared" si="21"/>
        <v>2.3735208089972468E-2</v>
      </c>
      <c r="AP18" s="30"/>
      <c r="AQ18" s="28"/>
      <c r="AR18" s="28"/>
      <c r="AS18" s="29"/>
      <c r="AT18" s="29"/>
    </row>
    <row r="19" spans="1:46" s="86" customFormat="1" ht="12.75" customHeight="1">
      <c r="A19" s="200" t="s">
        <v>223</v>
      </c>
      <c r="B19" s="324">
        <v>9455283943.4599991</v>
      </c>
      <c r="C19" s="323">
        <v>16409.68</v>
      </c>
      <c r="D19" s="324">
        <v>9558347137.9400005</v>
      </c>
      <c r="E19" s="323">
        <v>16516.150000000001</v>
      </c>
      <c r="F19" s="23">
        <f t="shared" si="0"/>
        <v>1.0900063403308779E-2</v>
      </c>
      <c r="G19" s="23">
        <f t="shared" si="1"/>
        <v>6.4882435245538711E-3</v>
      </c>
      <c r="H19" s="324">
        <v>9559132163.5599995</v>
      </c>
      <c r="I19" s="323">
        <v>16585.96</v>
      </c>
      <c r="J19" s="23">
        <f t="shared" si="2"/>
        <v>8.2129850346502413E-5</v>
      </c>
      <c r="K19" s="23">
        <f t="shared" si="3"/>
        <v>4.226771977730746E-3</v>
      </c>
      <c r="L19" s="324">
        <v>9534981134.7900009</v>
      </c>
      <c r="M19" s="323">
        <v>16532.98</v>
      </c>
      <c r="N19" s="23">
        <f t="shared" si="4"/>
        <v>-2.5264875887022211E-3</v>
      </c>
      <c r="O19" s="23">
        <f t="shared" si="5"/>
        <v>-3.1942679229902621E-3</v>
      </c>
      <c r="P19" s="324">
        <v>9653440415.4500008</v>
      </c>
      <c r="Q19" s="323">
        <v>16719.23</v>
      </c>
      <c r="R19" s="23">
        <f t="shared" si="6"/>
        <v>1.2423651288389131E-2</v>
      </c>
      <c r="S19" s="23">
        <f t="shared" si="7"/>
        <v>1.1265361719423843E-2</v>
      </c>
      <c r="T19" s="324">
        <v>10013206518.469999</v>
      </c>
      <c r="U19" s="323">
        <v>17335.61</v>
      </c>
      <c r="V19" s="23">
        <f t="shared" si="8"/>
        <v>3.7268174613084598E-2</v>
      </c>
      <c r="W19" s="23">
        <f t="shared" si="9"/>
        <v>3.6866530336624417E-2</v>
      </c>
      <c r="X19" s="324">
        <v>10232929140.35</v>
      </c>
      <c r="Y19" s="323">
        <v>17698.47</v>
      </c>
      <c r="Z19" s="23">
        <f t="shared" si="10"/>
        <v>2.1943282751105617E-2</v>
      </c>
      <c r="AA19" s="23">
        <f t="shared" si="11"/>
        <v>2.0931481499641521E-2</v>
      </c>
      <c r="AB19" s="324">
        <v>10012748126.92</v>
      </c>
      <c r="AC19" s="323">
        <v>17282.53</v>
      </c>
      <c r="AD19" s="23">
        <f t="shared" si="12"/>
        <v>-2.1516909812440015E-2</v>
      </c>
      <c r="AE19" s="23">
        <f t="shared" si="13"/>
        <v>-2.350146651094712E-2</v>
      </c>
      <c r="AF19" s="324">
        <v>9947556245.6700001</v>
      </c>
      <c r="AG19" s="323">
        <v>17167.810000000001</v>
      </c>
      <c r="AH19" s="23">
        <f t="shared" si="14"/>
        <v>-6.5108879623893556E-3</v>
      </c>
      <c r="AI19" s="23">
        <f t="shared" si="15"/>
        <v>-6.6379170179364675E-3</v>
      </c>
      <c r="AJ19" s="24">
        <f t="shared" si="16"/>
        <v>6.5078770678378781E-3</v>
      </c>
      <c r="AK19" s="24">
        <f t="shared" si="17"/>
        <v>5.8055922007625698E-3</v>
      </c>
      <c r="AL19" s="25">
        <f t="shared" si="18"/>
        <v>4.0719289863946212E-2</v>
      </c>
      <c r="AM19" s="25">
        <f t="shared" si="19"/>
        <v>3.9455926471968335E-2</v>
      </c>
      <c r="AN19" s="378">
        <f t="shared" si="20"/>
        <v>1.8191529558564592E-2</v>
      </c>
      <c r="AO19" s="379">
        <f t="shared" si="21"/>
        <v>1.7761142926176286E-2</v>
      </c>
      <c r="AP19" s="30"/>
      <c r="AQ19" s="28"/>
      <c r="AR19" s="28"/>
      <c r="AS19" s="29"/>
      <c r="AT19" s="29"/>
    </row>
    <row r="20" spans="1:46" s="300" customFormat="1" ht="12.75" customHeight="1">
      <c r="A20" s="200" t="s">
        <v>75</v>
      </c>
      <c r="B20" s="323">
        <v>2546054531.0700002</v>
      </c>
      <c r="C20" s="308">
        <v>1.252</v>
      </c>
      <c r="D20" s="323">
        <v>2517001984.5999999</v>
      </c>
      <c r="E20" s="308">
        <v>1.2625</v>
      </c>
      <c r="F20" s="23">
        <f t="shared" si="0"/>
        <v>-1.1410810772301369E-2</v>
      </c>
      <c r="G20" s="23">
        <f t="shared" si="1"/>
        <v>8.3865814696485255E-3</v>
      </c>
      <c r="H20" s="323">
        <v>2491206201.3499999</v>
      </c>
      <c r="I20" s="308">
        <v>1.2504</v>
      </c>
      <c r="J20" s="23">
        <f t="shared" si="2"/>
        <v>-1.0248614585061381E-2</v>
      </c>
      <c r="K20" s="23">
        <f t="shared" si="3"/>
        <v>-9.584158415841584E-3</v>
      </c>
      <c r="L20" s="323">
        <v>2507694328.1999998</v>
      </c>
      <c r="M20" s="308">
        <v>1.2558</v>
      </c>
      <c r="N20" s="23">
        <f t="shared" si="4"/>
        <v>6.6185315535361496E-3</v>
      </c>
      <c r="O20" s="23">
        <f t="shared" si="5"/>
        <v>4.3186180422265449E-3</v>
      </c>
      <c r="P20" s="323">
        <v>2506686892.5500002</v>
      </c>
      <c r="Q20" s="308">
        <v>1.2544</v>
      </c>
      <c r="R20" s="23">
        <f t="shared" si="6"/>
        <v>-4.0173781894811185E-4</v>
      </c>
      <c r="S20" s="23">
        <f t="shared" si="7"/>
        <v>-1.1148272017837775E-3</v>
      </c>
      <c r="T20" s="323">
        <v>2577341223.6199999</v>
      </c>
      <c r="U20" s="308">
        <v>1.2544</v>
      </c>
      <c r="V20" s="23">
        <f t="shared" si="8"/>
        <v>2.8186340815036744E-2</v>
      </c>
      <c r="W20" s="23">
        <f t="shared" si="9"/>
        <v>0</v>
      </c>
      <c r="X20" s="323">
        <v>2595728958.46</v>
      </c>
      <c r="Y20" s="308">
        <v>1.3035000000000001</v>
      </c>
      <c r="Z20" s="23">
        <f t="shared" si="10"/>
        <v>7.1343812264693818E-3</v>
      </c>
      <c r="AA20" s="23">
        <f t="shared" si="11"/>
        <v>3.9142219387755216E-2</v>
      </c>
      <c r="AB20" s="323">
        <v>2551560701.8800001</v>
      </c>
      <c r="AC20" s="308">
        <v>1.2806999999999999</v>
      </c>
      <c r="AD20" s="23">
        <f t="shared" si="12"/>
        <v>-1.7015742894128733E-2</v>
      </c>
      <c r="AE20" s="23">
        <f t="shared" si="13"/>
        <v>-1.7491369390103685E-2</v>
      </c>
      <c r="AF20" s="323">
        <v>2541125245.2600002</v>
      </c>
      <c r="AG20" s="308">
        <v>1.2712000000000001</v>
      </c>
      <c r="AH20" s="23">
        <f t="shared" si="14"/>
        <v>-4.0898327883444044E-3</v>
      </c>
      <c r="AI20" s="23">
        <f t="shared" si="15"/>
        <v>-7.4178183805730007E-3</v>
      </c>
      <c r="AJ20" s="24">
        <f t="shared" si="16"/>
        <v>-1.5343565796771574E-4</v>
      </c>
      <c r="AK20" s="24">
        <f t="shared" si="17"/>
        <v>2.0299056889160299E-3</v>
      </c>
      <c r="AL20" s="25">
        <f t="shared" si="18"/>
        <v>9.5841246084015213E-3</v>
      </c>
      <c r="AM20" s="25">
        <f t="shared" si="19"/>
        <v>6.8910891089110117E-3</v>
      </c>
      <c r="AN20" s="378">
        <f t="shared" si="20"/>
        <v>1.4296104160061806E-2</v>
      </c>
      <c r="AO20" s="379">
        <f t="shared" si="21"/>
        <v>1.7003502365518421E-2</v>
      </c>
      <c r="AP20" s="30"/>
      <c r="AQ20" s="28"/>
      <c r="AR20" s="28"/>
      <c r="AS20" s="29"/>
      <c r="AT20" s="29"/>
    </row>
    <row r="21" spans="1:46">
      <c r="A21" s="202" t="s">
        <v>42</v>
      </c>
      <c r="B21" s="70">
        <f>SUM(B5:B20)</f>
        <v>21710538133.900002</v>
      </c>
      <c r="C21" s="85"/>
      <c r="D21" s="70">
        <f>SUM(D5:D20)</f>
        <v>21798118395</v>
      </c>
      <c r="E21" s="85"/>
      <c r="F21" s="23">
        <f>((D21-B21)/B21)</f>
        <v>4.0339977093080872E-3</v>
      </c>
      <c r="G21" s="23"/>
      <c r="H21" s="70">
        <f>SUM(H5:H20)</f>
        <v>21799255745.139999</v>
      </c>
      <c r="I21" s="85"/>
      <c r="J21" s="23">
        <f>((H21-D21)/D21)</f>
        <v>5.2176528239257217E-5</v>
      </c>
      <c r="K21" s="23"/>
      <c r="L21" s="70">
        <f>SUM(L5:L20)</f>
        <v>21756530204.330002</v>
      </c>
      <c r="M21" s="85"/>
      <c r="N21" s="23">
        <f>((L21-H21)/H21)</f>
        <v>-1.9599541062094716E-3</v>
      </c>
      <c r="O21" s="23"/>
      <c r="P21" s="70">
        <f>SUM(P5:P20)</f>
        <v>21948547893.360001</v>
      </c>
      <c r="Q21" s="85"/>
      <c r="R21" s="23">
        <f>((P21-L21)/L21)</f>
        <v>8.8257496589131332E-3</v>
      </c>
      <c r="S21" s="23"/>
      <c r="T21" s="70">
        <f>SUM(T5:T20)</f>
        <v>22687921199.810001</v>
      </c>
      <c r="U21" s="85"/>
      <c r="V21" s="23">
        <f>((T21-P21)/P21)</f>
        <v>3.3686661643510377E-2</v>
      </c>
      <c r="W21" s="23"/>
      <c r="X21" s="70">
        <f>SUM(X5:X20)</f>
        <v>23086923138.879997</v>
      </c>
      <c r="Y21" s="85"/>
      <c r="Z21" s="23">
        <f>((X21-T21)/T21)</f>
        <v>1.7586535829176686E-2</v>
      </c>
      <c r="AA21" s="23"/>
      <c r="AB21" s="70">
        <f>SUM(AB5:AB20)</f>
        <v>22684841502.700001</v>
      </c>
      <c r="AC21" s="85"/>
      <c r="AD21" s="23">
        <f>((AB21-X21)/X21)</f>
        <v>-1.7415990591784957E-2</v>
      </c>
      <c r="AE21" s="23"/>
      <c r="AF21" s="70">
        <f>SUM(AF5:AF20)</f>
        <v>22617340342.240005</v>
      </c>
      <c r="AG21" s="85"/>
      <c r="AH21" s="23">
        <f>((AF21-AB21)/AB21)</f>
        <v>-2.9756064397435233E-3</v>
      </c>
      <c r="AI21" s="23"/>
      <c r="AJ21" s="24">
        <f t="shared" si="16"/>
        <v>5.2291962789261983E-3</v>
      </c>
      <c r="AK21" s="24"/>
      <c r="AL21" s="25">
        <f t="shared" si="18"/>
        <v>3.7582232208992712E-2</v>
      </c>
      <c r="AM21" s="25"/>
      <c r="AN21" s="378">
        <f t="shared" si="20"/>
        <v>1.528539716009753E-2</v>
      </c>
      <c r="AO21" s="379"/>
      <c r="AP21" s="30"/>
      <c r="AQ21" s="40">
        <f>SUM(AQ5:AQ20)</f>
        <v>13401593384.119999</v>
      </c>
      <c r="AR21" s="41"/>
      <c r="AS21" s="29" t="e">
        <f>(#REF!/AQ21)-1</f>
        <v>#REF!</v>
      </c>
      <c r="AT21" s="29" t="e">
        <f>(#REF!/AR21)-1</f>
        <v>#REF!</v>
      </c>
    </row>
    <row r="22" spans="1:46" s="108" customFormat="1" ht="6" customHeight="1">
      <c r="A22" s="202"/>
      <c r="B22" s="85"/>
      <c r="C22" s="85"/>
      <c r="D22" s="85"/>
      <c r="E22" s="85"/>
      <c r="F22" s="23"/>
      <c r="G22" s="23"/>
      <c r="H22" s="85"/>
      <c r="I22" s="85"/>
      <c r="J22" s="23"/>
      <c r="K22" s="23"/>
      <c r="L22" s="85"/>
      <c r="M22" s="85"/>
      <c r="N22" s="23"/>
      <c r="O22" s="23"/>
      <c r="P22" s="85"/>
      <c r="Q22" s="85"/>
      <c r="R22" s="23"/>
      <c r="S22" s="23"/>
      <c r="T22" s="85"/>
      <c r="U22" s="85"/>
      <c r="V22" s="23"/>
      <c r="W22" s="23"/>
      <c r="X22" s="85"/>
      <c r="Y22" s="85"/>
      <c r="Z22" s="23"/>
      <c r="AA22" s="23"/>
      <c r="AB22" s="85"/>
      <c r="AC22" s="85"/>
      <c r="AD22" s="23"/>
      <c r="AE22" s="23"/>
      <c r="AF22" s="85"/>
      <c r="AG22" s="85"/>
      <c r="AH22" s="23"/>
      <c r="AI22" s="23"/>
      <c r="AJ22" s="24"/>
      <c r="AK22" s="24"/>
      <c r="AL22" s="25"/>
      <c r="AM22" s="25"/>
      <c r="AN22" s="378"/>
      <c r="AO22" s="379"/>
      <c r="AP22" s="30"/>
      <c r="AQ22" s="40"/>
      <c r="AR22" s="41"/>
      <c r="AS22" s="29"/>
      <c r="AT22" s="29"/>
    </row>
    <row r="23" spans="1:46">
      <c r="A23" s="199" t="s">
        <v>44</v>
      </c>
      <c r="B23" s="85"/>
      <c r="C23" s="85"/>
      <c r="D23" s="85"/>
      <c r="E23" s="85"/>
      <c r="F23" s="23"/>
      <c r="G23" s="23"/>
      <c r="H23" s="85"/>
      <c r="I23" s="85"/>
      <c r="J23" s="23"/>
      <c r="K23" s="23"/>
      <c r="L23" s="85"/>
      <c r="M23" s="85"/>
      <c r="N23" s="23"/>
      <c r="O23" s="23"/>
      <c r="P23" s="85"/>
      <c r="Q23" s="85"/>
      <c r="R23" s="23"/>
      <c r="S23" s="23"/>
      <c r="T23" s="85"/>
      <c r="U23" s="85"/>
      <c r="V23" s="23"/>
      <c r="W23" s="23"/>
      <c r="X23" s="85"/>
      <c r="Y23" s="85"/>
      <c r="Z23" s="23"/>
      <c r="AA23" s="23"/>
      <c r="AB23" s="85"/>
      <c r="AC23" s="85"/>
      <c r="AD23" s="23"/>
      <c r="AE23" s="23"/>
      <c r="AF23" s="85"/>
      <c r="AG23" s="85"/>
      <c r="AH23" s="23"/>
      <c r="AI23" s="23"/>
      <c r="AJ23" s="24"/>
      <c r="AK23" s="24"/>
      <c r="AL23" s="25"/>
      <c r="AM23" s="25"/>
      <c r="AN23" s="378"/>
      <c r="AO23" s="379"/>
      <c r="AP23" s="30"/>
      <c r="AQ23" s="40"/>
      <c r="AR23" s="13"/>
      <c r="AS23" s="29" t="e">
        <f>(#REF!/AQ23)-1</f>
        <v>#REF!</v>
      </c>
      <c r="AT23" s="29" t="e">
        <f>(#REF!/AR23)-1</f>
        <v>#REF!</v>
      </c>
    </row>
    <row r="24" spans="1:46">
      <c r="A24" s="200" t="s">
        <v>115</v>
      </c>
      <c r="B24" s="319">
        <v>835877117.96000004</v>
      </c>
      <c r="C24" s="308">
        <v>100</v>
      </c>
      <c r="D24" s="319">
        <v>813920925.62</v>
      </c>
      <c r="E24" s="308">
        <v>100</v>
      </c>
      <c r="F24" s="23">
        <f t="shared" ref="F24:F52" si="32">((D24-B24)/B24)</f>
        <v>-2.6267248939156537E-2</v>
      </c>
      <c r="G24" s="23">
        <f t="shared" ref="G24:G52" si="33">((E24-C24)/C24)</f>
        <v>0</v>
      </c>
      <c r="H24" s="319">
        <v>820355097.73000002</v>
      </c>
      <c r="I24" s="308">
        <v>100</v>
      </c>
      <c r="J24" s="23">
        <f t="shared" ref="J24:J52" si="34">((H24-D24)/D24)</f>
        <v>7.9051562719054287E-3</v>
      </c>
      <c r="K24" s="23">
        <f t="shared" ref="K24:K52" si="35">((I24-E24)/E24)</f>
        <v>0</v>
      </c>
      <c r="L24" s="319">
        <v>817264743.45000005</v>
      </c>
      <c r="M24" s="308">
        <v>100</v>
      </c>
      <c r="N24" s="23">
        <f t="shared" ref="N24:N52" si="36">((L24-H24)/H24)</f>
        <v>-3.7670934069298444E-3</v>
      </c>
      <c r="O24" s="23">
        <f t="shared" ref="O24:O52" si="37">((M24-I24)/I24)</f>
        <v>0</v>
      </c>
      <c r="P24" s="319">
        <v>778910456.5</v>
      </c>
      <c r="Q24" s="308">
        <v>100</v>
      </c>
      <c r="R24" s="23">
        <f t="shared" ref="R24:R52" si="38">((P24-L24)/L24)</f>
        <v>-4.6930064287480852E-2</v>
      </c>
      <c r="S24" s="23">
        <f t="shared" ref="S24:S52" si="39">((Q24-M24)/M24)</f>
        <v>0</v>
      </c>
      <c r="T24" s="319">
        <v>764393523.69000006</v>
      </c>
      <c r="U24" s="308">
        <v>100</v>
      </c>
      <c r="V24" s="23">
        <f t="shared" ref="V24:V52" si="40">((T24-P24)/P24)</f>
        <v>-1.8637486104925518E-2</v>
      </c>
      <c r="W24" s="23">
        <f t="shared" ref="W24:W52" si="41">((U24-Q24)/Q24)</f>
        <v>0</v>
      </c>
      <c r="X24" s="319">
        <v>771122352.47000003</v>
      </c>
      <c r="Y24" s="308">
        <v>100</v>
      </c>
      <c r="Z24" s="23">
        <f t="shared" ref="Z24:Z52" si="42">((X24-T24)/T24)</f>
        <v>8.8028333200908301E-3</v>
      </c>
      <c r="AA24" s="23">
        <f t="shared" ref="AA24:AA52" si="43">((Y24-U24)/U24)</f>
        <v>0</v>
      </c>
      <c r="AB24" s="319">
        <v>775235970.98000002</v>
      </c>
      <c r="AC24" s="308">
        <v>100</v>
      </c>
      <c r="AD24" s="23">
        <f t="shared" ref="AD24:AD52" si="44">((AB24-X24)/X24)</f>
        <v>5.3345860054809235E-3</v>
      </c>
      <c r="AE24" s="23">
        <f t="shared" ref="AE24:AE52" si="45">((AC24-Y24)/Y24)</f>
        <v>0</v>
      </c>
      <c r="AF24" s="319">
        <v>792650215.75</v>
      </c>
      <c r="AG24" s="308">
        <v>100</v>
      </c>
      <c r="AH24" s="23">
        <f t="shared" ref="AH24:AH52" si="46">((AF24-AB24)/AB24)</f>
        <v>2.2463153700138669E-2</v>
      </c>
      <c r="AI24" s="23">
        <f t="shared" ref="AI24:AI52" si="47">((AG24-AC24)/AC24)</f>
        <v>0</v>
      </c>
      <c r="AJ24" s="24">
        <f t="shared" si="16"/>
        <v>-6.3870204301096131E-3</v>
      </c>
      <c r="AK24" s="24">
        <f t="shared" si="17"/>
        <v>0</v>
      </c>
      <c r="AL24" s="25">
        <f t="shared" si="18"/>
        <v>-2.6133631905086052E-2</v>
      </c>
      <c r="AM24" s="25">
        <f t="shared" si="19"/>
        <v>0</v>
      </c>
      <c r="AN24" s="378">
        <f t="shared" si="20"/>
        <v>2.267984125120779E-2</v>
      </c>
      <c r="AO24" s="379">
        <f t="shared" si="21"/>
        <v>1.886060969649209E-3</v>
      </c>
      <c r="AP24" s="30"/>
      <c r="AQ24" s="28">
        <v>56630718400</v>
      </c>
      <c r="AR24" s="42">
        <v>100</v>
      </c>
      <c r="AS24" s="29" t="e">
        <f>(#REF!/AQ24)-1</f>
        <v>#REF!</v>
      </c>
      <c r="AT24" s="29" t="e">
        <f>(#REF!/AR24)-1</f>
        <v>#REF!</v>
      </c>
    </row>
    <row r="25" spans="1:46">
      <c r="A25" s="200" t="s">
        <v>37</v>
      </c>
      <c r="B25" s="319">
        <v>3341828994.2600002</v>
      </c>
      <c r="C25" s="308">
        <v>100</v>
      </c>
      <c r="D25" s="319">
        <v>3433386374.0999999</v>
      </c>
      <c r="E25" s="308">
        <v>100</v>
      </c>
      <c r="F25" s="23">
        <f t="shared" si="32"/>
        <v>2.7397386280764414E-2</v>
      </c>
      <c r="G25" s="23">
        <f t="shared" si="33"/>
        <v>0</v>
      </c>
      <c r="H25" s="319">
        <v>3478682817.5300002</v>
      </c>
      <c r="I25" s="308">
        <v>100</v>
      </c>
      <c r="J25" s="23">
        <f t="shared" si="34"/>
        <v>1.3192935048527402E-2</v>
      </c>
      <c r="K25" s="23">
        <f t="shared" si="35"/>
        <v>0</v>
      </c>
      <c r="L25" s="319">
        <v>3505742280.1999998</v>
      </c>
      <c r="M25" s="308">
        <v>100</v>
      </c>
      <c r="N25" s="23">
        <f t="shared" si="36"/>
        <v>7.7786518890540493E-3</v>
      </c>
      <c r="O25" s="23">
        <f t="shared" si="37"/>
        <v>0</v>
      </c>
      <c r="P25" s="319">
        <v>3549493180.1500001</v>
      </c>
      <c r="Q25" s="308">
        <v>100</v>
      </c>
      <c r="R25" s="23">
        <f t="shared" si="38"/>
        <v>1.2479782155436802E-2</v>
      </c>
      <c r="S25" s="23">
        <f t="shared" si="39"/>
        <v>0</v>
      </c>
      <c r="T25" s="319">
        <v>3564098875.8400002</v>
      </c>
      <c r="U25" s="308">
        <v>100</v>
      </c>
      <c r="V25" s="23">
        <f t="shared" si="40"/>
        <v>4.1148679399301809E-3</v>
      </c>
      <c r="W25" s="23">
        <f t="shared" si="41"/>
        <v>0</v>
      </c>
      <c r="X25" s="319">
        <v>3599877469.0100002</v>
      </c>
      <c r="Y25" s="308">
        <v>100</v>
      </c>
      <c r="Z25" s="23">
        <f t="shared" si="42"/>
        <v>1.0038608471985122E-2</v>
      </c>
      <c r="AA25" s="23">
        <f t="shared" si="43"/>
        <v>0</v>
      </c>
      <c r="AB25" s="319">
        <v>3643032341.1500001</v>
      </c>
      <c r="AC25" s="308">
        <v>100</v>
      </c>
      <c r="AD25" s="23">
        <f t="shared" si="44"/>
        <v>1.19878725071906E-2</v>
      </c>
      <c r="AE25" s="23">
        <f t="shared" si="45"/>
        <v>0</v>
      </c>
      <c r="AF25" s="319">
        <v>3683946875.2199998</v>
      </c>
      <c r="AG25" s="308">
        <v>100</v>
      </c>
      <c r="AH25" s="23">
        <f t="shared" si="46"/>
        <v>1.12309005901068E-2</v>
      </c>
      <c r="AI25" s="23">
        <f t="shared" si="47"/>
        <v>0</v>
      </c>
      <c r="AJ25" s="24">
        <f t="shared" si="16"/>
        <v>1.2277625610374421E-2</v>
      </c>
      <c r="AK25" s="24">
        <f t="shared" si="17"/>
        <v>0</v>
      </c>
      <c r="AL25" s="25">
        <f t="shared" si="18"/>
        <v>7.297765931912624E-2</v>
      </c>
      <c r="AM25" s="25">
        <f t="shared" si="19"/>
        <v>0</v>
      </c>
      <c r="AN25" s="378">
        <f t="shared" si="20"/>
        <v>6.788119733060349E-3</v>
      </c>
      <c r="AO25" s="379">
        <f t="shared" si="21"/>
        <v>4.2383529709171261E-3</v>
      </c>
      <c r="AP25" s="30"/>
      <c r="AQ25" s="28">
        <v>366113097.69999999</v>
      </c>
      <c r="AR25" s="32">
        <v>1.1357999999999999</v>
      </c>
      <c r="AS25" s="29" t="e">
        <f>(#REF!/AQ25)-1</f>
        <v>#REF!</v>
      </c>
      <c r="AT25" s="29" t="e">
        <f>(#REF!/AR25)-1</f>
        <v>#REF!</v>
      </c>
    </row>
    <row r="26" spans="1:46">
      <c r="A26" s="200" t="s">
        <v>138</v>
      </c>
      <c r="B26" s="319">
        <v>424945120.56</v>
      </c>
      <c r="C26" s="308">
        <v>100</v>
      </c>
      <c r="D26" s="319">
        <v>419760490.38999999</v>
      </c>
      <c r="E26" s="308">
        <v>100</v>
      </c>
      <c r="F26" s="23">
        <f t="shared" si="32"/>
        <v>-1.2200705265582581E-2</v>
      </c>
      <c r="G26" s="23">
        <f t="shared" si="33"/>
        <v>0</v>
      </c>
      <c r="H26" s="319">
        <v>460835854.98000002</v>
      </c>
      <c r="I26" s="308">
        <v>100</v>
      </c>
      <c r="J26" s="23">
        <f t="shared" si="34"/>
        <v>9.785428960176043E-2</v>
      </c>
      <c r="K26" s="23">
        <f t="shared" si="35"/>
        <v>0</v>
      </c>
      <c r="L26" s="319">
        <v>407435868.10000002</v>
      </c>
      <c r="M26" s="308">
        <v>100</v>
      </c>
      <c r="N26" s="23">
        <f t="shared" si="36"/>
        <v>-0.1158763718207593</v>
      </c>
      <c r="O26" s="23">
        <f t="shared" si="37"/>
        <v>0</v>
      </c>
      <c r="P26" s="319">
        <v>412686488.06999999</v>
      </c>
      <c r="Q26" s="308">
        <v>100</v>
      </c>
      <c r="R26" s="23">
        <f t="shared" si="38"/>
        <v>1.2886985121082344E-2</v>
      </c>
      <c r="S26" s="23">
        <f t="shared" si="39"/>
        <v>0</v>
      </c>
      <c r="T26" s="319">
        <v>392680518.31</v>
      </c>
      <c r="U26" s="308">
        <v>100</v>
      </c>
      <c r="V26" s="23">
        <f t="shared" si="40"/>
        <v>-4.8477404369504269E-2</v>
      </c>
      <c r="W26" s="23">
        <f t="shared" si="41"/>
        <v>0</v>
      </c>
      <c r="X26" s="319">
        <v>334301583.01999998</v>
      </c>
      <c r="Y26" s="308">
        <v>100</v>
      </c>
      <c r="Z26" s="23">
        <f t="shared" si="42"/>
        <v>-0.14866776569728629</v>
      </c>
      <c r="AA26" s="23">
        <f t="shared" si="43"/>
        <v>0</v>
      </c>
      <c r="AB26" s="319">
        <v>334301583.01999998</v>
      </c>
      <c r="AC26" s="308">
        <v>100</v>
      </c>
      <c r="AD26" s="23">
        <f t="shared" si="44"/>
        <v>0</v>
      </c>
      <c r="AE26" s="23">
        <f t="shared" si="45"/>
        <v>0</v>
      </c>
      <c r="AF26" s="319">
        <v>342215172.24000001</v>
      </c>
      <c r="AG26" s="308">
        <v>100</v>
      </c>
      <c r="AH26" s="23">
        <f t="shared" si="46"/>
        <v>2.3672006421598633E-2</v>
      </c>
      <c r="AI26" s="23">
        <f t="shared" si="47"/>
        <v>0</v>
      </c>
      <c r="AJ26" s="24">
        <f t="shared" si="16"/>
        <v>-2.3851120751086377E-2</v>
      </c>
      <c r="AK26" s="24">
        <f t="shared" si="17"/>
        <v>0</v>
      </c>
      <c r="AL26" s="25">
        <f t="shared" si="18"/>
        <v>-0.1847370582161092</v>
      </c>
      <c r="AM26" s="25">
        <f t="shared" si="19"/>
        <v>0</v>
      </c>
      <c r="AN26" s="378">
        <f t="shared" si="20"/>
        <v>7.9083361646777775E-2</v>
      </c>
      <c r="AO26" s="379">
        <f t="shared" si="21"/>
        <v>0</v>
      </c>
      <c r="AP26" s="30"/>
      <c r="AQ26" s="28">
        <v>691810420.35000002</v>
      </c>
      <c r="AR26" s="42">
        <v>100</v>
      </c>
      <c r="AS26" s="29" t="e">
        <f>(#REF!/AQ26)-1</f>
        <v>#REF!</v>
      </c>
      <c r="AT26" s="29" t="e">
        <f>(#REF!/AR26)-1</f>
        <v>#REF!</v>
      </c>
    </row>
    <row r="27" spans="1:46">
      <c r="A27" s="200" t="s">
        <v>15</v>
      </c>
      <c r="B27" s="319">
        <v>79461020448.75</v>
      </c>
      <c r="C27" s="308">
        <v>1</v>
      </c>
      <c r="D27" s="319">
        <v>79179387352.850006</v>
      </c>
      <c r="E27" s="308">
        <v>1</v>
      </c>
      <c r="F27" s="23">
        <f t="shared" si="32"/>
        <v>-3.5442924632668026E-3</v>
      </c>
      <c r="G27" s="23">
        <f t="shared" si="33"/>
        <v>0</v>
      </c>
      <c r="H27" s="319">
        <v>79269414960.279999</v>
      </c>
      <c r="I27" s="308">
        <v>1</v>
      </c>
      <c r="J27" s="23">
        <f t="shared" si="34"/>
        <v>1.1370081335537411E-3</v>
      </c>
      <c r="K27" s="23">
        <f t="shared" si="35"/>
        <v>0</v>
      </c>
      <c r="L27" s="319">
        <v>78401545605.860001</v>
      </c>
      <c r="M27" s="308">
        <v>1</v>
      </c>
      <c r="N27" s="23">
        <f t="shared" si="36"/>
        <v>-1.0948350695597624E-2</v>
      </c>
      <c r="O27" s="23">
        <f t="shared" si="37"/>
        <v>0</v>
      </c>
      <c r="P27" s="319">
        <v>78345275800.529999</v>
      </c>
      <c r="Q27" s="308">
        <v>1</v>
      </c>
      <c r="R27" s="23">
        <f t="shared" si="38"/>
        <v>-7.1771295954905297E-4</v>
      </c>
      <c r="S27" s="23">
        <f t="shared" si="39"/>
        <v>0</v>
      </c>
      <c r="T27" s="319">
        <v>78442219240.309998</v>
      </c>
      <c r="U27" s="308">
        <v>1</v>
      </c>
      <c r="V27" s="23">
        <f t="shared" si="40"/>
        <v>1.2373871786069196E-3</v>
      </c>
      <c r="W27" s="23">
        <f t="shared" si="41"/>
        <v>0</v>
      </c>
      <c r="X27" s="319">
        <v>79015930645.460007</v>
      </c>
      <c r="Y27" s="308">
        <v>1</v>
      </c>
      <c r="Z27" s="23">
        <f t="shared" si="42"/>
        <v>7.3138089501576667E-3</v>
      </c>
      <c r="AA27" s="23">
        <f t="shared" si="43"/>
        <v>0</v>
      </c>
      <c r="AB27" s="319">
        <v>78937493127.25</v>
      </c>
      <c r="AC27" s="308">
        <v>1</v>
      </c>
      <c r="AD27" s="23">
        <f t="shared" si="44"/>
        <v>-9.9267979974761557E-4</v>
      </c>
      <c r="AE27" s="23">
        <f t="shared" si="45"/>
        <v>0</v>
      </c>
      <c r="AF27" s="319">
        <v>78568540017.229996</v>
      </c>
      <c r="AG27" s="308">
        <v>1</v>
      </c>
      <c r="AH27" s="23">
        <f t="shared" si="46"/>
        <v>-4.6739907159863685E-3</v>
      </c>
      <c r="AI27" s="23">
        <f t="shared" si="47"/>
        <v>0</v>
      </c>
      <c r="AJ27" s="24">
        <f t="shared" si="16"/>
        <v>-1.398602796478642E-3</v>
      </c>
      <c r="AK27" s="24">
        <f t="shared" si="17"/>
        <v>0</v>
      </c>
      <c r="AL27" s="25">
        <f t="shared" si="18"/>
        <v>-7.7147267242403507E-3</v>
      </c>
      <c r="AM27" s="25">
        <f t="shared" si="19"/>
        <v>0</v>
      </c>
      <c r="AN27" s="378">
        <f t="shared" si="20"/>
        <v>5.2974671027851026E-3</v>
      </c>
      <c r="AO27" s="379">
        <f t="shared" si="21"/>
        <v>3.5096530897422155E-4</v>
      </c>
      <c r="AP27" s="30"/>
      <c r="AQ27" s="28">
        <v>13880602273.7041</v>
      </c>
      <c r="AR27" s="35">
        <v>1</v>
      </c>
      <c r="AS27" s="29" t="e">
        <f>(#REF!/AQ27)-1</f>
        <v>#REF!</v>
      </c>
      <c r="AT27" s="29" t="e">
        <f>(#REF!/AR27)-1</f>
        <v>#REF!</v>
      </c>
    </row>
    <row r="28" spans="1:46">
      <c r="A28" s="200" t="s">
        <v>82</v>
      </c>
      <c r="B28" s="319">
        <v>40095551080.629997</v>
      </c>
      <c r="C28" s="308">
        <v>1</v>
      </c>
      <c r="D28" s="319">
        <v>39990420892.980003</v>
      </c>
      <c r="E28" s="308">
        <v>1</v>
      </c>
      <c r="F28" s="23">
        <f t="shared" si="32"/>
        <v>-2.6219913386046931E-3</v>
      </c>
      <c r="G28" s="23">
        <f t="shared" si="33"/>
        <v>0</v>
      </c>
      <c r="H28" s="319">
        <v>39724226551.019997</v>
      </c>
      <c r="I28" s="308">
        <v>1</v>
      </c>
      <c r="J28" s="23">
        <f t="shared" si="34"/>
        <v>-6.6564526208008727E-3</v>
      </c>
      <c r="K28" s="23">
        <f t="shared" si="35"/>
        <v>0</v>
      </c>
      <c r="L28" s="319">
        <v>39885395596.620003</v>
      </c>
      <c r="M28" s="308">
        <v>1</v>
      </c>
      <c r="N28" s="23">
        <f t="shared" si="36"/>
        <v>4.0571978259415038E-3</v>
      </c>
      <c r="O28" s="23">
        <f t="shared" si="37"/>
        <v>0</v>
      </c>
      <c r="P28" s="319">
        <v>40957926644.699997</v>
      </c>
      <c r="Q28" s="308">
        <v>1</v>
      </c>
      <c r="R28" s="23">
        <f t="shared" si="38"/>
        <v>2.6890319928803297E-2</v>
      </c>
      <c r="S28" s="23">
        <f t="shared" si="39"/>
        <v>0</v>
      </c>
      <c r="T28" s="319">
        <v>40307316221.290001</v>
      </c>
      <c r="U28" s="308">
        <v>1</v>
      </c>
      <c r="V28" s="23">
        <f t="shared" si="40"/>
        <v>-1.5884847615795655E-2</v>
      </c>
      <c r="W28" s="23">
        <f t="shared" si="41"/>
        <v>0</v>
      </c>
      <c r="X28" s="319">
        <v>40934896304.379997</v>
      </c>
      <c r="Y28" s="308">
        <v>1</v>
      </c>
      <c r="Z28" s="23">
        <f t="shared" si="42"/>
        <v>1.5569880158841079E-2</v>
      </c>
      <c r="AA28" s="23">
        <f t="shared" si="43"/>
        <v>0</v>
      </c>
      <c r="AB28" s="319">
        <v>40720712051.089996</v>
      </c>
      <c r="AC28" s="308">
        <v>1</v>
      </c>
      <c r="AD28" s="23">
        <f t="shared" si="44"/>
        <v>-5.2323145439868478E-3</v>
      </c>
      <c r="AE28" s="23">
        <f t="shared" si="45"/>
        <v>0</v>
      </c>
      <c r="AF28" s="319">
        <v>41317233755.529999</v>
      </c>
      <c r="AG28" s="308">
        <v>1</v>
      </c>
      <c r="AH28" s="23">
        <f t="shared" si="46"/>
        <v>1.4649098073029275E-2</v>
      </c>
      <c r="AI28" s="23">
        <f t="shared" si="47"/>
        <v>0</v>
      </c>
      <c r="AJ28" s="24">
        <f t="shared" si="16"/>
        <v>3.8463612334283855E-3</v>
      </c>
      <c r="AK28" s="24">
        <f t="shared" si="17"/>
        <v>0</v>
      </c>
      <c r="AL28" s="25">
        <f t="shared" si="18"/>
        <v>3.3178267018012478E-2</v>
      </c>
      <c r="AM28" s="25">
        <f t="shared" si="19"/>
        <v>0</v>
      </c>
      <c r="AN28" s="378">
        <f t="shared" si="20"/>
        <v>1.4188023843161868E-2</v>
      </c>
      <c r="AO28" s="379">
        <f t="shared" si="21"/>
        <v>1.8499025476770492E-3</v>
      </c>
      <c r="AP28" s="30"/>
      <c r="AQ28" s="38">
        <v>246915130.99000001</v>
      </c>
      <c r="AR28" s="35">
        <v>10</v>
      </c>
      <c r="AS28" s="29" t="e">
        <f>(#REF!/AQ28)-1</f>
        <v>#REF!</v>
      </c>
      <c r="AT28" s="29" t="e">
        <f>(#REF!/AR28)-1</f>
        <v>#REF!</v>
      </c>
    </row>
    <row r="29" spans="1:46">
      <c r="A29" s="200" t="s">
        <v>97</v>
      </c>
      <c r="B29" s="319">
        <v>6073036021.4700003</v>
      </c>
      <c r="C29" s="308">
        <v>100</v>
      </c>
      <c r="D29" s="319">
        <v>6278151194.9899998</v>
      </c>
      <c r="E29" s="308">
        <v>100</v>
      </c>
      <c r="F29" s="23">
        <f t="shared" si="32"/>
        <v>3.377473355910552E-2</v>
      </c>
      <c r="G29" s="23">
        <f t="shared" si="33"/>
        <v>0</v>
      </c>
      <c r="H29" s="319">
        <v>6351808725.8100004</v>
      </c>
      <c r="I29" s="308">
        <v>100</v>
      </c>
      <c r="J29" s="23">
        <f t="shared" si="34"/>
        <v>1.173236013793038E-2</v>
      </c>
      <c r="K29" s="23">
        <f t="shared" si="35"/>
        <v>0</v>
      </c>
      <c r="L29" s="319">
        <v>6401922730.7700005</v>
      </c>
      <c r="M29" s="308">
        <v>100</v>
      </c>
      <c r="N29" s="23">
        <f t="shared" si="36"/>
        <v>7.889721986804531E-3</v>
      </c>
      <c r="O29" s="23">
        <f t="shared" si="37"/>
        <v>0</v>
      </c>
      <c r="P29" s="319">
        <v>6396492471.5900002</v>
      </c>
      <c r="Q29" s="308">
        <v>100</v>
      </c>
      <c r="R29" s="23">
        <f t="shared" si="38"/>
        <v>-8.4822316800239991E-4</v>
      </c>
      <c r="S29" s="23">
        <f t="shared" si="39"/>
        <v>0</v>
      </c>
      <c r="T29" s="319">
        <v>6519318026.6800003</v>
      </c>
      <c r="U29" s="308">
        <v>100</v>
      </c>
      <c r="V29" s="23">
        <f t="shared" si="40"/>
        <v>1.9202016673282966E-2</v>
      </c>
      <c r="W29" s="23">
        <f t="shared" si="41"/>
        <v>0</v>
      </c>
      <c r="X29" s="319">
        <v>6584038357.3299999</v>
      </c>
      <c r="Y29" s="308">
        <v>100</v>
      </c>
      <c r="Z29" s="23">
        <f t="shared" si="42"/>
        <v>9.9274694661519395E-3</v>
      </c>
      <c r="AA29" s="23">
        <f t="shared" si="43"/>
        <v>0</v>
      </c>
      <c r="AB29" s="319">
        <v>6708779236.3699999</v>
      </c>
      <c r="AC29" s="308">
        <v>100</v>
      </c>
      <c r="AD29" s="23">
        <f t="shared" si="44"/>
        <v>1.8945952661579824E-2</v>
      </c>
      <c r="AE29" s="23">
        <f t="shared" si="45"/>
        <v>0</v>
      </c>
      <c r="AF29" s="319">
        <v>6714028324.8000002</v>
      </c>
      <c r="AG29" s="308">
        <v>100</v>
      </c>
      <c r="AH29" s="23">
        <f t="shared" si="46"/>
        <v>7.8242080191633979E-4</v>
      </c>
      <c r="AI29" s="23">
        <f t="shared" si="47"/>
        <v>0</v>
      </c>
      <c r="AJ29" s="24">
        <f t="shared" si="16"/>
        <v>1.2675806514846137E-2</v>
      </c>
      <c r="AK29" s="24">
        <f t="shared" si="17"/>
        <v>0</v>
      </c>
      <c r="AL29" s="25">
        <f t="shared" si="18"/>
        <v>6.9427625470032145E-2</v>
      </c>
      <c r="AM29" s="25">
        <f t="shared" si="19"/>
        <v>0</v>
      </c>
      <c r="AN29" s="378">
        <f t="shared" si="20"/>
        <v>1.1229889513770536E-2</v>
      </c>
      <c r="AO29" s="379">
        <f t="shared" si="21"/>
        <v>6.6984058015212063E-3</v>
      </c>
      <c r="AP29" s="30"/>
      <c r="AQ29" s="38"/>
      <c r="AR29" s="35"/>
      <c r="AS29" s="29"/>
      <c r="AT29" s="29"/>
    </row>
    <row r="30" spans="1:46" ht="15.75" customHeight="1">
      <c r="A30" s="200" t="s">
        <v>228</v>
      </c>
      <c r="B30" s="319">
        <v>12818435327.519999</v>
      </c>
      <c r="C30" s="308">
        <v>100</v>
      </c>
      <c r="D30" s="319">
        <v>12742981407.68</v>
      </c>
      <c r="E30" s="308">
        <v>100</v>
      </c>
      <c r="F30" s="23">
        <f t="shared" si="32"/>
        <v>-5.8863595994439067E-3</v>
      </c>
      <c r="G30" s="23">
        <f t="shared" si="33"/>
        <v>0</v>
      </c>
      <c r="H30" s="319">
        <v>12822705616.629999</v>
      </c>
      <c r="I30" s="308">
        <v>100</v>
      </c>
      <c r="J30" s="23">
        <f t="shared" si="34"/>
        <v>6.2563231004912467E-3</v>
      </c>
      <c r="K30" s="23">
        <f t="shared" si="35"/>
        <v>0</v>
      </c>
      <c r="L30" s="319">
        <v>12722309306.74</v>
      </c>
      <c r="M30" s="308">
        <v>100</v>
      </c>
      <c r="N30" s="23">
        <f t="shared" si="36"/>
        <v>-7.8295730161498517E-3</v>
      </c>
      <c r="O30" s="23">
        <f t="shared" si="37"/>
        <v>0</v>
      </c>
      <c r="P30" s="319">
        <v>12482804303.57</v>
      </c>
      <c r="Q30" s="308">
        <v>100</v>
      </c>
      <c r="R30" s="23">
        <f t="shared" si="38"/>
        <v>-1.8825591910669518E-2</v>
      </c>
      <c r="S30" s="23">
        <f t="shared" si="39"/>
        <v>0</v>
      </c>
      <c r="T30" s="319">
        <v>12481388892.640001</v>
      </c>
      <c r="U30" s="308">
        <v>100</v>
      </c>
      <c r="V30" s="23">
        <f t="shared" si="40"/>
        <v>-1.1338885843092162E-4</v>
      </c>
      <c r="W30" s="23">
        <f t="shared" si="41"/>
        <v>0</v>
      </c>
      <c r="X30" s="319">
        <v>12518887422.59</v>
      </c>
      <c r="Y30" s="308">
        <v>100</v>
      </c>
      <c r="Z30" s="23">
        <f t="shared" si="42"/>
        <v>3.0043555466900728E-3</v>
      </c>
      <c r="AA30" s="23">
        <f t="shared" si="43"/>
        <v>0</v>
      </c>
      <c r="AB30" s="319">
        <v>12664877324.02</v>
      </c>
      <c r="AC30" s="308">
        <v>100</v>
      </c>
      <c r="AD30" s="23">
        <f t="shared" si="44"/>
        <v>1.1661571552002729E-2</v>
      </c>
      <c r="AE30" s="23">
        <f t="shared" si="45"/>
        <v>0</v>
      </c>
      <c r="AF30" s="319">
        <v>12651789489.790001</v>
      </c>
      <c r="AG30" s="308">
        <v>100</v>
      </c>
      <c r="AH30" s="23">
        <f t="shared" si="46"/>
        <v>-1.033396052338965E-3</v>
      </c>
      <c r="AI30" s="23">
        <f t="shared" si="47"/>
        <v>0</v>
      </c>
      <c r="AJ30" s="24">
        <f t="shared" si="16"/>
        <v>-1.5957574047311396E-3</v>
      </c>
      <c r="AK30" s="24">
        <f t="shared" si="17"/>
        <v>0</v>
      </c>
      <c r="AL30" s="25">
        <f t="shared" si="18"/>
        <v>-7.1562466406047973E-3</v>
      </c>
      <c r="AM30" s="25">
        <f t="shared" si="19"/>
        <v>0</v>
      </c>
      <c r="AN30" s="378">
        <f t="shared" si="20"/>
        <v>9.3749176504083955E-3</v>
      </c>
      <c r="AO30" s="379">
        <f t="shared" si="21"/>
        <v>4.1229881618566307E-3</v>
      </c>
      <c r="AP30" s="30"/>
      <c r="AQ30" s="38"/>
      <c r="AR30" s="35"/>
      <c r="AS30" s="29"/>
      <c r="AT30" s="29"/>
    </row>
    <row r="31" spans="1:46">
      <c r="A31" s="200" t="s">
        <v>89</v>
      </c>
      <c r="B31" s="319">
        <v>5360735339.1700001</v>
      </c>
      <c r="C31" s="308">
        <v>100</v>
      </c>
      <c r="D31" s="319">
        <v>5563436722.6800003</v>
      </c>
      <c r="E31" s="308">
        <v>100</v>
      </c>
      <c r="F31" s="23">
        <f t="shared" si="32"/>
        <v>3.7812234830713429E-2</v>
      </c>
      <c r="G31" s="23">
        <f t="shared" si="33"/>
        <v>0</v>
      </c>
      <c r="H31" s="319">
        <v>5739491026.8999996</v>
      </c>
      <c r="I31" s="308">
        <v>100</v>
      </c>
      <c r="J31" s="23">
        <f t="shared" si="34"/>
        <v>3.1644883009506221E-2</v>
      </c>
      <c r="K31" s="23">
        <f t="shared" si="35"/>
        <v>0</v>
      </c>
      <c r="L31" s="319">
        <v>5817272654.2399998</v>
      </c>
      <c r="M31" s="308">
        <v>100</v>
      </c>
      <c r="N31" s="23">
        <f t="shared" si="36"/>
        <v>1.3552007830563921E-2</v>
      </c>
      <c r="O31" s="23">
        <f t="shared" si="37"/>
        <v>0</v>
      </c>
      <c r="P31" s="319">
        <v>5695909796.8400002</v>
      </c>
      <c r="Q31" s="308">
        <v>100</v>
      </c>
      <c r="R31" s="23">
        <f t="shared" si="38"/>
        <v>-2.0862501143305123E-2</v>
      </c>
      <c r="S31" s="23">
        <f t="shared" si="39"/>
        <v>0</v>
      </c>
      <c r="T31" s="319">
        <v>5656213747.3999996</v>
      </c>
      <c r="U31" s="308">
        <v>100</v>
      </c>
      <c r="V31" s="23">
        <f t="shared" si="40"/>
        <v>-6.9692201695369669E-3</v>
      </c>
      <c r="W31" s="23">
        <f t="shared" si="41"/>
        <v>0</v>
      </c>
      <c r="X31" s="319">
        <v>6053981270.9899998</v>
      </c>
      <c r="Y31" s="308">
        <v>100</v>
      </c>
      <c r="Z31" s="23">
        <f t="shared" si="42"/>
        <v>7.0323990809725415E-2</v>
      </c>
      <c r="AA31" s="23">
        <f t="shared" si="43"/>
        <v>0</v>
      </c>
      <c r="AB31" s="319">
        <v>6112797574.9899998</v>
      </c>
      <c r="AC31" s="308">
        <v>100</v>
      </c>
      <c r="AD31" s="23">
        <f t="shared" si="44"/>
        <v>9.7153098708516235E-3</v>
      </c>
      <c r="AE31" s="23">
        <f t="shared" si="45"/>
        <v>0</v>
      </c>
      <c r="AF31" s="319">
        <v>6480590642.1199999</v>
      </c>
      <c r="AG31" s="308">
        <v>100</v>
      </c>
      <c r="AH31" s="23">
        <f t="shared" si="46"/>
        <v>6.0167715782834801E-2</v>
      </c>
      <c r="AI31" s="23">
        <f t="shared" si="47"/>
        <v>0</v>
      </c>
      <c r="AJ31" s="24">
        <f t="shared" si="16"/>
        <v>2.4423052602669165E-2</v>
      </c>
      <c r="AK31" s="24">
        <f t="shared" si="17"/>
        <v>0</v>
      </c>
      <c r="AL31" s="25">
        <f t="shared" si="18"/>
        <v>0.16485384217656587</v>
      </c>
      <c r="AM31" s="25">
        <f t="shared" si="19"/>
        <v>0</v>
      </c>
      <c r="AN31" s="378">
        <f t="shared" si="20"/>
        <v>3.1592846360029368E-2</v>
      </c>
      <c r="AO31" s="379">
        <f t="shared" si="21"/>
        <v>3.4348807455038921E-3</v>
      </c>
      <c r="AP31" s="30"/>
      <c r="AQ31" s="38"/>
      <c r="AR31" s="35"/>
      <c r="AS31" s="29"/>
      <c r="AT31" s="29"/>
    </row>
    <row r="32" spans="1:46">
      <c r="A32" s="200" t="s">
        <v>178</v>
      </c>
      <c r="B32" s="319">
        <v>44514190.369999997</v>
      </c>
      <c r="C32" s="308">
        <v>100</v>
      </c>
      <c r="D32" s="319">
        <v>44514190.369999997</v>
      </c>
      <c r="E32" s="308">
        <v>100</v>
      </c>
      <c r="F32" s="23">
        <f t="shared" si="32"/>
        <v>0</v>
      </c>
      <c r="G32" s="23">
        <f t="shared" si="33"/>
        <v>0</v>
      </c>
      <c r="H32" s="319">
        <v>44514190.369999997</v>
      </c>
      <c r="I32" s="308">
        <v>100</v>
      </c>
      <c r="J32" s="23">
        <f t="shared" si="34"/>
        <v>0</v>
      </c>
      <c r="K32" s="23">
        <f t="shared" si="35"/>
        <v>0</v>
      </c>
      <c r="L32" s="319">
        <v>44514190.369999997</v>
      </c>
      <c r="M32" s="308">
        <v>100</v>
      </c>
      <c r="N32" s="23">
        <f t="shared" si="36"/>
        <v>0</v>
      </c>
      <c r="O32" s="23">
        <f t="shared" si="37"/>
        <v>0</v>
      </c>
      <c r="P32" s="319">
        <v>44514190.369999997</v>
      </c>
      <c r="Q32" s="308">
        <v>100</v>
      </c>
      <c r="R32" s="23">
        <f t="shared" si="38"/>
        <v>0</v>
      </c>
      <c r="S32" s="23">
        <f t="shared" si="39"/>
        <v>0</v>
      </c>
      <c r="T32" s="319">
        <v>44514190.369999997</v>
      </c>
      <c r="U32" s="308">
        <v>100</v>
      </c>
      <c r="V32" s="23">
        <f t="shared" si="40"/>
        <v>0</v>
      </c>
      <c r="W32" s="23">
        <f t="shared" si="41"/>
        <v>0</v>
      </c>
      <c r="X32" s="319">
        <v>44514190.369999997</v>
      </c>
      <c r="Y32" s="308">
        <v>100</v>
      </c>
      <c r="Z32" s="23">
        <f t="shared" si="42"/>
        <v>0</v>
      </c>
      <c r="AA32" s="23">
        <f t="shared" si="43"/>
        <v>0</v>
      </c>
      <c r="AB32" s="319">
        <v>44514190.369999997</v>
      </c>
      <c r="AC32" s="308">
        <v>100</v>
      </c>
      <c r="AD32" s="23">
        <f t="shared" si="44"/>
        <v>0</v>
      </c>
      <c r="AE32" s="23">
        <f t="shared" si="45"/>
        <v>0</v>
      </c>
      <c r="AF32" s="319">
        <v>44514190.369999997</v>
      </c>
      <c r="AG32" s="308">
        <v>100</v>
      </c>
      <c r="AH32" s="23">
        <f t="shared" si="46"/>
        <v>0</v>
      </c>
      <c r="AI32" s="23">
        <f t="shared" si="47"/>
        <v>0</v>
      </c>
      <c r="AJ32" s="24">
        <f t="shared" si="16"/>
        <v>0</v>
      </c>
      <c r="AK32" s="24">
        <f t="shared" si="17"/>
        <v>0</v>
      </c>
      <c r="AL32" s="25">
        <f t="shared" si="18"/>
        <v>0</v>
      </c>
      <c r="AM32" s="25">
        <f t="shared" si="19"/>
        <v>0</v>
      </c>
      <c r="AN32" s="378">
        <f t="shared" si="20"/>
        <v>0</v>
      </c>
      <c r="AO32" s="379">
        <f t="shared" si="21"/>
        <v>0</v>
      </c>
      <c r="AP32" s="30"/>
      <c r="AQ32" s="38"/>
      <c r="AR32" s="35"/>
      <c r="AS32" s="29"/>
      <c r="AT32" s="29"/>
    </row>
    <row r="33" spans="1:47">
      <c r="A33" s="200" t="s">
        <v>108</v>
      </c>
      <c r="B33" s="319">
        <v>4745469606.2600002</v>
      </c>
      <c r="C33" s="308">
        <v>1</v>
      </c>
      <c r="D33" s="319">
        <v>4754926961.3400002</v>
      </c>
      <c r="E33" s="308">
        <v>1</v>
      </c>
      <c r="F33" s="23">
        <f t="shared" si="32"/>
        <v>1.992922906412513E-3</v>
      </c>
      <c r="G33" s="23">
        <f t="shared" si="33"/>
        <v>0</v>
      </c>
      <c r="H33" s="319">
        <v>4801181951.0500002</v>
      </c>
      <c r="I33" s="308">
        <v>1</v>
      </c>
      <c r="J33" s="23">
        <f t="shared" si="34"/>
        <v>9.7278023587064281E-3</v>
      </c>
      <c r="K33" s="23">
        <f t="shared" si="35"/>
        <v>0</v>
      </c>
      <c r="L33" s="319">
        <v>4849586512.3000002</v>
      </c>
      <c r="M33" s="308">
        <v>1</v>
      </c>
      <c r="N33" s="23">
        <f t="shared" si="36"/>
        <v>1.0081801053054052E-2</v>
      </c>
      <c r="O33" s="23">
        <f t="shared" si="37"/>
        <v>0</v>
      </c>
      <c r="P33" s="319">
        <v>4956810236.1300001</v>
      </c>
      <c r="Q33" s="308">
        <v>1</v>
      </c>
      <c r="R33" s="23">
        <f t="shared" si="38"/>
        <v>2.2109869276081277E-2</v>
      </c>
      <c r="S33" s="23">
        <f t="shared" si="39"/>
        <v>0</v>
      </c>
      <c r="T33" s="319">
        <v>5117027630.4200001</v>
      </c>
      <c r="U33" s="308">
        <v>1</v>
      </c>
      <c r="V33" s="23">
        <f t="shared" si="40"/>
        <v>3.2322680646957494E-2</v>
      </c>
      <c r="W33" s="23">
        <f t="shared" si="41"/>
        <v>0</v>
      </c>
      <c r="X33" s="319">
        <v>5124692682.4300003</v>
      </c>
      <c r="Y33" s="308">
        <v>1</v>
      </c>
      <c r="Z33" s="23">
        <f t="shared" si="42"/>
        <v>1.4979500920480841E-3</v>
      </c>
      <c r="AA33" s="23">
        <f t="shared" si="43"/>
        <v>0</v>
      </c>
      <c r="AB33" s="319">
        <v>5210909185.3500004</v>
      </c>
      <c r="AC33" s="308">
        <v>1</v>
      </c>
      <c r="AD33" s="23">
        <f t="shared" si="44"/>
        <v>1.6823741102679816E-2</v>
      </c>
      <c r="AE33" s="23">
        <f t="shared" si="45"/>
        <v>0</v>
      </c>
      <c r="AF33" s="319">
        <v>5018064961.79</v>
      </c>
      <c r="AG33" s="308">
        <v>1</v>
      </c>
      <c r="AH33" s="23">
        <f t="shared" si="46"/>
        <v>-3.7007788219024139E-2</v>
      </c>
      <c r="AI33" s="23">
        <f t="shared" si="47"/>
        <v>0</v>
      </c>
      <c r="AJ33" s="24">
        <f t="shared" si="16"/>
        <v>7.19362240211444E-3</v>
      </c>
      <c r="AK33" s="24">
        <f t="shared" si="17"/>
        <v>0</v>
      </c>
      <c r="AL33" s="25">
        <f t="shared" si="18"/>
        <v>5.5340072011504482E-2</v>
      </c>
      <c r="AM33" s="25">
        <f t="shared" si="19"/>
        <v>0</v>
      </c>
      <c r="AN33" s="378">
        <f t="shared" si="20"/>
        <v>2.0614556155589631E-2</v>
      </c>
      <c r="AO33" s="379">
        <f t="shared" si="21"/>
        <v>5.9480907093158713E-3</v>
      </c>
      <c r="AP33" s="30"/>
      <c r="AQ33" s="38"/>
      <c r="AR33" s="35"/>
      <c r="AS33" s="29"/>
      <c r="AT33" s="29"/>
    </row>
    <row r="34" spans="1:47">
      <c r="A34" s="200" t="s">
        <v>100</v>
      </c>
      <c r="B34" s="319">
        <v>13539988654.25</v>
      </c>
      <c r="C34" s="69">
        <v>100</v>
      </c>
      <c r="D34" s="319">
        <v>14527961910.5</v>
      </c>
      <c r="E34" s="69">
        <v>100</v>
      </c>
      <c r="F34" s="23">
        <f t="shared" si="32"/>
        <v>7.2967066773714756E-2</v>
      </c>
      <c r="G34" s="23">
        <f t="shared" si="33"/>
        <v>0</v>
      </c>
      <c r="H34" s="319">
        <v>13879060473.77</v>
      </c>
      <c r="I34" s="69">
        <v>100</v>
      </c>
      <c r="J34" s="23">
        <f t="shared" si="34"/>
        <v>-4.4665689566614972E-2</v>
      </c>
      <c r="K34" s="23">
        <f t="shared" si="35"/>
        <v>0</v>
      </c>
      <c r="L34" s="319">
        <v>14105826545.83</v>
      </c>
      <c r="M34" s="69">
        <v>100</v>
      </c>
      <c r="N34" s="23">
        <f t="shared" si="36"/>
        <v>1.6338719215797357E-2</v>
      </c>
      <c r="O34" s="23">
        <f t="shared" si="37"/>
        <v>0</v>
      </c>
      <c r="P34" s="319">
        <v>13889082591.969999</v>
      </c>
      <c r="Q34" s="69">
        <v>100</v>
      </c>
      <c r="R34" s="23">
        <f t="shared" si="38"/>
        <v>-1.5365562106963169E-2</v>
      </c>
      <c r="S34" s="23">
        <f t="shared" si="39"/>
        <v>0</v>
      </c>
      <c r="T34" s="319">
        <v>14189585200.16</v>
      </c>
      <c r="U34" s="69">
        <v>100</v>
      </c>
      <c r="V34" s="23">
        <f t="shared" si="40"/>
        <v>2.1635886042159238E-2</v>
      </c>
      <c r="W34" s="23">
        <f t="shared" si="41"/>
        <v>0</v>
      </c>
      <c r="X34" s="319">
        <v>14061388982.280001</v>
      </c>
      <c r="Y34" s="69">
        <v>100</v>
      </c>
      <c r="Z34" s="23">
        <f t="shared" si="42"/>
        <v>-9.034528921856971E-3</v>
      </c>
      <c r="AA34" s="23">
        <f t="shared" si="43"/>
        <v>0</v>
      </c>
      <c r="AB34" s="319">
        <v>14176719275.27</v>
      </c>
      <c r="AC34" s="69">
        <v>100</v>
      </c>
      <c r="AD34" s="23">
        <f t="shared" si="44"/>
        <v>8.2019132772258602E-3</v>
      </c>
      <c r="AE34" s="23">
        <f t="shared" si="45"/>
        <v>0</v>
      </c>
      <c r="AF34" s="319">
        <v>14227020793.049999</v>
      </c>
      <c r="AG34" s="69">
        <v>100</v>
      </c>
      <c r="AH34" s="23">
        <f t="shared" si="46"/>
        <v>3.548177600423055E-3</v>
      </c>
      <c r="AI34" s="23">
        <f t="shared" si="47"/>
        <v>0</v>
      </c>
      <c r="AJ34" s="24">
        <f t="shared" si="16"/>
        <v>6.7032477892356437E-3</v>
      </c>
      <c r="AK34" s="24">
        <f t="shared" si="17"/>
        <v>0</v>
      </c>
      <c r="AL34" s="25">
        <f t="shared" si="18"/>
        <v>-2.0714613605401687E-2</v>
      </c>
      <c r="AM34" s="25">
        <f t="shared" si="19"/>
        <v>0</v>
      </c>
      <c r="AN34" s="378">
        <f t="shared" si="20"/>
        <v>3.4000835868855349E-2</v>
      </c>
      <c r="AO34" s="379">
        <f t="shared" si="21"/>
        <v>2.8998142485151925E-3</v>
      </c>
      <c r="AP34" s="30"/>
      <c r="AQ34" s="38"/>
      <c r="AR34" s="35"/>
      <c r="AS34" s="29"/>
      <c r="AT34" s="29"/>
    </row>
    <row r="35" spans="1:47">
      <c r="A35" s="200" t="s">
        <v>99</v>
      </c>
      <c r="B35" s="319">
        <v>1080347151.77</v>
      </c>
      <c r="C35" s="69">
        <v>1000000</v>
      </c>
      <c r="D35" s="319">
        <v>1081979680.1500001</v>
      </c>
      <c r="E35" s="69">
        <v>1000000</v>
      </c>
      <c r="F35" s="23">
        <f t="shared" si="32"/>
        <v>1.5111146239664183E-3</v>
      </c>
      <c r="G35" s="23">
        <f t="shared" si="33"/>
        <v>0</v>
      </c>
      <c r="H35" s="319">
        <v>1121619605.54</v>
      </c>
      <c r="I35" s="69">
        <v>1000000</v>
      </c>
      <c r="J35" s="23">
        <f t="shared" si="34"/>
        <v>3.6636478593114051E-2</v>
      </c>
      <c r="K35" s="23">
        <f t="shared" si="35"/>
        <v>0</v>
      </c>
      <c r="L35" s="319">
        <v>1123251933.9200001</v>
      </c>
      <c r="M35" s="69">
        <v>1000000</v>
      </c>
      <c r="N35" s="23">
        <f t="shared" si="36"/>
        <v>1.4553315330238326E-3</v>
      </c>
      <c r="O35" s="23">
        <f t="shared" si="37"/>
        <v>0</v>
      </c>
      <c r="P35" s="319">
        <v>1124632940.49</v>
      </c>
      <c r="Q35" s="69">
        <v>1000000</v>
      </c>
      <c r="R35" s="23">
        <f t="shared" si="38"/>
        <v>1.2294717937234292E-3</v>
      </c>
      <c r="S35" s="23">
        <f t="shared" si="39"/>
        <v>0</v>
      </c>
      <c r="T35" s="319">
        <v>1126503090.6099999</v>
      </c>
      <c r="U35" s="69">
        <v>1000000</v>
      </c>
      <c r="V35" s="23">
        <f t="shared" si="40"/>
        <v>1.6628982245398801E-3</v>
      </c>
      <c r="W35" s="23">
        <f t="shared" si="41"/>
        <v>0</v>
      </c>
      <c r="X35" s="319">
        <v>1228392489.0999999</v>
      </c>
      <c r="Y35" s="69">
        <v>1000000</v>
      </c>
      <c r="Z35" s="23">
        <f t="shared" si="42"/>
        <v>9.0447509056390638E-2</v>
      </c>
      <c r="AA35" s="23">
        <f t="shared" si="43"/>
        <v>0</v>
      </c>
      <c r="AB35" s="319">
        <v>1230331119.48</v>
      </c>
      <c r="AC35" s="69">
        <v>1000000</v>
      </c>
      <c r="AD35" s="23">
        <f t="shared" si="44"/>
        <v>1.5781848205702405E-3</v>
      </c>
      <c r="AE35" s="23">
        <f t="shared" si="45"/>
        <v>0</v>
      </c>
      <c r="AF35" s="319">
        <v>1232438547.01</v>
      </c>
      <c r="AG35" s="69">
        <v>1000000</v>
      </c>
      <c r="AH35" s="23">
        <f t="shared" si="46"/>
        <v>1.7128945993747412E-3</v>
      </c>
      <c r="AI35" s="23">
        <f t="shared" si="47"/>
        <v>0</v>
      </c>
      <c r="AJ35" s="24">
        <f t="shared" si="16"/>
        <v>1.7029235405587904E-2</v>
      </c>
      <c r="AK35" s="24">
        <f t="shared" si="17"/>
        <v>0</v>
      </c>
      <c r="AL35" s="25">
        <f t="shared" si="18"/>
        <v>0.13905886554093239</v>
      </c>
      <c r="AM35" s="25">
        <f t="shared" si="19"/>
        <v>0</v>
      </c>
      <c r="AN35" s="378">
        <f t="shared" si="20"/>
        <v>3.21094724655894E-2</v>
      </c>
      <c r="AO35" s="379">
        <f t="shared" si="21"/>
        <v>5.5797259429544587E-4</v>
      </c>
      <c r="AP35" s="30"/>
      <c r="AQ35" s="38"/>
      <c r="AR35" s="35"/>
      <c r="AS35" s="29"/>
      <c r="AT35" s="29"/>
    </row>
    <row r="36" spans="1:47">
      <c r="A36" s="200" t="s">
        <v>168</v>
      </c>
      <c r="B36" s="319">
        <v>2370574483</v>
      </c>
      <c r="C36" s="308">
        <v>1</v>
      </c>
      <c r="D36" s="319">
        <v>2489458643.8299999</v>
      </c>
      <c r="E36" s="308">
        <v>1</v>
      </c>
      <c r="F36" s="23">
        <f t="shared" si="32"/>
        <v>5.0149936938302865E-2</v>
      </c>
      <c r="G36" s="23">
        <f t="shared" si="33"/>
        <v>0</v>
      </c>
      <c r="H36" s="319">
        <v>2522730068.8200002</v>
      </c>
      <c r="I36" s="308">
        <v>1</v>
      </c>
      <c r="J36" s="23">
        <f t="shared" si="34"/>
        <v>1.3364923764635267E-2</v>
      </c>
      <c r="K36" s="23">
        <f t="shared" si="35"/>
        <v>0</v>
      </c>
      <c r="L36" s="319">
        <v>2575467291.23</v>
      </c>
      <c r="M36" s="308">
        <v>1</v>
      </c>
      <c r="N36" s="23">
        <f t="shared" si="36"/>
        <v>2.0904821749188382E-2</v>
      </c>
      <c r="O36" s="23">
        <f t="shared" si="37"/>
        <v>0</v>
      </c>
      <c r="P36" s="319">
        <v>2636152448.2399998</v>
      </c>
      <c r="Q36" s="308">
        <v>1</v>
      </c>
      <c r="R36" s="23">
        <f t="shared" si="38"/>
        <v>2.3562775274469722E-2</v>
      </c>
      <c r="S36" s="23">
        <f t="shared" si="39"/>
        <v>0</v>
      </c>
      <c r="T36" s="319">
        <v>2633343876.3299999</v>
      </c>
      <c r="U36" s="308">
        <v>1</v>
      </c>
      <c r="V36" s="23">
        <f t="shared" si="40"/>
        <v>-1.0654057248756467E-3</v>
      </c>
      <c r="W36" s="23">
        <f t="shared" si="41"/>
        <v>0</v>
      </c>
      <c r="X36" s="319">
        <v>2616061714.6500001</v>
      </c>
      <c r="Y36" s="308">
        <v>1</v>
      </c>
      <c r="Z36" s="23">
        <f t="shared" si="42"/>
        <v>-6.5628199322320859E-3</v>
      </c>
      <c r="AA36" s="23">
        <f t="shared" si="43"/>
        <v>0</v>
      </c>
      <c r="AB36" s="319">
        <v>2612554028.3499999</v>
      </c>
      <c r="AC36" s="308">
        <v>1</v>
      </c>
      <c r="AD36" s="23">
        <f t="shared" si="44"/>
        <v>-1.3408270456148166E-3</v>
      </c>
      <c r="AE36" s="23">
        <f t="shared" si="45"/>
        <v>0</v>
      </c>
      <c r="AF36" s="319">
        <v>2630334513.5300002</v>
      </c>
      <c r="AG36" s="308">
        <v>1</v>
      </c>
      <c r="AH36" s="23">
        <f t="shared" si="46"/>
        <v>6.8057865931407564E-3</v>
      </c>
      <c r="AI36" s="23">
        <f t="shared" si="47"/>
        <v>0</v>
      </c>
      <c r="AJ36" s="24">
        <f t="shared" si="16"/>
        <v>1.3227398952126804E-2</v>
      </c>
      <c r="AK36" s="24">
        <f t="shared" si="17"/>
        <v>0</v>
      </c>
      <c r="AL36" s="25">
        <f t="shared" si="18"/>
        <v>5.6588957623037506E-2</v>
      </c>
      <c r="AM36" s="25">
        <f t="shared" si="19"/>
        <v>0</v>
      </c>
      <c r="AN36" s="378">
        <f t="shared" si="20"/>
        <v>1.8433133568116232E-2</v>
      </c>
      <c r="AO36" s="379">
        <f t="shared" si="21"/>
        <v>4.7405394817628054E-4</v>
      </c>
      <c r="AP36" s="30"/>
      <c r="AQ36" s="38"/>
      <c r="AR36" s="35"/>
      <c r="AS36" s="29"/>
      <c r="AT36" s="29"/>
      <c r="AU36" s="88"/>
    </row>
    <row r="37" spans="1:47" s="84" customFormat="1">
      <c r="A37" s="200" t="s">
        <v>14</v>
      </c>
      <c r="B37" s="319">
        <v>202577681162.17001</v>
      </c>
      <c r="C37" s="308">
        <v>100</v>
      </c>
      <c r="D37" s="319">
        <v>205188776678.94</v>
      </c>
      <c r="E37" s="308">
        <v>100</v>
      </c>
      <c r="F37" s="23">
        <f t="shared" si="32"/>
        <v>1.2889354354291983E-2</v>
      </c>
      <c r="G37" s="23">
        <f t="shared" si="33"/>
        <v>0</v>
      </c>
      <c r="H37" s="319">
        <v>205180309926.07999</v>
      </c>
      <c r="I37" s="308">
        <v>100</v>
      </c>
      <c r="J37" s="23">
        <f t="shared" si="34"/>
        <v>-4.126323572396868E-5</v>
      </c>
      <c r="K37" s="23">
        <f t="shared" si="35"/>
        <v>0</v>
      </c>
      <c r="L37" s="319">
        <v>203955960526.35001</v>
      </c>
      <c r="M37" s="308">
        <v>100</v>
      </c>
      <c r="N37" s="23">
        <f t="shared" si="36"/>
        <v>-5.9671875930544949E-3</v>
      </c>
      <c r="O37" s="23">
        <f t="shared" si="37"/>
        <v>0</v>
      </c>
      <c r="P37" s="319">
        <v>203061336001.59</v>
      </c>
      <c r="Q37" s="308">
        <v>100</v>
      </c>
      <c r="R37" s="23">
        <f t="shared" si="38"/>
        <v>-4.3863612637318784E-3</v>
      </c>
      <c r="S37" s="23">
        <f t="shared" si="39"/>
        <v>0</v>
      </c>
      <c r="T37" s="319">
        <v>203435732498.82001</v>
      </c>
      <c r="U37" s="308">
        <v>100</v>
      </c>
      <c r="V37" s="23">
        <f t="shared" si="40"/>
        <v>1.8437606321425927E-3</v>
      </c>
      <c r="W37" s="23">
        <f t="shared" si="41"/>
        <v>0</v>
      </c>
      <c r="X37" s="319">
        <v>200705395227.67001</v>
      </c>
      <c r="Y37" s="308">
        <v>100</v>
      </c>
      <c r="Z37" s="23">
        <f t="shared" si="42"/>
        <v>-1.3421129305127509E-2</v>
      </c>
      <c r="AA37" s="23">
        <f t="shared" si="43"/>
        <v>0</v>
      </c>
      <c r="AB37" s="319">
        <v>197035337241.79999</v>
      </c>
      <c r="AC37" s="308">
        <v>100</v>
      </c>
      <c r="AD37" s="23">
        <f t="shared" si="44"/>
        <v>-1.8285796361910939E-2</v>
      </c>
      <c r="AE37" s="23">
        <f t="shared" si="45"/>
        <v>0</v>
      </c>
      <c r="AF37" s="319">
        <v>192471295990.45999</v>
      </c>
      <c r="AG37" s="308">
        <v>100</v>
      </c>
      <c r="AH37" s="23">
        <f t="shared" si="46"/>
        <v>-2.3163567080046389E-2</v>
      </c>
      <c r="AI37" s="23">
        <f t="shared" si="47"/>
        <v>0</v>
      </c>
      <c r="AJ37" s="24">
        <f t="shared" si="16"/>
        <v>-6.3165237316450754E-3</v>
      </c>
      <c r="AK37" s="24">
        <f t="shared" si="17"/>
        <v>0</v>
      </c>
      <c r="AL37" s="25">
        <f t="shared" si="18"/>
        <v>-6.1979416683102126E-2</v>
      </c>
      <c r="AM37" s="25">
        <f t="shared" si="19"/>
        <v>0</v>
      </c>
      <c r="AN37" s="378">
        <f t="shared" si="20"/>
        <v>1.1687870564741106E-2</v>
      </c>
      <c r="AO37" s="379">
        <f t="shared" si="21"/>
        <v>6.4650053034517622E-3</v>
      </c>
      <c r="AP37" s="30"/>
      <c r="AQ37" s="38"/>
      <c r="AR37" s="35"/>
      <c r="AS37" s="29"/>
      <c r="AT37" s="29"/>
    </row>
    <row r="38" spans="1:47" s="365" customFormat="1">
      <c r="A38" s="200" t="s">
        <v>257</v>
      </c>
      <c r="B38" s="319">
        <v>268706599.25999999</v>
      </c>
      <c r="C38" s="308">
        <v>1</v>
      </c>
      <c r="D38" s="319">
        <v>268855979.88</v>
      </c>
      <c r="E38" s="308">
        <v>1</v>
      </c>
      <c r="F38" s="23">
        <f t="shared" si="32"/>
        <v>5.5592464201247385E-4</v>
      </c>
      <c r="G38" s="23">
        <f t="shared" si="33"/>
        <v>0</v>
      </c>
      <c r="H38" s="375">
        <v>238133032.34999999</v>
      </c>
      <c r="I38" s="308">
        <v>1</v>
      </c>
      <c r="J38" s="23">
        <f t="shared" si="34"/>
        <v>-0.1142728815022554</v>
      </c>
      <c r="K38" s="23">
        <f t="shared" si="35"/>
        <v>0</v>
      </c>
      <c r="L38" s="319">
        <v>270827759.00999999</v>
      </c>
      <c r="M38" s="308">
        <v>1</v>
      </c>
      <c r="N38" s="23">
        <f t="shared" si="36"/>
        <v>0.13729605816275994</v>
      </c>
      <c r="O38" s="23">
        <f t="shared" si="37"/>
        <v>0</v>
      </c>
      <c r="P38" s="319">
        <v>316090651.86000001</v>
      </c>
      <c r="Q38" s="308">
        <v>1</v>
      </c>
      <c r="R38" s="23">
        <f t="shared" si="38"/>
        <v>0.16712796729351789</v>
      </c>
      <c r="S38" s="23">
        <f t="shared" si="39"/>
        <v>0</v>
      </c>
      <c r="T38" s="375">
        <v>282212950.04000002</v>
      </c>
      <c r="U38" s="308">
        <v>1</v>
      </c>
      <c r="V38" s="23">
        <f t="shared" si="40"/>
        <v>-0.10717717091805927</v>
      </c>
      <c r="W38" s="23">
        <f t="shared" si="41"/>
        <v>0</v>
      </c>
      <c r="X38" s="319">
        <v>292233591.13999999</v>
      </c>
      <c r="Y38" s="308">
        <v>1</v>
      </c>
      <c r="Z38" s="23">
        <f t="shared" si="42"/>
        <v>3.5507375188061602E-2</v>
      </c>
      <c r="AA38" s="23">
        <f t="shared" si="43"/>
        <v>0</v>
      </c>
      <c r="AB38" s="375">
        <v>282092191.77999997</v>
      </c>
      <c r="AC38" s="308">
        <v>1</v>
      </c>
      <c r="AD38" s="23">
        <f t="shared" si="44"/>
        <v>-3.4703058332337937E-2</v>
      </c>
      <c r="AE38" s="23">
        <f t="shared" si="45"/>
        <v>0</v>
      </c>
      <c r="AF38" s="319">
        <v>282469840.45999998</v>
      </c>
      <c r="AG38" s="308">
        <v>1</v>
      </c>
      <c r="AH38" s="23">
        <f t="shared" si="46"/>
        <v>1.3387420531459815E-3</v>
      </c>
      <c r="AI38" s="23">
        <f t="shared" si="47"/>
        <v>0</v>
      </c>
      <c r="AJ38" s="24">
        <f t="shared" si="16"/>
        <v>1.0709119573355663E-2</v>
      </c>
      <c r="AK38" s="24">
        <f t="shared" si="17"/>
        <v>0</v>
      </c>
      <c r="AL38" s="25">
        <f t="shared" si="18"/>
        <v>5.0636257322884667E-2</v>
      </c>
      <c r="AM38" s="25">
        <f t="shared" si="19"/>
        <v>0</v>
      </c>
      <c r="AN38" s="378">
        <f t="shared" si="20"/>
        <v>0.10203423637477696</v>
      </c>
      <c r="AO38" s="379">
        <f t="shared" si="21"/>
        <v>1.2269383937354236E-2</v>
      </c>
      <c r="AP38" s="30"/>
      <c r="AQ38" s="38"/>
      <c r="AR38" s="35"/>
      <c r="AS38" s="29"/>
      <c r="AT38" s="29"/>
    </row>
    <row r="39" spans="1:47" s="86" customFormat="1">
      <c r="A39" s="200" t="s">
        <v>122</v>
      </c>
      <c r="B39" s="319">
        <v>618707415.85000002</v>
      </c>
      <c r="C39" s="308">
        <v>10</v>
      </c>
      <c r="D39" s="319">
        <v>627642877.64999998</v>
      </c>
      <c r="E39" s="308">
        <v>10</v>
      </c>
      <c r="F39" s="23">
        <f t="shared" si="32"/>
        <v>1.4442144333641337E-2</v>
      </c>
      <c r="G39" s="23">
        <f t="shared" si="33"/>
        <v>0</v>
      </c>
      <c r="H39" s="319">
        <v>603439230.46000004</v>
      </c>
      <c r="I39" s="308">
        <v>10</v>
      </c>
      <c r="J39" s="23">
        <f t="shared" si="34"/>
        <v>-3.8562768816277251E-2</v>
      </c>
      <c r="K39" s="23">
        <f t="shared" si="35"/>
        <v>0</v>
      </c>
      <c r="L39" s="319">
        <v>603439230.46000004</v>
      </c>
      <c r="M39" s="308">
        <v>10</v>
      </c>
      <c r="N39" s="23">
        <f t="shared" si="36"/>
        <v>0</v>
      </c>
      <c r="O39" s="23">
        <f t="shared" si="37"/>
        <v>0</v>
      </c>
      <c r="P39" s="319">
        <v>607579274.76999998</v>
      </c>
      <c r="Q39" s="308">
        <v>10</v>
      </c>
      <c r="R39" s="23">
        <f t="shared" si="38"/>
        <v>6.8607476959096584E-3</v>
      </c>
      <c r="S39" s="23">
        <f t="shared" si="39"/>
        <v>0</v>
      </c>
      <c r="T39" s="319">
        <v>612928918.5</v>
      </c>
      <c r="U39" s="308">
        <v>10</v>
      </c>
      <c r="V39" s="23">
        <f t="shared" si="40"/>
        <v>8.804848934363561E-3</v>
      </c>
      <c r="W39" s="23">
        <f t="shared" si="41"/>
        <v>0</v>
      </c>
      <c r="X39" s="319">
        <v>614828792.12</v>
      </c>
      <c r="Y39" s="308">
        <v>10</v>
      </c>
      <c r="Z39" s="23">
        <f t="shared" si="42"/>
        <v>3.0996638642038633E-3</v>
      </c>
      <c r="AA39" s="23">
        <f t="shared" si="43"/>
        <v>0</v>
      </c>
      <c r="AB39" s="319">
        <v>582641695.84000003</v>
      </c>
      <c r="AC39" s="308">
        <v>10</v>
      </c>
      <c r="AD39" s="23">
        <f t="shared" si="44"/>
        <v>-5.2351315833819662E-2</v>
      </c>
      <c r="AE39" s="23">
        <f t="shared" si="45"/>
        <v>0</v>
      </c>
      <c r="AF39" s="319">
        <v>580975656.15999997</v>
      </c>
      <c r="AG39" s="308">
        <v>10</v>
      </c>
      <c r="AH39" s="23">
        <f t="shared" si="46"/>
        <v>-2.8594583805028263E-3</v>
      </c>
      <c r="AI39" s="23">
        <f t="shared" si="47"/>
        <v>0</v>
      </c>
      <c r="AJ39" s="24">
        <f t="shared" si="16"/>
        <v>-7.5707672753101644E-3</v>
      </c>
      <c r="AK39" s="24">
        <f t="shared" si="17"/>
        <v>0</v>
      </c>
      <c r="AL39" s="25">
        <f t="shared" si="18"/>
        <v>-7.435314436249145E-2</v>
      </c>
      <c r="AM39" s="25">
        <f t="shared" si="19"/>
        <v>0</v>
      </c>
      <c r="AN39" s="378">
        <f t="shared" si="20"/>
        <v>2.4260992931550561E-2</v>
      </c>
      <c r="AO39" s="379">
        <f t="shared" si="21"/>
        <v>1.8508985215066279E-2</v>
      </c>
      <c r="AP39" s="30"/>
      <c r="AQ39" s="38"/>
      <c r="AR39" s="35"/>
      <c r="AS39" s="29"/>
      <c r="AT39" s="29"/>
    </row>
    <row r="40" spans="1:47" s="86" customFormat="1">
      <c r="A40" s="200" t="s">
        <v>86</v>
      </c>
      <c r="B40" s="319">
        <v>3139377470.432292</v>
      </c>
      <c r="C40" s="308">
        <v>100</v>
      </c>
      <c r="D40" s="319">
        <v>3139377470.432292</v>
      </c>
      <c r="E40" s="308">
        <v>100</v>
      </c>
      <c r="F40" s="23">
        <f t="shared" si="32"/>
        <v>0</v>
      </c>
      <c r="G40" s="23">
        <f t="shared" si="33"/>
        <v>0</v>
      </c>
      <c r="H40" s="319">
        <v>3437109711.7933283</v>
      </c>
      <c r="I40" s="308">
        <v>100</v>
      </c>
      <c r="J40" s="23">
        <f t="shared" si="34"/>
        <v>9.4837987519875586E-2</v>
      </c>
      <c r="K40" s="23">
        <f t="shared" si="35"/>
        <v>0</v>
      </c>
      <c r="L40" s="319">
        <v>3445072577.5697169</v>
      </c>
      <c r="M40" s="308">
        <v>100</v>
      </c>
      <c r="N40" s="23">
        <f t="shared" si="36"/>
        <v>2.3167330821785093E-3</v>
      </c>
      <c r="O40" s="23">
        <f t="shared" si="37"/>
        <v>0</v>
      </c>
      <c r="P40" s="319">
        <v>2945831507.4202838</v>
      </c>
      <c r="Q40" s="308">
        <v>100</v>
      </c>
      <c r="R40" s="23">
        <f t="shared" si="38"/>
        <v>-0.14491452905808344</v>
      </c>
      <c r="S40" s="23">
        <f t="shared" si="39"/>
        <v>0</v>
      </c>
      <c r="T40" s="319">
        <v>2943431124.5049682</v>
      </c>
      <c r="U40" s="308">
        <v>100</v>
      </c>
      <c r="V40" s="23">
        <f t="shared" si="40"/>
        <v>-8.1484053289174218E-4</v>
      </c>
      <c r="W40" s="23">
        <f t="shared" si="41"/>
        <v>0</v>
      </c>
      <c r="X40" s="319">
        <v>3671206553.7942152</v>
      </c>
      <c r="Y40" s="308">
        <v>100</v>
      </c>
      <c r="Z40" s="23">
        <f t="shared" si="42"/>
        <v>0.24725410532976058</v>
      </c>
      <c r="AA40" s="23">
        <f t="shared" si="43"/>
        <v>0</v>
      </c>
      <c r="AB40" s="319">
        <v>3664356200.4320264</v>
      </c>
      <c r="AC40" s="308">
        <v>100</v>
      </c>
      <c r="AD40" s="23">
        <f t="shared" si="44"/>
        <v>-1.8659678396762865E-3</v>
      </c>
      <c r="AE40" s="23">
        <f t="shared" si="45"/>
        <v>0</v>
      </c>
      <c r="AF40" s="319">
        <v>3676866131.9580865</v>
      </c>
      <c r="AG40" s="308">
        <v>100</v>
      </c>
      <c r="AH40" s="23">
        <f t="shared" si="46"/>
        <v>3.4139507301678769E-3</v>
      </c>
      <c r="AI40" s="23">
        <f t="shared" si="47"/>
        <v>0</v>
      </c>
      <c r="AJ40" s="24">
        <f t="shared" si="16"/>
        <v>2.5028429903916384E-2</v>
      </c>
      <c r="AK40" s="24">
        <f t="shared" si="17"/>
        <v>0</v>
      </c>
      <c r="AL40" s="25">
        <f t="shared" si="18"/>
        <v>0.17120867642965609</v>
      </c>
      <c r="AM40" s="25">
        <f t="shared" si="19"/>
        <v>0</v>
      </c>
      <c r="AN40" s="378">
        <f t="shared" si="20"/>
        <v>0.11093038157624506</v>
      </c>
      <c r="AO40" s="379">
        <f t="shared" si="21"/>
        <v>6.5971925645555733E-4</v>
      </c>
      <c r="AP40" s="30"/>
      <c r="AQ40" s="38"/>
      <c r="AR40" s="35"/>
      <c r="AS40" s="29"/>
      <c r="AT40" s="29"/>
    </row>
    <row r="41" spans="1:47" s="365" customFormat="1">
      <c r="A41" s="200" t="s">
        <v>264</v>
      </c>
      <c r="B41" s="319">
        <v>20964679811.240002</v>
      </c>
      <c r="C41" s="308">
        <v>100</v>
      </c>
      <c r="D41" s="319">
        <v>21087722544.799999</v>
      </c>
      <c r="E41" s="308">
        <v>100</v>
      </c>
      <c r="F41" s="23">
        <f t="shared" si="32"/>
        <v>5.86904902282502E-3</v>
      </c>
      <c r="G41" s="23">
        <f t="shared" si="33"/>
        <v>0</v>
      </c>
      <c r="H41" s="319">
        <v>20698333560.200001</v>
      </c>
      <c r="I41" s="308">
        <v>100</v>
      </c>
      <c r="J41" s="23">
        <f t="shared" si="34"/>
        <v>-1.8465198589973742E-2</v>
      </c>
      <c r="K41" s="23">
        <f t="shared" si="35"/>
        <v>0</v>
      </c>
      <c r="L41" s="319">
        <v>20606333065.869999</v>
      </c>
      <c r="M41" s="308">
        <v>100</v>
      </c>
      <c r="N41" s="23">
        <f t="shared" si="36"/>
        <v>-4.4448261529085563E-3</v>
      </c>
      <c r="O41" s="23">
        <f t="shared" si="37"/>
        <v>0</v>
      </c>
      <c r="P41" s="319">
        <v>20603590791.360001</v>
      </c>
      <c r="Q41" s="308">
        <v>100</v>
      </c>
      <c r="R41" s="23">
        <f t="shared" si="38"/>
        <v>-1.3307920925243681E-4</v>
      </c>
      <c r="S41" s="23">
        <f t="shared" si="39"/>
        <v>0</v>
      </c>
      <c r="T41" s="319">
        <v>20576158727.080002</v>
      </c>
      <c r="U41" s="308">
        <v>100</v>
      </c>
      <c r="V41" s="23">
        <f t="shared" si="40"/>
        <v>-1.331421525392664E-3</v>
      </c>
      <c r="W41" s="23">
        <f t="shared" si="41"/>
        <v>0</v>
      </c>
      <c r="X41" s="319">
        <v>20633982628.639999</v>
      </c>
      <c r="Y41" s="308">
        <v>100</v>
      </c>
      <c r="Z41" s="23">
        <f t="shared" si="42"/>
        <v>2.8102379227808111E-3</v>
      </c>
      <c r="AA41" s="23">
        <f t="shared" si="43"/>
        <v>0</v>
      </c>
      <c r="AB41" s="319">
        <v>20727741540.740002</v>
      </c>
      <c r="AC41" s="308">
        <v>100</v>
      </c>
      <c r="AD41" s="23">
        <f t="shared" si="44"/>
        <v>4.5439076782910915E-3</v>
      </c>
      <c r="AE41" s="23">
        <f t="shared" si="45"/>
        <v>0</v>
      </c>
      <c r="AF41" s="319">
        <v>20819675331.599998</v>
      </c>
      <c r="AG41" s="308">
        <v>100</v>
      </c>
      <c r="AH41" s="23">
        <f t="shared" si="46"/>
        <v>4.4353018720974784E-3</v>
      </c>
      <c r="AI41" s="23">
        <f t="shared" si="47"/>
        <v>0</v>
      </c>
      <c r="AJ41" s="24">
        <f t="shared" si="16"/>
        <v>-8.3950362269162452E-4</v>
      </c>
      <c r="AK41" s="24">
        <f t="shared" si="17"/>
        <v>0</v>
      </c>
      <c r="AL41" s="25">
        <f t="shared" si="18"/>
        <v>-1.2711055574187563E-2</v>
      </c>
      <c r="AM41" s="25">
        <f t="shared" si="19"/>
        <v>0</v>
      </c>
      <c r="AN41" s="378">
        <f t="shared" si="20"/>
        <v>7.9240544680763587E-3</v>
      </c>
      <c r="AO41" s="379">
        <f t="shared" si="21"/>
        <v>1.6065139662026261E-3</v>
      </c>
      <c r="AP41" s="30"/>
      <c r="AQ41" s="38"/>
      <c r="AR41" s="35"/>
      <c r="AS41" s="29"/>
      <c r="AT41" s="29"/>
    </row>
    <row r="42" spans="1:47" s="86" customFormat="1">
      <c r="A42" s="200" t="s">
        <v>121</v>
      </c>
      <c r="B42" s="319">
        <v>3317170674.1900001</v>
      </c>
      <c r="C42" s="308">
        <v>1</v>
      </c>
      <c r="D42" s="319">
        <v>3307850359.5</v>
      </c>
      <c r="E42" s="308">
        <v>1</v>
      </c>
      <c r="F42" s="23">
        <f t="shared" si="32"/>
        <v>-2.8097181620827904E-3</v>
      </c>
      <c r="G42" s="23">
        <f t="shared" si="33"/>
        <v>0</v>
      </c>
      <c r="H42" s="319">
        <v>3308995362.3699999</v>
      </c>
      <c r="I42" s="308">
        <v>1</v>
      </c>
      <c r="J42" s="23">
        <f t="shared" si="34"/>
        <v>3.4614711838807581E-4</v>
      </c>
      <c r="K42" s="23">
        <f t="shared" si="35"/>
        <v>0</v>
      </c>
      <c r="L42" s="319">
        <v>3266987392.04</v>
      </c>
      <c r="M42" s="308">
        <v>1</v>
      </c>
      <c r="N42" s="23">
        <f t="shared" si="36"/>
        <v>-1.269508286645424E-2</v>
      </c>
      <c r="O42" s="23">
        <f t="shared" si="37"/>
        <v>0</v>
      </c>
      <c r="P42" s="319">
        <v>3238069703.6799998</v>
      </c>
      <c r="Q42" s="308">
        <v>1</v>
      </c>
      <c r="R42" s="23">
        <f t="shared" si="38"/>
        <v>-8.8514845298937953E-3</v>
      </c>
      <c r="S42" s="23">
        <f t="shared" si="39"/>
        <v>0</v>
      </c>
      <c r="T42" s="319">
        <v>3190831257.6599998</v>
      </c>
      <c r="U42" s="308">
        <v>1</v>
      </c>
      <c r="V42" s="23">
        <f t="shared" si="40"/>
        <v>-1.4588458662985066E-2</v>
      </c>
      <c r="W42" s="23">
        <f t="shared" si="41"/>
        <v>0</v>
      </c>
      <c r="X42" s="319">
        <v>3162708156.3899999</v>
      </c>
      <c r="Y42" s="308">
        <v>1</v>
      </c>
      <c r="Z42" s="23">
        <f t="shared" si="42"/>
        <v>-8.8137225064744071E-3</v>
      </c>
      <c r="AA42" s="23">
        <f t="shared" si="43"/>
        <v>0</v>
      </c>
      <c r="AB42" s="319">
        <v>3120431897.5</v>
      </c>
      <c r="AC42" s="308">
        <v>1</v>
      </c>
      <c r="AD42" s="23">
        <f t="shared" si="44"/>
        <v>-1.3367107175091085E-2</v>
      </c>
      <c r="AE42" s="23">
        <f t="shared" si="45"/>
        <v>0</v>
      </c>
      <c r="AF42" s="319">
        <v>3120959746.6900001</v>
      </c>
      <c r="AG42" s="308">
        <v>1</v>
      </c>
      <c r="AH42" s="23">
        <f t="shared" si="46"/>
        <v>1.6915901623200134E-4</v>
      </c>
      <c r="AI42" s="23">
        <f t="shared" si="47"/>
        <v>0</v>
      </c>
      <c r="AJ42" s="24">
        <f t="shared" si="16"/>
        <v>-7.5762834710451626E-3</v>
      </c>
      <c r="AK42" s="24">
        <f t="shared" si="17"/>
        <v>0</v>
      </c>
      <c r="AL42" s="25">
        <f t="shared" si="18"/>
        <v>-5.649911347206453E-2</v>
      </c>
      <c r="AM42" s="25">
        <f t="shared" si="19"/>
        <v>0</v>
      </c>
      <c r="AN42" s="378">
        <f t="shared" si="20"/>
        <v>6.065601737477614E-3</v>
      </c>
      <c r="AO42" s="379">
        <f t="shared" si="21"/>
        <v>4.7259860641771312E-3</v>
      </c>
      <c r="AP42" s="30"/>
      <c r="AQ42" s="38"/>
      <c r="AR42" s="35"/>
      <c r="AS42" s="29"/>
      <c r="AT42" s="29"/>
    </row>
    <row r="43" spans="1:47" s="86" customFormat="1">
      <c r="A43" s="200" t="s">
        <v>55</v>
      </c>
      <c r="B43" s="314">
        <v>3218146936.1100001</v>
      </c>
      <c r="C43" s="308">
        <v>10</v>
      </c>
      <c r="D43" s="314">
        <v>3291678950.0100002</v>
      </c>
      <c r="E43" s="308">
        <v>10</v>
      </c>
      <c r="F43" s="23">
        <f t="shared" si="32"/>
        <v>2.2849178536541094E-2</v>
      </c>
      <c r="G43" s="23">
        <f t="shared" si="33"/>
        <v>0</v>
      </c>
      <c r="H43" s="314">
        <v>3272362488.4099998</v>
      </c>
      <c r="I43" s="308">
        <v>10</v>
      </c>
      <c r="J43" s="23">
        <f t="shared" si="34"/>
        <v>-5.8682702333232402E-3</v>
      </c>
      <c r="K43" s="23">
        <f t="shared" si="35"/>
        <v>0</v>
      </c>
      <c r="L43" s="314">
        <v>3234712239.6900001</v>
      </c>
      <c r="M43" s="308">
        <v>10</v>
      </c>
      <c r="N43" s="23">
        <f t="shared" si="36"/>
        <v>-1.1505525091840781E-2</v>
      </c>
      <c r="O43" s="23">
        <f t="shared" si="37"/>
        <v>0</v>
      </c>
      <c r="P43" s="314">
        <v>3273308949.3600001</v>
      </c>
      <c r="Q43" s="308">
        <v>10</v>
      </c>
      <c r="R43" s="23">
        <f t="shared" si="38"/>
        <v>1.1932038094893724E-2</v>
      </c>
      <c r="S43" s="23">
        <f t="shared" si="39"/>
        <v>0</v>
      </c>
      <c r="T43" s="314">
        <v>3305960850.2199998</v>
      </c>
      <c r="U43" s="308">
        <v>10</v>
      </c>
      <c r="V43" s="23">
        <f t="shared" si="40"/>
        <v>9.9751967703457321E-3</v>
      </c>
      <c r="W43" s="23">
        <f t="shared" si="41"/>
        <v>0</v>
      </c>
      <c r="X43" s="314">
        <v>3256369220.0500002</v>
      </c>
      <c r="Y43" s="308">
        <v>10</v>
      </c>
      <c r="Z43" s="23">
        <f t="shared" si="42"/>
        <v>-1.5000670732897353E-2</v>
      </c>
      <c r="AA43" s="23">
        <f t="shared" si="43"/>
        <v>0</v>
      </c>
      <c r="AB43" s="314">
        <v>3256369220.0500002</v>
      </c>
      <c r="AC43" s="308">
        <v>10</v>
      </c>
      <c r="AD43" s="23">
        <f t="shared" si="44"/>
        <v>0</v>
      </c>
      <c r="AE43" s="23">
        <f t="shared" si="45"/>
        <v>0</v>
      </c>
      <c r="AF43" s="314">
        <v>3358708338.1300001</v>
      </c>
      <c r="AG43" s="308">
        <v>10</v>
      </c>
      <c r="AH43" s="23">
        <f t="shared" si="46"/>
        <v>3.1427369307473231E-2</v>
      </c>
      <c r="AI43" s="23">
        <f t="shared" si="47"/>
        <v>0</v>
      </c>
      <c r="AJ43" s="24">
        <f t="shared" si="16"/>
        <v>5.4761645813990508E-3</v>
      </c>
      <c r="AK43" s="24">
        <f t="shared" si="17"/>
        <v>0</v>
      </c>
      <c r="AL43" s="25">
        <f t="shared" si="18"/>
        <v>2.0363282427587979E-2</v>
      </c>
      <c r="AM43" s="25">
        <f t="shared" si="19"/>
        <v>0</v>
      </c>
      <c r="AN43" s="378">
        <f t="shared" si="20"/>
        <v>1.6490557395563786E-2</v>
      </c>
      <c r="AO43" s="379">
        <f t="shared" si="21"/>
        <v>0</v>
      </c>
      <c r="AP43" s="30"/>
      <c r="AQ43" s="38"/>
      <c r="AR43" s="35"/>
      <c r="AS43" s="29"/>
      <c r="AT43" s="29"/>
    </row>
    <row r="44" spans="1:47" s="86" customFormat="1">
      <c r="A44" s="200" t="s">
        <v>187</v>
      </c>
      <c r="B44" s="319">
        <v>4486353598.1300001</v>
      </c>
      <c r="C44" s="308">
        <v>100</v>
      </c>
      <c r="D44" s="319">
        <v>4547333981.5799999</v>
      </c>
      <c r="E44" s="308">
        <v>100</v>
      </c>
      <c r="F44" s="23">
        <f t="shared" si="32"/>
        <v>1.3592415781809447E-2</v>
      </c>
      <c r="G44" s="23">
        <f t="shared" si="33"/>
        <v>0</v>
      </c>
      <c r="H44" s="319">
        <v>4673306983.1400003</v>
      </c>
      <c r="I44" s="308">
        <v>100</v>
      </c>
      <c r="J44" s="23">
        <f t="shared" si="34"/>
        <v>2.7702605981940721E-2</v>
      </c>
      <c r="K44" s="23">
        <f t="shared" si="35"/>
        <v>0</v>
      </c>
      <c r="L44" s="319">
        <v>4751906089.3000002</v>
      </c>
      <c r="M44" s="308">
        <v>100</v>
      </c>
      <c r="N44" s="23">
        <f t="shared" si="36"/>
        <v>1.6818733809604997E-2</v>
      </c>
      <c r="O44" s="23">
        <f t="shared" si="37"/>
        <v>0</v>
      </c>
      <c r="P44" s="319">
        <v>4871521801.3699999</v>
      </c>
      <c r="Q44" s="308">
        <v>100</v>
      </c>
      <c r="R44" s="23">
        <f t="shared" si="38"/>
        <v>2.5172154041373365E-2</v>
      </c>
      <c r="S44" s="23">
        <f t="shared" si="39"/>
        <v>0</v>
      </c>
      <c r="T44" s="319">
        <v>4962422555.4399996</v>
      </c>
      <c r="U44" s="308">
        <v>100</v>
      </c>
      <c r="V44" s="23">
        <f t="shared" si="40"/>
        <v>1.8659621731434317E-2</v>
      </c>
      <c r="W44" s="23">
        <f t="shared" si="41"/>
        <v>0</v>
      </c>
      <c r="X44" s="319">
        <v>5028188588.3800001</v>
      </c>
      <c r="Y44" s="308">
        <v>100</v>
      </c>
      <c r="Z44" s="23">
        <f t="shared" si="42"/>
        <v>1.3252807918967978E-2</v>
      </c>
      <c r="AA44" s="23">
        <f t="shared" si="43"/>
        <v>0</v>
      </c>
      <c r="AB44" s="319">
        <v>5124066632.3999996</v>
      </c>
      <c r="AC44" s="308">
        <v>100</v>
      </c>
      <c r="AD44" s="23">
        <f t="shared" si="44"/>
        <v>1.9068108193390144E-2</v>
      </c>
      <c r="AE44" s="23">
        <f t="shared" si="45"/>
        <v>0</v>
      </c>
      <c r="AF44" s="319">
        <v>5218311559.0299997</v>
      </c>
      <c r="AG44" s="308">
        <v>100</v>
      </c>
      <c r="AH44" s="23">
        <f t="shared" si="46"/>
        <v>1.8392603646892443E-2</v>
      </c>
      <c r="AI44" s="23">
        <f t="shared" si="47"/>
        <v>0</v>
      </c>
      <c r="AJ44" s="24">
        <f t="shared" si="16"/>
        <v>1.9082381388176677E-2</v>
      </c>
      <c r="AK44" s="24">
        <f t="shared" si="17"/>
        <v>0</v>
      </c>
      <c r="AL44" s="25">
        <f t="shared" si="18"/>
        <v>0.14755405698546567</v>
      </c>
      <c r="AM44" s="25">
        <f t="shared" si="19"/>
        <v>0</v>
      </c>
      <c r="AN44" s="378">
        <f t="shared" si="20"/>
        <v>5.0891491760180537E-3</v>
      </c>
      <c r="AO44" s="379">
        <f t="shared" si="21"/>
        <v>6.7415943039724696E-3</v>
      </c>
      <c r="AP44" s="30"/>
      <c r="AQ44" s="38"/>
      <c r="AR44" s="35"/>
      <c r="AS44" s="29"/>
      <c r="AT44" s="29"/>
    </row>
    <row r="45" spans="1:47" s="86" customFormat="1">
      <c r="A45" s="200" t="s">
        <v>161</v>
      </c>
      <c r="B45" s="319">
        <v>143812692.97</v>
      </c>
      <c r="C45" s="308">
        <v>1</v>
      </c>
      <c r="D45" s="319">
        <v>143692693.72</v>
      </c>
      <c r="E45" s="308">
        <v>1</v>
      </c>
      <c r="F45" s="23">
        <f t="shared" si="32"/>
        <v>-8.3441348271694215E-4</v>
      </c>
      <c r="G45" s="23">
        <f t="shared" si="33"/>
        <v>0</v>
      </c>
      <c r="H45" s="319">
        <v>143692693.59999999</v>
      </c>
      <c r="I45" s="308">
        <v>1</v>
      </c>
      <c r="J45" s="23">
        <f t="shared" si="34"/>
        <v>-8.3511556267574707E-10</v>
      </c>
      <c r="K45" s="23">
        <f t="shared" si="35"/>
        <v>0</v>
      </c>
      <c r="L45" s="319">
        <v>143622694.03</v>
      </c>
      <c r="M45" s="308">
        <v>1</v>
      </c>
      <c r="N45" s="23">
        <f t="shared" si="36"/>
        <v>-4.87147733446016E-4</v>
      </c>
      <c r="O45" s="23">
        <f t="shared" si="37"/>
        <v>0</v>
      </c>
      <c r="P45" s="319">
        <v>143622693.86000001</v>
      </c>
      <c r="Q45" s="308">
        <v>1</v>
      </c>
      <c r="R45" s="23">
        <f t="shared" si="38"/>
        <v>-1.1836568589325337E-9</v>
      </c>
      <c r="S45" s="23">
        <f t="shared" si="39"/>
        <v>0</v>
      </c>
      <c r="T45" s="319">
        <v>162642550.00999999</v>
      </c>
      <c r="U45" s="308">
        <v>1</v>
      </c>
      <c r="V45" s="23">
        <f t="shared" si="40"/>
        <v>0.13242932324149329</v>
      </c>
      <c r="W45" s="23">
        <f t="shared" si="41"/>
        <v>0</v>
      </c>
      <c r="X45" s="319">
        <v>161220534.56</v>
      </c>
      <c r="Y45" s="308">
        <v>1</v>
      </c>
      <c r="Z45" s="23">
        <f t="shared" si="42"/>
        <v>-8.7431945079104838E-3</v>
      </c>
      <c r="AA45" s="23">
        <f t="shared" si="43"/>
        <v>0</v>
      </c>
      <c r="AB45" s="319">
        <v>160860537.30000001</v>
      </c>
      <c r="AC45" s="308">
        <v>1</v>
      </c>
      <c r="AD45" s="23">
        <f t="shared" si="44"/>
        <v>-2.232949177240282E-3</v>
      </c>
      <c r="AE45" s="23">
        <f t="shared" si="45"/>
        <v>0</v>
      </c>
      <c r="AF45" s="319">
        <v>160591347.16999999</v>
      </c>
      <c r="AG45" s="308">
        <v>1</v>
      </c>
      <c r="AH45" s="23">
        <f t="shared" si="46"/>
        <v>-1.6734379638307041E-3</v>
      </c>
      <c r="AI45" s="23">
        <f t="shared" si="47"/>
        <v>0</v>
      </c>
      <c r="AJ45" s="24">
        <f t="shared" si="16"/>
        <v>1.4807272294697055E-2</v>
      </c>
      <c r="AK45" s="24">
        <f t="shared" si="17"/>
        <v>0</v>
      </c>
      <c r="AL45" s="25">
        <f t="shared" si="18"/>
        <v>0.11760273269654721</v>
      </c>
      <c r="AM45" s="25">
        <f t="shared" si="19"/>
        <v>0</v>
      </c>
      <c r="AN45" s="378">
        <f t="shared" si="20"/>
        <v>4.7612493284476018E-2</v>
      </c>
      <c r="AO45" s="379">
        <f t="shared" si="21"/>
        <v>7.8946675263576269E-4</v>
      </c>
      <c r="AP45" s="30"/>
      <c r="AQ45" s="38"/>
      <c r="AR45" s="35"/>
      <c r="AS45" s="29"/>
      <c r="AT45" s="29"/>
    </row>
    <row r="46" spans="1:47" s="86" customFormat="1">
      <c r="A46" s="200" t="s">
        <v>95</v>
      </c>
      <c r="B46" s="314">
        <v>739073419.46000004</v>
      </c>
      <c r="C46" s="308">
        <v>10</v>
      </c>
      <c r="D46" s="314">
        <v>729188172.07000005</v>
      </c>
      <c r="E46" s="308">
        <v>10</v>
      </c>
      <c r="F46" s="23">
        <f t="shared" si="32"/>
        <v>-1.3375189973984706E-2</v>
      </c>
      <c r="G46" s="23">
        <f t="shared" si="33"/>
        <v>0</v>
      </c>
      <c r="H46" s="314">
        <v>740865324.75999999</v>
      </c>
      <c r="I46" s="308">
        <v>10</v>
      </c>
      <c r="J46" s="23">
        <f t="shared" si="34"/>
        <v>1.6013908531800711E-2</v>
      </c>
      <c r="K46" s="23">
        <f t="shared" si="35"/>
        <v>0</v>
      </c>
      <c r="L46" s="314">
        <v>790149065.83000004</v>
      </c>
      <c r="M46" s="308">
        <v>10</v>
      </c>
      <c r="N46" s="23">
        <f t="shared" si="36"/>
        <v>6.6521862237195806E-2</v>
      </c>
      <c r="O46" s="23">
        <f t="shared" si="37"/>
        <v>0</v>
      </c>
      <c r="P46" s="314">
        <v>781578474.37</v>
      </c>
      <c r="Q46" s="308">
        <v>10</v>
      </c>
      <c r="R46" s="23">
        <f t="shared" si="38"/>
        <v>-1.0846803256037759E-2</v>
      </c>
      <c r="S46" s="23">
        <f t="shared" si="39"/>
        <v>0</v>
      </c>
      <c r="T46" s="314">
        <v>787700205.16999996</v>
      </c>
      <c r="U46" s="308">
        <v>10</v>
      </c>
      <c r="V46" s="23">
        <f t="shared" si="40"/>
        <v>7.8325222619960739E-3</v>
      </c>
      <c r="W46" s="23">
        <f t="shared" si="41"/>
        <v>0</v>
      </c>
      <c r="X46" s="314">
        <v>677429034.36000001</v>
      </c>
      <c r="Y46" s="308">
        <v>10</v>
      </c>
      <c r="Z46" s="23">
        <f t="shared" si="42"/>
        <v>-0.1399912937514107</v>
      </c>
      <c r="AA46" s="23">
        <f t="shared" si="43"/>
        <v>0</v>
      </c>
      <c r="AB46" s="314">
        <v>444577124.85000002</v>
      </c>
      <c r="AC46" s="308">
        <v>10</v>
      </c>
      <c r="AD46" s="23">
        <f t="shared" si="44"/>
        <v>-0.34372885970260553</v>
      </c>
      <c r="AE46" s="23">
        <f t="shared" si="45"/>
        <v>0</v>
      </c>
      <c r="AF46" s="314">
        <v>379388552.99000001</v>
      </c>
      <c r="AG46" s="308">
        <v>10</v>
      </c>
      <c r="AH46" s="23">
        <f t="shared" si="46"/>
        <v>-0.14663051294417045</v>
      </c>
      <c r="AI46" s="23">
        <f t="shared" si="47"/>
        <v>0</v>
      </c>
      <c r="AJ46" s="24">
        <f t="shared" si="16"/>
        <v>-7.0525545824652064E-2</v>
      </c>
      <c r="AK46" s="24">
        <f t="shared" si="17"/>
        <v>0</v>
      </c>
      <c r="AL46" s="25">
        <f t="shared" si="18"/>
        <v>-0.47971104370357265</v>
      </c>
      <c r="AM46" s="25">
        <f t="shared" si="19"/>
        <v>0</v>
      </c>
      <c r="AN46" s="378">
        <f t="shared" si="20"/>
        <v>0.13336109863753179</v>
      </c>
      <c r="AO46" s="379">
        <f t="shared" si="21"/>
        <v>0.12152650379261588</v>
      </c>
      <c r="AP46" s="30"/>
      <c r="AQ46" s="38"/>
      <c r="AR46" s="35"/>
      <c r="AS46" s="29"/>
      <c r="AT46" s="29"/>
    </row>
    <row r="47" spans="1:47" s="93" customFormat="1">
      <c r="A47" s="200" t="s">
        <v>34</v>
      </c>
      <c r="B47" s="319">
        <v>363736924253.53998</v>
      </c>
      <c r="C47" s="308">
        <v>100</v>
      </c>
      <c r="D47" s="319">
        <v>367815111680.13</v>
      </c>
      <c r="E47" s="308">
        <v>100</v>
      </c>
      <c r="F47" s="23">
        <f t="shared" si="32"/>
        <v>1.1211914861157616E-2</v>
      </c>
      <c r="G47" s="23">
        <f t="shared" si="33"/>
        <v>0</v>
      </c>
      <c r="H47" s="319">
        <v>371110503640.84003</v>
      </c>
      <c r="I47" s="308">
        <v>100</v>
      </c>
      <c r="J47" s="23">
        <f t="shared" si="34"/>
        <v>8.959370770975434E-3</v>
      </c>
      <c r="K47" s="23">
        <f t="shared" si="35"/>
        <v>0</v>
      </c>
      <c r="L47" s="319">
        <v>370747418001.91998</v>
      </c>
      <c r="M47" s="308">
        <v>100</v>
      </c>
      <c r="N47" s="23">
        <f t="shared" si="36"/>
        <v>-9.7837607763168427E-4</v>
      </c>
      <c r="O47" s="23">
        <f t="shared" si="37"/>
        <v>0</v>
      </c>
      <c r="P47" s="319">
        <v>368203375485.37</v>
      </c>
      <c r="Q47" s="308">
        <v>100</v>
      </c>
      <c r="R47" s="23">
        <f t="shared" si="38"/>
        <v>-6.8619291545189212E-3</v>
      </c>
      <c r="S47" s="23">
        <f t="shared" si="39"/>
        <v>0</v>
      </c>
      <c r="T47" s="319">
        <v>368704616512.65002</v>
      </c>
      <c r="U47" s="308">
        <v>100</v>
      </c>
      <c r="V47" s="23">
        <f t="shared" si="40"/>
        <v>1.3613156767487194E-3</v>
      </c>
      <c r="W47" s="23">
        <f t="shared" si="41"/>
        <v>0</v>
      </c>
      <c r="X47" s="319">
        <v>356507879773.73999</v>
      </c>
      <c r="Y47" s="308">
        <v>100</v>
      </c>
      <c r="Z47" s="23">
        <f t="shared" si="42"/>
        <v>-3.30799675205357E-2</v>
      </c>
      <c r="AA47" s="23">
        <f t="shared" si="43"/>
        <v>0</v>
      </c>
      <c r="AB47" s="319">
        <v>359487869924.65002</v>
      </c>
      <c r="AC47" s="308">
        <v>100</v>
      </c>
      <c r="AD47" s="23">
        <f t="shared" si="44"/>
        <v>8.3588338995516844E-3</v>
      </c>
      <c r="AE47" s="23">
        <f t="shared" si="45"/>
        <v>0</v>
      </c>
      <c r="AF47" s="319">
        <v>368495914199.96002</v>
      </c>
      <c r="AG47" s="308">
        <v>100</v>
      </c>
      <c r="AH47" s="23">
        <f t="shared" si="46"/>
        <v>2.5057992296647218E-2</v>
      </c>
      <c r="AI47" s="23">
        <f t="shared" si="47"/>
        <v>0</v>
      </c>
      <c r="AJ47" s="24">
        <f t="shared" si="16"/>
        <v>1.7536443440492957E-3</v>
      </c>
      <c r="AK47" s="24">
        <f t="shared" si="17"/>
        <v>0</v>
      </c>
      <c r="AL47" s="25">
        <f t="shared" si="18"/>
        <v>1.8509367837558459E-3</v>
      </c>
      <c r="AM47" s="25">
        <f t="shared" si="19"/>
        <v>0</v>
      </c>
      <c r="AN47" s="378">
        <f t="shared" si="20"/>
        <v>1.7001382366837244E-2</v>
      </c>
      <c r="AO47" s="379">
        <f t="shared" si="21"/>
        <v>2.9552940665924943E-3</v>
      </c>
      <c r="AP47" s="30"/>
      <c r="AQ47" s="38"/>
      <c r="AR47" s="35"/>
      <c r="AS47" s="29"/>
      <c r="AT47" s="29"/>
    </row>
    <row r="48" spans="1:47" s="93" customFormat="1">
      <c r="A48" s="200" t="s">
        <v>150</v>
      </c>
      <c r="B48" s="319">
        <v>2066333206.0599999</v>
      </c>
      <c r="C48" s="308">
        <v>1</v>
      </c>
      <c r="D48" s="319">
        <v>2204045949.0900002</v>
      </c>
      <c r="E48" s="308">
        <v>1</v>
      </c>
      <c r="F48" s="23">
        <f t="shared" si="32"/>
        <v>6.6645951691685426E-2</v>
      </c>
      <c r="G48" s="23">
        <f t="shared" si="33"/>
        <v>0</v>
      </c>
      <c r="H48" s="319">
        <v>2217937381.2800002</v>
      </c>
      <c r="I48" s="308">
        <v>1</v>
      </c>
      <c r="J48" s="23">
        <f t="shared" si="34"/>
        <v>6.302696273521661E-3</v>
      </c>
      <c r="K48" s="23">
        <f t="shared" si="35"/>
        <v>0</v>
      </c>
      <c r="L48" s="319">
        <v>2220382480.3699999</v>
      </c>
      <c r="M48" s="308">
        <v>1</v>
      </c>
      <c r="N48" s="23">
        <f t="shared" si="36"/>
        <v>1.1024202534467306E-3</v>
      </c>
      <c r="O48" s="23">
        <f t="shared" si="37"/>
        <v>0</v>
      </c>
      <c r="P48" s="319">
        <v>2267497561.25</v>
      </c>
      <c r="Q48" s="308">
        <v>1</v>
      </c>
      <c r="R48" s="23">
        <f t="shared" si="38"/>
        <v>2.1219353555766193E-2</v>
      </c>
      <c r="S48" s="23">
        <f t="shared" si="39"/>
        <v>0</v>
      </c>
      <c r="T48" s="319">
        <v>2354870884.7600002</v>
      </c>
      <c r="U48" s="308">
        <v>1</v>
      </c>
      <c r="V48" s="23">
        <f t="shared" si="40"/>
        <v>3.8532929429848678E-2</v>
      </c>
      <c r="W48" s="23">
        <f t="shared" si="41"/>
        <v>0</v>
      </c>
      <c r="X48" s="319">
        <v>2384849989.5300002</v>
      </c>
      <c r="Y48" s="308">
        <v>1</v>
      </c>
      <c r="Z48" s="23">
        <f t="shared" si="42"/>
        <v>1.2730678766303292E-2</v>
      </c>
      <c r="AA48" s="23">
        <f t="shared" si="43"/>
        <v>0</v>
      </c>
      <c r="AB48" s="319">
        <v>2465904567.0599999</v>
      </c>
      <c r="AC48" s="308">
        <v>1</v>
      </c>
      <c r="AD48" s="23">
        <f t="shared" si="44"/>
        <v>3.3987285525650085E-2</v>
      </c>
      <c r="AE48" s="23">
        <f t="shared" si="45"/>
        <v>0</v>
      </c>
      <c r="AF48" s="319">
        <v>2501180309.77</v>
      </c>
      <c r="AG48" s="308">
        <v>1</v>
      </c>
      <c r="AH48" s="23">
        <f t="shared" si="46"/>
        <v>1.4305396559631625E-2</v>
      </c>
      <c r="AI48" s="23">
        <f t="shared" si="47"/>
        <v>0</v>
      </c>
      <c r="AJ48" s="24">
        <f t="shared" si="16"/>
        <v>2.4353339006981709E-2</v>
      </c>
      <c r="AK48" s="24">
        <f t="shared" si="17"/>
        <v>0</v>
      </c>
      <c r="AL48" s="25">
        <f t="shared" si="18"/>
        <v>0.1348131425312071</v>
      </c>
      <c r="AM48" s="25">
        <f t="shared" si="19"/>
        <v>0</v>
      </c>
      <c r="AN48" s="378">
        <f t="shared" si="20"/>
        <v>2.1363650594481479E-2</v>
      </c>
      <c r="AO48" s="379">
        <f t="shared" si="21"/>
        <v>1.2016320034655284E-2</v>
      </c>
      <c r="AP48" s="30"/>
      <c r="AQ48" s="38"/>
      <c r="AR48" s="35"/>
      <c r="AS48" s="29"/>
      <c r="AT48" s="29"/>
    </row>
    <row r="49" spans="1:48" s="103" customFormat="1">
      <c r="A49" s="200" t="s">
        <v>76</v>
      </c>
      <c r="B49" s="319">
        <v>45367611149.040001</v>
      </c>
      <c r="C49" s="308">
        <v>1</v>
      </c>
      <c r="D49" s="319">
        <v>43700670576.059998</v>
      </c>
      <c r="E49" s="308">
        <v>1</v>
      </c>
      <c r="F49" s="23">
        <f t="shared" si="32"/>
        <v>-3.6742965537767278E-2</v>
      </c>
      <c r="G49" s="23">
        <f t="shared" si="33"/>
        <v>0</v>
      </c>
      <c r="H49" s="319">
        <v>41624918409.989998</v>
      </c>
      <c r="I49" s="308">
        <v>1</v>
      </c>
      <c r="J49" s="23">
        <f t="shared" si="34"/>
        <v>-4.7499320690221482E-2</v>
      </c>
      <c r="K49" s="23">
        <f t="shared" si="35"/>
        <v>0</v>
      </c>
      <c r="L49" s="319">
        <v>41299684175.300003</v>
      </c>
      <c r="M49" s="308">
        <v>1</v>
      </c>
      <c r="N49" s="23">
        <f t="shared" si="36"/>
        <v>-7.8134503829306833E-3</v>
      </c>
      <c r="O49" s="23">
        <f t="shared" si="37"/>
        <v>0</v>
      </c>
      <c r="P49" s="319">
        <v>41366140057.080002</v>
      </c>
      <c r="Q49" s="308">
        <v>1</v>
      </c>
      <c r="R49" s="23">
        <f t="shared" si="38"/>
        <v>1.6091135587846426E-3</v>
      </c>
      <c r="S49" s="23">
        <f t="shared" si="39"/>
        <v>0</v>
      </c>
      <c r="T49" s="319">
        <v>43139073604.129997</v>
      </c>
      <c r="U49" s="308">
        <v>1</v>
      </c>
      <c r="V49" s="23">
        <f t="shared" si="40"/>
        <v>4.2859535470400986E-2</v>
      </c>
      <c r="W49" s="23">
        <f t="shared" si="41"/>
        <v>0</v>
      </c>
      <c r="X49" s="319">
        <v>43803472232.389999</v>
      </c>
      <c r="Y49" s="308">
        <v>1</v>
      </c>
      <c r="Z49" s="23">
        <f t="shared" si="42"/>
        <v>1.5401318868293795E-2</v>
      </c>
      <c r="AA49" s="23">
        <f t="shared" si="43"/>
        <v>0</v>
      </c>
      <c r="AB49" s="319">
        <v>44142719365.25</v>
      </c>
      <c r="AC49" s="308">
        <v>1</v>
      </c>
      <c r="AD49" s="23">
        <f t="shared" si="44"/>
        <v>7.7447543669642701E-3</v>
      </c>
      <c r="AE49" s="23">
        <f t="shared" si="45"/>
        <v>0</v>
      </c>
      <c r="AF49" s="319">
        <v>44998669499.120003</v>
      </c>
      <c r="AG49" s="308">
        <v>1</v>
      </c>
      <c r="AH49" s="23">
        <f t="shared" si="46"/>
        <v>1.939051662829416E-2</v>
      </c>
      <c r="AI49" s="23">
        <f t="shared" si="47"/>
        <v>0</v>
      </c>
      <c r="AJ49" s="24">
        <f t="shared" si="16"/>
        <v>-6.3131221477270025E-4</v>
      </c>
      <c r="AK49" s="24">
        <f t="shared" si="17"/>
        <v>0</v>
      </c>
      <c r="AL49" s="25">
        <f t="shared" si="18"/>
        <v>2.9702036741080858E-2</v>
      </c>
      <c r="AM49" s="25">
        <f t="shared" si="19"/>
        <v>0</v>
      </c>
      <c r="AN49" s="378">
        <f t="shared" si="20"/>
        <v>2.9705207705796682E-2</v>
      </c>
      <c r="AO49" s="379">
        <f t="shared" si="21"/>
        <v>2.7381841657522815E-3</v>
      </c>
      <c r="AP49" s="30"/>
      <c r="AQ49" s="38"/>
      <c r="AR49" s="35"/>
      <c r="AS49" s="29"/>
      <c r="AT49" s="29"/>
    </row>
    <row r="50" spans="1:48" s="103" customFormat="1">
      <c r="A50" s="200" t="s">
        <v>158</v>
      </c>
      <c r="B50" s="319">
        <v>1922732430.3199999</v>
      </c>
      <c r="C50" s="308">
        <v>1</v>
      </c>
      <c r="D50" s="319">
        <v>1812692246.1099999</v>
      </c>
      <c r="E50" s="308">
        <v>1</v>
      </c>
      <c r="F50" s="23">
        <f t="shared" si="32"/>
        <v>-5.7231147961490446E-2</v>
      </c>
      <c r="G50" s="23">
        <f t="shared" si="33"/>
        <v>0</v>
      </c>
      <c r="H50" s="319">
        <v>1825603714.75</v>
      </c>
      <c r="I50" s="308">
        <v>1</v>
      </c>
      <c r="J50" s="23">
        <f t="shared" si="34"/>
        <v>7.1228134106646347E-3</v>
      </c>
      <c r="K50" s="23">
        <f t="shared" si="35"/>
        <v>0</v>
      </c>
      <c r="L50" s="319">
        <v>1835379862.0699999</v>
      </c>
      <c r="M50" s="308">
        <v>1</v>
      </c>
      <c r="N50" s="23">
        <f t="shared" si="36"/>
        <v>5.3550215969727522E-3</v>
      </c>
      <c r="O50" s="23">
        <f t="shared" si="37"/>
        <v>0</v>
      </c>
      <c r="P50" s="319">
        <v>1837960263.51</v>
      </c>
      <c r="Q50" s="308">
        <v>1</v>
      </c>
      <c r="R50" s="23">
        <f t="shared" si="38"/>
        <v>1.4059222798106753E-3</v>
      </c>
      <c r="S50" s="23">
        <f t="shared" si="39"/>
        <v>0</v>
      </c>
      <c r="T50" s="319">
        <v>1966527852.01</v>
      </c>
      <c r="U50" s="308">
        <v>1</v>
      </c>
      <c r="V50" s="23">
        <f t="shared" si="40"/>
        <v>6.9951234013335611E-2</v>
      </c>
      <c r="W50" s="23">
        <f t="shared" si="41"/>
        <v>0</v>
      </c>
      <c r="X50" s="319">
        <v>1961246177.6400001</v>
      </c>
      <c r="Y50" s="308">
        <v>1</v>
      </c>
      <c r="Z50" s="23">
        <f t="shared" si="42"/>
        <v>-2.6857867101152187E-3</v>
      </c>
      <c r="AA50" s="23">
        <f t="shared" si="43"/>
        <v>0</v>
      </c>
      <c r="AB50" s="319">
        <v>1967988588.8</v>
      </c>
      <c r="AC50" s="308">
        <v>1</v>
      </c>
      <c r="AD50" s="23">
        <f t="shared" si="44"/>
        <v>3.4378199110695539E-3</v>
      </c>
      <c r="AE50" s="23">
        <f t="shared" si="45"/>
        <v>0</v>
      </c>
      <c r="AF50" s="319">
        <v>1979283363.6099999</v>
      </c>
      <c r="AG50" s="308">
        <v>1</v>
      </c>
      <c r="AH50" s="23">
        <f t="shared" si="46"/>
        <v>5.7392481207866356E-3</v>
      </c>
      <c r="AI50" s="23">
        <f t="shared" si="47"/>
        <v>0</v>
      </c>
      <c r="AJ50" s="24">
        <f t="shared" si="16"/>
        <v>4.1368905826292745E-3</v>
      </c>
      <c r="AK50" s="24">
        <f t="shared" si="17"/>
        <v>0</v>
      </c>
      <c r="AL50" s="25">
        <f t="shared" si="18"/>
        <v>9.190259287394266E-2</v>
      </c>
      <c r="AM50" s="25">
        <f t="shared" si="19"/>
        <v>0</v>
      </c>
      <c r="AN50" s="378">
        <f t="shared" si="20"/>
        <v>3.4153073271180702E-2</v>
      </c>
      <c r="AO50" s="379">
        <f t="shared" si="21"/>
        <v>1.2154528858077077E-3</v>
      </c>
      <c r="AP50" s="30"/>
      <c r="AQ50" s="38"/>
      <c r="AR50" s="35"/>
      <c r="AS50" s="29"/>
      <c r="AT50" s="29"/>
    </row>
    <row r="51" spans="1:48" s="108" customFormat="1">
      <c r="A51" s="200" t="s">
        <v>131</v>
      </c>
      <c r="B51" s="319">
        <v>1468513939</v>
      </c>
      <c r="C51" s="308">
        <v>1</v>
      </c>
      <c r="D51" s="319">
        <v>1554579584.01</v>
      </c>
      <c r="E51" s="308">
        <v>1</v>
      </c>
      <c r="F51" s="23">
        <f t="shared" si="32"/>
        <v>5.8607305470050421E-2</v>
      </c>
      <c r="G51" s="23">
        <f t="shared" si="33"/>
        <v>0</v>
      </c>
      <c r="H51" s="319">
        <v>1560718698.23</v>
      </c>
      <c r="I51" s="308">
        <v>1</v>
      </c>
      <c r="J51" s="23">
        <f t="shared" si="34"/>
        <v>3.9490511023979446E-3</v>
      </c>
      <c r="K51" s="23">
        <f t="shared" si="35"/>
        <v>0</v>
      </c>
      <c r="L51" s="319">
        <v>1562465172.55</v>
      </c>
      <c r="M51" s="308">
        <v>1</v>
      </c>
      <c r="N51" s="23">
        <f t="shared" si="36"/>
        <v>1.1190192838597996E-3</v>
      </c>
      <c r="O51" s="23">
        <f t="shared" si="37"/>
        <v>0</v>
      </c>
      <c r="P51" s="319">
        <v>1518842420.6900001</v>
      </c>
      <c r="Q51" s="308">
        <v>1</v>
      </c>
      <c r="R51" s="23">
        <f t="shared" si="38"/>
        <v>-2.7919183496938994E-2</v>
      </c>
      <c r="S51" s="23">
        <f t="shared" si="39"/>
        <v>0</v>
      </c>
      <c r="T51" s="319">
        <v>1061752178.8</v>
      </c>
      <c r="U51" s="308">
        <v>1</v>
      </c>
      <c r="V51" s="23">
        <f t="shared" si="40"/>
        <v>-0.30094645478913279</v>
      </c>
      <c r="W51" s="23">
        <f t="shared" si="41"/>
        <v>0</v>
      </c>
      <c r="X51" s="319">
        <v>1016768939.3099999</v>
      </c>
      <c r="Y51" s="308">
        <v>1</v>
      </c>
      <c r="Z51" s="23">
        <f t="shared" si="42"/>
        <v>-4.2366985807215762E-2</v>
      </c>
      <c r="AA51" s="23">
        <f t="shared" si="43"/>
        <v>0</v>
      </c>
      <c r="AB51" s="319">
        <v>1015207083.27</v>
      </c>
      <c r="AC51" s="308">
        <v>1</v>
      </c>
      <c r="AD51" s="23">
        <f t="shared" si="44"/>
        <v>-1.5360973173117081E-3</v>
      </c>
      <c r="AE51" s="23">
        <f t="shared" si="45"/>
        <v>0</v>
      </c>
      <c r="AF51" s="319">
        <v>1004353231.09</v>
      </c>
      <c r="AG51" s="308">
        <v>1</v>
      </c>
      <c r="AH51" s="23">
        <f t="shared" si="46"/>
        <v>-1.0691269159627509E-2</v>
      </c>
      <c r="AI51" s="23">
        <f t="shared" si="47"/>
        <v>0</v>
      </c>
      <c r="AJ51" s="24">
        <f t="shared" si="16"/>
        <v>-3.9973076839239827E-2</v>
      </c>
      <c r="AK51" s="24">
        <f t="shared" si="17"/>
        <v>0</v>
      </c>
      <c r="AL51" s="25">
        <f t="shared" si="18"/>
        <v>-0.35393900613354545</v>
      </c>
      <c r="AM51" s="25">
        <f t="shared" si="19"/>
        <v>0</v>
      </c>
      <c r="AN51" s="378">
        <f t="shared" si="20"/>
        <v>0.10949805103428267</v>
      </c>
      <c r="AO51" s="379">
        <f t="shared" si="21"/>
        <v>5.4309241481678629E-4</v>
      </c>
      <c r="AP51" s="30"/>
      <c r="AQ51" s="38"/>
      <c r="AR51" s="35"/>
      <c r="AS51" s="29"/>
      <c r="AT51" s="29"/>
    </row>
    <row r="52" spans="1:48">
      <c r="A52" s="200" t="s">
        <v>112</v>
      </c>
      <c r="B52" s="319">
        <v>25766031502.720001</v>
      </c>
      <c r="C52" s="308">
        <v>1</v>
      </c>
      <c r="D52" s="319">
        <v>25440235235.029999</v>
      </c>
      <c r="E52" s="308">
        <v>1</v>
      </c>
      <c r="F52" s="23">
        <f t="shared" si="32"/>
        <v>-1.2644410050325742E-2</v>
      </c>
      <c r="G52" s="23">
        <f t="shared" si="33"/>
        <v>0</v>
      </c>
      <c r="H52" s="319">
        <v>25728908552.139999</v>
      </c>
      <c r="I52" s="308">
        <v>1</v>
      </c>
      <c r="J52" s="23">
        <f t="shared" si="34"/>
        <v>1.1347116661583032E-2</v>
      </c>
      <c r="K52" s="23">
        <f t="shared" si="35"/>
        <v>0</v>
      </c>
      <c r="L52" s="319">
        <v>26219104697.18</v>
      </c>
      <c r="M52" s="308">
        <v>1</v>
      </c>
      <c r="N52" s="23">
        <f t="shared" si="36"/>
        <v>1.9052348996717504E-2</v>
      </c>
      <c r="O52" s="23">
        <f t="shared" si="37"/>
        <v>0</v>
      </c>
      <c r="P52" s="319">
        <v>26517764277.869999</v>
      </c>
      <c r="Q52" s="308">
        <v>1</v>
      </c>
      <c r="R52" s="23">
        <f t="shared" si="38"/>
        <v>1.1390914531193775E-2</v>
      </c>
      <c r="S52" s="23">
        <f t="shared" si="39"/>
        <v>0</v>
      </c>
      <c r="T52" s="319">
        <v>25613067032.040001</v>
      </c>
      <c r="U52" s="308">
        <v>1</v>
      </c>
      <c r="V52" s="23">
        <f t="shared" si="40"/>
        <v>-3.4116648611474364E-2</v>
      </c>
      <c r="W52" s="23">
        <f t="shared" si="41"/>
        <v>0</v>
      </c>
      <c r="X52" s="319">
        <v>25693162176.66</v>
      </c>
      <c r="Y52" s="308">
        <v>1</v>
      </c>
      <c r="Z52" s="23">
        <f t="shared" si="42"/>
        <v>3.1271204077124382E-3</v>
      </c>
      <c r="AA52" s="23">
        <f t="shared" si="43"/>
        <v>0</v>
      </c>
      <c r="AB52" s="319">
        <v>26308915745.709999</v>
      </c>
      <c r="AC52" s="308">
        <v>1</v>
      </c>
      <c r="AD52" s="23">
        <f t="shared" si="44"/>
        <v>2.3965659221555753E-2</v>
      </c>
      <c r="AE52" s="23">
        <f t="shared" si="45"/>
        <v>0</v>
      </c>
      <c r="AF52" s="319">
        <v>26925563776.720001</v>
      </c>
      <c r="AG52" s="308">
        <v>1</v>
      </c>
      <c r="AH52" s="23">
        <f t="shared" si="46"/>
        <v>2.3438747418184816E-2</v>
      </c>
      <c r="AI52" s="23">
        <f t="shared" si="47"/>
        <v>0</v>
      </c>
      <c r="AJ52" s="24">
        <f t="shared" si="16"/>
        <v>5.6951060718934011E-3</v>
      </c>
      <c r="AK52" s="24">
        <f t="shared" si="17"/>
        <v>0</v>
      </c>
      <c r="AL52" s="25">
        <f t="shared" si="18"/>
        <v>5.8385016017649685E-2</v>
      </c>
      <c r="AM52" s="25">
        <f t="shared" si="19"/>
        <v>0</v>
      </c>
      <c r="AN52" s="378">
        <f t="shared" si="20"/>
        <v>2.0069029195046686E-2</v>
      </c>
      <c r="AO52" s="379">
        <f t="shared" si="21"/>
        <v>8.4731400755839945E-3</v>
      </c>
      <c r="AP52" s="30"/>
      <c r="AQ52" s="39">
        <v>2266908745.4000001</v>
      </c>
      <c r="AR52" s="35">
        <v>1</v>
      </c>
      <c r="AS52" s="29" t="e">
        <f>(#REF!/AQ52)-1</f>
        <v>#REF!</v>
      </c>
      <c r="AT52" s="29" t="e">
        <f>(#REF!/AR52)-1</f>
        <v>#REF!</v>
      </c>
    </row>
    <row r="53" spans="1:48">
      <c r="A53" s="202" t="s">
        <v>42</v>
      </c>
      <c r="B53" s="76">
        <f>SUM(B24:B52)</f>
        <v>849994179796.46228</v>
      </c>
      <c r="C53" s="85"/>
      <c r="D53" s="76">
        <f>SUM(D24:D52)</f>
        <v>856179741726.49231</v>
      </c>
      <c r="E53" s="85"/>
      <c r="F53" s="23">
        <f>((D53-B53)/B53)</f>
        <v>7.2771815114207137E-3</v>
      </c>
      <c r="G53" s="23"/>
      <c r="H53" s="76">
        <f>SUM(H24:H52)</f>
        <v>857401765650.82336</v>
      </c>
      <c r="I53" s="85"/>
      <c r="J53" s="23">
        <f>((H53-D53)/D53)</f>
        <v>1.427298340260697E-3</v>
      </c>
      <c r="K53" s="23"/>
      <c r="L53" s="76">
        <f>SUM(L24:L52)</f>
        <v>855610980289.1698</v>
      </c>
      <c r="M53" s="85"/>
      <c r="N53" s="23">
        <f>((L53-H53)/H53)</f>
        <v>-2.0886187005857665E-3</v>
      </c>
      <c r="O53" s="23"/>
      <c r="P53" s="76">
        <f>SUM(P24:P52)</f>
        <v>852824801464.56006</v>
      </c>
      <c r="Q53" s="85"/>
      <c r="R53" s="23">
        <f>((P53-L53)/L53)</f>
        <v>-3.2563616980091814E-3</v>
      </c>
      <c r="S53" s="23"/>
      <c r="T53" s="76">
        <f>SUM(T24:T52)</f>
        <v>854338532735.88501</v>
      </c>
      <c r="U53" s="85"/>
      <c r="V53" s="23">
        <f>((T53-P53)/P53)</f>
        <v>1.7749615967141356E-3</v>
      </c>
      <c r="W53" s="23"/>
      <c r="X53" s="76">
        <f>SUM(X24:X52)</f>
        <v>842459027080.45435</v>
      </c>
      <c r="Y53" s="85"/>
      <c r="Z53" s="23">
        <f>((X53-T53)/T53)</f>
        <v>-1.3904916143005293E-2</v>
      </c>
      <c r="AA53" s="23"/>
      <c r="AB53" s="76">
        <f>SUM(AB24:AB52)</f>
        <v>842959336565.12207</v>
      </c>
      <c r="AC53" s="85"/>
      <c r="AD53" s="23">
        <f>((AB53-X53)/X53)</f>
        <v>5.9386803225499219E-4</v>
      </c>
      <c r="AE53" s="23"/>
      <c r="AF53" s="76">
        <f>SUM(AF24:AF52)</f>
        <v>849677574373.34802</v>
      </c>
      <c r="AG53" s="85"/>
      <c r="AH53" s="23">
        <f>((AF53-AB53)/AB53)</f>
        <v>7.9698243044573486E-3</v>
      </c>
      <c r="AI53" s="23"/>
      <c r="AJ53" s="24">
        <f t="shared" si="16"/>
        <v>-2.5845344561544262E-5</v>
      </c>
      <c r="AK53" s="24"/>
      <c r="AL53" s="25">
        <f t="shared" si="18"/>
        <v>-7.5943952376549134E-3</v>
      </c>
      <c r="AM53" s="25"/>
      <c r="AN53" s="378">
        <f t="shared" si="20"/>
        <v>6.8694290397982105E-3</v>
      </c>
      <c r="AO53" s="379"/>
      <c r="AP53" s="30"/>
      <c r="AQ53" s="43">
        <f>SUM(AQ24:AQ52)</f>
        <v>74083068068.144089</v>
      </c>
      <c r="AR53" s="44"/>
      <c r="AS53" s="29" t="e">
        <f>(#REF!/AQ53)-1</f>
        <v>#REF!</v>
      </c>
      <c r="AT53" s="29" t="e">
        <f>(#REF!/AR53)-1</f>
        <v>#REF!</v>
      </c>
    </row>
    <row r="54" spans="1:48" s="108" customFormat="1" ht="8.25" customHeight="1">
      <c r="A54" s="202"/>
      <c r="B54" s="85"/>
      <c r="C54" s="85"/>
      <c r="D54" s="85"/>
      <c r="E54" s="85"/>
      <c r="F54" s="23"/>
      <c r="G54" s="23"/>
      <c r="H54" s="85"/>
      <c r="I54" s="85"/>
      <c r="J54" s="23"/>
      <c r="K54" s="23"/>
      <c r="L54" s="85"/>
      <c r="M54" s="85"/>
      <c r="N54" s="23"/>
      <c r="O54" s="23"/>
      <c r="P54" s="85"/>
      <c r="Q54" s="85"/>
      <c r="R54" s="23"/>
      <c r="S54" s="23"/>
      <c r="T54" s="85"/>
      <c r="U54" s="85"/>
      <c r="V54" s="23"/>
      <c r="W54" s="23"/>
      <c r="X54" s="85"/>
      <c r="Y54" s="85"/>
      <c r="Z54" s="23"/>
      <c r="AA54" s="23"/>
      <c r="AB54" s="85"/>
      <c r="AC54" s="85"/>
      <c r="AD54" s="23"/>
      <c r="AE54" s="23"/>
      <c r="AF54" s="85"/>
      <c r="AG54" s="85"/>
      <c r="AH54" s="23"/>
      <c r="AI54" s="23"/>
      <c r="AJ54" s="24"/>
      <c r="AK54" s="24"/>
      <c r="AL54" s="25"/>
      <c r="AM54" s="25"/>
      <c r="AN54" s="378"/>
      <c r="AO54" s="379"/>
      <c r="AP54" s="30"/>
      <c r="AQ54" s="43"/>
      <c r="AR54" s="44"/>
      <c r="AS54" s="29"/>
      <c r="AT54" s="29"/>
    </row>
    <row r="55" spans="1:48">
      <c r="A55" s="203" t="s">
        <v>191</v>
      </c>
      <c r="B55" s="85"/>
      <c r="C55" s="85"/>
      <c r="D55" s="85"/>
      <c r="E55" s="85"/>
      <c r="F55" s="23"/>
      <c r="G55" s="23"/>
      <c r="H55" s="85"/>
      <c r="I55" s="85"/>
      <c r="J55" s="23"/>
      <c r="K55" s="23"/>
      <c r="L55" s="85"/>
      <c r="M55" s="85"/>
      <c r="N55" s="23"/>
      <c r="O55" s="23"/>
      <c r="P55" s="85"/>
      <c r="Q55" s="85"/>
      <c r="R55" s="23"/>
      <c r="S55" s="23"/>
      <c r="T55" s="85"/>
      <c r="U55" s="85"/>
      <c r="V55" s="23"/>
      <c r="W55" s="23"/>
      <c r="X55" s="85"/>
      <c r="Y55" s="85"/>
      <c r="Z55" s="23"/>
      <c r="AA55" s="23"/>
      <c r="AB55" s="85"/>
      <c r="AC55" s="85"/>
      <c r="AD55" s="23"/>
      <c r="AE55" s="23"/>
      <c r="AF55" s="85"/>
      <c r="AG55" s="85"/>
      <c r="AH55" s="23"/>
      <c r="AI55" s="23"/>
      <c r="AJ55" s="24"/>
      <c r="AK55" s="24"/>
      <c r="AL55" s="25"/>
      <c r="AM55" s="25"/>
      <c r="AN55" s="378"/>
      <c r="AO55" s="379"/>
      <c r="AP55" s="30"/>
      <c r="AQ55" s="40"/>
      <c r="AR55" s="13"/>
      <c r="AS55" s="29" t="e">
        <f>(#REF!/AQ55)-1</f>
        <v>#REF!</v>
      </c>
      <c r="AT55" s="29" t="e">
        <f>(#REF!/AR55)-1</f>
        <v>#REF!</v>
      </c>
    </row>
    <row r="56" spans="1:48">
      <c r="A56" s="200" t="s">
        <v>137</v>
      </c>
      <c r="B56" s="324">
        <v>477880682.05000001</v>
      </c>
      <c r="C56" s="325">
        <v>1.3258000000000001</v>
      </c>
      <c r="D56" s="324">
        <v>473172465.54000002</v>
      </c>
      <c r="E56" s="325">
        <v>1.3137000000000001</v>
      </c>
      <c r="F56" s="23">
        <f t="shared" ref="F56:F84" si="48">((D56-B56)/B56)</f>
        <v>-9.852284653572534E-3</v>
      </c>
      <c r="G56" s="23">
        <f t="shared" ref="G56:G84" si="49">((E56-C56)/C56)</f>
        <v>-9.1265650927741734E-3</v>
      </c>
      <c r="H56" s="324">
        <v>470593172.81</v>
      </c>
      <c r="I56" s="325">
        <v>1.3069999999999999</v>
      </c>
      <c r="J56" s="23">
        <f t="shared" ref="J56:J81" si="50">((H56-D56)/D56)</f>
        <v>-5.4510625994613725E-3</v>
      </c>
      <c r="K56" s="23">
        <f t="shared" ref="K56:K81" si="51">((I56-E56)/E56)</f>
        <v>-5.1000989571440584E-3</v>
      </c>
      <c r="L56" s="324">
        <v>459467449.86000001</v>
      </c>
      <c r="M56" s="325">
        <v>1.2759</v>
      </c>
      <c r="N56" s="23">
        <f t="shared" ref="N56:N81" si="52">((L56-H56)/H56)</f>
        <v>-2.3641913212565775E-2</v>
      </c>
      <c r="O56" s="23">
        <f t="shared" ref="O56:O81" si="53">((M56-I56)/I56)</f>
        <v>-2.3794950267788759E-2</v>
      </c>
      <c r="P56" s="324">
        <v>458213460.79000002</v>
      </c>
      <c r="Q56" s="325">
        <v>1.2724</v>
      </c>
      <c r="R56" s="23">
        <f t="shared" ref="R56:R81" si="54">((P56-L56)/L56)</f>
        <v>-2.7292228652586467E-3</v>
      </c>
      <c r="S56" s="23">
        <f t="shared" ref="S56:S81" si="55">((Q56-M56)/M56)</f>
        <v>-2.7431616897876467E-3</v>
      </c>
      <c r="T56" s="324">
        <v>462174838.54000002</v>
      </c>
      <c r="U56" s="325">
        <v>1.2790999999999999</v>
      </c>
      <c r="V56" s="23">
        <f t="shared" ref="V56:V81" si="56">((T56-P56)/P56)</f>
        <v>8.6452670839705127E-3</v>
      </c>
      <c r="W56" s="23">
        <f t="shared" ref="W56:W81" si="57">((U56-Q56)/Q56)</f>
        <v>5.2656397359320409E-3</v>
      </c>
      <c r="X56" s="324">
        <v>460243201.17000002</v>
      </c>
      <c r="Y56" s="325">
        <v>1.2744</v>
      </c>
      <c r="Z56" s="23">
        <f t="shared" ref="Z56:Z81" si="58">((X56-T56)/T56)</f>
        <v>-4.179451603427837E-3</v>
      </c>
      <c r="AA56" s="23">
        <f t="shared" ref="AA56:AA81" si="59">((Y56-U56)/U56)</f>
        <v>-3.6744586037056734E-3</v>
      </c>
      <c r="AB56" s="324">
        <v>460243201.17000002</v>
      </c>
      <c r="AC56" s="325">
        <v>1.2744</v>
      </c>
      <c r="AD56" s="23">
        <f t="shared" ref="AD56:AD81" si="60">((AB56-X56)/X56)</f>
        <v>0</v>
      </c>
      <c r="AE56" s="23">
        <f t="shared" ref="AE56:AE64" si="61">((AC56-Y56)/Y56)</f>
        <v>0</v>
      </c>
      <c r="AF56" s="324">
        <v>459244336.80000001</v>
      </c>
      <c r="AG56" s="325">
        <v>1.2742</v>
      </c>
      <c r="AH56" s="23">
        <f t="shared" ref="AH56:AH84" si="62">((AF56-AB56)/AB56)</f>
        <v>-2.170296850579775E-3</v>
      </c>
      <c r="AI56" s="23">
        <f t="shared" ref="AI56:AI64" si="63">((AG56-AC56)/AC56)</f>
        <v>-1.5693659761454643E-4</v>
      </c>
      <c r="AJ56" s="24">
        <f t="shared" si="16"/>
        <v>-4.9223705876119284E-3</v>
      </c>
      <c r="AK56" s="24">
        <f t="shared" si="17"/>
        <v>-4.9163164341103523E-3</v>
      </c>
      <c r="AL56" s="25">
        <f t="shared" si="18"/>
        <v>-2.9435628136359901E-2</v>
      </c>
      <c r="AM56" s="25">
        <f t="shared" si="19"/>
        <v>-3.0067747583162129E-2</v>
      </c>
      <c r="AN56" s="378">
        <f t="shared" si="20"/>
        <v>9.2292323130748147E-3</v>
      </c>
      <c r="AO56" s="379">
        <f t="shared" si="21"/>
        <v>8.7089583826932444E-3</v>
      </c>
      <c r="AP56" s="30"/>
      <c r="AQ56" s="28">
        <v>1092437778.4100001</v>
      </c>
      <c r="AR56" s="32">
        <v>143.21</v>
      </c>
      <c r="AS56" s="29" t="e">
        <f>(#REF!/AQ56)-1</f>
        <v>#REF!</v>
      </c>
      <c r="AT56" s="29" t="e">
        <f>(#REF!/AR56)-1</f>
        <v>#REF!</v>
      </c>
    </row>
    <row r="57" spans="1:48">
      <c r="A57" s="200" t="s">
        <v>143</v>
      </c>
      <c r="B57" s="324">
        <v>623338591.72000003</v>
      </c>
      <c r="C57" s="325">
        <v>1.1334</v>
      </c>
      <c r="D57" s="324">
        <v>661378218.15999997</v>
      </c>
      <c r="E57" s="325">
        <v>1.1339999999999999</v>
      </c>
      <c r="F57" s="23">
        <f t="shared" si="48"/>
        <v>6.1025623866855193E-2</v>
      </c>
      <c r="G57" s="23">
        <f t="shared" si="49"/>
        <v>5.2938062466907881E-4</v>
      </c>
      <c r="H57" s="324">
        <v>661827691.75</v>
      </c>
      <c r="I57" s="325">
        <v>1.1347</v>
      </c>
      <c r="J57" s="23">
        <f t="shared" si="50"/>
        <v>6.7960144083743801E-4</v>
      </c>
      <c r="K57" s="23">
        <f t="shared" si="51"/>
        <v>6.1728395061741187E-4</v>
      </c>
      <c r="L57" s="324">
        <v>661196282.23000002</v>
      </c>
      <c r="M57" s="325">
        <v>1.1356999999999999</v>
      </c>
      <c r="N57" s="23">
        <f t="shared" si="52"/>
        <v>-9.5403913718148064E-4</v>
      </c>
      <c r="O57" s="23">
        <f t="shared" si="53"/>
        <v>8.8129020886568241E-4</v>
      </c>
      <c r="P57" s="324">
        <v>661125277.86000001</v>
      </c>
      <c r="Q57" s="325">
        <v>1.1366000000000001</v>
      </c>
      <c r="R57" s="23">
        <f t="shared" si="54"/>
        <v>-1.0738773327722008E-4</v>
      </c>
      <c r="S57" s="23">
        <f t="shared" si="55"/>
        <v>7.9246279827430047E-4</v>
      </c>
      <c r="T57" s="324">
        <v>660789415.90999997</v>
      </c>
      <c r="U57" s="325">
        <v>1.1366000000000001</v>
      </c>
      <c r="V57" s="23">
        <f t="shared" si="56"/>
        <v>-5.0801559288006807E-4</v>
      </c>
      <c r="W57" s="23">
        <f t="shared" si="57"/>
        <v>0</v>
      </c>
      <c r="X57" s="324">
        <v>660102436.40999997</v>
      </c>
      <c r="Y57" s="325">
        <v>1.1375999999999999</v>
      </c>
      <c r="Z57" s="23">
        <f t="shared" si="58"/>
        <v>-1.0396345393243512E-3</v>
      </c>
      <c r="AA57" s="23">
        <f t="shared" si="59"/>
        <v>8.7981699806430563E-4</v>
      </c>
      <c r="AB57" s="324">
        <v>861675753.65999997</v>
      </c>
      <c r="AC57" s="325">
        <v>1.1385000000000001</v>
      </c>
      <c r="AD57" s="23">
        <f t="shared" si="60"/>
        <v>0.30536672208978133</v>
      </c>
      <c r="AE57" s="23">
        <f t="shared" si="61"/>
        <v>7.911392405064372E-4</v>
      </c>
      <c r="AF57" s="324">
        <v>861863561.69000006</v>
      </c>
      <c r="AG57" s="325">
        <v>1.1393</v>
      </c>
      <c r="AH57" s="23">
        <f t="shared" si="62"/>
        <v>2.1795673047822104E-4</v>
      </c>
      <c r="AI57" s="23">
        <f t="shared" si="63"/>
        <v>7.026789635484513E-4</v>
      </c>
      <c r="AJ57" s="24">
        <f t="shared" si="16"/>
        <v>4.558510339066113E-2</v>
      </c>
      <c r="AK57" s="24">
        <f t="shared" si="17"/>
        <v>6.4925659806820842E-4</v>
      </c>
      <c r="AL57" s="25">
        <f t="shared" si="18"/>
        <v>0.30313266754953649</v>
      </c>
      <c r="AM57" s="25">
        <f t="shared" si="19"/>
        <v>4.6737213403880802E-3</v>
      </c>
      <c r="AN57" s="378">
        <f t="shared" si="20"/>
        <v>0.10713924086038142</v>
      </c>
      <c r="AO57" s="379">
        <f t="shared" si="21"/>
        <v>0.10774143343704556</v>
      </c>
      <c r="AP57" s="30"/>
      <c r="AQ57" s="31">
        <v>1186217562.8099999</v>
      </c>
      <c r="AR57" s="35">
        <v>212.98</v>
      </c>
      <c r="AS57" s="29" t="e">
        <f>(#REF!/AQ57)-1</f>
        <v>#REF!</v>
      </c>
      <c r="AT57" s="29" t="e">
        <f>(#REF!/AR57)-1</f>
        <v>#REF!</v>
      </c>
      <c r="AU57" s="83"/>
      <c r="AV57" s="83"/>
    </row>
    <row r="58" spans="1:48">
      <c r="A58" s="200" t="s">
        <v>224</v>
      </c>
      <c r="B58" s="324">
        <v>713060097.32000005</v>
      </c>
      <c r="C58" s="325">
        <v>1.0341</v>
      </c>
      <c r="D58" s="324">
        <v>861113040.15999997</v>
      </c>
      <c r="E58" s="325">
        <v>1.0356000000000001</v>
      </c>
      <c r="F58" s="23">
        <f t="shared" si="48"/>
        <v>0.20763038542816986</v>
      </c>
      <c r="G58" s="23">
        <f t="shared" si="49"/>
        <v>1.4505366985785289E-3</v>
      </c>
      <c r="H58" s="324">
        <v>862677742.75</v>
      </c>
      <c r="I58" s="325">
        <v>1.0369999999999999</v>
      </c>
      <c r="J58" s="23">
        <f t="shared" si="50"/>
        <v>1.8170699049096994E-3</v>
      </c>
      <c r="K58" s="23">
        <f t="shared" si="51"/>
        <v>1.3518733101582133E-3</v>
      </c>
      <c r="L58" s="324">
        <v>863835392.26999998</v>
      </c>
      <c r="M58" s="325">
        <v>1.0385</v>
      </c>
      <c r="N58" s="23">
        <f t="shared" si="52"/>
        <v>1.341925799904939E-3</v>
      </c>
      <c r="O58" s="23">
        <f t="shared" si="53"/>
        <v>1.446480231436892E-3</v>
      </c>
      <c r="P58" s="324">
        <v>857853958.87</v>
      </c>
      <c r="Q58" s="325">
        <v>1.0399</v>
      </c>
      <c r="R58" s="23">
        <f t="shared" si="54"/>
        <v>-6.9242745244344215E-3</v>
      </c>
      <c r="S58" s="23">
        <f t="shared" si="55"/>
        <v>1.3480982185845622E-3</v>
      </c>
      <c r="T58" s="324">
        <v>859134898.64999998</v>
      </c>
      <c r="U58" s="325">
        <v>1.0412999999999999</v>
      </c>
      <c r="V58" s="23">
        <f t="shared" si="56"/>
        <v>1.4931909642140922E-3</v>
      </c>
      <c r="W58" s="23">
        <f t="shared" si="57"/>
        <v>1.3462832964706661E-3</v>
      </c>
      <c r="X58" s="324">
        <v>859068256.92999995</v>
      </c>
      <c r="Y58" s="325">
        <v>1.0427</v>
      </c>
      <c r="Z58" s="23">
        <f t="shared" si="58"/>
        <v>-7.7568400614089767E-5</v>
      </c>
      <c r="AA58" s="23">
        <f t="shared" si="59"/>
        <v>1.3444732545856795E-3</v>
      </c>
      <c r="AB58" s="324">
        <v>935116612.34000003</v>
      </c>
      <c r="AC58" s="325">
        <v>1.0439000000000001</v>
      </c>
      <c r="AD58" s="23">
        <f t="shared" si="60"/>
        <v>8.8524229357245104E-2</v>
      </c>
      <c r="AE58" s="23">
        <f t="shared" si="61"/>
        <v>1.1508583485183561E-3</v>
      </c>
      <c r="AF58" s="324">
        <v>1006389302.11</v>
      </c>
      <c r="AG58" s="325">
        <v>1.0452999999999999</v>
      </c>
      <c r="AH58" s="23">
        <f t="shared" si="62"/>
        <v>7.6217969854743495E-2</v>
      </c>
      <c r="AI58" s="23">
        <f t="shared" si="63"/>
        <v>1.3411246287957138E-3</v>
      </c>
      <c r="AJ58" s="24">
        <f t="shared" si="16"/>
        <v>4.6252866048017337E-2</v>
      </c>
      <c r="AK58" s="24">
        <f t="shared" si="17"/>
        <v>1.3474659983910766E-3</v>
      </c>
      <c r="AL58" s="25">
        <f t="shared" si="18"/>
        <v>0.16870753916699119</v>
      </c>
      <c r="AM58" s="25">
        <f t="shared" si="19"/>
        <v>9.3665507918113348E-3</v>
      </c>
      <c r="AN58" s="378">
        <f t="shared" si="20"/>
        <v>7.5305812567889097E-2</v>
      </c>
      <c r="AO58" s="379">
        <f t="shared" si="21"/>
        <v>3.0811744797646354E-2</v>
      </c>
      <c r="AP58" s="30"/>
      <c r="AQ58" s="31">
        <v>4662655514.79</v>
      </c>
      <c r="AR58" s="35">
        <v>1067.58</v>
      </c>
      <c r="AS58" s="29" t="e">
        <f>(#REF!/AQ58)-1</f>
        <v>#REF!</v>
      </c>
      <c r="AT58" s="29" t="e">
        <f>(#REF!/AR58)-1</f>
        <v>#REF!</v>
      </c>
    </row>
    <row r="59" spans="1:48" s="103" customFormat="1">
      <c r="A59" s="200" t="s">
        <v>166</v>
      </c>
      <c r="B59" s="324">
        <v>260835562.18000001</v>
      </c>
      <c r="C59" s="74">
        <v>1137.06</v>
      </c>
      <c r="D59" s="324">
        <v>268855979.88</v>
      </c>
      <c r="E59" s="74">
        <v>1137.8599999999999</v>
      </c>
      <c r="F59" s="23">
        <f t="shared" si="48"/>
        <v>3.0748942486857594E-2</v>
      </c>
      <c r="G59" s="23">
        <f t="shared" si="49"/>
        <v>7.0356885300683738E-4</v>
      </c>
      <c r="H59" s="324">
        <v>258755565.19999999</v>
      </c>
      <c r="I59" s="74">
        <v>1131.47</v>
      </c>
      <c r="J59" s="23">
        <f t="shared" si="50"/>
        <v>-3.7568123589842344E-2</v>
      </c>
      <c r="K59" s="23">
        <f t="shared" si="51"/>
        <v>-5.6158051078338926E-3</v>
      </c>
      <c r="L59" s="324">
        <v>258900164.36000001</v>
      </c>
      <c r="M59" s="74">
        <v>1131.1099999999999</v>
      </c>
      <c r="N59" s="23">
        <f t="shared" si="52"/>
        <v>5.5882531410778036E-4</v>
      </c>
      <c r="O59" s="23">
        <f t="shared" si="53"/>
        <v>-3.1817016801163737E-4</v>
      </c>
      <c r="P59" s="324">
        <v>255082567.96000001</v>
      </c>
      <c r="Q59" s="74">
        <v>1114.1400000000001</v>
      </c>
      <c r="R59" s="23">
        <f t="shared" si="54"/>
        <v>-1.4745438302200721E-2</v>
      </c>
      <c r="S59" s="23">
        <f t="shared" si="55"/>
        <v>-1.5002961692496576E-2</v>
      </c>
      <c r="T59" s="324">
        <v>257266645.24000001</v>
      </c>
      <c r="U59" s="74">
        <v>1116.46</v>
      </c>
      <c r="V59" s="23">
        <f t="shared" si="56"/>
        <v>8.5622365239105269E-3</v>
      </c>
      <c r="W59" s="23">
        <f t="shared" si="57"/>
        <v>2.0823235859047662E-3</v>
      </c>
      <c r="X59" s="324">
        <v>256994167.81999999</v>
      </c>
      <c r="Y59" s="74">
        <v>1115.18</v>
      </c>
      <c r="Z59" s="23">
        <f t="shared" si="58"/>
        <v>-1.0591245505060588E-3</v>
      </c>
      <c r="AA59" s="23">
        <f t="shared" si="59"/>
        <v>-1.1464808412302927E-3</v>
      </c>
      <c r="AB59" s="324">
        <v>254744993.72</v>
      </c>
      <c r="AC59" s="74">
        <v>1115.69</v>
      </c>
      <c r="AD59" s="23">
        <f t="shared" si="60"/>
        <v>-8.7518488029476489E-3</v>
      </c>
      <c r="AE59" s="23">
        <f t="shared" si="61"/>
        <v>4.5732527484351483E-4</v>
      </c>
      <c r="AF59" s="324">
        <v>255214836.13999999</v>
      </c>
      <c r="AG59" s="74">
        <v>1118.0899999999999</v>
      </c>
      <c r="AH59" s="23">
        <f t="shared" si="62"/>
        <v>1.8443637032428152E-3</v>
      </c>
      <c r="AI59" s="23">
        <f t="shared" si="63"/>
        <v>2.1511351719562454E-3</v>
      </c>
      <c r="AJ59" s="24">
        <f t="shared" si="16"/>
        <v>-2.5512709021722566E-3</v>
      </c>
      <c r="AK59" s="24">
        <f t="shared" si="17"/>
        <v>-2.0861331154826295E-3</v>
      </c>
      <c r="AL59" s="25">
        <f t="shared" si="18"/>
        <v>-5.073773604027159E-2</v>
      </c>
      <c r="AM59" s="25">
        <f t="shared" si="19"/>
        <v>-1.7374720967430073E-2</v>
      </c>
      <c r="AN59" s="378">
        <f t="shared" si="20"/>
        <v>1.9555634624218894E-2</v>
      </c>
      <c r="AO59" s="379">
        <f t="shared" si="21"/>
        <v>6.0974848427445445E-3</v>
      </c>
      <c r="AP59" s="30"/>
      <c r="AQ59" s="31"/>
      <c r="AR59" s="31"/>
      <c r="AS59" s="29"/>
      <c r="AT59" s="29"/>
    </row>
    <row r="60" spans="1:48">
      <c r="A60" s="200" t="s">
        <v>175</v>
      </c>
      <c r="B60" s="324">
        <v>1396131107.73</v>
      </c>
      <c r="C60" s="74">
        <v>1.0163</v>
      </c>
      <c r="D60" s="324">
        <v>1410950897.8699999</v>
      </c>
      <c r="E60" s="74">
        <v>1.0163</v>
      </c>
      <c r="F60" s="23">
        <f t="shared" si="48"/>
        <v>1.0614898599384184E-2</v>
      </c>
      <c r="G60" s="23">
        <f t="shared" si="49"/>
        <v>0</v>
      </c>
      <c r="H60" s="324">
        <v>1401472994.8900001</v>
      </c>
      <c r="I60" s="74">
        <v>1.0182</v>
      </c>
      <c r="J60" s="23">
        <f t="shared" si="50"/>
        <v>-6.7173868306174339E-3</v>
      </c>
      <c r="K60" s="23">
        <f t="shared" si="51"/>
        <v>1.8695267145528022E-3</v>
      </c>
      <c r="L60" s="324">
        <v>1406660666.28</v>
      </c>
      <c r="M60" s="74">
        <v>1.0196000000000001</v>
      </c>
      <c r="N60" s="23">
        <f t="shared" si="52"/>
        <v>3.7015849815979084E-3</v>
      </c>
      <c r="O60" s="23">
        <f t="shared" si="53"/>
        <v>1.3749754468670868E-3</v>
      </c>
      <c r="P60" s="324">
        <v>1423892073.73</v>
      </c>
      <c r="Q60" s="74">
        <v>1.0209999999999999</v>
      </c>
      <c r="R60" s="23">
        <f t="shared" si="54"/>
        <v>1.2249867976737813E-2</v>
      </c>
      <c r="S60" s="23">
        <f t="shared" si="55"/>
        <v>1.373087485288197E-3</v>
      </c>
      <c r="T60" s="324">
        <v>1417694377.5799999</v>
      </c>
      <c r="U60" s="74">
        <v>1.0221</v>
      </c>
      <c r="V60" s="23">
        <f t="shared" si="56"/>
        <v>-4.3526446030173697E-3</v>
      </c>
      <c r="W60" s="23">
        <f t="shared" si="57"/>
        <v>1.0773751224290901E-3</v>
      </c>
      <c r="X60" s="324">
        <v>1394817955.4400001</v>
      </c>
      <c r="Y60" s="74">
        <v>1.0235000000000001</v>
      </c>
      <c r="Z60" s="23">
        <f t="shared" si="58"/>
        <v>-1.6136356680097618E-2</v>
      </c>
      <c r="AA60" s="23">
        <f t="shared" si="59"/>
        <v>1.3697289893357478E-3</v>
      </c>
      <c r="AB60" s="324">
        <v>1395601657.3800001</v>
      </c>
      <c r="AC60" s="74">
        <v>1.0244</v>
      </c>
      <c r="AD60" s="23">
        <f t="shared" si="60"/>
        <v>5.6186682781326526E-4</v>
      </c>
      <c r="AE60" s="23">
        <f t="shared" si="61"/>
        <v>8.7933561309223331E-4</v>
      </c>
      <c r="AF60" s="324">
        <v>1424626858.46</v>
      </c>
      <c r="AG60" s="74">
        <v>1.0258</v>
      </c>
      <c r="AH60" s="23">
        <f t="shared" si="62"/>
        <v>2.079762583149242E-2</v>
      </c>
      <c r="AI60" s="23">
        <f t="shared" si="63"/>
        <v>1.3666536509176765E-3</v>
      </c>
      <c r="AJ60" s="24">
        <f t="shared" si="16"/>
        <v>2.5899320129116462E-3</v>
      </c>
      <c r="AK60" s="24">
        <f t="shared" si="17"/>
        <v>1.1638353778103542E-3</v>
      </c>
      <c r="AL60" s="25">
        <f t="shared" si="18"/>
        <v>9.6927260974465235E-3</v>
      </c>
      <c r="AM60" s="25">
        <f t="shared" si="19"/>
        <v>9.3476335727640109E-3</v>
      </c>
      <c r="AN60" s="378">
        <f t="shared" si="20"/>
        <v>1.1832659577779309E-2</v>
      </c>
      <c r="AO60" s="379">
        <f t="shared" si="21"/>
        <v>5.8329730976548896E-4</v>
      </c>
      <c r="AP60" s="30"/>
      <c r="AQ60" s="45">
        <v>1198249163.9190199</v>
      </c>
      <c r="AR60" s="45">
        <v>1987.7461478934799</v>
      </c>
      <c r="AS60" s="29" t="e">
        <f>(#REF!/AQ60)-1</f>
        <v>#REF!</v>
      </c>
      <c r="AT60" s="29" t="e">
        <f>(#REF!/AR60)-1</f>
        <v>#REF!</v>
      </c>
    </row>
    <row r="61" spans="1:48">
      <c r="A61" s="200" t="s">
        <v>105</v>
      </c>
      <c r="B61" s="324">
        <v>431078132.06999999</v>
      </c>
      <c r="C61" s="74">
        <v>2.2252000000000001</v>
      </c>
      <c r="D61" s="324">
        <v>431820071.91000003</v>
      </c>
      <c r="E61" s="74">
        <v>2.2288999999999999</v>
      </c>
      <c r="F61" s="23">
        <f t="shared" si="48"/>
        <v>1.7211261365481527E-3</v>
      </c>
      <c r="G61" s="23">
        <f t="shared" si="49"/>
        <v>1.6627718856731144E-3</v>
      </c>
      <c r="H61" s="324">
        <v>432624499.88</v>
      </c>
      <c r="I61" s="74">
        <v>2.2330999999999999</v>
      </c>
      <c r="J61" s="23">
        <f t="shared" si="50"/>
        <v>1.8628776713455505E-3</v>
      </c>
      <c r="K61" s="23">
        <f t="shared" si="51"/>
        <v>1.8843375656153179E-3</v>
      </c>
      <c r="L61" s="324">
        <v>433207287.08999997</v>
      </c>
      <c r="M61" s="74">
        <v>2.2361</v>
      </c>
      <c r="N61" s="23">
        <f t="shared" si="52"/>
        <v>1.3470971019016033E-3</v>
      </c>
      <c r="O61" s="23">
        <f t="shared" si="53"/>
        <v>1.3434239398146584E-3</v>
      </c>
      <c r="P61" s="324">
        <v>434071209.89999998</v>
      </c>
      <c r="Q61" s="74">
        <v>2.2403</v>
      </c>
      <c r="R61" s="23">
        <f t="shared" si="54"/>
        <v>1.9942481018804287E-3</v>
      </c>
      <c r="S61" s="23">
        <f t="shared" si="55"/>
        <v>1.8782702025848493E-3</v>
      </c>
      <c r="T61" s="324">
        <v>434413059.51999998</v>
      </c>
      <c r="U61" s="74">
        <v>2.2446999999999999</v>
      </c>
      <c r="V61" s="23">
        <f t="shared" si="56"/>
        <v>7.875427169628667E-4</v>
      </c>
      <c r="W61" s="23">
        <f t="shared" si="57"/>
        <v>1.9640226755345087E-3</v>
      </c>
      <c r="X61" s="324">
        <v>433191603.01999998</v>
      </c>
      <c r="Y61" s="74">
        <v>2.2490000000000001</v>
      </c>
      <c r="Z61" s="23">
        <f t="shared" si="58"/>
        <v>-2.8117398251093907E-3</v>
      </c>
      <c r="AA61" s="23">
        <f t="shared" si="59"/>
        <v>1.9156234686150456E-3</v>
      </c>
      <c r="AB61" s="324">
        <v>441185862.17000002</v>
      </c>
      <c r="AC61" s="74">
        <v>2.2905000000000002</v>
      </c>
      <c r="AD61" s="23">
        <f t="shared" si="60"/>
        <v>1.8454326201773005E-2</v>
      </c>
      <c r="AE61" s="23">
        <f t="shared" si="61"/>
        <v>1.845264562027572E-2</v>
      </c>
      <c r="AF61" s="324">
        <v>434950434.17000002</v>
      </c>
      <c r="AG61" s="74">
        <v>2.2578999999999998</v>
      </c>
      <c r="AH61" s="23">
        <f t="shared" si="62"/>
        <v>-1.4133335935405229E-2</v>
      </c>
      <c r="AI61" s="23">
        <f t="shared" si="63"/>
        <v>-1.423270028378101E-2</v>
      </c>
      <c r="AJ61" s="24">
        <f t="shared" si="16"/>
        <v>1.1527677712371231E-3</v>
      </c>
      <c r="AK61" s="24">
        <f t="shared" si="17"/>
        <v>1.8585493842915254E-3</v>
      </c>
      <c r="AL61" s="25">
        <f t="shared" si="18"/>
        <v>7.2492282402574857E-3</v>
      </c>
      <c r="AM61" s="25">
        <f t="shared" si="19"/>
        <v>1.3010902238772451E-2</v>
      </c>
      <c r="AN61" s="378">
        <f t="shared" si="20"/>
        <v>8.8675390434880784E-3</v>
      </c>
      <c r="AO61" s="379">
        <f t="shared" si="21"/>
        <v>8.7396244015616742E-3</v>
      </c>
      <c r="AP61" s="30"/>
      <c r="AQ61" s="28">
        <v>609639394.97000003</v>
      </c>
      <c r="AR61" s="32">
        <v>1.1629</v>
      </c>
      <c r="AS61" s="29" t="e">
        <f>(#REF!/AQ61)-1</f>
        <v>#REF!</v>
      </c>
      <c r="AT61" s="29" t="e">
        <f>(#REF!/AR61)-1</f>
        <v>#REF!</v>
      </c>
    </row>
    <row r="62" spans="1:48">
      <c r="A62" s="201" t="s">
        <v>18</v>
      </c>
      <c r="B62" s="324">
        <v>3370302141.3460202</v>
      </c>
      <c r="C62" s="324">
        <v>3875.4492330304602</v>
      </c>
      <c r="D62" s="324">
        <v>3375017543.3560901</v>
      </c>
      <c r="E62" s="324">
        <v>3880.9153313414599</v>
      </c>
      <c r="F62" s="23">
        <f t="shared" si="48"/>
        <v>1.3991036448104991E-3</v>
      </c>
      <c r="G62" s="23">
        <f t="shared" si="49"/>
        <v>1.4104425015846432E-3</v>
      </c>
      <c r="H62" s="324">
        <v>3380141543.6657</v>
      </c>
      <c r="I62" s="324">
        <v>3886.3767302992701</v>
      </c>
      <c r="J62" s="23">
        <f t="shared" si="50"/>
        <v>1.5182144222321955E-3</v>
      </c>
      <c r="K62" s="23">
        <f t="shared" si="51"/>
        <v>1.407245067601719E-3</v>
      </c>
      <c r="L62" s="324">
        <v>2785469286.5824199</v>
      </c>
      <c r="M62" s="324">
        <v>3891.8491831138399</v>
      </c>
      <c r="N62" s="23">
        <f t="shared" si="52"/>
        <v>-0.17593117015992449</v>
      </c>
      <c r="O62" s="23">
        <f t="shared" si="53"/>
        <v>1.408111769480567E-3</v>
      </c>
      <c r="P62" s="324">
        <v>2784388646.39433</v>
      </c>
      <c r="Q62" s="324">
        <v>3896.9828473200701</v>
      </c>
      <c r="R62" s="23">
        <f t="shared" si="54"/>
        <v>-3.8795623893441637E-4</v>
      </c>
      <c r="S62" s="23">
        <f t="shared" si="55"/>
        <v>1.3190809727428193E-3</v>
      </c>
      <c r="T62" s="324">
        <v>2788765458.8727798</v>
      </c>
      <c r="U62" s="324">
        <v>3902.0575035516099</v>
      </c>
      <c r="V62" s="23">
        <f t="shared" si="56"/>
        <v>1.5719114801439863E-3</v>
      </c>
      <c r="W62" s="23">
        <f t="shared" si="57"/>
        <v>1.3022013260924809E-3</v>
      </c>
      <c r="X62" s="324">
        <v>2782742512.0703502</v>
      </c>
      <c r="Y62" s="324">
        <v>3907.2528530935701</v>
      </c>
      <c r="Z62" s="23">
        <f t="shared" si="58"/>
        <v>-2.1597179437471067E-3</v>
      </c>
      <c r="AA62" s="23">
        <f t="shared" si="59"/>
        <v>1.3314384878314813E-3</v>
      </c>
      <c r="AB62" s="324">
        <v>2348226752.8206201</v>
      </c>
      <c r="AC62" s="324">
        <v>3912.2057688055502</v>
      </c>
      <c r="AD62" s="23">
        <f t="shared" si="60"/>
        <v>-0.15614659184778543</v>
      </c>
      <c r="AE62" s="23">
        <f t="shared" si="61"/>
        <v>1.2676209854344507E-3</v>
      </c>
      <c r="AF62" s="324">
        <v>2349934232.31951</v>
      </c>
      <c r="AG62" s="324">
        <v>3917.1594085253</v>
      </c>
      <c r="AH62" s="23">
        <f t="shared" si="62"/>
        <v>7.2713569796398474E-4</v>
      </c>
      <c r="AI62" s="23">
        <f t="shared" si="63"/>
        <v>1.2662012206127538E-3</v>
      </c>
      <c r="AJ62" s="24">
        <f t="shared" si="16"/>
        <v>-4.1176133868155093E-2</v>
      </c>
      <c r="AK62" s="24">
        <f t="shared" si="17"/>
        <v>1.3390427914226142E-3</v>
      </c>
      <c r="AL62" s="25">
        <f t="shared" si="18"/>
        <v>-0.30372680967377891</v>
      </c>
      <c r="AM62" s="25">
        <f t="shared" si="19"/>
        <v>9.3390538286523567E-3</v>
      </c>
      <c r="AN62" s="378">
        <f t="shared" si="20"/>
        <v>7.7258212477563731E-2</v>
      </c>
      <c r="AO62" s="379">
        <f t="shared" si="21"/>
        <v>5.568321426600506E-2</v>
      </c>
      <c r="AP62" s="30"/>
      <c r="AQ62" s="28">
        <v>4056683843.0900002</v>
      </c>
      <c r="AR62" s="35">
        <v>1</v>
      </c>
      <c r="AS62" s="29" t="e">
        <f>(#REF!/AQ62)-1</f>
        <v>#REF!</v>
      </c>
      <c r="AT62" s="29" t="e">
        <f>(#REF!/AR62)-1</f>
        <v>#REF!</v>
      </c>
    </row>
    <row r="63" spans="1:48" ht="15" customHeight="1">
      <c r="A63" s="200" t="s">
        <v>220</v>
      </c>
      <c r="B63" s="324">
        <v>343654046.68000001</v>
      </c>
      <c r="C63" s="325">
        <v>104.34</v>
      </c>
      <c r="D63" s="324">
        <v>344472162.74000001</v>
      </c>
      <c r="E63" s="325">
        <v>107.1</v>
      </c>
      <c r="F63" s="23">
        <f t="shared" si="48"/>
        <v>2.3806385168564791E-3</v>
      </c>
      <c r="G63" s="23">
        <f t="shared" si="49"/>
        <v>2.645198389879232E-2</v>
      </c>
      <c r="H63" s="324">
        <v>345064318.92000002</v>
      </c>
      <c r="I63" s="325">
        <v>107.24</v>
      </c>
      <c r="J63" s="23">
        <f t="shared" si="50"/>
        <v>1.7190247690550065E-3</v>
      </c>
      <c r="K63" s="23">
        <f t="shared" si="51"/>
        <v>1.3071895424836655E-3</v>
      </c>
      <c r="L63" s="324">
        <v>345923420.13</v>
      </c>
      <c r="M63" s="325">
        <v>107.43</v>
      </c>
      <c r="N63" s="23">
        <f t="shared" si="52"/>
        <v>2.489684278829053E-3</v>
      </c>
      <c r="O63" s="23">
        <f t="shared" si="53"/>
        <v>1.7717269675495333E-3</v>
      </c>
      <c r="P63" s="324">
        <v>346627846.39999998</v>
      </c>
      <c r="Q63" s="325">
        <v>107.79</v>
      </c>
      <c r="R63" s="23">
        <f t="shared" si="54"/>
        <v>2.036364781937151E-3</v>
      </c>
      <c r="S63" s="23">
        <f t="shared" si="55"/>
        <v>3.3510192683607874E-3</v>
      </c>
      <c r="T63" s="324">
        <v>347006894.05000001</v>
      </c>
      <c r="U63" s="325">
        <v>107.86</v>
      </c>
      <c r="V63" s="23">
        <f t="shared" si="56"/>
        <v>1.0935291377676107E-3</v>
      </c>
      <c r="W63" s="23">
        <f t="shared" si="57"/>
        <v>6.4941089154831782E-4</v>
      </c>
      <c r="X63" s="324">
        <v>346662137.54000002</v>
      </c>
      <c r="Y63" s="325">
        <v>108.05</v>
      </c>
      <c r="Z63" s="23">
        <f t="shared" si="58"/>
        <v>-9.9351487221552054E-4</v>
      </c>
      <c r="AA63" s="23">
        <f t="shared" si="59"/>
        <v>1.7615427405896322E-3</v>
      </c>
      <c r="AB63" s="324">
        <v>336186984.89999998</v>
      </c>
      <c r="AC63" s="325">
        <v>109.51</v>
      </c>
      <c r="AD63" s="23">
        <f t="shared" si="60"/>
        <v>-3.0217181242619431E-2</v>
      </c>
      <c r="AE63" s="23">
        <f t="shared" si="61"/>
        <v>1.351226284127726E-2</v>
      </c>
      <c r="AF63" s="324">
        <v>336593170</v>
      </c>
      <c r="AG63" s="325">
        <v>108.48</v>
      </c>
      <c r="AH63" s="23">
        <f t="shared" si="62"/>
        <v>1.2082118530580388E-3</v>
      </c>
      <c r="AI63" s="23">
        <f t="shared" si="63"/>
        <v>-9.405533741210859E-3</v>
      </c>
      <c r="AJ63" s="24">
        <f t="shared" si="16"/>
        <v>-2.5354053471664515E-3</v>
      </c>
      <c r="AK63" s="24">
        <f t="shared" si="17"/>
        <v>4.9249503011738324E-3</v>
      </c>
      <c r="AL63" s="25">
        <f t="shared" si="18"/>
        <v>-2.2872654432593148E-2</v>
      </c>
      <c r="AM63" s="25">
        <f t="shared" si="19"/>
        <v>1.2885154061624741E-2</v>
      </c>
      <c r="AN63" s="378">
        <f t="shared" si="20"/>
        <v>1.1239358452395553E-2</v>
      </c>
      <c r="AO63" s="379">
        <f t="shared" si="21"/>
        <v>1.5668475979722474E-2</v>
      </c>
      <c r="AP63" s="30"/>
      <c r="AQ63" s="28">
        <v>739078842.02999997</v>
      </c>
      <c r="AR63" s="32">
        <v>16.871500000000001</v>
      </c>
      <c r="AS63" s="29" t="e">
        <f>(#REF!/AQ63)-1</f>
        <v>#REF!</v>
      </c>
      <c r="AT63" s="29" t="e">
        <f>(#REF!/AR63)-1</f>
        <v>#REF!</v>
      </c>
    </row>
    <row r="64" spans="1:48">
      <c r="A64" s="200" t="s">
        <v>110</v>
      </c>
      <c r="B64" s="324">
        <v>353572578.68000001</v>
      </c>
      <c r="C64" s="325">
        <v>1.4056</v>
      </c>
      <c r="D64" s="324">
        <v>352680830.77999997</v>
      </c>
      <c r="E64" s="325">
        <v>1.4020999999999999</v>
      </c>
      <c r="F64" s="23">
        <f t="shared" si="48"/>
        <v>-2.5221070687359778E-3</v>
      </c>
      <c r="G64" s="23">
        <f t="shared" si="49"/>
        <v>-2.4900398406374918E-3</v>
      </c>
      <c r="H64" s="324">
        <v>352216284.05000001</v>
      </c>
      <c r="I64" s="325">
        <v>1.4006000000000001</v>
      </c>
      <c r="J64" s="23">
        <f t="shared" si="50"/>
        <v>-1.3171873531446362E-3</v>
      </c>
      <c r="K64" s="23">
        <f t="shared" si="51"/>
        <v>-1.069823835674941E-3</v>
      </c>
      <c r="L64" s="324">
        <v>348751041.39999998</v>
      </c>
      <c r="M64" s="325">
        <v>1.3871</v>
      </c>
      <c r="N64" s="23">
        <f t="shared" si="52"/>
        <v>-9.8383942109505525E-3</v>
      </c>
      <c r="O64" s="23">
        <f t="shared" si="53"/>
        <v>-9.6387262601742591E-3</v>
      </c>
      <c r="P64" s="324">
        <v>348365262.30000001</v>
      </c>
      <c r="Q64" s="325">
        <v>1.3854</v>
      </c>
      <c r="R64" s="23">
        <f t="shared" si="54"/>
        <v>-1.1061733276876296E-3</v>
      </c>
      <c r="S64" s="23">
        <f t="shared" si="55"/>
        <v>-1.225578545166199E-3</v>
      </c>
      <c r="T64" s="324">
        <v>349676794.25</v>
      </c>
      <c r="U64" s="325">
        <v>1.3914</v>
      </c>
      <c r="V64" s="23">
        <f t="shared" si="56"/>
        <v>3.7648184016423041E-3</v>
      </c>
      <c r="W64" s="23">
        <f t="shared" si="57"/>
        <v>4.3308791684712033E-3</v>
      </c>
      <c r="X64" s="324">
        <v>349136292.39999998</v>
      </c>
      <c r="Y64" s="325">
        <v>1.3914</v>
      </c>
      <c r="Z64" s="23">
        <f t="shared" si="58"/>
        <v>-1.5457183859149493E-3</v>
      </c>
      <c r="AA64" s="23">
        <f t="shared" si="59"/>
        <v>0</v>
      </c>
      <c r="AB64" s="324">
        <v>348015758.39999998</v>
      </c>
      <c r="AC64" s="325">
        <v>1.3849</v>
      </c>
      <c r="AD64" s="23">
        <f t="shared" si="60"/>
        <v>-3.2094457791750327E-3</v>
      </c>
      <c r="AE64" s="23">
        <f t="shared" si="61"/>
        <v>-4.6715538306741052E-3</v>
      </c>
      <c r="AF64" s="324">
        <v>346516104.82999998</v>
      </c>
      <c r="AG64" s="325">
        <v>1.3849</v>
      </c>
      <c r="AH64" s="23">
        <f t="shared" si="62"/>
        <v>-4.3091542086905483E-3</v>
      </c>
      <c r="AI64" s="23">
        <f t="shared" si="63"/>
        <v>0</v>
      </c>
      <c r="AJ64" s="24">
        <f t="shared" si="16"/>
        <v>-2.5104202415821278E-3</v>
      </c>
      <c r="AK64" s="24">
        <f t="shared" si="17"/>
        <v>-1.8456053929819739E-3</v>
      </c>
      <c r="AL64" s="25">
        <f t="shared" si="18"/>
        <v>-1.7479617296936402E-2</v>
      </c>
      <c r="AM64" s="25">
        <f t="shared" si="19"/>
        <v>-1.2267313315740592E-2</v>
      </c>
      <c r="AN64" s="378">
        <f t="shared" si="20"/>
        <v>3.8009097310527941E-3</v>
      </c>
      <c r="AO64" s="379">
        <f t="shared" si="21"/>
        <v>3.9404245529143121E-3</v>
      </c>
      <c r="AP64" s="30"/>
      <c r="AQ64" s="36">
        <v>0</v>
      </c>
      <c r="AR64" s="37">
        <v>0</v>
      </c>
      <c r="AS64" s="29" t="e">
        <f>(#REF!/AQ64)-1</f>
        <v>#REF!</v>
      </c>
      <c r="AT64" s="29" t="e">
        <f>(#REF!/AR64)-1</f>
        <v>#REF!</v>
      </c>
    </row>
    <row r="65" spans="1:46" s="365" customFormat="1">
      <c r="A65" s="200" t="s">
        <v>282</v>
      </c>
      <c r="B65" s="324">
        <v>70376907.129999995</v>
      </c>
      <c r="C65" s="74">
        <v>106.9906</v>
      </c>
      <c r="D65" s="324">
        <v>70523055.129999995</v>
      </c>
      <c r="E65" s="74">
        <v>107.23560000000001</v>
      </c>
      <c r="F65" s="23">
        <f t="shared" si="48"/>
        <v>2.0766470986006234E-3</v>
      </c>
      <c r="G65" s="23">
        <f t="shared" si="49"/>
        <v>2.2899207967803205E-3</v>
      </c>
      <c r="H65" s="324">
        <v>70726143.450000003</v>
      </c>
      <c r="I65" s="74">
        <v>107.47580000000001</v>
      </c>
      <c r="J65" s="23">
        <f t="shared" ref="J65" si="64">((H65-D65)/D65)</f>
        <v>2.8797436473170525E-3</v>
      </c>
      <c r="K65" s="23">
        <f>((I65-E65)/E65)</f>
        <v>2.2399277851758324E-3</v>
      </c>
      <c r="L65" s="324">
        <v>70758634.269999996</v>
      </c>
      <c r="M65" s="74">
        <v>107.7166</v>
      </c>
      <c r="N65" s="23">
        <f t="shared" ref="N65" si="65">((L65-H65)/H65)</f>
        <v>4.5938910868174653E-4</v>
      </c>
      <c r="O65" s="23">
        <f>((M65-I65)/I65)</f>
        <v>2.2405043740078511E-3</v>
      </c>
      <c r="P65" s="324">
        <v>70885238.5</v>
      </c>
      <c r="Q65" s="74">
        <v>107.9577</v>
      </c>
      <c r="R65" s="23">
        <f t="shared" ref="R65" si="66">((P65-L65)/L65)</f>
        <v>1.7892407238515823E-3</v>
      </c>
      <c r="S65" s="23">
        <f>((Q65-M65)/M65)</f>
        <v>2.2382808220831607E-3</v>
      </c>
      <c r="T65" s="324">
        <v>71487402.939999998</v>
      </c>
      <c r="U65" s="74">
        <v>108.1883</v>
      </c>
      <c r="V65" s="23">
        <f t="shared" ref="V65" si="67">((T65-P65)/P65)</f>
        <v>8.4949201377095968E-3</v>
      </c>
      <c r="W65" s="23">
        <f>((U65-Q65)/Q65)</f>
        <v>2.1360217937210174E-3</v>
      </c>
      <c r="X65" s="324">
        <v>71718859.969999999</v>
      </c>
      <c r="Y65" s="74">
        <v>108.41589999999999</v>
      </c>
      <c r="Z65" s="23">
        <f t="shared" ref="Z65" si="68">((X65-T65)/T65)</f>
        <v>3.2377316909143433E-3</v>
      </c>
      <c r="AA65" s="23">
        <f>((Y65-U65)/U65)</f>
        <v>2.1037394986333584E-3</v>
      </c>
      <c r="AB65" s="324">
        <v>71914070.189999998</v>
      </c>
      <c r="AC65" s="74">
        <v>108.67319999999999</v>
      </c>
      <c r="AD65" s="23">
        <f t="shared" si="60"/>
        <v>2.7218812468806008E-3</v>
      </c>
      <c r="AE65" s="23">
        <f>((AC65-Y65)/Y65)</f>
        <v>2.373268127645491E-3</v>
      </c>
      <c r="AF65" s="324">
        <v>72028275.75</v>
      </c>
      <c r="AG65" s="74">
        <v>108.90130000000001</v>
      </c>
      <c r="AH65" s="23">
        <f t="shared" si="62"/>
        <v>1.5880836628808033E-3</v>
      </c>
      <c r="AI65" s="23">
        <f>((AG65-AC65)/AC65)</f>
        <v>2.0989535598474321E-3</v>
      </c>
      <c r="AJ65" s="24">
        <f t="shared" si="16"/>
        <v>2.9059546646045438E-3</v>
      </c>
      <c r="AK65" s="24">
        <f t="shared" si="17"/>
        <v>2.215077094736808E-3</v>
      </c>
      <c r="AL65" s="25">
        <f t="shared" si="18"/>
        <v>2.1343667219540164E-2</v>
      </c>
      <c r="AM65" s="25">
        <f t="shared" si="19"/>
        <v>1.5533087892453635E-2</v>
      </c>
      <c r="AN65" s="378">
        <f t="shared" si="20"/>
        <v>2.4212880030619675E-3</v>
      </c>
      <c r="AO65" s="379">
        <f t="shared" si="21"/>
        <v>2.0042584399654676E-4</v>
      </c>
      <c r="AP65" s="30"/>
      <c r="AQ65" s="36"/>
      <c r="AR65" s="37"/>
      <c r="AS65" s="29"/>
      <c r="AT65" s="29"/>
    </row>
    <row r="66" spans="1:46">
      <c r="A66" s="200" t="s">
        <v>236</v>
      </c>
      <c r="B66" s="324">
        <v>670873390.58000004</v>
      </c>
      <c r="C66" s="74">
        <v>1000</v>
      </c>
      <c r="D66" s="324">
        <v>680887582.63000011</v>
      </c>
      <c r="E66" s="74">
        <v>1000</v>
      </c>
      <c r="F66" s="23">
        <f t="shared" si="48"/>
        <v>1.4927096812324535E-2</v>
      </c>
      <c r="G66" s="23">
        <f t="shared" si="49"/>
        <v>0</v>
      </c>
      <c r="H66" s="324">
        <v>690280439.20020008</v>
      </c>
      <c r="I66" s="74">
        <v>1000</v>
      </c>
      <c r="J66" s="23">
        <f t="shared" si="50"/>
        <v>1.3795018164260049E-2</v>
      </c>
      <c r="K66" s="23">
        <f t="shared" si="51"/>
        <v>0</v>
      </c>
      <c r="L66" s="324">
        <v>684086957.47000003</v>
      </c>
      <c r="M66" s="74">
        <v>1000</v>
      </c>
      <c r="N66" s="23">
        <f t="shared" si="52"/>
        <v>-8.972413787903635E-3</v>
      </c>
      <c r="O66" s="23">
        <f t="shared" si="53"/>
        <v>0</v>
      </c>
      <c r="P66" s="324">
        <v>691368696.91000009</v>
      </c>
      <c r="Q66" s="74">
        <v>1000</v>
      </c>
      <c r="R66" s="23">
        <f t="shared" si="54"/>
        <v>1.0644464655386141E-2</v>
      </c>
      <c r="S66" s="23">
        <f t="shared" si="55"/>
        <v>0</v>
      </c>
      <c r="T66" s="324">
        <v>833956636.2700001</v>
      </c>
      <c r="U66" s="74">
        <v>1000</v>
      </c>
      <c r="V66" s="23">
        <f t="shared" si="56"/>
        <v>0.20624008578531522</v>
      </c>
      <c r="W66" s="23">
        <f t="shared" si="57"/>
        <v>0</v>
      </c>
      <c r="X66" s="324">
        <v>844789670.44000006</v>
      </c>
      <c r="Y66" s="74">
        <v>1000</v>
      </c>
      <c r="Z66" s="23">
        <f t="shared" si="58"/>
        <v>1.2989925013910048E-2</v>
      </c>
      <c r="AA66" s="23">
        <f t="shared" si="59"/>
        <v>0</v>
      </c>
      <c r="AB66" s="324">
        <v>846444700.48000002</v>
      </c>
      <c r="AC66" s="74">
        <v>1000</v>
      </c>
      <c r="AD66" s="23">
        <f t="shared" si="60"/>
        <v>1.9591030737129591E-3</v>
      </c>
      <c r="AE66" s="23">
        <f t="shared" ref="AE66:AE81" si="69">((AC66-Y66)/Y66)</f>
        <v>0</v>
      </c>
      <c r="AF66" s="324">
        <v>847333711.23000002</v>
      </c>
      <c r="AG66" s="74">
        <v>1000</v>
      </c>
      <c r="AH66" s="23">
        <f t="shared" si="62"/>
        <v>1.0502880453925245E-3</v>
      </c>
      <c r="AI66" s="23">
        <f t="shared" ref="AI66:AI84" si="70">((AG66-AC66)/AC66)</f>
        <v>0</v>
      </c>
      <c r="AJ66" s="24">
        <f t="shared" si="16"/>
        <v>3.1579195970299734E-2</v>
      </c>
      <c r="AK66" s="24">
        <f t="shared" si="17"/>
        <v>0</v>
      </c>
      <c r="AL66" s="25">
        <f t="shared" si="18"/>
        <v>0.24445463957072647</v>
      </c>
      <c r="AM66" s="25">
        <f t="shared" si="19"/>
        <v>0</v>
      </c>
      <c r="AN66" s="378">
        <f t="shared" si="20"/>
        <v>7.1050904250570396E-2</v>
      </c>
      <c r="AO66" s="379">
        <f t="shared" si="21"/>
        <v>6.9264753423292104E-4</v>
      </c>
      <c r="AP66" s="30"/>
      <c r="AQ66" s="28">
        <v>3320655667.8400002</v>
      </c>
      <c r="AR66" s="32">
        <v>177.09</v>
      </c>
      <c r="AS66" s="29" t="e">
        <f>(#REF!/AQ66)-1</f>
        <v>#REF!</v>
      </c>
      <c r="AT66" s="29" t="e">
        <f>(#REF!/AR66)-1</f>
        <v>#REF!</v>
      </c>
    </row>
    <row r="67" spans="1:46">
      <c r="A67" s="200" t="s">
        <v>101</v>
      </c>
      <c r="B67" s="324">
        <v>273870818.58999997</v>
      </c>
      <c r="C67" s="74">
        <v>1103.94</v>
      </c>
      <c r="D67" s="324">
        <v>269425882.17000002</v>
      </c>
      <c r="E67" s="74">
        <v>1102.8900000000001</v>
      </c>
      <c r="F67" s="23">
        <f t="shared" si="48"/>
        <v>-1.623004759281885E-2</v>
      </c>
      <c r="G67" s="23">
        <f t="shared" si="49"/>
        <v>-9.5113864883956956E-4</v>
      </c>
      <c r="H67" s="324">
        <v>269910887.70999998</v>
      </c>
      <c r="I67" s="74">
        <v>1105.45</v>
      </c>
      <c r="J67" s="23">
        <f t="shared" si="50"/>
        <v>1.8001445744323006E-3</v>
      </c>
      <c r="K67" s="23">
        <f t="shared" si="51"/>
        <v>2.3211743691573458E-3</v>
      </c>
      <c r="L67" s="324">
        <v>239434316.24000001</v>
      </c>
      <c r="M67" s="74">
        <v>1106.8599999999999</v>
      </c>
      <c r="N67" s="23">
        <f t="shared" si="52"/>
        <v>-0.11291345721016217</v>
      </c>
      <c r="O67" s="23">
        <f t="shared" si="53"/>
        <v>1.2754986657016187E-3</v>
      </c>
      <c r="P67" s="324">
        <v>238946689.84999999</v>
      </c>
      <c r="Q67" s="74">
        <v>1104.68</v>
      </c>
      <c r="R67" s="23">
        <f t="shared" si="54"/>
        <v>-2.0365768685856921E-3</v>
      </c>
      <c r="S67" s="23">
        <f t="shared" si="55"/>
        <v>-1.9695354426032528E-3</v>
      </c>
      <c r="T67" s="324">
        <v>239002728</v>
      </c>
      <c r="U67" s="74">
        <v>1107.31</v>
      </c>
      <c r="V67" s="23">
        <f t="shared" si="56"/>
        <v>2.3452155807299191E-4</v>
      </c>
      <c r="W67" s="23">
        <f t="shared" si="57"/>
        <v>2.3807799543758205E-3</v>
      </c>
      <c r="X67" s="324">
        <v>239002728</v>
      </c>
      <c r="Y67" s="74">
        <v>1109.25</v>
      </c>
      <c r="Z67" s="23">
        <f t="shared" si="58"/>
        <v>0</v>
      </c>
      <c r="AA67" s="23">
        <f t="shared" si="59"/>
        <v>1.7519935700030297E-3</v>
      </c>
      <c r="AB67" s="324">
        <v>238202618.88999999</v>
      </c>
      <c r="AC67" s="74">
        <v>1105.19</v>
      </c>
      <c r="AD67" s="23">
        <f t="shared" si="60"/>
        <v>-3.347698650535965E-3</v>
      </c>
      <c r="AE67" s="23">
        <f t="shared" si="69"/>
        <v>-3.6601307189541993E-3</v>
      </c>
      <c r="AF67" s="324">
        <v>238658192.91</v>
      </c>
      <c r="AG67" s="74">
        <v>1107.9100000000001</v>
      </c>
      <c r="AH67" s="23">
        <f t="shared" si="62"/>
        <v>1.9125483259711392E-3</v>
      </c>
      <c r="AI67" s="23">
        <f t="shared" si="70"/>
        <v>2.4611152833449697E-3</v>
      </c>
      <c r="AJ67" s="24">
        <f t="shared" si="16"/>
        <v>-1.6322570732953279E-2</v>
      </c>
      <c r="AK67" s="24">
        <f t="shared" si="17"/>
        <v>4.5121962902322033E-4</v>
      </c>
      <c r="AL67" s="25">
        <f t="shared" si="18"/>
        <v>-0.11419722935373555</v>
      </c>
      <c r="AM67" s="25">
        <f t="shared" si="19"/>
        <v>4.5516778645195632E-3</v>
      </c>
      <c r="AN67" s="378">
        <f t="shared" si="20"/>
        <v>3.9467456458099529E-2</v>
      </c>
      <c r="AO67" s="379">
        <f t="shared" si="21"/>
        <v>2.2639190205992815E-3</v>
      </c>
      <c r="AP67" s="30"/>
      <c r="AQ67" s="46">
        <v>1300500308</v>
      </c>
      <c r="AR67" s="32">
        <v>1.19</v>
      </c>
      <c r="AS67" s="29" t="e">
        <f>(#REF!/AQ67)-1</f>
        <v>#REF!</v>
      </c>
      <c r="AT67" s="29" t="e">
        <f>(#REF!/AR67)-1</f>
        <v>#REF!</v>
      </c>
    </row>
    <row r="68" spans="1:46">
      <c r="A68" s="200" t="s">
        <v>169</v>
      </c>
      <c r="B68" s="324">
        <v>726108153.88</v>
      </c>
      <c r="C68" s="309">
        <v>1.0680000000000001</v>
      </c>
      <c r="D68" s="324">
        <v>728153784.57000005</v>
      </c>
      <c r="E68" s="309">
        <v>1.0680000000000001</v>
      </c>
      <c r="F68" s="23">
        <f t="shared" si="48"/>
        <v>2.8172534340361196E-3</v>
      </c>
      <c r="G68" s="23">
        <f t="shared" si="49"/>
        <v>0</v>
      </c>
      <c r="H68" s="324">
        <v>730810674.30999994</v>
      </c>
      <c r="I68" s="309">
        <v>1.0749</v>
      </c>
      <c r="J68" s="23">
        <f t="shared" si="50"/>
        <v>3.6488030362554187E-3</v>
      </c>
      <c r="K68" s="23">
        <f t="shared" si="51"/>
        <v>6.4606741573032828E-3</v>
      </c>
      <c r="L68" s="324">
        <v>729960653.96000004</v>
      </c>
      <c r="M68" s="309">
        <v>1.0738000000000001</v>
      </c>
      <c r="N68" s="23">
        <f t="shared" si="52"/>
        <v>-1.1631197790076854E-3</v>
      </c>
      <c r="O68" s="23">
        <f t="shared" si="53"/>
        <v>-1.0233510093961102E-3</v>
      </c>
      <c r="P68" s="324">
        <v>732100806.80999994</v>
      </c>
      <c r="Q68" s="309">
        <v>1.0758000000000001</v>
      </c>
      <c r="R68" s="23">
        <f t="shared" si="54"/>
        <v>2.9318742570434205E-3</v>
      </c>
      <c r="S68" s="23">
        <f t="shared" si="55"/>
        <v>1.8625442354255929E-3</v>
      </c>
      <c r="T68" s="324">
        <v>733640783.86000001</v>
      </c>
      <c r="U68" s="309">
        <v>1.0779000000000001</v>
      </c>
      <c r="V68" s="23">
        <f t="shared" si="56"/>
        <v>2.1035041017237088E-3</v>
      </c>
      <c r="W68" s="23">
        <f t="shared" si="57"/>
        <v>1.952035694366974E-3</v>
      </c>
      <c r="X68" s="324">
        <v>733430710.14999998</v>
      </c>
      <c r="Y68" s="309">
        <v>1.08</v>
      </c>
      <c r="Z68" s="23">
        <f t="shared" si="58"/>
        <v>-2.863441000304671E-4</v>
      </c>
      <c r="AA68" s="23">
        <f t="shared" si="59"/>
        <v>1.9482326746451347E-3</v>
      </c>
      <c r="AB68" s="324">
        <v>734101319.90999997</v>
      </c>
      <c r="AC68" s="309">
        <v>1.0808</v>
      </c>
      <c r="AD68" s="23">
        <f t="shared" si="60"/>
        <v>9.1434644161932966E-4</v>
      </c>
      <c r="AE68" s="23">
        <f t="shared" si="69"/>
        <v>7.4074074074065906E-4</v>
      </c>
      <c r="AF68" s="324">
        <v>735367361.01999998</v>
      </c>
      <c r="AG68" s="309">
        <v>1.0828</v>
      </c>
      <c r="AH68" s="23">
        <f t="shared" si="62"/>
        <v>1.7246135862488705E-3</v>
      </c>
      <c r="AI68" s="23">
        <f t="shared" si="70"/>
        <v>1.8504811250925257E-3</v>
      </c>
      <c r="AJ68" s="24">
        <f t="shared" si="16"/>
        <v>1.5863663722360893E-3</v>
      </c>
      <c r="AK68" s="24">
        <f t="shared" si="17"/>
        <v>1.7239197022722575E-3</v>
      </c>
      <c r="AL68" s="25">
        <f t="shared" si="18"/>
        <v>9.9066661505574603E-3</v>
      </c>
      <c r="AM68" s="25">
        <f t="shared" si="19"/>
        <v>1.3857677902621652E-2</v>
      </c>
      <c r="AN68" s="378">
        <f t="shared" si="20"/>
        <v>1.6640738539363824E-3</v>
      </c>
      <c r="AO68" s="379">
        <f t="shared" si="21"/>
        <v>2.1956277181719242E-3</v>
      </c>
      <c r="AP68" s="30"/>
      <c r="AQ68" s="31">
        <v>776682398.99000001</v>
      </c>
      <c r="AR68" s="35">
        <v>2.4700000000000002</v>
      </c>
      <c r="AS68" s="29" t="e">
        <f>(#REF!/AQ68)-1</f>
        <v>#REF!</v>
      </c>
      <c r="AT68" s="29" t="e">
        <f>(#REF!/AR68)-1</f>
        <v>#REF!</v>
      </c>
    </row>
    <row r="69" spans="1:46">
      <c r="A69" s="200" t="s">
        <v>208</v>
      </c>
      <c r="B69" s="324">
        <v>67540567273.980003</v>
      </c>
      <c r="C69" s="324">
        <v>1570.83</v>
      </c>
      <c r="D69" s="324">
        <v>68124092493</v>
      </c>
      <c r="E69" s="324">
        <v>1574.21</v>
      </c>
      <c r="F69" s="23">
        <f t="shared" si="48"/>
        <v>8.6396256734550658E-3</v>
      </c>
      <c r="G69" s="23">
        <f t="shared" si="49"/>
        <v>2.1517287039336586E-3</v>
      </c>
      <c r="H69" s="324">
        <v>68422476999.220001</v>
      </c>
      <c r="I69" s="324">
        <v>1577.56</v>
      </c>
      <c r="J69" s="23">
        <f t="shared" si="50"/>
        <v>4.3800144016694431E-3</v>
      </c>
      <c r="K69" s="23">
        <f t="shared" si="51"/>
        <v>2.1280515306089463E-3</v>
      </c>
      <c r="L69" s="324">
        <v>68110525693.080002</v>
      </c>
      <c r="M69" s="324">
        <v>1580.96</v>
      </c>
      <c r="N69" s="23">
        <f t="shared" si="52"/>
        <v>-4.5591934086741054E-3</v>
      </c>
      <c r="O69" s="23">
        <f t="shared" si="53"/>
        <v>2.1552270595096802E-3</v>
      </c>
      <c r="P69" s="324">
        <v>68177845484.519997</v>
      </c>
      <c r="Q69" s="324">
        <v>1584.3</v>
      </c>
      <c r="R69" s="23">
        <f t="shared" si="54"/>
        <v>9.8839042504754102E-4</v>
      </c>
      <c r="S69" s="23">
        <f t="shared" si="55"/>
        <v>2.1126404210099676E-3</v>
      </c>
      <c r="T69" s="324">
        <v>68800750738.429993</v>
      </c>
      <c r="U69" s="324">
        <v>1587.65</v>
      </c>
      <c r="V69" s="23">
        <f t="shared" si="56"/>
        <v>9.1364760720024328E-3</v>
      </c>
      <c r="W69" s="23">
        <f t="shared" si="57"/>
        <v>2.1144985166951565E-3</v>
      </c>
      <c r="X69" s="324">
        <v>68878687281.509995</v>
      </c>
      <c r="Y69" s="324">
        <v>1591.03</v>
      </c>
      <c r="Z69" s="23">
        <f t="shared" si="58"/>
        <v>1.1327862304338035E-3</v>
      </c>
      <c r="AA69" s="23">
        <f t="shared" si="59"/>
        <v>2.1289326992724351E-3</v>
      </c>
      <c r="AB69" s="324">
        <v>68823037503.279999</v>
      </c>
      <c r="AC69" s="324">
        <v>1594.587</v>
      </c>
      <c r="AD69" s="23">
        <f t="shared" si="60"/>
        <v>-8.0793900735292505E-4</v>
      </c>
      <c r="AE69" s="23">
        <f t="shared" si="69"/>
        <v>2.2356586613703176E-3</v>
      </c>
      <c r="AF69" s="324">
        <v>67861706466.300003</v>
      </c>
      <c r="AG69" s="324">
        <v>1598.07</v>
      </c>
      <c r="AH69" s="23">
        <f t="shared" si="62"/>
        <v>-1.396815763811907E-2</v>
      </c>
      <c r="AI69" s="23">
        <f t="shared" si="70"/>
        <v>2.1842646403112198E-3</v>
      </c>
      <c r="AJ69" s="24">
        <f t="shared" si="16"/>
        <v>6.1775034355777362E-4</v>
      </c>
      <c r="AK69" s="24">
        <f t="shared" si="17"/>
        <v>2.1513752790889226E-3</v>
      </c>
      <c r="AL69" s="25">
        <f t="shared" si="18"/>
        <v>-3.8515893144111693E-3</v>
      </c>
      <c r="AM69" s="25">
        <f t="shared" si="19"/>
        <v>1.5156808812038991E-2</v>
      </c>
      <c r="AN69" s="378">
        <f t="shared" si="20"/>
        <v>7.4934112688760761E-3</v>
      </c>
      <c r="AO69" s="379">
        <f t="shared" si="21"/>
        <v>1.0422921048258969E-3</v>
      </c>
      <c r="AP69" s="30"/>
      <c r="AQ69" s="28">
        <v>8144502990.9799995</v>
      </c>
      <c r="AR69" s="28">
        <v>2263.5700000000002</v>
      </c>
      <c r="AS69" s="29" t="e">
        <f>(#REF!/AQ69)-1</f>
        <v>#REF!</v>
      </c>
      <c r="AT69" s="29" t="e">
        <f>(#REF!/AR69)-1</f>
        <v>#REF!</v>
      </c>
    </row>
    <row r="70" spans="1:46">
      <c r="A70" s="200" t="s">
        <v>173</v>
      </c>
      <c r="B70" s="324">
        <v>22002935.899999999</v>
      </c>
      <c r="C70" s="324">
        <v>0.65500000000000003</v>
      </c>
      <c r="D70" s="324">
        <v>22023612.440000001</v>
      </c>
      <c r="E70" s="324">
        <v>0.65700000000000003</v>
      </c>
      <c r="F70" s="23">
        <f t="shared" si="48"/>
        <v>9.3971732199623563E-4</v>
      </c>
      <c r="G70" s="23">
        <f t="shared" si="49"/>
        <v>3.0534351145038194E-3</v>
      </c>
      <c r="H70" s="324">
        <v>21811897.09</v>
      </c>
      <c r="I70" s="324">
        <v>0.65739999999999998</v>
      </c>
      <c r="J70" s="23">
        <f t="shared" si="50"/>
        <v>-9.6131073218250606E-3</v>
      </c>
      <c r="K70" s="23">
        <f t="shared" si="51"/>
        <v>6.08828006088213E-4</v>
      </c>
      <c r="L70" s="324">
        <v>24462461.300000001</v>
      </c>
      <c r="M70" s="324">
        <v>0.73729999999999996</v>
      </c>
      <c r="N70" s="23">
        <f t="shared" si="52"/>
        <v>0.12151919656796807</v>
      </c>
      <c r="O70" s="23">
        <f t="shared" si="53"/>
        <v>0.12153939762701547</v>
      </c>
      <c r="P70" s="324">
        <v>24501160.52</v>
      </c>
      <c r="Q70" s="324">
        <v>0.73850000000000005</v>
      </c>
      <c r="R70" s="23">
        <f t="shared" si="54"/>
        <v>1.5819839028217003E-3</v>
      </c>
      <c r="S70" s="23">
        <f t="shared" si="55"/>
        <v>1.6275600162757222E-3</v>
      </c>
      <c r="T70" s="324">
        <v>24320763.870000001</v>
      </c>
      <c r="U70" s="324">
        <v>0.74070000000000003</v>
      </c>
      <c r="V70" s="23">
        <f t="shared" si="56"/>
        <v>-7.3627798100723806E-3</v>
      </c>
      <c r="W70" s="23">
        <f t="shared" si="57"/>
        <v>2.9790115098171695E-3</v>
      </c>
      <c r="X70" s="324">
        <v>24359543.829999998</v>
      </c>
      <c r="Y70" s="324">
        <v>0.7419</v>
      </c>
      <c r="Z70" s="23">
        <f t="shared" si="58"/>
        <v>1.594520641180715E-3</v>
      </c>
      <c r="AA70" s="23">
        <f t="shared" si="59"/>
        <v>1.620089104900741E-3</v>
      </c>
      <c r="AB70" s="324">
        <v>24417764.789999999</v>
      </c>
      <c r="AC70" s="324">
        <v>0.74370000000000003</v>
      </c>
      <c r="AD70" s="23">
        <f t="shared" si="60"/>
        <v>2.390067745369635E-3</v>
      </c>
      <c r="AE70" s="23">
        <f t="shared" si="69"/>
        <v>2.4262029923170559E-3</v>
      </c>
      <c r="AF70" s="324">
        <v>24476051.5</v>
      </c>
      <c r="AG70" s="324">
        <v>0.74550000000000005</v>
      </c>
      <c r="AH70" s="23">
        <f t="shared" si="62"/>
        <v>2.3870616537297268E-3</v>
      </c>
      <c r="AI70" s="23">
        <f t="shared" si="70"/>
        <v>2.4203307785397657E-3</v>
      </c>
      <c r="AJ70" s="24">
        <f t="shared" ref="AJ70:AJ133" si="71">AVERAGE(F70,J70,N70,R70,V70,Z70,AD70,AH70)</f>
        <v>1.4179582587646082E-2</v>
      </c>
      <c r="AK70" s="24">
        <f t="shared" ref="AK70:AK133" si="72">AVERAGE(G70,K70,O70,S70,W70,AA70,AE70,AI70)</f>
        <v>1.7034356893682243E-2</v>
      </c>
      <c r="AL70" s="25">
        <f t="shared" ref="AL70:AL133" si="73">((AF70-D70)/D70)</f>
        <v>0.11135498623040602</v>
      </c>
      <c r="AM70" s="25">
        <f t="shared" ref="AM70:AM133" si="74">((AG70-E70)/E70)</f>
        <v>0.13470319634703198</v>
      </c>
      <c r="AN70" s="378">
        <f t="shared" ref="AN70:AN133" si="75">STDEV(F70,J70,N70,R70,V70,Z70,AD70,AH70)</f>
        <v>4.3625666952762293E-2</v>
      </c>
      <c r="AO70" s="379">
        <f t="shared" ref="AO70:AO133" si="76">STDEV(G70,K70,O70,S70,W70,AA70,AD70,AI70)</f>
        <v>4.2235926291298402E-2</v>
      </c>
      <c r="AP70" s="30"/>
      <c r="AQ70" s="28"/>
      <c r="AR70" s="28"/>
      <c r="AS70" s="29"/>
      <c r="AT70" s="29"/>
    </row>
    <row r="71" spans="1:46">
      <c r="A71" s="200" t="s">
        <v>104</v>
      </c>
      <c r="B71" s="324">
        <v>1086513646.5999999</v>
      </c>
      <c r="C71" s="324">
        <v>206.556569</v>
      </c>
      <c r="D71" s="324">
        <v>1095965859.5899999</v>
      </c>
      <c r="E71" s="324">
        <v>207.33063000000001</v>
      </c>
      <c r="F71" s="23">
        <f t="shared" si="48"/>
        <v>8.6995805525117743E-3</v>
      </c>
      <c r="G71" s="23">
        <f t="shared" si="49"/>
        <v>3.7474528345792647E-3</v>
      </c>
      <c r="H71" s="324">
        <v>1091884936.3</v>
      </c>
      <c r="I71" s="324">
        <v>206.661044</v>
      </c>
      <c r="J71" s="23">
        <f t="shared" si="50"/>
        <v>-3.7235861448518411E-3</v>
      </c>
      <c r="K71" s="23">
        <f t="shared" si="51"/>
        <v>-3.2295565783020557E-3</v>
      </c>
      <c r="L71" s="324">
        <v>1094730397.6700001</v>
      </c>
      <c r="M71" s="324">
        <v>207.24935199999999</v>
      </c>
      <c r="N71" s="23">
        <f t="shared" si="52"/>
        <v>2.60600844961041E-3</v>
      </c>
      <c r="O71" s="23">
        <f t="shared" si="53"/>
        <v>2.8467290622996352E-3</v>
      </c>
      <c r="P71" s="324">
        <v>1099016772.3099999</v>
      </c>
      <c r="Q71" s="324">
        <v>207.824196</v>
      </c>
      <c r="R71" s="23">
        <f t="shared" si="54"/>
        <v>3.9154614223948572E-3</v>
      </c>
      <c r="S71" s="23">
        <f t="shared" si="55"/>
        <v>2.7736829787531159E-3</v>
      </c>
      <c r="T71" s="324">
        <v>1105250811.5599999</v>
      </c>
      <c r="U71" s="324">
        <v>208.34323599999999</v>
      </c>
      <c r="V71" s="23">
        <f t="shared" si="56"/>
        <v>5.6723786270311471E-3</v>
      </c>
      <c r="W71" s="23">
        <f t="shared" si="57"/>
        <v>2.4974955274215988E-3</v>
      </c>
      <c r="X71" s="324">
        <v>1091257758.5799999</v>
      </c>
      <c r="Y71" s="324">
        <v>209.015716</v>
      </c>
      <c r="Z71" s="23">
        <f t="shared" si="58"/>
        <v>-1.2660522691903393E-2</v>
      </c>
      <c r="AA71" s="23">
        <f t="shared" si="59"/>
        <v>3.2277505759774573E-3</v>
      </c>
      <c r="AB71" s="324">
        <v>1077476702.75</v>
      </c>
      <c r="AC71" s="324">
        <v>209.32974899999999</v>
      </c>
      <c r="AD71" s="23">
        <f t="shared" si="60"/>
        <v>-1.2628598258886639E-2</v>
      </c>
      <c r="AE71" s="23">
        <f t="shared" si="69"/>
        <v>1.5024372617033013E-3</v>
      </c>
      <c r="AF71" s="324">
        <v>1078924488.9400001</v>
      </c>
      <c r="AG71" s="324">
        <v>209.91264899999999</v>
      </c>
      <c r="AH71" s="23">
        <f t="shared" si="62"/>
        <v>1.3436821290937718E-3</v>
      </c>
      <c r="AI71" s="23">
        <f t="shared" si="70"/>
        <v>2.7846018197824098E-3</v>
      </c>
      <c r="AJ71" s="24">
        <f t="shared" si="71"/>
        <v>-8.4694948937498904E-4</v>
      </c>
      <c r="AK71" s="24">
        <f t="shared" si="72"/>
        <v>2.0188241852768405E-3</v>
      </c>
      <c r="AL71" s="25">
        <f t="shared" si="73"/>
        <v>-1.5549180205645295E-2</v>
      </c>
      <c r="AM71" s="25">
        <f t="shared" si="74"/>
        <v>1.2453630223377867E-2</v>
      </c>
      <c r="AN71" s="378">
        <f t="shared" si="75"/>
        <v>8.1036412981718778E-3</v>
      </c>
      <c r="AO71" s="379">
        <f t="shared" si="76"/>
        <v>5.6524603269584549E-3</v>
      </c>
      <c r="AP71" s="30"/>
      <c r="AQ71" s="28">
        <v>421796041.39999998</v>
      </c>
      <c r="AR71" s="28">
        <v>2004.5</v>
      </c>
      <c r="AS71" s="29" t="e">
        <f>(#REF!/AQ71)-1</f>
        <v>#REF!</v>
      </c>
      <c r="AT71" s="29" t="e">
        <f>(#REF!/AR71)-1</f>
        <v>#REF!</v>
      </c>
    </row>
    <row r="72" spans="1:46">
      <c r="A72" s="200" t="s">
        <v>111</v>
      </c>
      <c r="B72" s="324">
        <v>1240272704.6199999</v>
      </c>
      <c r="C72" s="325">
        <v>3.52</v>
      </c>
      <c r="D72" s="324">
        <v>1238484713.2</v>
      </c>
      <c r="E72" s="325">
        <v>3.52</v>
      </c>
      <c r="F72" s="23">
        <f t="shared" si="48"/>
        <v>-1.4416115208692353E-3</v>
      </c>
      <c r="G72" s="23">
        <f t="shared" si="49"/>
        <v>0</v>
      </c>
      <c r="H72" s="324">
        <v>1239596559.1500001</v>
      </c>
      <c r="I72" s="325">
        <v>3.52</v>
      </c>
      <c r="J72" s="23">
        <f t="shared" si="50"/>
        <v>8.9774701144857674E-4</v>
      </c>
      <c r="K72" s="23">
        <f t="shared" si="51"/>
        <v>0</v>
      </c>
      <c r="L72" s="324">
        <v>1240391795.21</v>
      </c>
      <c r="M72" s="325">
        <v>3.53</v>
      </c>
      <c r="N72" s="23">
        <f t="shared" si="52"/>
        <v>6.4152812794611306E-4</v>
      </c>
      <c r="O72" s="23">
        <f t="shared" si="53"/>
        <v>2.8409090909090303E-3</v>
      </c>
      <c r="P72" s="324">
        <v>1238385041.6700001</v>
      </c>
      <c r="Q72" s="325">
        <v>3.52</v>
      </c>
      <c r="R72" s="23">
        <f t="shared" si="54"/>
        <v>-1.6178384505197536E-3</v>
      </c>
      <c r="S72" s="23">
        <f t="shared" si="55"/>
        <v>-2.8328611898016396E-3</v>
      </c>
      <c r="T72" s="324">
        <v>1239709590.02</v>
      </c>
      <c r="U72" s="325">
        <v>3.53</v>
      </c>
      <c r="V72" s="23">
        <f t="shared" si="56"/>
        <v>1.0695771552712804E-3</v>
      </c>
      <c r="W72" s="23">
        <f t="shared" si="57"/>
        <v>2.8409090909090303E-3</v>
      </c>
      <c r="X72" s="324">
        <v>1241073655.5699999</v>
      </c>
      <c r="Y72" s="325">
        <v>3.53</v>
      </c>
      <c r="Z72" s="23">
        <f t="shared" si="58"/>
        <v>1.1003105573926762E-3</v>
      </c>
      <c r="AA72" s="23">
        <f t="shared" si="59"/>
        <v>0</v>
      </c>
      <c r="AB72" s="324">
        <v>1241376514.55</v>
      </c>
      <c r="AC72" s="325">
        <v>3.53</v>
      </c>
      <c r="AD72" s="23">
        <f t="shared" si="60"/>
        <v>2.4402981937516198E-4</v>
      </c>
      <c r="AE72" s="23">
        <f t="shared" si="69"/>
        <v>0</v>
      </c>
      <c r="AF72" s="324">
        <v>1241735100.0599999</v>
      </c>
      <c r="AG72" s="325">
        <v>3.54</v>
      </c>
      <c r="AH72" s="23">
        <f t="shared" si="62"/>
        <v>2.8886120028618234E-4</v>
      </c>
      <c r="AI72" s="23">
        <f t="shared" si="70"/>
        <v>2.8328611898017653E-3</v>
      </c>
      <c r="AJ72" s="24">
        <f t="shared" si="71"/>
        <v>1.4782548754137525E-4</v>
      </c>
      <c r="AK72" s="24">
        <f t="shared" si="72"/>
        <v>7.1022727272727329E-4</v>
      </c>
      <c r="AL72" s="25">
        <f t="shared" si="73"/>
        <v>2.6244868631454779E-3</v>
      </c>
      <c r="AM72" s="25">
        <f t="shared" si="74"/>
        <v>5.6818181818181872E-3</v>
      </c>
      <c r="AN72" s="378">
        <f t="shared" si="75"/>
        <v>1.0846990383131451E-3</v>
      </c>
      <c r="AO72" s="379">
        <f t="shared" si="76"/>
        <v>1.9950590826581325E-3</v>
      </c>
      <c r="AP72" s="30"/>
      <c r="AQ72" s="28"/>
      <c r="AR72" s="28"/>
      <c r="AS72" s="29"/>
      <c r="AT72" s="29"/>
    </row>
    <row r="73" spans="1:46">
      <c r="A73" s="200" t="s">
        <v>17</v>
      </c>
      <c r="B73" s="324">
        <v>1438164301</v>
      </c>
      <c r="C73" s="325">
        <v>98.34</v>
      </c>
      <c r="D73" s="324">
        <v>1495093252</v>
      </c>
      <c r="E73" s="325">
        <v>98.54</v>
      </c>
      <c r="F73" s="23">
        <f t="shared" si="48"/>
        <v>3.9584455656711509E-2</v>
      </c>
      <c r="G73" s="23">
        <f t="shared" si="49"/>
        <v>2.0337604230221966E-3</v>
      </c>
      <c r="H73" s="324">
        <v>1498041425.8900001</v>
      </c>
      <c r="I73" s="325">
        <v>98.54</v>
      </c>
      <c r="J73" s="23">
        <f t="shared" si="50"/>
        <v>1.9718996698408647E-3</v>
      </c>
      <c r="K73" s="23">
        <f t="shared" si="51"/>
        <v>0</v>
      </c>
      <c r="L73" s="324">
        <v>1556105151.3299999</v>
      </c>
      <c r="M73" s="325">
        <v>98.89</v>
      </c>
      <c r="N73" s="23">
        <f t="shared" si="52"/>
        <v>3.8759759534355752E-2</v>
      </c>
      <c r="O73" s="23">
        <f t="shared" si="53"/>
        <v>3.551857113862333E-3</v>
      </c>
      <c r="P73" s="324">
        <v>1559497895.6099999</v>
      </c>
      <c r="Q73" s="325">
        <v>99.06</v>
      </c>
      <c r="R73" s="23">
        <f t="shared" si="54"/>
        <v>2.1802795762871164E-3</v>
      </c>
      <c r="S73" s="23">
        <f t="shared" si="55"/>
        <v>1.7190818080695894E-3</v>
      </c>
      <c r="T73" s="324">
        <v>1562880828</v>
      </c>
      <c r="U73" s="325">
        <v>99.23</v>
      </c>
      <c r="V73" s="23">
        <f t="shared" si="56"/>
        <v>2.1692446007930432E-3</v>
      </c>
      <c r="W73" s="23">
        <f t="shared" si="57"/>
        <v>1.7161316373914971E-3</v>
      </c>
      <c r="X73" s="324">
        <v>1628529503</v>
      </c>
      <c r="Y73" s="325">
        <v>99.4</v>
      </c>
      <c r="Z73" s="23">
        <f t="shared" si="58"/>
        <v>4.2004914145635674E-2</v>
      </c>
      <c r="AA73" s="23">
        <f t="shared" si="59"/>
        <v>1.7131915751285064E-3</v>
      </c>
      <c r="AB73" s="324">
        <v>1843111545</v>
      </c>
      <c r="AC73" s="325">
        <v>99.57</v>
      </c>
      <c r="AD73" s="23">
        <f t="shared" si="60"/>
        <v>0.13176429509241749</v>
      </c>
      <c r="AE73" s="23">
        <f t="shared" si="69"/>
        <v>1.710261569416373E-3</v>
      </c>
      <c r="AF73" s="324">
        <v>1902752887</v>
      </c>
      <c r="AG73" s="325">
        <v>99.75</v>
      </c>
      <c r="AH73" s="23">
        <f t="shared" si="62"/>
        <v>3.235905182287814E-2</v>
      </c>
      <c r="AI73" s="23">
        <f t="shared" si="70"/>
        <v>1.8077734257307104E-3</v>
      </c>
      <c r="AJ73" s="24">
        <f t="shared" si="71"/>
        <v>3.6349237512364949E-2</v>
      </c>
      <c r="AK73" s="24">
        <f t="shared" si="72"/>
        <v>1.7815071940776505E-3</v>
      </c>
      <c r="AL73" s="25">
        <f t="shared" si="73"/>
        <v>0.27266502236878531</v>
      </c>
      <c r="AM73" s="25">
        <f t="shared" si="74"/>
        <v>1.2279277450781344E-2</v>
      </c>
      <c r="AN73" s="378">
        <f t="shared" si="75"/>
        <v>4.2570629856901285E-2</v>
      </c>
      <c r="AO73" s="379">
        <f t="shared" si="76"/>
        <v>4.5962179734488622E-2</v>
      </c>
      <c r="AP73" s="30"/>
      <c r="AQ73" s="28"/>
      <c r="AR73" s="28"/>
      <c r="AS73" s="29"/>
      <c r="AT73" s="29"/>
    </row>
    <row r="74" spans="1:46">
      <c r="A74" s="200" t="s">
        <v>218</v>
      </c>
      <c r="B74" s="324">
        <v>1590575958.4400001</v>
      </c>
      <c r="C74" s="325">
        <v>331.60899999999998</v>
      </c>
      <c r="D74" s="324">
        <v>1593305292.3699999</v>
      </c>
      <c r="E74" s="325">
        <v>332.15899999999999</v>
      </c>
      <c r="F74" s="23">
        <f t="shared" si="48"/>
        <v>1.7159406411981076E-3</v>
      </c>
      <c r="G74" s="23">
        <f t="shared" si="49"/>
        <v>1.6585798334786191E-3</v>
      </c>
      <c r="H74" s="324">
        <v>1602138262.8</v>
      </c>
      <c r="I74" s="325">
        <v>333.03309999999999</v>
      </c>
      <c r="J74" s="23">
        <f t="shared" si="50"/>
        <v>5.5438028557987492E-3</v>
      </c>
      <c r="K74" s="23">
        <f t="shared" si="51"/>
        <v>2.6315710247200846E-3</v>
      </c>
      <c r="L74" s="324">
        <v>1605116985.9200001</v>
      </c>
      <c r="M74" s="325">
        <v>333.71339999999998</v>
      </c>
      <c r="N74" s="23">
        <f t="shared" si="52"/>
        <v>1.859217265552547E-3</v>
      </c>
      <c r="O74" s="23">
        <f t="shared" si="53"/>
        <v>2.0427398958241341E-3</v>
      </c>
      <c r="P74" s="324">
        <v>1608678919.3699999</v>
      </c>
      <c r="Q74" s="325">
        <v>334.36259999999999</v>
      </c>
      <c r="R74" s="23">
        <f t="shared" si="54"/>
        <v>2.2191114300358777E-3</v>
      </c>
      <c r="S74" s="23">
        <f t="shared" si="55"/>
        <v>1.9453818755854801E-3</v>
      </c>
      <c r="T74" s="324">
        <v>1612317551.0599999</v>
      </c>
      <c r="U74" s="325">
        <v>335.0718</v>
      </c>
      <c r="V74" s="23">
        <f t="shared" si="56"/>
        <v>2.2618756584595759E-3</v>
      </c>
      <c r="W74" s="23">
        <f t="shared" si="57"/>
        <v>2.1210506198959147E-3</v>
      </c>
      <c r="X74" s="324">
        <v>1615719154.46</v>
      </c>
      <c r="Y74" s="325">
        <v>335.75069999999999</v>
      </c>
      <c r="Z74" s="23">
        <f t="shared" si="58"/>
        <v>2.1097602006278165E-3</v>
      </c>
      <c r="AA74" s="23">
        <f t="shared" si="59"/>
        <v>2.0261329064397504E-3</v>
      </c>
      <c r="AB74" s="324">
        <v>1619868695.73</v>
      </c>
      <c r="AC74" s="325">
        <v>336.42939999999999</v>
      </c>
      <c r="AD74" s="23">
        <f t="shared" si="60"/>
        <v>2.5682317737867172E-3</v>
      </c>
      <c r="AE74" s="23">
        <f t="shared" si="69"/>
        <v>2.0214403127081851E-3</v>
      </c>
      <c r="AF74" s="324">
        <v>1630476177.47</v>
      </c>
      <c r="AG74" s="325">
        <v>337.14120000000003</v>
      </c>
      <c r="AH74" s="23">
        <f t="shared" si="62"/>
        <v>6.5483589922822154E-3</v>
      </c>
      <c r="AI74" s="23">
        <f t="shared" si="70"/>
        <v>2.1157485047384066E-3</v>
      </c>
      <c r="AJ74" s="24">
        <f t="shared" si="71"/>
        <v>3.1032873522177005E-3</v>
      </c>
      <c r="AK74" s="24">
        <f t="shared" si="72"/>
        <v>2.0703306216738222E-3</v>
      </c>
      <c r="AL74" s="25">
        <f t="shared" si="73"/>
        <v>2.3329417957753361E-2</v>
      </c>
      <c r="AM74" s="25">
        <f t="shared" si="74"/>
        <v>1.4999443037822352E-2</v>
      </c>
      <c r="AN74" s="378">
        <f t="shared" si="75"/>
        <v>1.8539609018154931E-3</v>
      </c>
      <c r="AO74" s="379">
        <f t="shared" si="76"/>
        <v>3.2027323686932698E-4</v>
      </c>
      <c r="AP74" s="30"/>
      <c r="AQ74" s="28"/>
      <c r="AR74" s="28"/>
      <c r="AS74" s="29"/>
      <c r="AT74" s="29"/>
    </row>
    <row r="75" spans="1:46" s="86" customFormat="1">
      <c r="A75" s="201" t="s">
        <v>91</v>
      </c>
      <c r="B75" s="324">
        <v>54337092.950000003</v>
      </c>
      <c r="C75" s="324">
        <v>12.185290999999999</v>
      </c>
      <c r="D75" s="324">
        <v>54436842.740000002</v>
      </c>
      <c r="E75" s="324">
        <v>12.210243</v>
      </c>
      <c r="F75" s="23">
        <f t="shared" si="48"/>
        <v>1.835758679467579E-3</v>
      </c>
      <c r="G75" s="23">
        <f t="shared" si="49"/>
        <v>2.0477147406656724E-3</v>
      </c>
      <c r="H75" s="324">
        <v>54516515.490000002</v>
      </c>
      <c r="I75" s="324">
        <v>12.235182</v>
      </c>
      <c r="J75" s="23">
        <f t="shared" si="50"/>
        <v>1.4635813906499163E-3</v>
      </c>
      <c r="K75" s="23">
        <f t="shared" si="51"/>
        <v>2.0424654939299588E-3</v>
      </c>
      <c r="L75" s="324">
        <v>54441154.880000003</v>
      </c>
      <c r="M75" s="324">
        <v>12.261231</v>
      </c>
      <c r="N75" s="23">
        <f t="shared" si="52"/>
        <v>-1.3823445853545582E-3</v>
      </c>
      <c r="O75" s="23">
        <f t="shared" si="53"/>
        <v>2.1290243169247857E-3</v>
      </c>
      <c r="P75" s="324">
        <v>53284003.439999998</v>
      </c>
      <c r="Q75" s="324">
        <v>12.019235</v>
      </c>
      <c r="R75" s="23">
        <f t="shared" si="54"/>
        <v>-2.1255086203637953E-2</v>
      </c>
      <c r="S75" s="23">
        <f t="shared" si="55"/>
        <v>-1.9736680599199242E-2</v>
      </c>
      <c r="T75" s="324">
        <v>53465315</v>
      </c>
      <c r="U75" s="324">
        <v>12.208850999999999</v>
      </c>
      <c r="V75" s="23">
        <f t="shared" si="56"/>
        <v>3.4027390641577209E-3</v>
      </c>
      <c r="W75" s="23">
        <f t="shared" si="57"/>
        <v>1.5776045646831858E-2</v>
      </c>
      <c r="X75" s="324">
        <v>54550546.329999998</v>
      </c>
      <c r="Y75" s="324">
        <v>12.456351</v>
      </c>
      <c r="Z75" s="23">
        <f t="shared" si="58"/>
        <v>2.0297857218273159E-2</v>
      </c>
      <c r="AA75" s="23">
        <f t="shared" si="59"/>
        <v>2.0272177946966549E-2</v>
      </c>
      <c r="AB75" s="324">
        <v>53822386.369999997</v>
      </c>
      <c r="AC75" s="324">
        <v>12.294418</v>
      </c>
      <c r="AD75" s="23">
        <f t="shared" si="60"/>
        <v>-1.3348353206126377E-2</v>
      </c>
      <c r="AE75" s="23">
        <f t="shared" si="69"/>
        <v>-1.3000035082505258E-2</v>
      </c>
      <c r="AF75" s="324">
        <v>54494158.990000002</v>
      </c>
      <c r="AG75" s="324">
        <v>12.317397</v>
      </c>
      <c r="AH75" s="23">
        <f t="shared" si="62"/>
        <v>1.2481286418293103E-2</v>
      </c>
      <c r="AI75" s="23">
        <f t="shared" si="70"/>
        <v>1.869059600869225E-3</v>
      </c>
      <c r="AJ75" s="24">
        <f t="shared" si="71"/>
        <v>4.3692984696532379E-4</v>
      </c>
      <c r="AK75" s="24">
        <f t="shared" si="72"/>
        <v>1.4249715080604439E-3</v>
      </c>
      <c r="AL75" s="25">
        <f t="shared" si="73"/>
        <v>1.0528944574128326E-3</v>
      </c>
      <c r="AM75" s="25">
        <f t="shared" si="74"/>
        <v>8.7757467234681179E-3</v>
      </c>
      <c r="AN75" s="378">
        <f t="shared" si="75"/>
        <v>1.3175827812035214E-2</v>
      </c>
      <c r="AO75" s="379">
        <f t="shared" si="76"/>
        <v>1.3248633403193643E-2</v>
      </c>
      <c r="AP75" s="30"/>
      <c r="AQ75" s="28"/>
      <c r="AR75" s="28"/>
      <c r="AS75" s="29"/>
      <c r="AT75" s="29"/>
    </row>
    <row r="76" spans="1:46" s="86" customFormat="1">
      <c r="A76" s="200" t="s">
        <v>35</v>
      </c>
      <c r="B76" s="324">
        <v>6929466173.9799995</v>
      </c>
      <c r="C76" s="325">
        <v>1.06</v>
      </c>
      <c r="D76" s="324">
        <v>6801706994.4700003</v>
      </c>
      <c r="E76" s="325">
        <v>1.07</v>
      </c>
      <c r="F76" s="23">
        <f t="shared" si="48"/>
        <v>-1.8437088269473385E-2</v>
      </c>
      <c r="G76" s="23">
        <f t="shared" si="49"/>
        <v>9.4339622641509517E-3</v>
      </c>
      <c r="H76" s="324">
        <v>6704579972.3500004</v>
      </c>
      <c r="I76" s="325">
        <v>1.07</v>
      </c>
      <c r="J76" s="23">
        <f t="shared" si="50"/>
        <v>-1.4279800967458196E-2</v>
      </c>
      <c r="K76" s="23">
        <f t="shared" si="51"/>
        <v>0</v>
      </c>
      <c r="L76" s="324">
        <v>6823983116.5</v>
      </c>
      <c r="M76" s="325">
        <v>1.07</v>
      </c>
      <c r="N76" s="23">
        <f t="shared" si="52"/>
        <v>1.780919082812402E-2</v>
      </c>
      <c r="O76" s="23">
        <f t="shared" si="53"/>
        <v>0</v>
      </c>
      <c r="P76" s="324">
        <v>6848328822.8699999</v>
      </c>
      <c r="Q76" s="325">
        <v>1.07</v>
      </c>
      <c r="R76" s="23">
        <f t="shared" si="54"/>
        <v>3.5676680253111065E-3</v>
      </c>
      <c r="S76" s="23">
        <f t="shared" si="55"/>
        <v>0</v>
      </c>
      <c r="T76" s="324">
        <v>6799734507.5799999</v>
      </c>
      <c r="U76" s="325">
        <v>1.07</v>
      </c>
      <c r="V76" s="23">
        <f t="shared" si="56"/>
        <v>-7.0957917686018824E-3</v>
      </c>
      <c r="W76" s="23">
        <f t="shared" si="57"/>
        <v>0</v>
      </c>
      <c r="X76" s="324">
        <v>6898544936.5</v>
      </c>
      <c r="Y76" s="325">
        <v>1.08</v>
      </c>
      <c r="Z76" s="23">
        <f t="shared" si="58"/>
        <v>1.4531512783308114E-2</v>
      </c>
      <c r="AA76" s="23">
        <f t="shared" si="59"/>
        <v>9.3457943925233725E-3</v>
      </c>
      <c r="AB76" s="324">
        <v>6916985113.8599997</v>
      </c>
      <c r="AC76" s="325">
        <v>1.08</v>
      </c>
      <c r="AD76" s="23">
        <f t="shared" si="60"/>
        <v>2.6730531626217606E-3</v>
      </c>
      <c r="AE76" s="23">
        <f t="shared" si="69"/>
        <v>0</v>
      </c>
      <c r="AF76" s="324">
        <v>6940211930.1499996</v>
      </c>
      <c r="AG76" s="325">
        <v>1.08</v>
      </c>
      <c r="AH76" s="23">
        <f t="shared" si="62"/>
        <v>3.3579393200455099E-3</v>
      </c>
      <c r="AI76" s="23">
        <f t="shared" si="70"/>
        <v>0</v>
      </c>
      <c r="AJ76" s="24">
        <f t="shared" si="71"/>
        <v>2.6583538923463082E-4</v>
      </c>
      <c r="AK76" s="24">
        <f t="shared" si="72"/>
        <v>2.3474695820842905E-3</v>
      </c>
      <c r="AL76" s="25">
        <f t="shared" si="73"/>
        <v>2.0363261133213791E-2</v>
      </c>
      <c r="AM76" s="25">
        <f t="shared" si="74"/>
        <v>9.3457943925233725E-3</v>
      </c>
      <c r="AN76" s="378">
        <f t="shared" si="75"/>
        <v>1.2834691933899288E-2</v>
      </c>
      <c r="AO76" s="379">
        <f t="shared" si="76"/>
        <v>4.2419814927879239E-3</v>
      </c>
      <c r="AP76" s="30"/>
      <c r="AQ76" s="28"/>
      <c r="AR76" s="28"/>
      <c r="AS76" s="29"/>
      <c r="AT76" s="29"/>
    </row>
    <row r="77" spans="1:46" s="86" customFormat="1">
      <c r="A77" s="201" t="s">
        <v>68</v>
      </c>
      <c r="B77" s="324">
        <v>23516963909.889999</v>
      </c>
      <c r="C77" s="324">
        <v>4807.91</v>
      </c>
      <c r="D77" s="324">
        <v>23516963909.889999</v>
      </c>
      <c r="E77" s="324">
        <v>4816.7299999999996</v>
      </c>
      <c r="F77" s="23">
        <f t="shared" si="48"/>
        <v>0</v>
      </c>
      <c r="G77" s="23">
        <f t="shared" si="49"/>
        <v>1.834476934884328E-3</v>
      </c>
      <c r="H77" s="324">
        <v>23855043896.099998</v>
      </c>
      <c r="I77" s="324">
        <v>4825.1899999999996</v>
      </c>
      <c r="J77" s="23">
        <f t="shared" si="50"/>
        <v>1.437600480680333E-2</v>
      </c>
      <c r="K77" s="23">
        <f t="shared" si="51"/>
        <v>1.7563782898356432E-3</v>
      </c>
      <c r="L77" s="324">
        <v>23689166145.139999</v>
      </c>
      <c r="M77" s="324">
        <v>4831.76</v>
      </c>
      <c r="N77" s="23">
        <f t="shared" si="52"/>
        <v>-6.9535713990917462E-3</v>
      </c>
      <c r="O77" s="23">
        <f t="shared" si="53"/>
        <v>1.3616044135050887E-3</v>
      </c>
      <c r="P77" s="324">
        <v>23580318049.25</v>
      </c>
      <c r="Q77" s="324">
        <v>4839.88</v>
      </c>
      <c r="R77" s="23">
        <f t="shared" si="54"/>
        <v>-4.594847080015535E-3</v>
      </c>
      <c r="S77" s="23">
        <f t="shared" si="55"/>
        <v>1.6805470470387376E-3</v>
      </c>
      <c r="T77" s="324">
        <v>23613181095.549999</v>
      </c>
      <c r="U77" s="324">
        <v>4849.05</v>
      </c>
      <c r="V77" s="23">
        <f t="shared" si="56"/>
        <v>1.3936642513201591E-3</v>
      </c>
      <c r="W77" s="23">
        <f t="shared" si="57"/>
        <v>1.8946750745886412E-3</v>
      </c>
      <c r="X77" s="324">
        <v>23286436958.360001</v>
      </c>
      <c r="Y77" s="324">
        <v>4857.97</v>
      </c>
      <c r="Z77" s="23">
        <f t="shared" si="58"/>
        <v>-1.3837362101609211E-2</v>
      </c>
      <c r="AA77" s="23">
        <f t="shared" si="59"/>
        <v>1.8395355791340721E-3</v>
      </c>
      <c r="AB77" s="324">
        <v>23343807338.52</v>
      </c>
      <c r="AC77" s="324">
        <v>4867</v>
      </c>
      <c r="AD77" s="23">
        <f t="shared" si="60"/>
        <v>2.4636821967477279E-3</v>
      </c>
      <c r="AE77" s="23">
        <f t="shared" si="69"/>
        <v>1.8588011041648558E-3</v>
      </c>
      <c r="AF77" s="324">
        <v>23208204023.669998</v>
      </c>
      <c r="AG77" s="324">
        <v>4876</v>
      </c>
      <c r="AH77" s="23">
        <f t="shared" si="62"/>
        <v>-5.8089630745984198E-3</v>
      </c>
      <c r="AI77" s="23">
        <f t="shared" si="70"/>
        <v>1.8491884117526197E-3</v>
      </c>
      <c r="AJ77" s="24">
        <f t="shared" si="71"/>
        <v>-1.620174050055462E-3</v>
      </c>
      <c r="AK77" s="24">
        <f t="shared" si="72"/>
        <v>1.7594008568629982E-3</v>
      </c>
      <c r="AL77" s="25">
        <f t="shared" si="73"/>
        <v>-1.3129240976984832E-2</v>
      </c>
      <c r="AM77" s="25">
        <f t="shared" si="74"/>
        <v>1.2305028515196086E-2</v>
      </c>
      <c r="AN77" s="378">
        <f t="shared" si="75"/>
        <v>8.3526150688744503E-3</v>
      </c>
      <c r="AO77" s="379">
        <f t="shared" si="76"/>
        <v>3.0546569680491958E-4</v>
      </c>
      <c r="AP77" s="30"/>
      <c r="AQ77" s="28"/>
      <c r="AR77" s="28"/>
      <c r="AS77" s="29"/>
      <c r="AT77" s="29"/>
    </row>
    <row r="78" spans="1:46" s="103" customFormat="1" ht="15.75" customHeight="1">
      <c r="A78" s="200" t="s">
        <v>16</v>
      </c>
      <c r="B78" s="324">
        <v>43147921227.25</v>
      </c>
      <c r="C78" s="325">
        <v>252.1</v>
      </c>
      <c r="D78" s="324">
        <v>42925703021.760002</v>
      </c>
      <c r="E78" s="325">
        <v>252.32</v>
      </c>
      <c r="F78" s="23">
        <f t="shared" si="48"/>
        <v>-5.1501485858293523E-3</v>
      </c>
      <c r="G78" s="23">
        <f t="shared" si="49"/>
        <v>8.7266957556524744E-4</v>
      </c>
      <c r="H78" s="324">
        <v>42821136887.169998</v>
      </c>
      <c r="I78" s="325">
        <v>252.53</v>
      </c>
      <c r="J78" s="23">
        <f t="shared" si="50"/>
        <v>-2.4359795467297773E-3</v>
      </c>
      <c r="K78" s="23">
        <f t="shared" si="51"/>
        <v>8.3227647431835744E-4</v>
      </c>
      <c r="L78" s="324">
        <v>42821136887.169998</v>
      </c>
      <c r="M78" s="325">
        <v>252.71</v>
      </c>
      <c r="N78" s="23">
        <f t="shared" si="52"/>
        <v>0</v>
      </c>
      <c r="O78" s="23">
        <f t="shared" si="53"/>
        <v>7.1278659961195436E-4</v>
      </c>
      <c r="P78" s="324">
        <v>42370756036.150002</v>
      </c>
      <c r="Q78" s="325">
        <v>252.91</v>
      </c>
      <c r="R78" s="23">
        <f t="shared" si="54"/>
        <v>-1.0517722876128005E-2</v>
      </c>
      <c r="S78" s="23">
        <f t="shared" si="55"/>
        <v>7.914209963989895E-4</v>
      </c>
      <c r="T78" s="324">
        <v>41184874137.290001</v>
      </c>
      <c r="U78" s="325">
        <v>253.22</v>
      </c>
      <c r="V78" s="23">
        <f t="shared" si="56"/>
        <v>-2.7988216633383332E-2</v>
      </c>
      <c r="W78" s="23">
        <f t="shared" si="57"/>
        <v>1.2257324740026186E-3</v>
      </c>
      <c r="X78" s="324">
        <v>41243661733.230003</v>
      </c>
      <c r="Y78" s="325">
        <v>253.44</v>
      </c>
      <c r="Z78" s="23">
        <f t="shared" si="58"/>
        <v>1.427407444394116E-3</v>
      </c>
      <c r="AA78" s="23">
        <f t="shared" si="59"/>
        <v>8.68809730668979E-4</v>
      </c>
      <c r="AB78" s="324">
        <v>41112024297.589996</v>
      </c>
      <c r="AC78" s="325">
        <v>253.63</v>
      </c>
      <c r="AD78" s="23">
        <f t="shared" si="60"/>
        <v>-3.1917009816309978E-3</v>
      </c>
      <c r="AE78" s="23">
        <f t="shared" si="69"/>
        <v>7.4968434343433449E-4</v>
      </c>
      <c r="AF78" s="324">
        <v>39018656370.849998</v>
      </c>
      <c r="AG78" s="325">
        <v>253.8</v>
      </c>
      <c r="AH78" s="23">
        <f t="shared" si="62"/>
        <v>-5.0918629342771429E-2</v>
      </c>
      <c r="AI78" s="23">
        <f t="shared" si="70"/>
        <v>6.7026771281006163E-4</v>
      </c>
      <c r="AJ78" s="24">
        <f t="shared" si="71"/>
        <v>-1.2346873815259847E-2</v>
      </c>
      <c r="AK78" s="24">
        <f t="shared" si="72"/>
        <v>8.4045598835131782E-4</v>
      </c>
      <c r="AL78" s="25">
        <f t="shared" si="73"/>
        <v>-9.1018815671567083E-2</v>
      </c>
      <c r="AM78" s="25">
        <f t="shared" si="74"/>
        <v>5.8655675332911312E-3</v>
      </c>
      <c r="AN78" s="378">
        <f t="shared" si="75"/>
        <v>1.8172937921378092E-2</v>
      </c>
      <c r="AO78" s="379">
        <f t="shared" si="76"/>
        <v>1.4399647576359895E-3</v>
      </c>
      <c r="AP78" s="30"/>
      <c r="AQ78" s="28"/>
      <c r="AR78" s="28"/>
      <c r="AS78" s="29"/>
      <c r="AT78" s="29"/>
    </row>
    <row r="79" spans="1:46" s="103" customFormat="1" ht="15.75" customHeight="1">
      <c r="A79" s="201" t="s">
        <v>69</v>
      </c>
      <c r="B79" s="324">
        <v>279807917.74000001</v>
      </c>
      <c r="C79" s="324">
        <v>4979.83</v>
      </c>
      <c r="D79" s="324">
        <v>262008535.52000001</v>
      </c>
      <c r="E79" s="324">
        <v>5006.29</v>
      </c>
      <c r="F79" s="23">
        <f t="shared" si="48"/>
        <v>-6.3612861150481606E-2</v>
      </c>
      <c r="G79" s="23">
        <f t="shared" si="49"/>
        <v>5.3134343943468023E-3</v>
      </c>
      <c r="H79" s="324">
        <v>261807491.52000001</v>
      </c>
      <c r="I79" s="324">
        <v>5006.32</v>
      </c>
      <c r="J79" s="23">
        <f t="shared" si="50"/>
        <v>-7.6731851350183829E-4</v>
      </c>
      <c r="K79" s="23">
        <f t="shared" si="51"/>
        <v>5.9924614834029471E-6</v>
      </c>
      <c r="L79" s="324">
        <v>261813984.41</v>
      </c>
      <c r="M79" s="324">
        <v>5006.41</v>
      </c>
      <c r="N79" s="23">
        <f t="shared" si="52"/>
        <v>2.4800245257648364E-5</v>
      </c>
      <c r="O79" s="23">
        <f t="shared" si="53"/>
        <v>1.7977276722252179E-5</v>
      </c>
      <c r="P79" s="324">
        <v>263397884.80000001</v>
      </c>
      <c r="Q79" s="324">
        <v>5036.78</v>
      </c>
      <c r="R79" s="23">
        <f t="shared" si="54"/>
        <v>6.0497165327870021E-3</v>
      </c>
      <c r="S79" s="23">
        <f t="shared" si="55"/>
        <v>6.066223101983236E-3</v>
      </c>
      <c r="T79" s="324">
        <v>267730392.02000001</v>
      </c>
      <c r="U79" s="324">
        <v>5119.99</v>
      </c>
      <c r="V79" s="23">
        <f t="shared" si="56"/>
        <v>1.6448527000471943E-2</v>
      </c>
      <c r="W79" s="23">
        <f t="shared" si="57"/>
        <v>1.6520475383082055E-2</v>
      </c>
      <c r="X79" s="324">
        <v>270331436.44999999</v>
      </c>
      <c r="Y79" s="324">
        <v>5169.93</v>
      </c>
      <c r="Z79" s="23">
        <f t="shared" si="58"/>
        <v>9.7151631175502635E-3</v>
      </c>
      <c r="AA79" s="23">
        <f t="shared" si="59"/>
        <v>9.7539253006354524E-3</v>
      </c>
      <c r="AB79" s="324">
        <v>267731573.99000001</v>
      </c>
      <c r="AC79" s="325">
        <v>5119.92</v>
      </c>
      <c r="AD79" s="23">
        <f t="shared" si="60"/>
        <v>-9.617314560753442E-3</v>
      </c>
      <c r="AE79" s="23">
        <f t="shared" si="69"/>
        <v>-9.6732450922933609E-3</v>
      </c>
      <c r="AF79" s="324">
        <v>267181736.63999999</v>
      </c>
      <c r="AG79" s="74">
        <v>5109.29</v>
      </c>
      <c r="AH79" s="23">
        <f t="shared" si="62"/>
        <v>-2.0536888563638771E-3</v>
      </c>
      <c r="AI79" s="23">
        <f t="shared" si="70"/>
        <v>-2.0762043156924538E-3</v>
      </c>
      <c r="AJ79" s="24">
        <f t="shared" si="71"/>
        <v>-5.4766220231292385E-3</v>
      </c>
      <c r="AK79" s="24">
        <f t="shared" si="72"/>
        <v>3.2410723137834231E-3</v>
      </c>
      <c r="AL79" s="25">
        <f t="shared" si="73"/>
        <v>1.9744399203380482E-2</v>
      </c>
      <c r="AM79" s="25">
        <f t="shared" si="74"/>
        <v>2.0574117759858099E-2</v>
      </c>
      <c r="AN79" s="378">
        <f t="shared" si="75"/>
        <v>2.4800594084250015E-2</v>
      </c>
      <c r="AO79" s="379">
        <f t="shared" si="76"/>
        <v>7.977658065627868E-3</v>
      </c>
      <c r="AP79" s="30"/>
      <c r="AQ79" s="28"/>
      <c r="AR79" s="28"/>
      <c r="AS79" s="29"/>
      <c r="AT79" s="29"/>
    </row>
    <row r="80" spans="1:46" s="283" customFormat="1" ht="15.75" customHeight="1">
      <c r="A80" s="200" t="s">
        <v>165</v>
      </c>
      <c r="B80" s="324">
        <v>18867007707.619999</v>
      </c>
      <c r="C80" s="325">
        <v>121.01</v>
      </c>
      <c r="D80" s="324">
        <v>18958218951.91</v>
      </c>
      <c r="E80" s="325">
        <v>121.23</v>
      </c>
      <c r="F80" s="23">
        <f t="shared" si="48"/>
        <v>4.8344308595985024E-3</v>
      </c>
      <c r="G80" s="23">
        <f t="shared" si="49"/>
        <v>1.8180315676390286E-3</v>
      </c>
      <c r="H80" s="324">
        <v>18740761800.119999</v>
      </c>
      <c r="I80" s="325">
        <v>121.52</v>
      </c>
      <c r="J80" s="23">
        <f t="shared" si="50"/>
        <v>-1.1470336551213456E-2</v>
      </c>
      <c r="K80" s="23">
        <f t="shared" si="51"/>
        <v>2.392147158294086E-3</v>
      </c>
      <c r="L80" s="324">
        <v>18839289251.779999</v>
      </c>
      <c r="M80" s="325">
        <v>121.52</v>
      </c>
      <c r="N80" s="23">
        <f t="shared" si="52"/>
        <v>5.2573877578108363E-3</v>
      </c>
      <c r="O80" s="23">
        <f t="shared" si="53"/>
        <v>0</v>
      </c>
      <c r="P80" s="324">
        <v>18858719498.150002</v>
      </c>
      <c r="Q80" s="325">
        <v>121.98</v>
      </c>
      <c r="R80" s="23">
        <f t="shared" si="54"/>
        <v>1.0313683340345185E-3</v>
      </c>
      <c r="S80" s="23">
        <f t="shared" si="55"/>
        <v>3.7853851217907173E-3</v>
      </c>
      <c r="T80" s="324">
        <v>18877390436.849998</v>
      </c>
      <c r="U80" s="325">
        <v>122.2</v>
      </c>
      <c r="V80" s="23">
        <f t="shared" si="56"/>
        <v>9.9004275989303132E-4</v>
      </c>
      <c r="W80" s="23">
        <f t="shared" si="57"/>
        <v>1.8035743564518681E-3</v>
      </c>
      <c r="X80" s="324">
        <v>18869627266.27</v>
      </c>
      <c r="Y80" s="325">
        <v>122.42</v>
      </c>
      <c r="Z80" s="23">
        <f t="shared" si="58"/>
        <v>-4.1124172358292488E-4</v>
      </c>
      <c r="AA80" s="23">
        <f t="shared" si="59"/>
        <v>1.8003273322422166E-3</v>
      </c>
      <c r="AB80" s="324">
        <v>18880456589</v>
      </c>
      <c r="AC80" s="325">
        <v>122.63</v>
      </c>
      <c r="AD80" s="23">
        <f t="shared" si="60"/>
        <v>5.7390231281130111E-4</v>
      </c>
      <c r="AE80" s="23">
        <f t="shared" si="69"/>
        <v>1.7154059794150772E-3</v>
      </c>
      <c r="AF80" s="324">
        <v>18987915481.41</v>
      </c>
      <c r="AG80" s="325">
        <v>122.85</v>
      </c>
      <c r="AH80" s="23">
        <f t="shared" si="62"/>
        <v>5.6915409806671093E-3</v>
      </c>
      <c r="AI80" s="23">
        <f t="shared" si="70"/>
        <v>1.7940145152083411E-3</v>
      </c>
      <c r="AJ80" s="24">
        <f t="shared" si="71"/>
        <v>8.1213684125236473E-4</v>
      </c>
      <c r="AK80" s="24">
        <f t="shared" si="72"/>
        <v>1.8886107538801668E-3</v>
      </c>
      <c r="AL80" s="25">
        <f t="shared" si="73"/>
        <v>1.5664197979424717E-3</v>
      </c>
      <c r="AM80" s="25">
        <f t="shared" si="74"/>
        <v>1.3363028953229319E-2</v>
      </c>
      <c r="AN80" s="378">
        <f t="shared" si="75"/>
        <v>5.5063595186489404E-3</v>
      </c>
      <c r="AO80" s="379">
        <f t="shared" si="76"/>
        <v>1.1346923416716706E-3</v>
      </c>
      <c r="AP80" s="30"/>
      <c r="AQ80" s="28"/>
      <c r="AR80" s="28"/>
      <c r="AS80" s="29"/>
      <c r="AT80" s="29"/>
    </row>
    <row r="81" spans="1:46" s="283" customFormat="1" ht="15.75" customHeight="1">
      <c r="A81" s="200" t="s">
        <v>63</v>
      </c>
      <c r="B81" s="324">
        <v>14186504237.68</v>
      </c>
      <c r="C81" s="325">
        <v>343.42</v>
      </c>
      <c r="D81" s="324">
        <v>14206345952.42</v>
      </c>
      <c r="E81" s="325">
        <v>343.83</v>
      </c>
      <c r="F81" s="23">
        <f t="shared" si="48"/>
        <v>1.398633123958704E-3</v>
      </c>
      <c r="G81" s="23">
        <f t="shared" si="49"/>
        <v>1.1938733911827154E-3</v>
      </c>
      <c r="H81" s="324">
        <v>14141833835.74</v>
      </c>
      <c r="I81" s="325">
        <v>344.25</v>
      </c>
      <c r="J81" s="23">
        <f t="shared" si="50"/>
        <v>-4.54107740977622E-3</v>
      </c>
      <c r="K81" s="23">
        <f t="shared" si="51"/>
        <v>1.2215338975657037E-3</v>
      </c>
      <c r="L81" s="324">
        <v>14154273427.059999</v>
      </c>
      <c r="M81" s="325">
        <v>344.67</v>
      </c>
      <c r="N81" s="23">
        <f t="shared" si="52"/>
        <v>8.7963070875303972E-4</v>
      </c>
      <c r="O81" s="23">
        <f t="shared" si="53"/>
        <v>1.2200435729847958E-3</v>
      </c>
      <c r="P81" s="324">
        <v>14078321615.389999</v>
      </c>
      <c r="Q81" s="325">
        <v>344.97</v>
      </c>
      <c r="R81" s="23">
        <f t="shared" si="54"/>
        <v>-5.3659986195261815E-3</v>
      </c>
      <c r="S81" s="23">
        <f t="shared" si="55"/>
        <v>8.7039777178173723E-4</v>
      </c>
      <c r="T81" s="324">
        <v>14017499811.58</v>
      </c>
      <c r="U81" s="325">
        <v>345.39</v>
      </c>
      <c r="V81" s="23">
        <f t="shared" si="56"/>
        <v>-4.3202453723965853E-3</v>
      </c>
      <c r="W81" s="23">
        <f t="shared" si="57"/>
        <v>1.2174971736671567E-3</v>
      </c>
      <c r="X81" s="324">
        <v>14035811980.889999</v>
      </c>
      <c r="Y81" s="325">
        <v>345.77</v>
      </c>
      <c r="Z81" s="23">
        <f t="shared" si="58"/>
        <v>1.3063791372318475E-3</v>
      </c>
      <c r="AA81" s="23">
        <f t="shared" si="59"/>
        <v>1.1002055647239221E-3</v>
      </c>
      <c r="AB81" s="324">
        <v>13994954141.469999</v>
      </c>
      <c r="AC81" s="325">
        <v>346.01</v>
      </c>
      <c r="AD81" s="23">
        <f t="shared" si="60"/>
        <v>-2.9109708419882462E-3</v>
      </c>
      <c r="AE81" s="23">
        <f t="shared" si="69"/>
        <v>6.9410301645605208E-4</v>
      </c>
      <c r="AF81" s="324">
        <v>14010626227.049999</v>
      </c>
      <c r="AG81" s="325">
        <v>346.35</v>
      </c>
      <c r="AH81" s="23">
        <f t="shared" si="62"/>
        <v>1.1198382946865277E-3</v>
      </c>
      <c r="AI81" s="23">
        <f t="shared" si="70"/>
        <v>9.8263055981050217E-4</v>
      </c>
      <c r="AJ81" s="24">
        <f t="shared" si="71"/>
        <v>-1.5542263723821389E-3</v>
      </c>
      <c r="AK81" s="24">
        <f t="shared" si="72"/>
        <v>1.0625356185215732E-3</v>
      </c>
      <c r="AL81" s="25">
        <f t="shared" si="73"/>
        <v>-1.3776922371558937E-2</v>
      </c>
      <c r="AM81" s="25">
        <f t="shared" si="74"/>
        <v>7.3292033853940572E-3</v>
      </c>
      <c r="AN81" s="378">
        <f t="shared" si="75"/>
        <v>2.9980762562909383E-3</v>
      </c>
      <c r="AO81" s="379">
        <f t="shared" si="76"/>
        <v>1.4292983592894054E-3</v>
      </c>
      <c r="AP81" s="30"/>
      <c r="AQ81" s="28"/>
      <c r="AR81" s="28"/>
      <c r="AS81" s="29"/>
      <c r="AT81" s="29"/>
    </row>
    <row r="82" spans="1:46" s="300" customFormat="1" ht="15.75" customHeight="1">
      <c r="A82" s="200" t="s">
        <v>156</v>
      </c>
      <c r="B82" s="324">
        <v>101994658862.53999</v>
      </c>
      <c r="C82" s="324">
        <v>1.8935</v>
      </c>
      <c r="D82" s="324">
        <v>101813213395.22</v>
      </c>
      <c r="E82" s="324">
        <v>1.8956</v>
      </c>
      <c r="F82" s="23">
        <f t="shared" si="48"/>
        <v>-1.7789702847531392E-3</v>
      </c>
      <c r="G82" s="23">
        <f t="shared" si="49"/>
        <v>1.1090573012938953E-3</v>
      </c>
      <c r="H82" s="324">
        <v>101904537531.50999</v>
      </c>
      <c r="I82" s="324">
        <v>1.8976999999999999</v>
      </c>
      <c r="J82" s="23">
        <f t="shared" ref="J82:K84" si="77">((H82-D82)/D82)</f>
        <v>8.9697725122858012E-4</v>
      </c>
      <c r="K82" s="23">
        <f t="shared" si="77"/>
        <v>1.1078286558345593E-3</v>
      </c>
      <c r="L82" s="324">
        <v>101996536870.88</v>
      </c>
      <c r="M82" s="324">
        <v>1.8997999999999999</v>
      </c>
      <c r="N82" s="23">
        <f t="shared" ref="N82:O84" si="78">((L82-H82)/H82)</f>
        <v>9.0279924327769186E-4</v>
      </c>
      <c r="O82" s="23">
        <f t="shared" si="78"/>
        <v>1.1066027296200616E-3</v>
      </c>
      <c r="P82" s="324">
        <v>101742635995.34</v>
      </c>
      <c r="Q82" s="324">
        <v>1.9018999999999999</v>
      </c>
      <c r="R82" s="23">
        <f t="shared" ref="R82:S84" si="79">((P82-L82)/L82)</f>
        <v>-2.4893087876250945E-3</v>
      </c>
      <c r="S82" s="23">
        <f t="shared" si="79"/>
        <v>1.1053795136330093E-3</v>
      </c>
      <c r="T82" s="324">
        <v>101623776829.39</v>
      </c>
      <c r="U82" s="324">
        <v>1.9039999999999999</v>
      </c>
      <c r="V82" s="23">
        <f t="shared" ref="V82:W84" si="80">((T82-P82)/P82)</f>
        <v>-1.1682336002719737E-3</v>
      </c>
      <c r="W82" s="23">
        <f t="shared" si="80"/>
        <v>1.1041589988958361E-3</v>
      </c>
      <c r="X82" s="324">
        <v>101696780471.91</v>
      </c>
      <c r="Y82" s="324">
        <v>1.9060999999999999</v>
      </c>
      <c r="Z82" s="23">
        <f t="shared" ref="Z82:AA84" si="81">((X82-T82)/T82)</f>
        <v>7.1837167243415543E-4</v>
      </c>
      <c r="AA82" s="23">
        <f t="shared" si="81"/>
        <v>1.1029411764705834E-3</v>
      </c>
      <c r="AB82" s="324">
        <v>101806771720.63</v>
      </c>
      <c r="AC82" s="324">
        <v>1.9081999999999999</v>
      </c>
      <c r="AD82" s="23">
        <f t="shared" ref="AD82:AE84" si="82">((AB82-X82)/X82)</f>
        <v>1.0815607751750043E-3</v>
      </c>
      <c r="AE82" s="23">
        <f t="shared" si="82"/>
        <v>1.1017260374586804E-3</v>
      </c>
      <c r="AF82" s="324">
        <v>102064240881.38</v>
      </c>
      <c r="AG82" s="324">
        <v>1.9103000000000001</v>
      </c>
      <c r="AH82" s="23">
        <f t="shared" si="62"/>
        <v>2.5289983799557684E-3</v>
      </c>
      <c r="AI82" s="23">
        <f t="shared" si="70"/>
        <v>1.1005135730008454E-3</v>
      </c>
      <c r="AJ82" s="24">
        <f t="shared" si="71"/>
        <v>8.6524331177624129E-5</v>
      </c>
      <c r="AK82" s="24">
        <f t="shared" si="72"/>
        <v>1.1047759982759338E-3</v>
      </c>
      <c r="AL82" s="25">
        <f t="shared" si="73"/>
        <v>2.4655688371759917E-3</v>
      </c>
      <c r="AM82" s="25">
        <f t="shared" si="74"/>
        <v>7.7548005908420333E-3</v>
      </c>
      <c r="AN82" s="378">
        <f t="shared" si="75"/>
        <v>1.7057696469318048E-3</v>
      </c>
      <c r="AO82" s="379">
        <f t="shared" si="76"/>
        <v>8.7943312802263829E-6</v>
      </c>
      <c r="AP82" s="30"/>
      <c r="AQ82" s="28"/>
      <c r="AR82" s="28"/>
      <c r="AS82" s="29"/>
      <c r="AT82" s="29"/>
    </row>
    <row r="83" spans="1:46" s="300" customFormat="1" ht="15.75" customHeight="1">
      <c r="A83" s="200" t="s">
        <v>49</v>
      </c>
      <c r="B83" s="324">
        <v>9511271456.8299999</v>
      </c>
      <c r="C83" s="325">
        <v>1</v>
      </c>
      <c r="D83" s="324">
        <v>9527980012.4899998</v>
      </c>
      <c r="E83" s="325">
        <v>1</v>
      </c>
      <c r="F83" s="23">
        <f t="shared" si="48"/>
        <v>1.7567110491838094E-3</v>
      </c>
      <c r="G83" s="23">
        <f t="shared" si="49"/>
        <v>0</v>
      </c>
      <c r="H83" s="324">
        <v>9517778858.0400009</v>
      </c>
      <c r="I83" s="325">
        <v>1</v>
      </c>
      <c r="J83" s="23">
        <f t="shared" si="77"/>
        <v>-1.0706523771698102E-3</v>
      </c>
      <c r="K83" s="23">
        <f t="shared" si="77"/>
        <v>0</v>
      </c>
      <c r="L83" s="324">
        <v>9511930024.4799995</v>
      </c>
      <c r="M83" s="325">
        <v>1</v>
      </c>
      <c r="N83" s="23">
        <f t="shared" si="78"/>
        <v>-6.1451664797408678E-4</v>
      </c>
      <c r="O83" s="23">
        <f t="shared" si="78"/>
        <v>0</v>
      </c>
      <c r="P83" s="324">
        <v>9486621842.1399994</v>
      </c>
      <c r="Q83" s="325">
        <v>1</v>
      </c>
      <c r="R83" s="23">
        <f t="shared" si="79"/>
        <v>-2.6606779354838355E-3</v>
      </c>
      <c r="S83" s="23">
        <f t="shared" si="79"/>
        <v>0</v>
      </c>
      <c r="T83" s="324">
        <v>9484506186.4699993</v>
      </c>
      <c r="U83" s="325">
        <v>1</v>
      </c>
      <c r="V83" s="23">
        <f t="shared" si="80"/>
        <v>-2.2301465212856266E-4</v>
      </c>
      <c r="W83" s="23">
        <f t="shared" si="80"/>
        <v>0</v>
      </c>
      <c r="X83" s="324">
        <v>9468515108.6200008</v>
      </c>
      <c r="Y83" s="325">
        <v>1</v>
      </c>
      <c r="Z83" s="23">
        <f t="shared" si="81"/>
        <v>-1.6860211312646242E-3</v>
      </c>
      <c r="AA83" s="23">
        <f t="shared" si="81"/>
        <v>0</v>
      </c>
      <c r="AB83" s="324">
        <v>9401978990.9200001</v>
      </c>
      <c r="AC83" s="325">
        <v>1</v>
      </c>
      <c r="AD83" s="23">
        <f t="shared" si="82"/>
        <v>-7.027091041912922E-3</v>
      </c>
      <c r="AE83" s="23">
        <f t="shared" si="82"/>
        <v>0</v>
      </c>
      <c r="AF83" s="324">
        <v>9386756657.3700008</v>
      </c>
      <c r="AG83" s="325">
        <v>1</v>
      </c>
      <c r="AH83" s="23">
        <f t="shared" si="62"/>
        <v>-1.6190563247057102E-3</v>
      </c>
      <c r="AI83" s="23">
        <f t="shared" si="70"/>
        <v>0</v>
      </c>
      <c r="AJ83" s="24">
        <f t="shared" si="71"/>
        <v>-1.6430398826819679E-3</v>
      </c>
      <c r="AK83" s="24">
        <f t="shared" si="72"/>
        <v>0</v>
      </c>
      <c r="AL83" s="25">
        <f t="shared" si="73"/>
        <v>-1.4821961731119569E-2</v>
      </c>
      <c r="AM83" s="25">
        <f t="shared" si="74"/>
        <v>0</v>
      </c>
      <c r="AN83" s="378">
        <f t="shared" si="75"/>
        <v>2.5350762807751209E-3</v>
      </c>
      <c r="AO83" s="379">
        <f t="shared" si="76"/>
        <v>2.4844518638759343E-3</v>
      </c>
      <c r="AP83" s="30"/>
      <c r="AQ83" s="28"/>
      <c r="AR83" s="28"/>
      <c r="AS83" s="29"/>
      <c r="AT83" s="29"/>
    </row>
    <row r="84" spans="1:46" s="108" customFormat="1" ht="15.75" customHeight="1">
      <c r="A84" s="200" t="s">
        <v>19</v>
      </c>
      <c r="B84" s="324">
        <v>2563055032.3699999</v>
      </c>
      <c r="C84" s="325">
        <v>24.530999999999999</v>
      </c>
      <c r="D84" s="324">
        <v>2562690636.1999998</v>
      </c>
      <c r="E84" s="325">
        <v>24.567499999999999</v>
      </c>
      <c r="F84" s="23">
        <f t="shared" si="48"/>
        <v>-1.4217258911648387E-4</v>
      </c>
      <c r="G84" s="23">
        <f t="shared" si="49"/>
        <v>1.487913252619143E-3</v>
      </c>
      <c r="H84" s="324">
        <v>2557018618.6500001</v>
      </c>
      <c r="I84" s="325">
        <v>24.635999999999999</v>
      </c>
      <c r="J84" s="23">
        <f t="shared" si="77"/>
        <v>-2.2133056053969414E-3</v>
      </c>
      <c r="K84" s="23">
        <f t="shared" si="77"/>
        <v>2.7882364912994906E-3</v>
      </c>
      <c r="L84" s="324">
        <v>2560466527.8400002</v>
      </c>
      <c r="M84" s="325">
        <v>24.665400000000002</v>
      </c>
      <c r="N84" s="23">
        <f t="shared" si="78"/>
        <v>1.348409888317673E-3</v>
      </c>
      <c r="O84" s="23">
        <f t="shared" si="78"/>
        <v>1.1933755479786709E-3</v>
      </c>
      <c r="P84" s="324">
        <v>2562410336.3200002</v>
      </c>
      <c r="Q84" s="325">
        <v>24.715399999999999</v>
      </c>
      <c r="R84" s="23">
        <f t="shared" si="79"/>
        <v>7.5916183979167604E-4</v>
      </c>
      <c r="S84" s="23">
        <f t="shared" si="79"/>
        <v>2.0271311229494416E-3</v>
      </c>
      <c r="T84" s="324">
        <v>2566096592.6100001</v>
      </c>
      <c r="U84" s="325">
        <v>24.743300000000001</v>
      </c>
      <c r="V84" s="23">
        <f t="shared" si="80"/>
        <v>1.4385893772556235E-3</v>
      </c>
      <c r="W84" s="23">
        <f t="shared" si="80"/>
        <v>1.128850837939199E-3</v>
      </c>
      <c r="X84" s="324">
        <v>2574301806.0999999</v>
      </c>
      <c r="Y84" s="325">
        <v>24.782699999999998</v>
      </c>
      <c r="Z84" s="23">
        <f t="shared" si="81"/>
        <v>3.1975466214442748E-3</v>
      </c>
      <c r="AA84" s="23">
        <f t="shared" si="81"/>
        <v>1.592350252391435E-3</v>
      </c>
      <c r="AB84" s="324">
        <v>2583011086.71</v>
      </c>
      <c r="AC84" s="325">
        <v>24.822099999999999</v>
      </c>
      <c r="AD84" s="23">
        <f t="shared" si="82"/>
        <v>3.3831622187277515E-3</v>
      </c>
      <c r="AE84" s="23">
        <f t="shared" si="82"/>
        <v>1.589818704176726E-3</v>
      </c>
      <c r="AF84" s="324">
        <v>2571358737.96</v>
      </c>
      <c r="AG84" s="325">
        <v>24.8537</v>
      </c>
      <c r="AH84" s="23">
        <f t="shared" si="62"/>
        <v>-4.5111493365062099E-3</v>
      </c>
      <c r="AI84" s="23">
        <f t="shared" si="70"/>
        <v>1.2730590884736167E-3</v>
      </c>
      <c r="AJ84" s="24">
        <f t="shared" si="71"/>
        <v>4.075303018146705E-4</v>
      </c>
      <c r="AK84" s="24">
        <f t="shared" si="72"/>
        <v>1.6350919122284655E-3</v>
      </c>
      <c r="AL84" s="25">
        <f t="shared" si="73"/>
        <v>3.382422223563213E-3</v>
      </c>
      <c r="AM84" s="25">
        <f t="shared" si="74"/>
        <v>1.1649536989925753E-2</v>
      </c>
      <c r="AN84" s="378">
        <f t="shared" si="75"/>
        <v>2.6746140396021584E-3</v>
      </c>
      <c r="AO84" s="379">
        <f t="shared" si="76"/>
        <v>8.2315823716168119E-4</v>
      </c>
      <c r="AP84" s="30"/>
      <c r="AQ84" s="28"/>
      <c r="AR84" s="28"/>
      <c r="AS84" s="29"/>
      <c r="AT84" s="29"/>
    </row>
    <row r="85" spans="1:46">
      <c r="A85" s="202" t="s">
        <v>42</v>
      </c>
      <c r="B85" s="76">
        <f>SUM(B56:B84)</f>
        <v>303680172649.34601</v>
      </c>
      <c r="C85" s="85"/>
      <c r="D85" s="76">
        <f>SUM(D56:D84)</f>
        <v>304126684990.11609</v>
      </c>
      <c r="E85" s="85"/>
      <c r="F85" s="23">
        <f>((D84-B85)/B85)</f>
        <v>-0.99156121845610545</v>
      </c>
      <c r="G85" s="23"/>
      <c r="H85" s="76">
        <f>SUM(H56:H84)</f>
        <v>304362067445.72583</v>
      </c>
      <c r="I85" s="85"/>
      <c r="J85" s="23">
        <f>((H84-D85)/D85)</f>
        <v>-0.99159225827640507</v>
      </c>
      <c r="K85" s="23"/>
      <c r="L85" s="76">
        <f>SUM(L56:L84)</f>
        <v>303632021426.79242</v>
      </c>
      <c r="M85" s="85"/>
      <c r="N85" s="23">
        <f>((L84-H85)/H85)</f>
        <v>-0.99158743220097023</v>
      </c>
      <c r="O85" s="23"/>
      <c r="P85" s="76">
        <f>SUM(P56:P84)</f>
        <v>302855641094.12433</v>
      </c>
      <c r="Q85" s="85"/>
      <c r="R85" s="23">
        <f>((P84-L85)/L85)</f>
        <v>-0.99156080335572305</v>
      </c>
      <c r="S85" s="23"/>
      <c r="T85" s="76">
        <f>SUM(T56:T84)</f>
        <v>302288495520.96271</v>
      </c>
      <c r="U85" s="73"/>
      <c r="V85" s="23">
        <f>((T84-P85)/P85)</f>
        <v>-0.99152699753803675</v>
      </c>
      <c r="W85" s="23"/>
      <c r="X85" s="76">
        <f>SUM(X56:X84)</f>
        <v>302310089672.97034</v>
      </c>
      <c r="Y85" s="85"/>
      <c r="Z85" s="23">
        <f>((X84-T85)/T85)</f>
        <v>-0.99148395706669734</v>
      </c>
      <c r="AA85" s="23"/>
      <c r="AB85" s="76">
        <f>SUM(AB56:AB84)</f>
        <v>302262492251.19061</v>
      </c>
      <c r="AC85" s="85"/>
      <c r="AD85" s="23">
        <f>((AB84-X85)/X85)</f>
        <v>-0.99145575627494187</v>
      </c>
      <c r="AE85" s="23"/>
      <c r="AF85" s="76">
        <f>SUM(AF56:AF84)</f>
        <v>299618437754.16949</v>
      </c>
      <c r="AG85" s="85"/>
      <c r="AH85" s="23">
        <f>((AF84-AB85)/AB85)</f>
        <v>-0.99149296123773389</v>
      </c>
      <c r="AI85" s="23"/>
      <c r="AJ85" s="24">
        <f t="shared" si="71"/>
        <v>-0.99153267305082671</v>
      </c>
      <c r="AK85" s="24"/>
      <c r="AL85" s="25">
        <f t="shared" si="73"/>
        <v>-1.4823583258052837E-2</v>
      </c>
      <c r="AM85" s="25"/>
      <c r="AN85" s="378">
        <f t="shared" si="75"/>
        <v>5.0784973754213751E-5</v>
      </c>
      <c r="AO85" s="379"/>
      <c r="AP85" s="30"/>
      <c r="AQ85" s="40"/>
      <c r="AR85" s="13"/>
      <c r="AS85" s="29" t="e">
        <f>(#REF!/AQ85)-1</f>
        <v>#REF!</v>
      </c>
      <c r="AT85" s="29" t="e">
        <f>(#REF!/AR85)-1</f>
        <v>#REF!</v>
      </c>
    </row>
    <row r="86" spans="1:46" s="108" customFormat="1" ht="7.5" customHeight="1">
      <c r="A86" s="202"/>
      <c r="B86" s="85"/>
      <c r="C86" s="85"/>
      <c r="D86" s="85"/>
      <c r="E86" s="85"/>
      <c r="F86" s="23"/>
      <c r="G86" s="23"/>
      <c r="H86" s="85"/>
      <c r="I86" s="85"/>
      <c r="J86" s="23"/>
      <c r="K86" s="23"/>
      <c r="L86" s="85"/>
      <c r="M86" s="85"/>
      <c r="N86" s="23"/>
      <c r="O86" s="23"/>
      <c r="P86" s="85"/>
      <c r="Q86" s="85"/>
      <c r="R86" s="23"/>
      <c r="S86" s="23"/>
      <c r="T86" s="85"/>
      <c r="U86" s="85"/>
      <c r="V86" s="23"/>
      <c r="W86" s="23"/>
      <c r="X86" s="85"/>
      <c r="Y86" s="85"/>
      <c r="Z86" s="23"/>
      <c r="AA86" s="23"/>
      <c r="AB86" s="85"/>
      <c r="AC86" s="85"/>
      <c r="AD86" s="23"/>
      <c r="AE86" s="23"/>
      <c r="AF86" s="85"/>
      <c r="AG86" s="85"/>
      <c r="AH86" s="23"/>
      <c r="AI86" s="23"/>
      <c r="AJ86" s="24"/>
      <c r="AK86" s="24"/>
      <c r="AL86" s="25"/>
      <c r="AM86" s="25"/>
      <c r="AN86" s="378"/>
      <c r="AO86" s="379"/>
      <c r="AP86" s="30"/>
      <c r="AQ86" s="40"/>
      <c r="AR86" s="13"/>
      <c r="AS86" s="29"/>
      <c r="AT86" s="29"/>
    </row>
    <row r="87" spans="1:46" s="108" customFormat="1">
      <c r="A87" s="199" t="s">
        <v>193</v>
      </c>
      <c r="B87" s="85"/>
      <c r="C87" s="85"/>
      <c r="D87" s="85"/>
      <c r="E87" s="85"/>
      <c r="F87" s="23"/>
      <c r="G87" s="23"/>
      <c r="H87" s="85"/>
      <c r="I87" s="85"/>
      <c r="J87" s="23"/>
      <c r="K87" s="23"/>
      <c r="L87" s="85"/>
      <c r="M87" s="85"/>
      <c r="N87" s="23"/>
      <c r="O87" s="23"/>
      <c r="P87" s="85"/>
      <c r="Q87" s="85"/>
      <c r="R87" s="23"/>
      <c r="S87" s="23"/>
      <c r="T87" s="85"/>
      <c r="U87" s="85"/>
      <c r="V87" s="23"/>
      <c r="W87" s="23"/>
      <c r="X87" s="85"/>
      <c r="Y87" s="85"/>
      <c r="Z87" s="23"/>
      <c r="AA87" s="23"/>
      <c r="AB87" s="85"/>
      <c r="AC87" s="85"/>
      <c r="AD87" s="23"/>
      <c r="AE87" s="23"/>
      <c r="AF87" s="85"/>
      <c r="AG87" s="85"/>
      <c r="AH87" s="23"/>
      <c r="AI87" s="23"/>
      <c r="AJ87" s="24"/>
      <c r="AK87" s="24"/>
      <c r="AL87" s="25"/>
      <c r="AM87" s="25"/>
      <c r="AN87" s="378"/>
      <c r="AO87" s="379"/>
      <c r="AP87" s="30"/>
      <c r="AQ87" s="40"/>
      <c r="AR87" s="13"/>
      <c r="AS87" s="29"/>
      <c r="AT87" s="29"/>
    </row>
    <row r="88" spans="1:46" s="108" customFormat="1">
      <c r="A88" s="198" t="s">
        <v>194</v>
      </c>
      <c r="B88" s="85"/>
      <c r="C88" s="85"/>
      <c r="D88" s="85"/>
      <c r="E88" s="85"/>
      <c r="F88" s="23"/>
      <c r="G88" s="23"/>
      <c r="H88" s="85"/>
      <c r="I88" s="85"/>
      <c r="J88" s="23"/>
      <c r="K88" s="23"/>
      <c r="L88" s="85"/>
      <c r="M88" s="85"/>
      <c r="N88" s="23"/>
      <c r="O88" s="23"/>
      <c r="P88" s="85"/>
      <c r="Q88" s="85"/>
      <c r="R88" s="23"/>
      <c r="S88" s="23"/>
      <c r="T88" s="85"/>
      <c r="U88" s="85"/>
      <c r="V88" s="23"/>
      <c r="W88" s="23"/>
      <c r="X88" s="85"/>
      <c r="Y88" s="85"/>
      <c r="Z88" s="23"/>
      <c r="AA88" s="23"/>
      <c r="AB88" s="85"/>
      <c r="AC88" s="85"/>
      <c r="AD88" s="23"/>
      <c r="AE88" s="23"/>
      <c r="AF88" s="85"/>
      <c r="AG88" s="85"/>
      <c r="AH88" s="23"/>
      <c r="AI88" s="23"/>
      <c r="AJ88" s="24"/>
      <c r="AK88" s="24"/>
      <c r="AL88" s="25"/>
      <c r="AM88" s="25"/>
      <c r="AN88" s="378"/>
      <c r="AO88" s="379"/>
      <c r="AP88" s="30"/>
      <c r="AQ88" s="40"/>
      <c r="AR88" s="13"/>
      <c r="AS88" s="29"/>
      <c r="AT88" s="29"/>
    </row>
    <row r="89" spans="1:46">
      <c r="A89" s="200" t="s">
        <v>144</v>
      </c>
      <c r="B89" s="324">
        <v>1327789872.3599999</v>
      </c>
      <c r="C89" s="324">
        <f>107.4889*759.9</f>
        <v>81680.815109999996</v>
      </c>
      <c r="D89" s="324">
        <v>1318076094.02</v>
      </c>
      <c r="E89" s="324">
        <f>107.5861*750.115</f>
        <v>80701.947401500001</v>
      </c>
      <c r="F89" s="23">
        <f>((D103-B89)/B89)</f>
        <v>2.442750129609371</v>
      </c>
      <c r="G89" s="23">
        <f t="shared" ref="G89:G99" si="83">((E89-C89)/C89)</f>
        <v>-1.1984059012899761E-2</v>
      </c>
      <c r="H89" s="324">
        <v>1313982164.6400001</v>
      </c>
      <c r="I89" s="324">
        <f>107.7065*746.949</f>
        <v>80451.262468500005</v>
      </c>
      <c r="J89" s="23">
        <f>((H103-D89)/D89)</f>
        <v>2.6218015345069023</v>
      </c>
      <c r="K89" s="23">
        <f t="shared" ref="K89:K99" si="84">((I89-E89)/E89)</f>
        <v>-3.1063058708213696E-3</v>
      </c>
      <c r="L89" s="324">
        <v>1298829726.47</v>
      </c>
      <c r="M89" s="324">
        <f>107.8258*744.135</f>
        <v>80236.951683000007</v>
      </c>
      <c r="N89" s="23">
        <f>((L103-H89)/H89)</f>
        <v>2.5293467148307633</v>
      </c>
      <c r="O89" s="23">
        <f t="shared" ref="O89:O99" si="85">((M89-I89)/I89)</f>
        <v>-2.6638585762890862E-3</v>
      </c>
      <c r="P89" s="324">
        <v>1331716751.5999999</v>
      </c>
      <c r="Q89" s="324">
        <f>108.022*774.896</f>
        <v>83705.815711999996</v>
      </c>
      <c r="R89" s="23">
        <f>((P103-L89)/L89)</f>
        <v>2.7890483633188627</v>
      </c>
      <c r="S89" s="23">
        <f t="shared" ref="S89:S99" si="86">((Q89-M89)/M89)</f>
        <v>4.323274945320419E-2</v>
      </c>
      <c r="T89" s="324">
        <v>1272123840.27</v>
      </c>
      <c r="U89" s="324">
        <f>108.1267*740.49</f>
        <v>80066.740082999997</v>
      </c>
      <c r="V89" s="23">
        <f>((T103-P89)/P89)</f>
        <v>2.5604524144003418</v>
      </c>
      <c r="W89" s="23">
        <f t="shared" ref="W89:W99" si="87">((U89-Q89)/Q89)</f>
        <v>-4.3474585344472121E-2</v>
      </c>
      <c r="X89" s="324">
        <v>1270288230.01</v>
      </c>
      <c r="Y89" s="324">
        <v>108.2513</v>
      </c>
      <c r="Z89" s="23">
        <f>((X103-T89)/T89)</f>
        <v>2.7106427553708978</v>
      </c>
      <c r="AA89" s="23">
        <f t="shared" ref="AA89:AA99" si="88">((Y89-U89)/U89)</f>
        <v>-0.9986479866685245</v>
      </c>
      <c r="AB89" s="324">
        <v>1310372163.98</v>
      </c>
      <c r="AC89" s="324">
        <f>108.2513*760.432</f>
        <v>82317.752561600006</v>
      </c>
      <c r="AD89" s="23">
        <f>((AB103-X89)/X89)</f>
        <v>2.7323224609888075</v>
      </c>
      <c r="AE89" s="23">
        <f t="shared" ref="AE89:AE99" si="89">((AC89-Y89)/Y89)</f>
        <v>759.43200000000002</v>
      </c>
      <c r="AF89" s="324">
        <v>1300471693.8599999</v>
      </c>
      <c r="AG89" s="324">
        <f>108.4975*756.955</f>
        <v>82127.725112500004</v>
      </c>
      <c r="AH89" s="23">
        <f>((AF103-AB89)/AB89)</f>
        <v>2.7032974797398603</v>
      </c>
      <c r="AI89" s="23">
        <f t="shared" ref="AI89:AI99" si="90">((AG89-AC89)/AC89)</f>
        <v>-2.3084625513530698E-3</v>
      </c>
      <c r="AJ89" s="24">
        <f t="shared" si="71"/>
        <v>2.6362077315957255</v>
      </c>
      <c r="AK89" s="24">
        <f t="shared" si="72"/>
        <v>94.801630936428609</v>
      </c>
      <c r="AL89" s="25">
        <f t="shared" si="73"/>
        <v>-1.3356133412835392E-2</v>
      </c>
      <c r="AM89" s="25">
        <f t="shared" si="74"/>
        <v>1.7667203294446172E-2</v>
      </c>
      <c r="AN89" s="378">
        <f t="shared" si="75"/>
        <v>0.11797786369277347</v>
      </c>
      <c r="AO89" s="379">
        <f t="shared" si="76"/>
        <v>1.075696057710321</v>
      </c>
      <c r="AP89" s="30"/>
      <c r="AQ89" s="49">
        <v>31507613595.857655</v>
      </c>
      <c r="AR89" s="49">
        <v>11.808257597614354</v>
      </c>
      <c r="AS89" s="29" t="e">
        <f>(#REF!/AQ89)-1</f>
        <v>#REF!</v>
      </c>
      <c r="AT89" s="29" t="e">
        <f>(#REF!/AR89)-1</f>
        <v>#REF!</v>
      </c>
    </row>
    <row r="90" spans="1:46">
      <c r="A90" s="200" t="s">
        <v>145</v>
      </c>
      <c r="B90" s="324">
        <f>10769596.39*759.39</f>
        <v>8178323802.6021004</v>
      </c>
      <c r="C90" s="324">
        <f>1.1458*759.39</f>
        <v>870.10906199999988</v>
      </c>
      <c r="D90" s="324">
        <f>10940376.08*750.11</f>
        <v>8206485501.3688002</v>
      </c>
      <c r="E90" s="324">
        <f>1.147*750.11</f>
        <v>860.37617</v>
      </c>
      <c r="F90" s="23">
        <f>((D104-B90)/B90)</f>
        <v>-6.0000228428822352E-3</v>
      </c>
      <c r="G90" s="23">
        <f t="shared" si="83"/>
        <v>-1.1185829943694898E-2</v>
      </c>
      <c r="H90" s="324">
        <f>10935802.98*747.45</f>
        <v>8173965937.401001</v>
      </c>
      <c r="I90" s="324">
        <f>1.1458*747.45</f>
        <v>856.42821000000004</v>
      </c>
      <c r="J90" s="23">
        <f>((H104-D90)/D90)</f>
        <v>3.4749014124698767E-2</v>
      </c>
      <c r="K90" s="23">
        <f t="shared" si="84"/>
        <v>-4.5886440578659518E-3</v>
      </c>
      <c r="L90" s="324">
        <f>10865061.28*744.14</f>
        <v>8085126700.8991995</v>
      </c>
      <c r="M90" s="324">
        <f>1.1471*744.14</f>
        <v>853.60299399999997</v>
      </c>
      <c r="N90" s="23">
        <f>((L104-H90)/H90)</f>
        <v>-1.9100196961506107E-2</v>
      </c>
      <c r="O90" s="23">
        <f t="shared" si="85"/>
        <v>-3.2988357541376043E-3</v>
      </c>
      <c r="P90" s="324">
        <f>10626339.97*774.39</f>
        <v>8228931409.3683004</v>
      </c>
      <c r="Q90" s="324">
        <f>1.1485*774.39</f>
        <v>889.38691500000004</v>
      </c>
      <c r="R90" s="23">
        <f>((P104-L90)/L90)</f>
        <v>3.4518469809478862E-2</v>
      </c>
      <c r="S90" s="23">
        <f t="shared" si="86"/>
        <v>4.1921035014551598E-2</v>
      </c>
      <c r="T90" s="324">
        <f>10648379.96*740.49</f>
        <v>7885018876.5804005</v>
      </c>
      <c r="U90" s="324">
        <f>1.1498*740.49</f>
        <v>851.41540199999997</v>
      </c>
      <c r="V90" s="23">
        <f>((T104-P90)/P90)</f>
        <v>3.2480690228223765E-3</v>
      </c>
      <c r="W90" s="23">
        <f t="shared" si="87"/>
        <v>-4.2694031539692791E-2</v>
      </c>
      <c r="X90" s="324">
        <f>10398532.36*738.043</f>
        <v>7674564018.5714798</v>
      </c>
      <c r="Y90" s="324">
        <f>1.1511*738.043</f>
        <v>849.56129729999998</v>
      </c>
      <c r="Z90" s="23">
        <f>((X104-T90)/T90)</f>
        <v>8.9161003987461296E-3</v>
      </c>
      <c r="AA90" s="23">
        <f t="shared" si="88"/>
        <v>-2.1776734313763255E-3</v>
      </c>
      <c r="AB90" s="324">
        <f>10413804.03*760.43</f>
        <v>7918968998.5328989</v>
      </c>
      <c r="AC90" s="324">
        <f>1.1524*760.43</f>
        <v>876.31953199999998</v>
      </c>
      <c r="AD90" s="23">
        <f>((AB104-X90)/X90)</f>
        <v>0.10209532777789843</v>
      </c>
      <c r="AE90" s="23">
        <f t="shared" si="89"/>
        <v>3.1496532133750255E-2</v>
      </c>
      <c r="AF90" s="324">
        <f>10261799.6*756.95</f>
        <v>7767669207.2200003</v>
      </c>
      <c r="AG90" s="324">
        <f>1.1535*756.95</f>
        <v>873.14182500000004</v>
      </c>
      <c r="AH90" s="23">
        <f>((AF104-AB90)/AB90)</f>
        <v>9.7097931942082411E-3</v>
      </c>
      <c r="AI90" s="23">
        <f t="shared" si="90"/>
        <v>-3.6261967056098222E-3</v>
      </c>
      <c r="AJ90" s="24">
        <f t="shared" si="71"/>
        <v>2.1017069315433054E-2</v>
      </c>
      <c r="AK90" s="24">
        <f t="shared" si="72"/>
        <v>7.3079446449055788E-4</v>
      </c>
      <c r="AL90" s="25">
        <f t="shared" si="73"/>
        <v>-5.3471890503627599E-2</v>
      </c>
      <c r="AM90" s="25">
        <f t="shared" si="74"/>
        <v>1.4837294947394972E-2</v>
      </c>
      <c r="AN90" s="378">
        <f t="shared" si="75"/>
        <v>3.7557349964479014E-2</v>
      </c>
      <c r="AO90" s="379">
        <f t="shared" si="76"/>
        <v>4.3830972645485904E-2</v>
      </c>
      <c r="AP90" s="30"/>
      <c r="AQ90" s="40">
        <f>SUM(AQ89:AQ89)</f>
        <v>31507613595.857655</v>
      </c>
      <c r="AR90" s="13"/>
      <c r="AS90" s="29" t="e">
        <f>(#REF!/AQ90)-1</f>
        <v>#REF!</v>
      </c>
      <c r="AT90" s="29" t="e">
        <f>(#REF!/AR90)-1</f>
        <v>#REF!</v>
      </c>
    </row>
    <row r="91" spans="1:46">
      <c r="A91" s="200" t="s">
        <v>170</v>
      </c>
      <c r="B91" s="324">
        <v>1912497976.0139999</v>
      </c>
      <c r="C91" s="324">
        <v>79551.043380000003</v>
      </c>
      <c r="D91" s="324">
        <v>1890950554.0209002</v>
      </c>
      <c r="E91" s="324">
        <v>78654.769066499997</v>
      </c>
      <c r="F91" s="23">
        <f t="shared" ref="F91:F96" si="91">((D91-B91)/B91)</f>
        <v>-1.1266637802152611E-2</v>
      </c>
      <c r="G91" s="23">
        <f t="shared" si="83"/>
        <v>-1.1266656921376579E-2</v>
      </c>
      <c r="H91" s="324">
        <v>1885244353.0813899</v>
      </c>
      <c r="I91" s="324">
        <v>78417.415916599988</v>
      </c>
      <c r="J91" s="23">
        <f>((H91-D91)/D91)</f>
        <v>-3.0176362503909638E-3</v>
      </c>
      <c r="K91" s="23">
        <f t="shared" si="84"/>
        <v>-3.0176574506160579E-3</v>
      </c>
      <c r="L91" s="324">
        <v>1946590839.30495</v>
      </c>
      <c r="M91" s="324">
        <v>78213.556323500001</v>
      </c>
      <c r="N91" s="23">
        <f>((L91-H91)/H91)</f>
        <v>3.2540336812727021E-2</v>
      </c>
      <c r="O91" s="23">
        <f t="shared" si="85"/>
        <v>-2.5996724160969541E-3</v>
      </c>
      <c r="P91" s="324">
        <v>1960058440.0016</v>
      </c>
      <c r="Q91" s="324">
        <v>81490.310558399986</v>
      </c>
      <c r="R91" s="23">
        <f>((P91-L91)/L91)</f>
        <v>6.9185575236030451E-3</v>
      </c>
      <c r="S91" s="23">
        <f t="shared" si="86"/>
        <v>4.1894965386140529E-2</v>
      </c>
      <c r="T91" s="324">
        <v>1876169318.6042998</v>
      </c>
      <c r="U91" s="324">
        <v>78002.609419</v>
      </c>
      <c r="V91" s="23">
        <f>((T91-P91)/P91)</f>
        <v>-4.2799296023659256E-2</v>
      </c>
      <c r="W91" s="23">
        <f t="shared" si="87"/>
        <v>-4.2798967331220641E-2</v>
      </c>
      <c r="X91" s="324">
        <v>1840970198.0864999</v>
      </c>
      <c r="Y91" s="324">
        <v>77821.0883073</v>
      </c>
      <c r="Z91" s="23">
        <f>((X91-T91)/T91)</f>
        <v>-1.876116412775837E-2</v>
      </c>
      <c r="AA91" s="23">
        <f t="shared" si="88"/>
        <v>-2.3271158881998208E-3</v>
      </c>
      <c r="AB91" s="324">
        <v>1906749409.3534801</v>
      </c>
      <c r="AC91" s="324">
        <v>80279.771770800013</v>
      </c>
      <c r="AD91" s="23">
        <f>((AB91-X91)/X91)</f>
        <v>3.5730731184758412E-2</v>
      </c>
      <c r="AE91" s="23">
        <f t="shared" si="89"/>
        <v>3.1594051393770806E-2</v>
      </c>
      <c r="AF91" s="324">
        <v>1908071645.80005</v>
      </c>
      <c r="AG91" s="324">
        <v>80016.107035499997</v>
      </c>
      <c r="AH91" s="23">
        <f>((AF91-AB91)/AB91)</f>
        <v>6.9345056045841348E-4</v>
      </c>
      <c r="AI91" s="23">
        <f t="shared" si="90"/>
        <v>-3.2843234289801197E-3</v>
      </c>
      <c r="AJ91" s="24">
        <f t="shared" si="71"/>
        <v>4.792734698211046E-6</v>
      </c>
      <c r="AK91" s="24">
        <f t="shared" si="72"/>
        <v>1.0243279179276454E-3</v>
      </c>
      <c r="AL91" s="25">
        <f t="shared" si="73"/>
        <v>9.0542249995610065E-3</v>
      </c>
      <c r="AM91" s="25">
        <f t="shared" si="74"/>
        <v>1.7307761311320283E-2</v>
      </c>
      <c r="AN91" s="378">
        <f t="shared" si="75"/>
        <v>2.5922163915576217E-2</v>
      </c>
      <c r="AO91" s="379">
        <f t="shared" si="76"/>
        <v>2.6735801601132203E-2</v>
      </c>
      <c r="AP91" s="30"/>
      <c r="AQ91" s="40"/>
      <c r="AR91" s="13"/>
      <c r="AS91" s="29" t="e">
        <f>(#REF!/AQ91)-1</f>
        <v>#REF!</v>
      </c>
      <c r="AT91" s="29" t="e">
        <f>(#REF!/AR91)-1</f>
        <v>#REF!</v>
      </c>
    </row>
    <row r="92" spans="1:46">
      <c r="A92" s="200" t="s">
        <v>237</v>
      </c>
      <c r="B92" s="324">
        <v>22127490835.77</v>
      </c>
      <c r="C92" s="324">
        <v>96752.79</v>
      </c>
      <c r="D92" s="324">
        <v>21195053386.790001</v>
      </c>
      <c r="E92" s="324">
        <v>92779.72</v>
      </c>
      <c r="F92" s="23">
        <f t="shared" si="91"/>
        <v>-4.2139321439585729E-2</v>
      </c>
      <c r="G92" s="23">
        <f t="shared" si="83"/>
        <v>-4.1064138822249907E-2</v>
      </c>
      <c r="H92" s="324">
        <v>21124600021.880001</v>
      </c>
      <c r="I92" s="324">
        <v>92597.217999999993</v>
      </c>
      <c r="J92" s="23">
        <f>((H92-D92)/D92)</f>
        <v>-3.3240475324261515E-3</v>
      </c>
      <c r="K92" s="23">
        <f t="shared" si="84"/>
        <v>-1.967046246744522E-3</v>
      </c>
      <c r="L92" s="324">
        <v>21093794502</v>
      </c>
      <c r="M92" s="324">
        <v>92595.3</v>
      </c>
      <c r="N92" s="23">
        <f>((L92-H92)/H92)</f>
        <v>-1.45827707261174E-3</v>
      </c>
      <c r="O92" s="23">
        <f t="shared" si="85"/>
        <v>-2.0713365276163808E-5</v>
      </c>
      <c r="P92" s="324">
        <v>22203363690.299999</v>
      </c>
      <c r="Q92" s="324">
        <v>97606.080000000002</v>
      </c>
      <c r="R92" s="23">
        <f>((P92-L92)/L92)</f>
        <v>5.2601687581378301E-2</v>
      </c>
      <c r="S92" s="23">
        <f t="shared" si="86"/>
        <v>5.4114841682029201E-2</v>
      </c>
      <c r="T92" s="324">
        <v>21118324823.389999</v>
      </c>
      <c r="U92" s="324">
        <v>92954.71</v>
      </c>
      <c r="V92" s="23">
        <f>((T92-P92)/P92)</f>
        <v>-4.8868220241062917E-2</v>
      </c>
      <c r="W92" s="23">
        <f t="shared" si="87"/>
        <v>-4.7654510866536132E-2</v>
      </c>
      <c r="X92" s="324">
        <v>21011075976.389999</v>
      </c>
      <c r="Y92" s="324">
        <v>92607.87</v>
      </c>
      <c r="Z92" s="23">
        <f>((X92-T92)/T92)</f>
        <v>-5.0784732168346284E-3</v>
      </c>
      <c r="AA92" s="23">
        <f t="shared" si="88"/>
        <v>-3.7312794585665538E-3</v>
      </c>
      <c r="AB92" s="324">
        <v>21589820419.347698</v>
      </c>
      <c r="AC92" s="324">
        <v>95294.97</v>
      </c>
      <c r="AD92" s="23">
        <f>((AB92-X92)/X92)</f>
        <v>2.7544731341128361E-2</v>
      </c>
      <c r="AE92" s="23">
        <f t="shared" si="89"/>
        <v>2.9015892493802157E-2</v>
      </c>
      <c r="AF92" s="324">
        <v>21328829209.240002</v>
      </c>
      <c r="AG92" s="324">
        <v>94277.58</v>
      </c>
      <c r="AH92" s="23">
        <f>((AF92-AB92)/AB92)</f>
        <v>-1.2088623482658035E-2</v>
      </c>
      <c r="AI92" s="23">
        <f t="shared" si="90"/>
        <v>-1.0676219321964206E-2</v>
      </c>
      <c r="AJ92" s="24">
        <f t="shared" si="71"/>
        <v>-4.1013180078340664E-3</v>
      </c>
      <c r="AK92" s="24">
        <f t="shared" si="72"/>
        <v>-2.7478967381882658E-3</v>
      </c>
      <c r="AL92" s="25">
        <f t="shared" si="73"/>
        <v>6.3116530073652798E-3</v>
      </c>
      <c r="AM92" s="25">
        <f t="shared" si="74"/>
        <v>1.6144260836312079E-2</v>
      </c>
      <c r="AN92" s="378">
        <f t="shared" si="75"/>
        <v>3.3252304364205815E-2</v>
      </c>
      <c r="AO92" s="379">
        <f t="shared" si="76"/>
        <v>3.3182083793881274E-2</v>
      </c>
      <c r="AP92" s="30"/>
      <c r="AQ92" s="28">
        <v>885354617.76999998</v>
      </c>
      <c r="AR92" s="28">
        <v>1763.14</v>
      </c>
      <c r="AS92" s="29" t="e">
        <f>(#REF!/AQ92)-1</f>
        <v>#REF!</v>
      </c>
      <c r="AT92" s="29" t="e">
        <f>(#REF!/AR92)-1</f>
        <v>#REF!</v>
      </c>
    </row>
    <row r="93" spans="1:46" s="365" customFormat="1">
      <c r="A93" s="200" t="s">
        <v>262</v>
      </c>
      <c r="B93" s="324">
        <v>16339871052.09</v>
      </c>
      <c r="C93" s="324">
        <v>85442.21</v>
      </c>
      <c r="D93" s="324">
        <v>15790237851.65</v>
      </c>
      <c r="E93" s="324">
        <v>81975.48</v>
      </c>
      <c r="F93" s="23">
        <f t="shared" si="91"/>
        <v>-3.3637548221024549E-2</v>
      </c>
      <c r="G93" s="23">
        <f t="shared" si="83"/>
        <v>-4.0573973917575522E-2</v>
      </c>
      <c r="H93" s="324">
        <v>15397017270.799999</v>
      </c>
      <c r="I93" s="324">
        <v>81858.52</v>
      </c>
      <c r="J93" s="23">
        <f>((H93-D93)/D93)</f>
        <v>-2.4902764894634621E-2</v>
      </c>
      <c r="K93" s="23">
        <f t="shared" si="84"/>
        <v>-1.4267681018762179E-3</v>
      </c>
      <c r="L93" s="324">
        <v>15501064247.49</v>
      </c>
      <c r="M93" s="324">
        <v>81894.44</v>
      </c>
      <c r="N93" s="23">
        <f>((L93-H93)/H93)</f>
        <v>6.7576060258971483E-3</v>
      </c>
      <c r="O93" s="23">
        <f t="shared" si="85"/>
        <v>4.3880588117154151E-4</v>
      </c>
      <c r="P93" s="324">
        <v>16502457595.92</v>
      </c>
      <c r="Q93" s="324">
        <v>86365.7</v>
      </c>
      <c r="R93" s="23">
        <f>((P93-L93)/L93)</f>
        <v>6.4601586861505356E-2</v>
      </c>
      <c r="S93" s="23">
        <f t="shared" si="86"/>
        <v>5.4597845714556378E-2</v>
      </c>
      <c r="T93" s="324">
        <v>16013753921.17</v>
      </c>
      <c r="U93" s="324">
        <v>82285.83</v>
      </c>
      <c r="V93" s="23">
        <f>((T93-P93)/P93)</f>
        <v>-2.9613993667877994E-2</v>
      </c>
      <c r="W93" s="23">
        <f t="shared" si="87"/>
        <v>-4.7239471225266456E-2</v>
      </c>
      <c r="X93" s="324">
        <v>16750279652.76</v>
      </c>
      <c r="Y93" s="324">
        <v>82022.64</v>
      </c>
      <c r="Z93" s="23">
        <f>((X93-T93)/T93)</f>
        <v>4.5993321442033747E-2</v>
      </c>
      <c r="AA93" s="23">
        <f t="shared" si="88"/>
        <v>-3.1984850854637099E-3</v>
      </c>
      <c r="AB93" s="324">
        <v>17209612141</v>
      </c>
      <c r="AC93" s="324">
        <v>84440.88</v>
      </c>
      <c r="AD93" s="23">
        <f>((AB93-X93)/X93)</f>
        <v>2.7422377283373534E-2</v>
      </c>
      <c r="AE93" s="23">
        <f t="shared" si="89"/>
        <v>2.9482591635675286E-2</v>
      </c>
      <c r="AF93" s="324">
        <v>17435582345.57</v>
      </c>
      <c r="AG93" s="324">
        <v>83569.66</v>
      </c>
      <c r="AH93" s="23">
        <f>((AF93-AB93)/AB93)</f>
        <v>1.3130464691394795E-2</v>
      </c>
      <c r="AI93" s="23">
        <f t="shared" si="90"/>
        <v>-1.0317514455083854E-2</v>
      </c>
      <c r="AJ93" s="24">
        <f t="shared" si="71"/>
        <v>8.7188811900834259E-3</v>
      </c>
      <c r="AK93" s="24">
        <f t="shared" si="72"/>
        <v>-2.2796211942328198E-3</v>
      </c>
      <c r="AL93" s="25">
        <f t="shared" si="73"/>
        <v>0.10420010828070395</v>
      </c>
      <c r="AM93" s="25">
        <f t="shared" si="74"/>
        <v>1.9447034649873445E-2</v>
      </c>
      <c r="AN93" s="378">
        <f t="shared" si="75"/>
        <v>3.64089502681606E-2</v>
      </c>
      <c r="AO93" s="379">
        <f t="shared" si="76"/>
        <v>3.3119133881714828E-2</v>
      </c>
      <c r="AP93" s="30"/>
      <c r="AQ93" s="28"/>
      <c r="AR93" s="28"/>
      <c r="AS93" s="29"/>
      <c r="AT93" s="29"/>
    </row>
    <row r="94" spans="1:46">
      <c r="A94" s="200" t="s">
        <v>234</v>
      </c>
      <c r="B94" s="324">
        <f>80112.8*759.9</f>
        <v>60877716.719999999</v>
      </c>
      <c r="C94" s="324">
        <f>101.38*759.9</f>
        <v>77038.661999999997</v>
      </c>
      <c r="D94" s="324">
        <f>80095.38*750.62</f>
        <v>60121194.135600001</v>
      </c>
      <c r="E94" s="324">
        <f>101.35*750.62</f>
        <v>76075.337</v>
      </c>
      <c r="F94" s="23">
        <f t="shared" si="91"/>
        <v>-1.2426921132399496E-2</v>
      </c>
      <c r="G94" s="23">
        <f t="shared" si="83"/>
        <v>-1.2504435759800672E-2</v>
      </c>
      <c r="H94" s="324">
        <f>80095.38*747.45</f>
        <v>59867291.781000011</v>
      </c>
      <c r="I94" s="324">
        <f>101.33*747.45</f>
        <v>75739.108500000002</v>
      </c>
      <c r="J94" s="23">
        <f>((H94-D94)/D94)</f>
        <v>-4.2231755082463487E-3</v>
      </c>
      <c r="K94" s="23">
        <f t="shared" si="84"/>
        <v>-4.4196780883139228E-3</v>
      </c>
      <c r="L94" s="324">
        <f>80265.49*744.64</f>
        <v>59768894.4736</v>
      </c>
      <c r="M94" s="324">
        <f>101.57*744.64</f>
        <v>75633.084799999997</v>
      </c>
      <c r="N94" s="23">
        <f>((L94-H94)/H94)</f>
        <v>-1.6435904226293852E-3</v>
      </c>
      <c r="O94" s="23">
        <f t="shared" si="85"/>
        <v>-1.3998540793493126E-3</v>
      </c>
      <c r="P94" s="324">
        <f>84315.24*774.896</f>
        <v>65335542.215039998</v>
      </c>
      <c r="Q94" s="324">
        <f>106.69*774.896</f>
        <v>82673.654239999989</v>
      </c>
      <c r="R94" s="23">
        <f>((P94-L94)/L94)</f>
        <v>9.3136200534858382E-2</v>
      </c>
      <c r="S94" s="23">
        <f t="shared" si="86"/>
        <v>9.3088487116685631E-2</v>
      </c>
      <c r="T94" s="324">
        <f>84315.24*740.99</f>
        <v>62476749.687600002</v>
      </c>
      <c r="U94" s="324">
        <f>106.69*740.99</f>
        <v>79056.223100000003</v>
      </c>
      <c r="V94" s="23">
        <f>((T94-P94)/P94)</f>
        <v>-4.3755549131754404E-2</v>
      </c>
      <c r="W94" s="23">
        <f t="shared" si="87"/>
        <v>-4.3755549131754293E-2</v>
      </c>
      <c r="X94" s="324">
        <f>84615.57*738.543</f>
        <v>62492236.914510004</v>
      </c>
      <c r="Y94" s="324">
        <f>107.07*738.543</f>
        <v>79075.799010000002</v>
      </c>
      <c r="Z94" s="23">
        <f>((X94-T94)/T94)</f>
        <v>2.4788784607782403E-4</v>
      </c>
      <c r="AA94" s="23">
        <f t="shared" si="88"/>
        <v>2.4762010164889302E-4</v>
      </c>
      <c r="AB94" s="324">
        <f>84615.57*760.932</f>
        <v>64386694.911240004</v>
      </c>
      <c r="AC94" s="324">
        <f>107.07*760.932</f>
        <v>81472.989239999995</v>
      </c>
      <c r="AD94" s="23">
        <f>((AB94-X94)/X94)</f>
        <v>3.0315093366263028E-2</v>
      </c>
      <c r="AE94" s="23">
        <f t="shared" si="89"/>
        <v>3.0315093366262941E-2</v>
      </c>
      <c r="AF94" s="324">
        <f>88898.63*757.455</f>
        <v>67336711.786650002</v>
      </c>
      <c r="AG94" s="324">
        <f>107.14*757.455</f>
        <v>81153.728700000007</v>
      </c>
      <c r="AH94" s="23">
        <f>((AF94-AB94)/AB94)</f>
        <v>4.5817181321028064E-2</v>
      </c>
      <c r="AI94" s="23">
        <f t="shared" si="90"/>
        <v>-3.9186059450884141E-3</v>
      </c>
      <c r="AJ94" s="24">
        <f t="shared" si="71"/>
        <v>1.3433390859149706E-2</v>
      </c>
      <c r="AK94" s="24">
        <f t="shared" si="72"/>
        <v>7.2066346975363568E-3</v>
      </c>
      <c r="AL94" s="25">
        <f t="shared" si="73"/>
        <v>0.12001620651073237</v>
      </c>
      <c r="AM94" s="25">
        <f t="shared" si="74"/>
        <v>6.6754770997596857E-2</v>
      </c>
      <c r="AN94" s="378">
        <f t="shared" si="75"/>
        <v>4.1983836036143321E-2</v>
      </c>
      <c r="AO94" s="379">
        <f t="shared" si="76"/>
        <v>4.0136918484066995E-2</v>
      </c>
      <c r="AP94" s="30"/>
      <c r="AQ94" s="33">
        <v>113791197</v>
      </c>
      <c r="AR94" s="32">
        <v>81.52</v>
      </c>
      <c r="AS94" s="29" t="e">
        <f>(#REF!/AQ94)-1</f>
        <v>#REF!</v>
      </c>
      <c r="AT94" s="29" t="e">
        <f>(#REF!/AR94)-1</f>
        <v>#REF!</v>
      </c>
    </row>
    <row r="95" spans="1:46">
      <c r="A95" s="200" t="s">
        <v>120</v>
      </c>
      <c r="B95" s="324">
        <v>9648436719.7999992</v>
      </c>
      <c r="C95" s="324">
        <v>759.39599999999996</v>
      </c>
      <c r="D95" s="324">
        <v>9574438312.9699993</v>
      </c>
      <c r="E95" s="324">
        <v>750.11500000000001</v>
      </c>
      <c r="F95" s="23">
        <f t="shared" si="91"/>
        <v>-7.6694711256326533E-3</v>
      </c>
      <c r="G95" s="23">
        <f t="shared" si="83"/>
        <v>-1.2221555025309522E-2</v>
      </c>
      <c r="H95" s="324">
        <v>9542966270.1900005</v>
      </c>
      <c r="I95" s="324">
        <v>746.94899999999996</v>
      </c>
      <c r="J95" s="23">
        <f t="shared" ref="J95" si="92">((H95-D95)/D95)</f>
        <v>-3.2870902450084431E-3</v>
      </c>
      <c r="K95" s="23">
        <f t="shared" si="84"/>
        <v>-4.2206861614553148E-3</v>
      </c>
      <c r="L95" s="324">
        <v>9536406483.2910004</v>
      </c>
      <c r="M95" s="324">
        <v>744.13499999999999</v>
      </c>
      <c r="N95" s="23">
        <f t="shared" ref="N95" si="93">((L95-H95)/H95)</f>
        <v>-6.8739495805318011E-4</v>
      </c>
      <c r="O95" s="23">
        <f t="shared" si="85"/>
        <v>-3.7673254800528076E-3</v>
      </c>
      <c r="P95" s="324">
        <v>9915604936.6800003</v>
      </c>
      <c r="Q95" s="324">
        <v>774.39599999999996</v>
      </c>
      <c r="R95" s="23">
        <f t="shared" ref="R95" si="94">((P95-L95)/L95)</f>
        <v>3.9763243529248038E-2</v>
      </c>
      <c r="S95" s="23">
        <f t="shared" si="86"/>
        <v>4.0666008183998827E-2</v>
      </c>
      <c r="T95" s="324">
        <v>9486325584.0400009</v>
      </c>
      <c r="U95" s="324">
        <v>740.49</v>
      </c>
      <c r="V95" s="23">
        <f t="shared" ref="V95" si="95">((T95-P95)/P95)</f>
        <v>-4.3293309423008651E-2</v>
      </c>
      <c r="W95" s="23">
        <f t="shared" si="87"/>
        <v>-4.3783800536159732E-2</v>
      </c>
      <c r="X95" s="324">
        <v>9466024671.1200008</v>
      </c>
      <c r="Y95" s="324">
        <v>738.04300000000001</v>
      </c>
      <c r="Z95" s="23">
        <f t="shared" ref="Z95" si="96">((X95-T95)/T95)</f>
        <v>-2.1400185709580504E-3</v>
      </c>
      <c r="AA95" s="23">
        <f t="shared" si="88"/>
        <v>-3.3045685964699085E-3</v>
      </c>
      <c r="AB95" s="324">
        <v>9773821431.7099991</v>
      </c>
      <c r="AC95" s="324">
        <v>760.43200000000002</v>
      </c>
      <c r="AD95" s="23">
        <f t="shared" ref="AD95" si="97">((AB95-X95)/X95)</f>
        <v>3.25159474313498E-2</v>
      </c>
      <c r="AE95" s="23">
        <f t="shared" si="89"/>
        <v>3.0335630850777E-2</v>
      </c>
      <c r="AF95" s="324">
        <v>9738034171.7600002</v>
      </c>
      <c r="AG95" s="324">
        <v>756.95500000000004</v>
      </c>
      <c r="AH95" s="23">
        <f t="shared" ref="AH95" si="98">((AF95-AB95)/AB95)</f>
        <v>-3.6615422329991988E-3</v>
      </c>
      <c r="AI95" s="23">
        <f t="shared" si="90"/>
        <v>-4.5724009510383244E-3</v>
      </c>
      <c r="AJ95" s="24">
        <f t="shared" si="71"/>
        <v>1.4425455506172074E-3</v>
      </c>
      <c r="AK95" s="24">
        <f t="shared" si="72"/>
        <v>-1.0858721446372298E-4</v>
      </c>
      <c r="AL95" s="25">
        <f t="shared" si="73"/>
        <v>1.7086731716510827E-2</v>
      </c>
      <c r="AM95" s="25">
        <f t="shared" si="74"/>
        <v>9.1186018143885033E-3</v>
      </c>
      <c r="AN95" s="378">
        <f t="shared" si="75"/>
        <v>2.5590596334419118E-2</v>
      </c>
      <c r="AO95" s="379">
        <f t="shared" si="76"/>
        <v>2.629779341534301E-2</v>
      </c>
      <c r="AP95" s="30"/>
      <c r="AQ95" s="28">
        <v>1066913090.3099999</v>
      </c>
      <c r="AR95" s="32">
        <v>1.1691</v>
      </c>
      <c r="AS95" s="29" t="e">
        <f>(#REF!/AQ95)-1</f>
        <v>#REF!</v>
      </c>
      <c r="AT95" s="29" t="e">
        <f>(#REF!/AR95)-1</f>
        <v>#REF!</v>
      </c>
    </row>
    <row r="96" spans="1:46" s="300" customFormat="1">
      <c r="A96" s="211" t="s">
        <v>245</v>
      </c>
      <c r="B96" s="324">
        <f>2603833.82*759.9</f>
        <v>1978653319.8179998</v>
      </c>
      <c r="C96" s="324">
        <f>102.02*759.9</f>
        <v>77524.997999999992</v>
      </c>
      <c r="D96" s="324">
        <f>2689935.68*750.62</f>
        <v>2019119520.1216002</v>
      </c>
      <c r="E96" s="324">
        <f>102.18*750.62</f>
        <v>76698.351600000009</v>
      </c>
      <c r="F96" s="23">
        <f t="shared" si="91"/>
        <v>2.0451384736423897E-2</v>
      </c>
      <c r="G96" s="23">
        <f t="shared" si="83"/>
        <v>-1.0662965770085971E-2</v>
      </c>
      <c r="H96" s="324">
        <f>2744984.3*747.45</f>
        <v>2051738515.0350001</v>
      </c>
      <c r="I96" s="324">
        <f>102.4*747.45</f>
        <v>76538.880000000005</v>
      </c>
      <c r="J96" s="23">
        <f>((H96-D96)/D96)</f>
        <v>1.6155058969186467E-2</v>
      </c>
      <c r="K96" s="23">
        <f t="shared" si="84"/>
        <v>-2.0792050503469278E-3</v>
      </c>
      <c r="L96" s="324">
        <f>3788947.42*744.64</f>
        <v>2821401806.8287997</v>
      </c>
      <c r="M96" s="324">
        <f>102.61*744.64</f>
        <v>76407.510399999999</v>
      </c>
      <c r="N96" s="23">
        <f>((L96-H96)/H96)</f>
        <v>0.3751273791244642</v>
      </c>
      <c r="O96" s="23">
        <f t="shared" si="85"/>
        <v>-1.7163773496555665E-3</v>
      </c>
      <c r="P96" s="324">
        <f>3836032.9*774.896</f>
        <v>2972526550.0783997</v>
      </c>
      <c r="Q96" s="324">
        <f>102.78*774.896</f>
        <v>79643.81087999999</v>
      </c>
      <c r="R96" s="23">
        <f>((P96-L96)/L96)</f>
        <v>5.3563708254465596E-2</v>
      </c>
      <c r="S96" s="23">
        <f t="shared" si="86"/>
        <v>4.2355790197294414E-2</v>
      </c>
      <c r="T96" s="324">
        <f>4348579.22*740.99</f>
        <v>3222253716.2277999</v>
      </c>
      <c r="U96" s="324">
        <f>102.53*740.99</f>
        <v>75973.704700000002</v>
      </c>
      <c r="V96" s="23">
        <f>((T96-P96)/P96)</f>
        <v>8.401175294559228E-2</v>
      </c>
      <c r="W96" s="23">
        <f t="shared" si="87"/>
        <v>-4.6081498856574914E-2</v>
      </c>
      <c r="X96" s="324">
        <f>4557166.95*738.543</f>
        <v>3365663750.75385</v>
      </c>
      <c r="Y96" s="324">
        <f>102.99*738.543</f>
        <v>76062.543569999994</v>
      </c>
      <c r="Z96" s="23">
        <f>((X96-T96)/T96)</f>
        <v>4.4506127436152391E-2</v>
      </c>
      <c r="AA96" s="23">
        <f t="shared" si="88"/>
        <v>1.1693370798593202E-3</v>
      </c>
      <c r="AB96" s="324">
        <f>4639858.51*760.932</f>
        <v>3530616815.7313199</v>
      </c>
      <c r="AC96" s="324">
        <f>103.19*760.932</f>
        <v>78520.573080000002</v>
      </c>
      <c r="AD96" s="23">
        <f>((AB96-X96)/X96)</f>
        <v>4.9010559935027176E-2</v>
      </c>
      <c r="AE96" s="23">
        <f t="shared" si="89"/>
        <v>3.2315899451060226E-2</v>
      </c>
      <c r="AF96" s="324">
        <f>4699136.22*757.455</f>
        <v>3559384225.5201001</v>
      </c>
      <c r="AG96" s="324">
        <f>103.38*757.455</f>
        <v>78305.697899999999</v>
      </c>
      <c r="AH96" s="23">
        <f>((AF96-AB96)/AB96)</f>
        <v>8.1479841314417555E-3</v>
      </c>
      <c r="AI96" s="23">
        <f t="shared" si="90"/>
        <v>-2.7365462524207387E-3</v>
      </c>
      <c r="AJ96" s="24">
        <f t="shared" si="71"/>
        <v>8.1371744441594229E-2</v>
      </c>
      <c r="AK96" s="24">
        <f t="shared" si="72"/>
        <v>1.5705541811412303E-3</v>
      </c>
      <c r="AL96" s="25">
        <f t="shared" si="73"/>
        <v>0.76283978736718794</v>
      </c>
      <c r="AM96" s="25">
        <f t="shared" si="74"/>
        <v>2.0956725489782103E-2</v>
      </c>
      <c r="AN96" s="378">
        <f t="shared" si="75"/>
        <v>0.12118767899057262</v>
      </c>
      <c r="AO96" s="379">
        <f t="shared" si="76"/>
        <v>3.0100699046194924E-2</v>
      </c>
      <c r="AP96" s="30"/>
      <c r="AQ96" s="28"/>
      <c r="AR96" s="32"/>
      <c r="AS96" s="29"/>
      <c r="AT96" s="29"/>
    </row>
    <row r="97" spans="1:46" s="300" customFormat="1">
      <c r="A97" s="211" t="s">
        <v>127</v>
      </c>
      <c r="B97" s="324">
        <f>1734223.34*759.9</f>
        <v>1317836316.066</v>
      </c>
      <c r="C97" s="324">
        <f>131.86*759.9</f>
        <v>100200.414</v>
      </c>
      <c r="D97" s="324">
        <f>1731751.7*750.62</f>
        <v>1299887461.0539999</v>
      </c>
      <c r="E97" s="324">
        <f>131.72*750.62</f>
        <v>98871.666400000002</v>
      </c>
      <c r="F97" s="23">
        <f>((D110-B97)/B97)</f>
        <v>9.0815372790383915</v>
      </c>
      <c r="G97" s="23">
        <f t="shared" si="83"/>
        <v>-1.3260899301274368E-2</v>
      </c>
      <c r="H97" s="324">
        <f>1732813.68*747.45</f>
        <v>1295191585.1159999</v>
      </c>
      <c r="I97" s="324">
        <f>131.79*747.45</f>
        <v>98506.435500000007</v>
      </c>
      <c r="J97" s="23">
        <f>((H110-D97)/D97)</f>
        <v>9.4535413078313475</v>
      </c>
      <c r="K97" s="23">
        <f t="shared" si="84"/>
        <v>-3.6939895249909027E-3</v>
      </c>
      <c r="L97" s="324">
        <f>1734765.2*744.64</f>
        <v>1291775558.5279999</v>
      </c>
      <c r="M97" s="324">
        <f>131.98*744.64</f>
        <v>98277.587199999994</v>
      </c>
      <c r="N97" s="23">
        <f>((L110-H97)/H97)</f>
        <v>9.6592168158763414</v>
      </c>
      <c r="O97" s="23">
        <f t="shared" si="85"/>
        <v>-2.3231812098206757E-3</v>
      </c>
      <c r="P97" s="324">
        <f>1723746.93*774.896</f>
        <v>1335724601.0692799</v>
      </c>
      <c r="Q97" s="324">
        <f>131.21*774.896</f>
        <v>101674.10416</v>
      </c>
      <c r="R97" s="23">
        <f>((P110-L97)/L97)</f>
        <v>10.170062564507981</v>
      </c>
      <c r="S97" s="23">
        <f t="shared" si="86"/>
        <v>3.4560443095615685E-2</v>
      </c>
      <c r="T97" s="324">
        <f>1725693.27*740.99</f>
        <v>1278721456.1373</v>
      </c>
      <c r="U97" s="324">
        <f>131.39*740.99</f>
        <v>97358.676099999997</v>
      </c>
      <c r="V97" s="23">
        <f>((T110-P97)/P97)</f>
        <v>10.302725458312455</v>
      </c>
      <c r="W97" s="23">
        <f t="shared" si="87"/>
        <v>-4.2443728377572022E-2</v>
      </c>
      <c r="X97" s="324">
        <f>1779291.05*738.543</f>
        <v>1314082949.94015</v>
      </c>
      <c r="Y97" s="324">
        <f>132.22*738.543</f>
        <v>97650.155459999994</v>
      </c>
      <c r="Z97" s="23">
        <f>((X110-T97)/T97)</f>
        <v>11.405704344220135</v>
      </c>
      <c r="AA97" s="23">
        <f t="shared" si="88"/>
        <v>2.9938714419309731E-3</v>
      </c>
      <c r="AB97" s="324">
        <f>1781221.12*760.932</f>
        <v>1355388149.2838402</v>
      </c>
      <c r="AC97" s="324">
        <f>134.65*760.932</f>
        <v>102459.49380000001</v>
      </c>
      <c r="AD97" s="23">
        <f>((AB110-X97)/X97)</f>
        <v>11.675915967191154</v>
      </c>
      <c r="AE97" s="23">
        <f t="shared" si="89"/>
        <v>4.9250698243589019E-2</v>
      </c>
      <c r="AF97" s="324">
        <f>1756054.61*757.455</f>
        <v>1330132344.6175501</v>
      </c>
      <c r="AG97" s="324">
        <f>132.84*757.455</f>
        <v>100620.32220000001</v>
      </c>
      <c r="AH97" s="23">
        <f>((AF110-AB97)/AB97)</f>
        <v>11.817048287679846</v>
      </c>
      <c r="AI97" s="23">
        <f t="shared" si="90"/>
        <v>-1.7950231177113245E-2</v>
      </c>
      <c r="AJ97" s="24">
        <f t="shared" si="71"/>
        <v>10.445719003082207</v>
      </c>
      <c r="AK97" s="24">
        <f t="shared" si="72"/>
        <v>8.9162289879555828E-4</v>
      </c>
      <c r="AL97" s="25">
        <f t="shared" si="73"/>
        <v>2.3267309263085352E-2</v>
      </c>
      <c r="AM97" s="25">
        <f t="shared" si="74"/>
        <v>1.7686116393806503E-2</v>
      </c>
      <c r="AN97" s="378">
        <f t="shared" si="75"/>
        <v>1.0607226717208931</v>
      </c>
      <c r="AO97" s="379">
        <f t="shared" si="76"/>
        <v>4.1302434711013847</v>
      </c>
      <c r="AP97" s="30"/>
      <c r="AQ97" s="28"/>
      <c r="AR97" s="32"/>
      <c r="AS97" s="29"/>
      <c r="AT97" s="29"/>
    </row>
    <row r="98" spans="1:46" s="365" customFormat="1">
      <c r="A98" s="211" t="s">
        <v>164</v>
      </c>
      <c r="B98" s="324">
        <v>116755317214.14</v>
      </c>
      <c r="C98" s="324">
        <v>94269.04</v>
      </c>
      <c r="D98" s="324">
        <v>111790450090.59</v>
      </c>
      <c r="E98" s="324">
        <v>90390.23</v>
      </c>
      <c r="F98" s="23">
        <f>((D110-B98)/B98)</f>
        <v>-0.8862080437525377</v>
      </c>
      <c r="G98" s="23">
        <f t="shared" si="83"/>
        <v>-4.1146170577317835E-2</v>
      </c>
      <c r="H98" s="324">
        <v>111494552646.32001</v>
      </c>
      <c r="I98" s="324">
        <v>90183.08</v>
      </c>
      <c r="J98" s="23">
        <f>((H110-D98)/D98)</f>
        <v>-0.87844733375124129</v>
      </c>
      <c r="K98" s="23">
        <f t="shared" ref="K98" si="99">((I98-E98)/E98)</f>
        <v>-2.2917299801095115E-3</v>
      </c>
      <c r="L98" s="324">
        <v>111452274354.82001</v>
      </c>
      <c r="M98" s="324">
        <v>90144.75</v>
      </c>
      <c r="N98" s="23">
        <f>((L110-H98)/H98)</f>
        <v>-0.87617576288552712</v>
      </c>
      <c r="O98" s="23">
        <f t="shared" si="85"/>
        <v>-4.2502429502298816E-4</v>
      </c>
      <c r="P98" s="324">
        <v>116727902388.87</v>
      </c>
      <c r="Q98" s="324">
        <v>90144.75</v>
      </c>
      <c r="R98" s="23">
        <f>((P110-L98)/L98)</f>
        <v>-0.87053459526430943</v>
      </c>
      <c r="S98" s="23">
        <f t="shared" si="86"/>
        <v>0</v>
      </c>
      <c r="T98" s="324">
        <v>110827393791.22</v>
      </c>
      <c r="U98" s="324">
        <v>90436.160000000003</v>
      </c>
      <c r="V98" s="23">
        <f>((T110-P98)/P98)</f>
        <v>-0.87066221404797961</v>
      </c>
      <c r="W98" s="23">
        <f t="shared" si="87"/>
        <v>3.2326896463743425E-3</v>
      </c>
      <c r="X98" s="324">
        <v>110218283559.72</v>
      </c>
      <c r="Y98" s="324">
        <v>90069.69</v>
      </c>
      <c r="Z98" s="23">
        <f>((X110-T98)/T98)</f>
        <v>-0.8568635444650623</v>
      </c>
      <c r="AA98" s="23">
        <f t="shared" si="88"/>
        <v>-4.0522507811035008E-3</v>
      </c>
      <c r="AB98" s="324">
        <v>113125834664.67</v>
      </c>
      <c r="AC98" s="324">
        <v>92646.01</v>
      </c>
      <c r="AD98" s="23">
        <f>((AB110-X98)/X98)</f>
        <v>-0.84887076345791068</v>
      </c>
      <c r="AE98" s="23">
        <f t="shared" si="89"/>
        <v>2.8603629034362085E-2</v>
      </c>
      <c r="AF98" s="324">
        <v>110093204550.44</v>
      </c>
      <c r="AG98" s="324">
        <v>91620.27</v>
      </c>
      <c r="AH98" s="23">
        <f>((AF110-AB98)/AB98)</f>
        <v>-0.84643582600371814</v>
      </c>
      <c r="AI98" s="23">
        <f t="shared" si="90"/>
        <v>-1.107160470267409E-2</v>
      </c>
      <c r="AJ98" s="24">
        <f t="shared" si="71"/>
        <v>-0.86677476045353574</v>
      </c>
      <c r="AK98" s="24">
        <f t="shared" si="72"/>
        <v>-3.3938077069364378E-3</v>
      </c>
      <c r="AL98" s="25">
        <f t="shared" si="73"/>
        <v>-1.5182383994112394E-2</v>
      </c>
      <c r="AM98" s="25">
        <f t="shared" si="74"/>
        <v>1.3608107867410098E-2</v>
      </c>
      <c r="AN98" s="378">
        <f t="shared" si="75"/>
        <v>1.4461705750472002E-2</v>
      </c>
      <c r="AO98" s="379">
        <f t="shared" si="76"/>
        <v>0.29764221059267232</v>
      </c>
      <c r="AP98" s="30"/>
      <c r="AQ98" s="28"/>
      <c r="AR98" s="32"/>
      <c r="AS98" s="29"/>
      <c r="AT98" s="29"/>
    </row>
    <row r="99" spans="1:46">
      <c r="A99" s="211" t="s">
        <v>271</v>
      </c>
      <c r="B99" s="324">
        <v>0</v>
      </c>
      <c r="C99" s="324">
        <v>0</v>
      </c>
      <c r="D99" s="324">
        <v>0</v>
      </c>
      <c r="E99" s="324">
        <v>0</v>
      </c>
      <c r="F99" s="23" t="e">
        <f>((D111-B99)/B99)</f>
        <v>#DIV/0!</v>
      </c>
      <c r="G99" s="23" t="e">
        <f t="shared" si="83"/>
        <v>#DIV/0!</v>
      </c>
      <c r="H99" s="324">
        <v>0</v>
      </c>
      <c r="I99" s="324">
        <v>0</v>
      </c>
      <c r="J99" s="23" t="e">
        <f>((H111-D99)/D99)</f>
        <v>#DIV/0!</v>
      </c>
      <c r="K99" s="23" t="e">
        <f t="shared" si="84"/>
        <v>#DIV/0!</v>
      </c>
      <c r="L99" s="324">
        <f>142505.63*744.64</f>
        <v>106115392.3232</v>
      </c>
      <c r="M99" s="324">
        <f>99.91*744.64</f>
        <v>74396.982399999994</v>
      </c>
      <c r="N99" s="23" t="e">
        <f>((L111-H99)/H99)</f>
        <v>#DIV/0!</v>
      </c>
      <c r="O99" s="23" t="e">
        <f t="shared" si="85"/>
        <v>#DIV/0!</v>
      </c>
      <c r="P99" s="324">
        <f>160516.4*774.896</f>
        <v>124383516.29439999</v>
      </c>
      <c r="Q99" s="324">
        <f>100.8*774.896</f>
        <v>78109.516799999998</v>
      </c>
      <c r="R99" s="23">
        <f>((P111-L99)/L99)</f>
        <v>5511.1192744817608</v>
      </c>
      <c r="S99" s="23">
        <f t="shared" si="86"/>
        <v>4.9901679883188443E-2</v>
      </c>
      <c r="T99" s="324">
        <f>160516.4*740.99</f>
        <v>118941047.236</v>
      </c>
      <c r="U99" s="324">
        <f>100.86*740.99</f>
        <v>74736.251399999994</v>
      </c>
      <c r="V99" s="23">
        <f>((T111-P99)/P99)</f>
        <v>4511.8548151620907</v>
      </c>
      <c r="W99" s="23">
        <f t="shared" si="87"/>
        <v>-4.3186356006237693E-2</v>
      </c>
      <c r="X99" s="324">
        <f>199586.3*738.543</f>
        <v>147403064.76089999</v>
      </c>
      <c r="Y99" s="324">
        <f>100.93*738.543</f>
        <v>74541.144990000001</v>
      </c>
      <c r="Z99" s="23">
        <f>((X111-T99)/T99)</f>
        <v>4661.4842367587989</v>
      </c>
      <c r="AA99" s="23">
        <f t="shared" si="88"/>
        <v>-2.6105993590145875E-3</v>
      </c>
      <c r="AB99" s="324">
        <f>234593.54*760.932</f>
        <v>178509731.57928002</v>
      </c>
      <c r="AC99" s="324">
        <f>101*760.932</f>
        <v>76854.131999999998</v>
      </c>
      <c r="AD99" s="23">
        <f>((AB111-X99)/X99)</f>
        <v>3928.6524953877115</v>
      </c>
      <c r="AE99" s="23">
        <f t="shared" si="89"/>
        <v>3.1029668383954843E-2</v>
      </c>
      <c r="AF99" s="324">
        <f>264586.72*757.455</f>
        <v>200412533.99759999</v>
      </c>
      <c r="AG99" s="324">
        <f>101.05*757.455</f>
        <v>76540.827749999997</v>
      </c>
      <c r="AH99" s="23">
        <f>((AF111-AB99)/AB99)</f>
        <v>3211.2181373353815</v>
      </c>
      <c r="AI99" s="23">
        <f t="shared" si="90"/>
        <v>-4.0766090494653044E-3</v>
      </c>
      <c r="AJ99" s="24" t="e">
        <f t="shared" si="71"/>
        <v>#DIV/0!</v>
      </c>
      <c r="AK99" s="24"/>
      <c r="AL99" s="25" t="e">
        <f t="shared" si="73"/>
        <v>#DIV/0!</v>
      </c>
      <c r="AM99" s="25"/>
      <c r="AN99" s="378" t="e">
        <f t="shared" si="75"/>
        <v>#DIV/0!</v>
      </c>
      <c r="AO99" s="379"/>
      <c r="AP99" s="30"/>
      <c r="AQ99" s="28">
        <v>4173976375.3699999</v>
      </c>
      <c r="AR99" s="32">
        <v>299.53579999999999</v>
      </c>
      <c r="AS99" s="29" t="e">
        <f>(#REF!/AQ99)-1</f>
        <v>#REF!</v>
      </c>
      <c r="AT99" s="29" t="e">
        <f>(#REF!/AR99)-1</f>
        <v>#REF!</v>
      </c>
    </row>
    <row r="100" spans="1:46" ht="6.75" customHeight="1">
      <c r="A100" s="202"/>
      <c r="B100" s="85"/>
      <c r="C100" s="85"/>
      <c r="D100" s="85"/>
      <c r="E100" s="85"/>
      <c r="F100" s="23"/>
      <c r="G100" s="23"/>
      <c r="H100" s="85"/>
      <c r="I100" s="85"/>
      <c r="J100" s="23"/>
      <c r="K100" s="23"/>
      <c r="L100" s="85"/>
      <c r="M100" s="85"/>
      <c r="N100" s="23"/>
      <c r="O100" s="23"/>
      <c r="P100" s="85"/>
      <c r="Q100" s="85"/>
      <c r="R100" s="23"/>
      <c r="S100" s="23"/>
      <c r="T100" s="85"/>
      <c r="U100" s="85"/>
      <c r="V100" s="23"/>
      <c r="W100" s="23"/>
      <c r="X100" s="85"/>
      <c r="Y100" s="85"/>
      <c r="Z100" s="23"/>
      <c r="AA100" s="23"/>
      <c r="AB100" s="85"/>
      <c r="AC100" s="85"/>
      <c r="AD100" s="23"/>
      <c r="AE100" s="23"/>
      <c r="AF100" s="85"/>
      <c r="AG100" s="85"/>
      <c r="AH100" s="23"/>
      <c r="AI100" s="23"/>
      <c r="AJ100" s="24"/>
      <c r="AK100" s="24"/>
      <c r="AL100" s="25"/>
      <c r="AM100" s="25"/>
      <c r="AN100" s="378"/>
      <c r="AO100" s="379"/>
      <c r="AP100" s="30"/>
      <c r="AQ100" s="50">
        <v>4131236617.7600002</v>
      </c>
      <c r="AR100" s="48">
        <v>103.24</v>
      </c>
      <c r="AS100" s="29" t="e">
        <f>(#REF!/AQ100)-1</f>
        <v>#REF!</v>
      </c>
      <c r="AT100" s="29" t="e">
        <f>(#REF!/AR100)-1</f>
        <v>#REF!</v>
      </c>
    </row>
    <row r="101" spans="1:46">
      <c r="A101" s="198" t="s">
        <v>195</v>
      </c>
      <c r="B101" s="85"/>
      <c r="C101" s="85"/>
      <c r="D101" s="85"/>
      <c r="E101" s="85"/>
      <c r="F101" s="23"/>
      <c r="G101" s="23"/>
      <c r="H101" s="85"/>
      <c r="I101" s="85"/>
      <c r="J101" s="23"/>
      <c r="K101" s="23"/>
      <c r="L101" s="85"/>
      <c r="M101" s="85"/>
      <c r="N101" s="23"/>
      <c r="O101" s="23"/>
      <c r="P101" s="85"/>
      <c r="Q101" s="85"/>
      <c r="R101" s="23"/>
      <c r="S101" s="23"/>
      <c r="T101" s="85"/>
      <c r="U101" s="85"/>
      <c r="V101" s="23"/>
      <c r="W101" s="23"/>
      <c r="X101" s="85"/>
      <c r="Y101" s="85"/>
      <c r="Z101" s="23"/>
      <c r="AA101" s="23"/>
      <c r="AB101" s="85"/>
      <c r="AC101" s="85"/>
      <c r="AD101" s="23"/>
      <c r="AE101" s="23"/>
      <c r="AF101" s="85"/>
      <c r="AG101" s="85"/>
      <c r="AH101" s="23"/>
      <c r="AI101" s="23"/>
      <c r="AJ101" s="24"/>
      <c r="AK101" s="24"/>
      <c r="AL101" s="25"/>
      <c r="AM101" s="25"/>
      <c r="AN101" s="378"/>
      <c r="AO101" s="379"/>
      <c r="AP101" s="30"/>
      <c r="AQ101" s="45">
        <v>2931134847.0043802</v>
      </c>
      <c r="AR101" s="49">
        <v>2254.1853324818899</v>
      </c>
      <c r="AS101" s="29" t="e">
        <f>(#REF!/AQ101)-1</f>
        <v>#REF!</v>
      </c>
      <c r="AT101" s="29" t="e">
        <f>(#REF!/AR101)-1</f>
        <v>#REF!</v>
      </c>
    </row>
    <row r="102" spans="1:46">
      <c r="A102" s="200" t="s">
        <v>147</v>
      </c>
      <c r="B102" s="323">
        <v>688560395.04999995</v>
      </c>
      <c r="C102" s="324">
        <v>76580.98</v>
      </c>
      <c r="D102" s="323">
        <v>688495589.79999995</v>
      </c>
      <c r="E102" s="324">
        <v>76576.89</v>
      </c>
      <c r="F102" s="23">
        <f t="shared" ref="F102:F110" si="100">((D102-B102)/B102)</f>
        <v>-9.4117016409713995E-5</v>
      </c>
      <c r="G102" s="23">
        <f t="shared" ref="G102:G110" si="101">((E102-C102)/C102)</f>
        <v>-5.3407517114517309E-5</v>
      </c>
      <c r="H102" s="323">
        <v>681789226.86000001</v>
      </c>
      <c r="I102" s="324">
        <v>75832.69</v>
      </c>
      <c r="J102" s="23">
        <f t="shared" ref="J102:J109" si="102">((H102-D102)/D102)</f>
        <v>-9.7406040639244455E-3</v>
      </c>
      <c r="K102" s="23">
        <f t="shared" ref="K102:K109" si="103">((I102-E102)/E102)</f>
        <v>-9.7183366940077759E-3</v>
      </c>
      <c r="L102" s="323">
        <v>668012229.20000005</v>
      </c>
      <c r="M102" s="324">
        <v>74298.720000000001</v>
      </c>
      <c r="N102" s="23">
        <f t="shared" ref="N102:N109" si="104">((L102-H102)/H102)</f>
        <v>-2.0207121375986428E-2</v>
      </c>
      <c r="O102" s="23">
        <f t="shared" ref="O102:O109" si="105">((M102-I102)/I102)</f>
        <v>-2.0228347431694708E-2</v>
      </c>
      <c r="P102" s="323">
        <v>674352710.44000006</v>
      </c>
      <c r="Q102" s="324">
        <v>75004.95</v>
      </c>
      <c r="R102" s="23">
        <f t="shared" ref="R102:R109" si="106">((P102-L102)/L102)</f>
        <v>9.4915646193981518E-3</v>
      </c>
      <c r="S102" s="23">
        <f t="shared" ref="S102:S109" si="107">((Q102-M102)/M102)</f>
        <v>9.5052781528402637E-3</v>
      </c>
      <c r="T102" s="323">
        <v>672936206.42999995</v>
      </c>
      <c r="U102" s="324">
        <v>74596.75</v>
      </c>
      <c r="V102" s="23">
        <f t="shared" ref="V102:V109" si="108">((T102-P102)/P102)</f>
        <v>-2.1005387656496148E-3</v>
      </c>
      <c r="W102" s="23">
        <f t="shared" ref="W102:W109" si="109">((U102-Q102)/Q102)</f>
        <v>-5.4423074743733197E-3</v>
      </c>
      <c r="X102" s="323">
        <v>673096089.04999995</v>
      </c>
      <c r="Y102" s="324">
        <v>74611.89</v>
      </c>
      <c r="Z102" s="23">
        <f t="shared" ref="Z102:Z109" si="110">((X102-T102)/T102)</f>
        <v>2.3758956417013066E-4</v>
      </c>
      <c r="AA102" s="23">
        <f t="shared" ref="AA102:AA109" si="111">((Y102-U102)/U102)</f>
        <v>2.0295790366201501E-4</v>
      </c>
      <c r="AB102" s="323">
        <v>672734839.11000001</v>
      </c>
      <c r="AC102" s="324">
        <v>74574.039999999994</v>
      </c>
      <c r="AD102" s="23">
        <f t="shared" ref="AD102:AD109" si="112">((AB102-X102)/X102)</f>
        <v>-5.3669891398388896E-4</v>
      </c>
      <c r="AE102" s="23">
        <f t="shared" ref="AE102:AE109" si="113">((AC102-Y102)/Y102)</f>
        <v>-5.0729180027480638E-4</v>
      </c>
      <c r="AF102" s="323">
        <v>671692604.25</v>
      </c>
      <c r="AG102" s="324">
        <v>74051.7</v>
      </c>
      <c r="AH102" s="23">
        <f t="shared" ref="AH102:AH109" si="114">((AF102-AB102)/AB102)</f>
        <v>-1.5492506102089902E-3</v>
      </c>
      <c r="AI102" s="23">
        <f t="shared" ref="AI102:AI109" si="115">((AG102-AC102)/AC102)</f>
        <v>-7.0043141017973086E-3</v>
      </c>
      <c r="AJ102" s="24">
        <f t="shared" si="71"/>
        <v>-3.0623970703243493E-3</v>
      </c>
      <c r="AK102" s="24">
        <f t="shared" si="72"/>
        <v>-4.1557211203450198E-3</v>
      </c>
      <c r="AL102" s="25">
        <f t="shared" si="73"/>
        <v>-2.4405364099544961E-2</v>
      </c>
      <c r="AM102" s="25">
        <f t="shared" si="74"/>
        <v>-3.2975875619916169E-2</v>
      </c>
      <c r="AN102" s="378">
        <f t="shared" si="75"/>
        <v>8.6638535415403777E-3</v>
      </c>
      <c r="AO102" s="379">
        <f t="shared" si="76"/>
        <v>8.738984654109893E-3</v>
      </c>
      <c r="AP102" s="30"/>
      <c r="AQ102" s="51">
        <v>1131224777.76</v>
      </c>
      <c r="AR102" s="52">
        <v>0.6573</v>
      </c>
      <c r="AS102" s="29" t="e">
        <f>(#REF!/AQ102)-1</f>
        <v>#REF!</v>
      </c>
      <c r="AT102" s="29" t="e">
        <f>(#REF!/AR102)-1</f>
        <v>#REF!</v>
      </c>
    </row>
    <row r="103" spans="1:46">
      <c r="A103" s="200" t="s">
        <v>225</v>
      </c>
      <c r="B103" s="324">
        <f>6264714.35*759.9</f>
        <v>4760556434.5649996</v>
      </c>
      <c r="C103" s="323">
        <f>127.97*759.9</f>
        <v>97244.402999999991</v>
      </c>
      <c r="D103" s="324">
        <f>6089963.97*750.62</f>
        <v>4571248755.1613998</v>
      </c>
      <c r="E103" s="323">
        <f>128.06*750.62</f>
        <v>96124.397200000007</v>
      </c>
      <c r="F103" s="23">
        <f t="shared" si="100"/>
        <v>-3.9765872331455288E-2</v>
      </c>
      <c r="G103" s="23">
        <f t="shared" si="101"/>
        <v>-1.1517432010971208E-2</v>
      </c>
      <c r="H103" s="324">
        <f>6386795.13*747.45</f>
        <v>4773810019.9184999</v>
      </c>
      <c r="I103" s="323">
        <f>128.14*747.45</f>
        <v>95778.243000000002</v>
      </c>
      <c r="J103" s="23">
        <f t="shared" si="102"/>
        <v>4.4312019670421143E-2</v>
      </c>
      <c r="K103" s="23">
        <f t="shared" si="103"/>
        <v>-3.6011065877457017E-3</v>
      </c>
      <c r="L103" s="324">
        <f>6227839.81*744.64</f>
        <v>4637498636.1183996</v>
      </c>
      <c r="M103" s="323">
        <f>128.26*744.64</f>
        <v>95507.526399999988</v>
      </c>
      <c r="N103" s="23">
        <f t="shared" si="104"/>
        <v>-2.8554002616641094E-2</v>
      </c>
      <c r="O103" s="23">
        <f t="shared" si="105"/>
        <v>-2.8264936954420254E-3</v>
      </c>
      <c r="P103" s="324">
        <f>6350953.74*774.896</f>
        <v>4921328649.3110399</v>
      </c>
      <c r="Q103" s="323">
        <f>128.37*774.896</f>
        <v>99473.399519999992</v>
      </c>
      <c r="R103" s="23">
        <f t="shared" si="106"/>
        <v>6.1203255345904942E-2</v>
      </c>
      <c r="S103" s="23">
        <f t="shared" si="107"/>
        <v>4.1524194683781532E-2</v>
      </c>
      <c r="T103" s="324">
        <f>6398890.84*740.99</f>
        <v>4741514123.5316</v>
      </c>
      <c r="U103" s="323">
        <f>128.46*740.99</f>
        <v>95187.575400000002</v>
      </c>
      <c r="V103" s="23">
        <f t="shared" si="108"/>
        <v>-3.6537800783658904E-2</v>
      </c>
      <c r="W103" s="23">
        <f t="shared" si="109"/>
        <v>-4.3085127689219953E-2</v>
      </c>
      <c r="X103" s="324">
        <f>6391499.36 *738.543</f>
        <v>4720397111.8324804</v>
      </c>
      <c r="Y103" s="323">
        <f>128.61*738.543</f>
        <v>94984.015230000005</v>
      </c>
      <c r="Z103" s="23">
        <f t="shared" si="110"/>
        <v>-4.4536431082885988E-3</v>
      </c>
      <c r="AA103" s="23">
        <f t="shared" si="111"/>
        <v>-2.1385161786566212E-3</v>
      </c>
      <c r="AB103" s="324">
        <f>6230681.97 *760.932</f>
        <v>4741125292.7960396</v>
      </c>
      <c r="AC103" s="323">
        <f>128.68*760.932</f>
        <v>97916.729760000002</v>
      </c>
      <c r="AD103" s="23">
        <f t="shared" si="112"/>
        <v>4.3911943153258082E-3</v>
      </c>
      <c r="AE103" s="23">
        <f t="shared" si="113"/>
        <v>3.0875874460545242E-2</v>
      </c>
      <c r="AF103" s="324">
        <f>6406582.48*757.455</f>
        <v>4852697932.388401</v>
      </c>
      <c r="AG103" s="323">
        <f>128.8*757.455</f>
        <v>97560.204000000012</v>
      </c>
      <c r="AH103" s="23">
        <f t="shared" si="114"/>
        <v>2.3532944755096822E-2</v>
      </c>
      <c r="AI103" s="23">
        <f t="shared" si="115"/>
        <v>-3.6411117985032421E-3</v>
      </c>
      <c r="AJ103" s="24">
        <f t="shared" si="71"/>
        <v>3.016011905838104E-3</v>
      </c>
      <c r="AK103" s="24">
        <f t="shared" si="72"/>
        <v>6.9878514797350275E-4</v>
      </c>
      <c r="AL103" s="25">
        <f t="shared" si="73"/>
        <v>6.1569429340115597E-2</v>
      </c>
      <c r="AM103" s="25">
        <f t="shared" si="74"/>
        <v>1.4936965451264288E-2</v>
      </c>
      <c r="AN103" s="378">
        <f t="shared" si="75"/>
        <v>3.7723063231160751E-2</v>
      </c>
      <c r="AO103" s="379">
        <f t="shared" si="76"/>
        <v>2.304262135733505E-2</v>
      </c>
      <c r="AP103" s="30"/>
      <c r="AQ103" s="28">
        <v>318569106.36000001</v>
      </c>
      <c r="AR103" s="35">
        <v>123.8</v>
      </c>
      <c r="AS103" s="29" t="e">
        <f>(#REF!/AQ103)-1</f>
        <v>#REF!</v>
      </c>
      <c r="AT103" s="29" t="e">
        <f>(#REF!/AR103)-1</f>
        <v>#REF!</v>
      </c>
    </row>
    <row r="104" spans="1:46">
      <c r="A104" s="200" t="s">
        <v>141</v>
      </c>
      <c r="B104" s="323">
        <v>8002952093.6800003</v>
      </c>
      <c r="C104" s="323">
        <v>86382.95</v>
      </c>
      <c r="D104" s="323">
        <v>8129253672.9700003</v>
      </c>
      <c r="E104" s="323">
        <v>87371.78</v>
      </c>
      <c r="F104" s="23">
        <f t="shared" si="100"/>
        <v>1.5781873715043401E-2</v>
      </c>
      <c r="G104" s="23">
        <f t="shared" si="101"/>
        <v>1.1447050604314876E-2</v>
      </c>
      <c r="H104" s="323">
        <v>8491652781.9700003</v>
      </c>
      <c r="I104" s="323">
        <v>88010.14</v>
      </c>
      <c r="J104" s="23">
        <f t="shared" si="102"/>
        <v>4.4579628534042105E-2</v>
      </c>
      <c r="K104" s="23">
        <f t="shared" si="103"/>
        <v>7.3062492260086796E-3</v>
      </c>
      <c r="L104" s="323">
        <v>8017841578.04</v>
      </c>
      <c r="M104" s="323">
        <v>83388.28</v>
      </c>
      <c r="N104" s="23">
        <f t="shared" si="104"/>
        <v>-5.579728894898122E-2</v>
      </c>
      <c r="O104" s="23">
        <f t="shared" si="105"/>
        <v>-5.2515085193592471E-2</v>
      </c>
      <c r="P104" s="323">
        <v>8364212902.8299999</v>
      </c>
      <c r="Q104" s="323">
        <v>87116.08</v>
      </c>
      <c r="R104" s="23">
        <f t="shared" si="106"/>
        <v>4.3200070919170254E-2</v>
      </c>
      <c r="S104" s="23">
        <f t="shared" si="107"/>
        <v>4.4704123888872668E-2</v>
      </c>
      <c r="T104" s="323">
        <v>8255659546.5699997</v>
      </c>
      <c r="U104" s="323">
        <v>86193.86</v>
      </c>
      <c r="V104" s="23">
        <f t="shared" si="108"/>
        <v>-1.2978310992451138E-2</v>
      </c>
      <c r="W104" s="23">
        <f t="shared" si="109"/>
        <v>-1.0586105343582966E-2</v>
      </c>
      <c r="X104" s="323">
        <v>7955322496.5299997</v>
      </c>
      <c r="Y104" s="323">
        <v>83333.820000000007</v>
      </c>
      <c r="Z104" s="23">
        <f t="shared" si="110"/>
        <v>-3.6379534348019688E-2</v>
      </c>
      <c r="AA104" s="23">
        <f t="shared" si="111"/>
        <v>-3.3181481836409156E-2</v>
      </c>
      <c r="AB104" s="323">
        <v>8458101147.6000004</v>
      </c>
      <c r="AC104" s="323">
        <v>88342.8</v>
      </c>
      <c r="AD104" s="23">
        <f t="shared" si="112"/>
        <v>6.3200285254218877E-2</v>
      </c>
      <c r="AE104" s="23">
        <f t="shared" si="113"/>
        <v>6.0107408972731542E-2</v>
      </c>
      <c r="AF104" s="323">
        <v>7995860549.8199997</v>
      </c>
      <c r="AG104" s="323">
        <v>83711.34</v>
      </c>
      <c r="AH104" s="23">
        <f t="shared" si="114"/>
        <v>-5.4650634901802067E-2</v>
      </c>
      <c r="AI104" s="23">
        <f t="shared" si="115"/>
        <v>-5.2426004156535748E-2</v>
      </c>
      <c r="AJ104" s="24">
        <f t="shared" si="71"/>
        <v>8.6951115390256593E-4</v>
      </c>
      <c r="AK104" s="24">
        <f t="shared" si="72"/>
        <v>-3.1429804797740721E-3</v>
      </c>
      <c r="AL104" s="25">
        <f t="shared" si="73"/>
        <v>-1.640902455701887E-2</v>
      </c>
      <c r="AM104" s="25">
        <f t="shared" si="74"/>
        <v>-4.1894991723872427E-2</v>
      </c>
      <c r="AN104" s="378">
        <f t="shared" si="75"/>
        <v>4.7332895582360257E-2</v>
      </c>
      <c r="AO104" s="379">
        <f t="shared" si="76"/>
        <v>4.2821501267837764E-2</v>
      </c>
      <c r="AP104" s="30"/>
      <c r="AQ104" s="28">
        <v>1812522091.8199999</v>
      </c>
      <c r="AR104" s="32">
        <v>1.6227</v>
      </c>
      <c r="AS104" s="29" t="e">
        <f>(#REF!/AQ104)-1</f>
        <v>#REF!</v>
      </c>
      <c r="AT104" s="29" t="e">
        <f>(#REF!/AR104)-1</f>
        <v>#REF!</v>
      </c>
    </row>
    <row r="105" spans="1:46">
      <c r="A105" s="200" t="s">
        <v>152</v>
      </c>
      <c r="B105" s="323">
        <v>2747907346.4821548</v>
      </c>
      <c r="C105" s="323">
        <v>871.58520673566431</v>
      </c>
      <c r="D105" s="323">
        <v>2847060291.9544473</v>
      </c>
      <c r="E105" s="323">
        <v>906.73512641579941</v>
      </c>
      <c r="F105" s="23">
        <f t="shared" si="100"/>
        <v>3.6083074489111536E-2</v>
      </c>
      <c r="G105" s="23">
        <f t="shared" si="101"/>
        <v>4.0328724499331045E-2</v>
      </c>
      <c r="H105" s="323">
        <v>2866575892.1103539</v>
      </c>
      <c r="I105" s="323">
        <v>910.9718833818996</v>
      </c>
      <c r="J105" s="23">
        <f t="shared" si="102"/>
        <v>6.8546494119060709E-3</v>
      </c>
      <c r="K105" s="23">
        <f t="shared" si="103"/>
        <v>4.6725409027082825E-3</v>
      </c>
      <c r="L105" s="323">
        <v>2846604740.8251896</v>
      </c>
      <c r="M105" s="323">
        <v>902.22400876050983</v>
      </c>
      <c r="N105" s="23">
        <f t="shared" si="104"/>
        <v>-6.966901291583014E-3</v>
      </c>
      <c r="O105" s="23">
        <f t="shared" si="105"/>
        <v>-9.6027932156523728E-3</v>
      </c>
      <c r="P105" s="323">
        <v>2791742295.4366288</v>
      </c>
      <c r="Q105" s="323">
        <v>906.25317687242205</v>
      </c>
      <c r="R105" s="23">
        <f t="shared" si="106"/>
        <v>-1.9272941059128898E-2</v>
      </c>
      <c r="S105" s="23">
        <f t="shared" si="107"/>
        <v>4.4658178820219498E-3</v>
      </c>
      <c r="T105" s="323">
        <v>2800355950.5205216</v>
      </c>
      <c r="U105" s="323">
        <v>898.26591436851902</v>
      </c>
      <c r="V105" s="23">
        <f t="shared" si="108"/>
        <v>3.0854048018589216E-3</v>
      </c>
      <c r="W105" s="23">
        <f t="shared" si="109"/>
        <v>-8.8135001429379082E-3</v>
      </c>
      <c r="X105" s="323">
        <v>2793496709.4538999</v>
      </c>
      <c r="Y105" s="323">
        <v>907.47575420768203</v>
      </c>
      <c r="Z105" s="23">
        <f t="shared" si="110"/>
        <v>-2.4494175697010252E-3</v>
      </c>
      <c r="AA105" s="23">
        <f t="shared" si="111"/>
        <v>1.025291029286971E-2</v>
      </c>
      <c r="AB105" s="323">
        <v>2827593382.9012799</v>
      </c>
      <c r="AC105" s="323">
        <v>913.06060057854904</v>
      </c>
      <c r="AD105" s="23">
        <f t="shared" si="112"/>
        <v>1.2205732454234971E-2</v>
      </c>
      <c r="AE105" s="23">
        <f t="shared" si="113"/>
        <v>6.1542651084305249E-3</v>
      </c>
      <c r="AF105" s="323">
        <v>2775848924.9132667</v>
      </c>
      <c r="AG105" s="323">
        <v>896.35175334017492</v>
      </c>
      <c r="AH105" s="23">
        <f t="shared" si="114"/>
        <v>-1.8299822846140755E-2</v>
      </c>
      <c r="AI105" s="23">
        <f t="shared" si="115"/>
        <v>-1.8299822846136144E-2</v>
      </c>
      <c r="AJ105" s="24">
        <f t="shared" si="71"/>
        <v>1.4049722988197259E-3</v>
      </c>
      <c r="AK105" s="24">
        <f t="shared" si="72"/>
        <v>3.6447678100793878E-3</v>
      </c>
      <c r="AL105" s="25">
        <f t="shared" si="73"/>
        <v>-2.5012244118053258E-2</v>
      </c>
      <c r="AM105" s="25">
        <f t="shared" si="74"/>
        <v>-1.1451385055157784E-2</v>
      </c>
      <c r="AN105" s="378">
        <f t="shared" si="75"/>
        <v>1.793858437918994E-2</v>
      </c>
      <c r="AO105" s="379">
        <f t="shared" si="76"/>
        <v>1.801624117408536E-2</v>
      </c>
      <c r="AP105" s="30"/>
      <c r="AQ105" s="28"/>
      <c r="AR105" s="32"/>
      <c r="AS105" s="29"/>
      <c r="AT105" s="29"/>
    </row>
    <row r="106" spans="1:46" ht="16.5" customHeight="1">
      <c r="A106" s="200" t="s">
        <v>190</v>
      </c>
      <c r="B106" s="324">
        <v>7899646733.8199997</v>
      </c>
      <c r="C106" s="323">
        <f>0.9988*759.9</f>
        <v>758.98811999999998</v>
      </c>
      <c r="D106" s="324">
        <v>8087357844.3699999</v>
      </c>
      <c r="E106" s="323">
        <f>1.0005*750.62</f>
        <v>750.99531000000002</v>
      </c>
      <c r="F106" s="23">
        <f t="shared" si="100"/>
        <v>2.3761962638958349E-2</v>
      </c>
      <c r="G106" s="23">
        <f t="shared" si="101"/>
        <v>-1.0530876293557747E-2</v>
      </c>
      <c r="H106" s="324">
        <v>7949567517.1199999</v>
      </c>
      <c r="I106" s="323">
        <f>1.0005*747.45</f>
        <v>747.82372499999997</v>
      </c>
      <c r="J106" s="23">
        <f t="shared" si="102"/>
        <v>-1.7037743339862535E-2</v>
      </c>
      <c r="K106" s="23">
        <f t="shared" si="103"/>
        <v>-4.2231755082465829E-3</v>
      </c>
      <c r="L106" s="324">
        <v>7823928079.6199999</v>
      </c>
      <c r="M106" s="323">
        <f>1.004*744.64</f>
        <v>747.61856</v>
      </c>
      <c r="N106" s="23">
        <f t="shared" si="104"/>
        <v>-1.5804562604119769E-2</v>
      </c>
      <c r="O106" s="23">
        <f t="shared" si="105"/>
        <v>-2.7434941302506203E-4</v>
      </c>
      <c r="P106" s="324">
        <v>7877208560.4200001</v>
      </c>
      <c r="Q106" s="323">
        <f>1.0058*774.896</f>
        <v>779.39039679999996</v>
      </c>
      <c r="R106" s="23">
        <f t="shared" si="106"/>
        <v>6.8099400017219954E-3</v>
      </c>
      <c r="S106" s="23">
        <f t="shared" si="107"/>
        <v>4.2497389042882992E-2</v>
      </c>
      <c r="T106" s="324">
        <v>7909154771.3999996</v>
      </c>
      <c r="U106" s="323">
        <f>1.0073*740.99</f>
        <v>746.39922700000011</v>
      </c>
      <c r="V106" s="23">
        <f t="shared" si="108"/>
        <v>4.0555243313624059E-3</v>
      </c>
      <c r="W106" s="23">
        <f t="shared" si="109"/>
        <v>-4.2329453808327776E-2</v>
      </c>
      <c r="X106" s="324">
        <v>7914360940.9399996</v>
      </c>
      <c r="Y106" s="323">
        <f>1.009*738.543</f>
        <v>745.18988699999989</v>
      </c>
      <c r="Z106" s="23">
        <f t="shared" si="110"/>
        <v>6.5824600611253661E-4</v>
      </c>
      <c r="AA106" s="23">
        <f t="shared" si="111"/>
        <v>-1.6202321174164675E-3</v>
      </c>
      <c r="AB106" s="324">
        <v>7951502375.8199997</v>
      </c>
      <c r="AC106" s="323">
        <f>1.0109*760.932</f>
        <v>769.22615879999989</v>
      </c>
      <c r="AD106" s="23">
        <f t="shared" si="112"/>
        <v>4.6929164789379415E-3</v>
      </c>
      <c r="AE106" s="23">
        <f t="shared" si="113"/>
        <v>3.2255230806695061E-2</v>
      </c>
      <c r="AF106" s="324">
        <v>7977974730.4899998</v>
      </c>
      <c r="AG106" s="323">
        <f>1.0127*757.455</f>
        <v>767.0746785</v>
      </c>
      <c r="AH106" s="23">
        <f t="shared" si="114"/>
        <v>3.3292267824129415E-3</v>
      </c>
      <c r="AI106" s="23">
        <f t="shared" si="115"/>
        <v>-2.7969411536344769E-3</v>
      </c>
      <c r="AJ106" s="24">
        <f t="shared" si="71"/>
        <v>1.3081887869404831E-3</v>
      </c>
      <c r="AK106" s="24">
        <f t="shared" si="72"/>
        <v>1.6221989444212422E-3</v>
      </c>
      <c r="AL106" s="25">
        <f t="shared" si="73"/>
        <v>-1.352519772030948E-2</v>
      </c>
      <c r="AM106" s="25">
        <f t="shared" si="74"/>
        <v>2.1410744229547835E-2</v>
      </c>
      <c r="AN106" s="378">
        <f t="shared" si="75"/>
        <v>1.3023999642092181E-2</v>
      </c>
      <c r="AO106" s="379">
        <f t="shared" si="76"/>
        <v>2.3091441826460512E-2</v>
      </c>
      <c r="AP106" s="30"/>
      <c r="AQ106" s="28"/>
      <c r="AR106" s="32"/>
      <c r="AS106" s="29"/>
      <c r="AT106" s="29"/>
    </row>
    <row r="107" spans="1:46">
      <c r="A107" s="200" t="s">
        <v>160</v>
      </c>
      <c r="B107" s="323">
        <v>194995623.19999999</v>
      </c>
      <c r="C107" s="323">
        <v>775.76</v>
      </c>
      <c r="D107" s="323">
        <v>185549914.19999999</v>
      </c>
      <c r="E107" s="323">
        <v>743.07</v>
      </c>
      <c r="F107" s="23">
        <f t="shared" si="100"/>
        <v>-4.8440620589272801E-2</v>
      </c>
      <c r="G107" s="23">
        <f t="shared" si="101"/>
        <v>-4.2139321439620424E-2</v>
      </c>
      <c r="H107" s="323">
        <v>183232853.19999999</v>
      </c>
      <c r="I107" s="323">
        <v>740.4</v>
      </c>
      <c r="J107" s="23">
        <f t="shared" si="102"/>
        <v>-1.2487534742282301E-2</v>
      </c>
      <c r="K107" s="23">
        <f t="shared" si="103"/>
        <v>-3.5932011788930686E-3</v>
      </c>
      <c r="L107" s="323">
        <v>179264787.66</v>
      </c>
      <c r="M107" s="323">
        <v>739.52</v>
      </c>
      <c r="N107" s="23">
        <f t="shared" si="104"/>
        <v>-2.1655862858113221E-2</v>
      </c>
      <c r="O107" s="23">
        <f t="shared" si="105"/>
        <v>-1.1885467314964823E-3</v>
      </c>
      <c r="P107" s="323">
        <v>190662090.37</v>
      </c>
      <c r="Q107" s="323">
        <v>778.42</v>
      </c>
      <c r="R107" s="23">
        <f t="shared" si="106"/>
        <v>6.357803369402662E-2</v>
      </c>
      <c r="S107" s="23">
        <f t="shared" si="107"/>
        <v>5.2601687581133677E-2</v>
      </c>
      <c r="T107" s="323">
        <v>186164369.91999999</v>
      </c>
      <c r="U107" s="323">
        <v>763.58</v>
      </c>
      <c r="V107" s="23">
        <f t="shared" si="108"/>
        <v>-2.3590009116504045E-2</v>
      </c>
      <c r="W107" s="23">
        <f t="shared" si="109"/>
        <v>-1.9064258369517636E-2</v>
      </c>
      <c r="X107" s="323">
        <v>175637274.08000001</v>
      </c>
      <c r="Y107" s="323">
        <v>722.39</v>
      </c>
      <c r="Z107" s="23">
        <f t="shared" si="110"/>
        <v>-5.6547318074472358E-2</v>
      </c>
      <c r="AA107" s="23">
        <f t="shared" si="111"/>
        <v>-5.3943267241153579E-2</v>
      </c>
      <c r="AB107" s="323">
        <v>184186175.25999999</v>
      </c>
      <c r="AC107" s="323">
        <v>756.91</v>
      </c>
      <c r="AD107" s="23">
        <f t="shared" si="112"/>
        <v>4.8673615693364085E-2</v>
      </c>
      <c r="AE107" s="23">
        <f t="shared" si="113"/>
        <v>4.77858220628746E-2</v>
      </c>
      <c r="AF107" s="323">
        <v>180649783.06</v>
      </c>
      <c r="AG107" s="323">
        <v>747.76</v>
      </c>
      <c r="AH107" s="23">
        <f t="shared" si="114"/>
        <v>-1.9200095745557252E-2</v>
      </c>
      <c r="AI107" s="23">
        <f t="shared" si="115"/>
        <v>-1.208862348231623E-2</v>
      </c>
      <c r="AJ107" s="24">
        <f t="shared" si="71"/>
        <v>-8.7087239673514089E-3</v>
      </c>
      <c r="AK107" s="24">
        <f t="shared" si="72"/>
        <v>-3.9537135998736423E-3</v>
      </c>
      <c r="AL107" s="25">
        <f t="shared" si="73"/>
        <v>-2.6408695262010451E-2</v>
      </c>
      <c r="AM107" s="25">
        <f t="shared" si="74"/>
        <v>6.3116530071190341E-3</v>
      </c>
      <c r="AN107" s="378">
        <f t="shared" si="75"/>
        <v>4.2926336037551867E-2</v>
      </c>
      <c r="AO107" s="379">
        <f t="shared" si="76"/>
        <v>3.8223829940952754E-2</v>
      </c>
      <c r="AP107" s="30"/>
      <c r="AQ107" s="28"/>
      <c r="AR107" s="32"/>
      <c r="AS107" s="29"/>
      <c r="AT107" s="29"/>
    </row>
    <row r="108" spans="1:46" s="286" customFormat="1">
      <c r="A108" s="200" t="s">
        <v>93</v>
      </c>
      <c r="B108" s="324">
        <v>343173893112.28003</v>
      </c>
      <c r="C108" s="323">
        <v>1101.58</v>
      </c>
      <c r="D108" s="324">
        <v>332338411238.46997</v>
      </c>
      <c r="E108" s="323">
        <v>1056.57</v>
      </c>
      <c r="F108" s="23">
        <f t="shared" si="100"/>
        <v>-3.1574318709217467E-2</v>
      </c>
      <c r="G108" s="23">
        <f t="shared" si="101"/>
        <v>-4.085949272862615E-2</v>
      </c>
      <c r="H108" s="324">
        <v>332263166216.25</v>
      </c>
      <c r="I108" s="323">
        <v>1054.54</v>
      </c>
      <c r="J108" s="23">
        <f t="shared" si="102"/>
        <v>-2.2641085013185103E-4</v>
      </c>
      <c r="K108" s="23">
        <f t="shared" si="103"/>
        <v>-1.9213114133469367E-3</v>
      </c>
      <c r="L108" s="324">
        <v>332777000731.61279</v>
      </c>
      <c r="M108" s="323">
        <v>1057.5136</v>
      </c>
      <c r="N108" s="23">
        <f t="shared" si="104"/>
        <v>1.5464684852499395E-3</v>
      </c>
      <c r="O108" s="23">
        <f t="shared" si="105"/>
        <v>2.8198076886604899E-3</v>
      </c>
      <c r="P108" s="324">
        <v>352113421306.75</v>
      </c>
      <c r="Q108" s="323">
        <v>1111.43</v>
      </c>
      <c r="R108" s="23">
        <f t="shared" si="106"/>
        <v>5.8106240913963221E-2</v>
      </c>
      <c r="S108" s="23">
        <f t="shared" si="107"/>
        <v>5.0984119731415339E-2</v>
      </c>
      <c r="T108" s="324">
        <v>336697805631.02002</v>
      </c>
      <c r="U108" s="323">
        <v>1057.1099999999999</v>
      </c>
      <c r="V108" s="23">
        <f t="shared" si="108"/>
        <v>-4.3780255857672597E-2</v>
      </c>
      <c r="W108" s="23">
        <f t="shared" si="109"/>
        <v>-4.8873973169700442E-2</v>
      </c>
      <c r="X108" s="324">
        <v>329475987402.97998</v>
      </c>
      <c r="Y108" s="323">
        <v>1034.3900000000001</v>
      </c>
      <c r="Z108" s="23">
        <f t="shared" si="110"/>
        <v>-2.1448961375038707E-2</v>
      </c>
      <c r="AA108" s="23">
        <f t="shared" si="111"/>
        <v>-2.1492559903888719E-2</v>
      </c>
      <c r="AB108" s="324">
        <v>346417854999.15997</v>
      </c>
      <c r="AC108" s="323">
        <v>1085.33</v>
      </c>
      <c r="AD108" s="23">
        <f t="shared" si="112"/>
        <v>5.142064442911435E-2</v>
      </c>
      <c r="AE108" s="23">
        <f t="shared" si="113"/>
        <v>4.924641576194648E-2</v>
      </c>
      <c r="AF108" s="324">
        <v>343586475600.15002</v>
      </c>
      <c r="AG108" s="323">
        <v>1073.71</v>
      </c>
      <c r="AH108" s="23">
        <f t="shared" si="114"/>
        <v>-8.1733067685463689E-3</v>
      </c>
      <c r="AI108" s="23">
        <f t="shared" si="115"/>
        <v>-1.0706421088516757E-2</v>
      </c>
      <c r="AJ108" s="24">
        <f t="shared" si="71"/>
        <v>7.3376253346506552E-4</v>
      </c>
      <c r="AK108" s="24">
        <f t="shared" si="72"/>
        <v>-2.6004268902570862E-3</v>
      </c>
      <c r="AL108" s="25">
        <f t="shared" si="73"/>
        <v>3.3845213136103572E-2</v>
      </c>
      <c r="AM108" s="25">
        <f t="shared" si="74"/>
        <v>1.6222304248653757E-2</v>
      </c>
      <c r="AN108" s="378">
        <f t="shared" si="75"/>
        <v>3.6759960294897177E-2</v>
      </c>
      <c r="AO108" s="379">
        <f t="shared" si="76"/>
        <v>3.7505134983520302E-2</v>
      </c>
      <c r="AP108" s="30"/>
      <c r="AQ108" s="28"/>
      <c r="AR108" s="32"/>
      <c r="AS108" s="29"/>
      <c r="AT108" s="29"/>
    </row>
    <row r="109" spans="1:46" s="354" customFormat="1">
      <c r="A109" s="200" t="s">
        <v>248</v>
      </c>
      <c r="B109" s="324">
        <v>9914664897.4099998</v>
      </c>
      <c r="C109" s="324">
        <v>813.23</v>
      </c>
      <c r="D109" s="324">
        <v>9845121557.3199997</v>
      </c>
      <c r="E109" s="324">
        <v>780.07</v>
      </c>
      <c r="F109" s="23">
        <f t="shared" si="100"/>
        <v>-7.0141896684946864E-3</v>
      </c>
      <c r="G109" s="23">
        <f t="shared" si="101"/>
        <v>-4.0775672319024098E-2</v>
      </c>
      <c r="H109" s="324">
        <v>11484235217.690001</v>
      </c>
      <c r="I109" s="324">
        <v>778.59</v>
      </c>
      <c r="J109" s="23">
        <f t="shared" si="102"/>
        <v>0.1664899362417008</v>
      </c>
      <c r="K109" s="23">
        <f t="shared" si="103"/>
        <v>-1.8972656300075867E-3</v>
      </c>
      <c r="L109" s="324">
        <v>11501206043.23</v>
      </c>
      <c r="M109" s="324">
        <v>778.71</v>
      </c>
      <c r="N109" s="23">
        <f t="shared" si="104"/>
        <v>1.4777497341623249E-3</v>
      </c>
      <c r="O109" s="23">
        <f t="shared" si="105"/>
        <v>1.5412476399646096E-4</v>
      </c>
      <c r="P109" s="324">
        <v>12190551597.889999</v>
      </c>
      <c r="Q109" s="324">
        <v>820.45</v>
      </c>
      <c r="R109" s="23">
        <f t="shared" si="106"/>
        <v>5.9936805937475753E-2</v>
      </c>
      <c r="S109" s="23">
        <f t="shared" si="107"/>
        <v>5.3601469096325981E-2</v>
      </c>
      <c r="T109" s="324">
        <v>11802328258.219999</v>
      </c>
      <c r="U109" s="324">
        <v>781.25</v>
      </c>
      <c r="V109" s="23">
        <f t="shared" si="108"/>
        <v>-3.1846248838911906E-2</v>
      </c>
      <c r="W109" s="23">
        <f t="shared" si="109"/>
        <v>-4.7778658053507277E-2</v>
      </c>
      <c r="X109" s="324">
        <v>11867891184.09</v>
      </c>
      <c r="Y109" s="324">
        <v>778.02</v>
      </c>
      <c r="Z109" s="23">
        <f t="shared" si="110"/>
        <v>5.55508408473032E-3</v>
      </c>
      <c r="AA109" s="23">
        <f t="shared" si="111"/>
        <v>-4.1344000000000233E-3</v>
      </c>
      <c r="AB109" s="324">
        <v>13368437385.360001</v>
      </c>
      <c r="AC109" s="324">
        <v>800.21</v>
      </c>
      <c r="AD109" s="23">
        <f t="shared" si="112"/>
        <v>0.12643747553749235</v>
      </c>
      <c r="AE109" s="23">
        <f t="shared" si="113"/>
        <v>2.8521117709056392E-2</v>
      </c>
      <c r="AF109" s="324">
        <v>13269793347.030001</v>
      </c>
      <c r="AG109" s="324">
        <v>791.28</v>
      </c>
      <c r="AH109" s="23">
        <f t="shared" si="114"/>
        <v>-7.3788757419043349E-3</v>
      </c>
      <c r="AI109" s="23">
        <f t="shared" si="115"/>
        <v>-1.1159570612714241E-2</v>
      </c>
      <c r="AJ109" s="24">
        <f t="shared" si="71"/>
        <v>3.9207217160781328E-2</v>
      </c>
      <c r="AK109" s="24">
        <f t="shared" si="72"/>
        <v>-2.9336068807342994E-3</v>
      </c>
      <c r="AL109" s="25">
        <f t="shared" si="73"/>
        <v>0.34785469836720345</v>
      </c>
      <c r="AM109" s="25">
        <f t="shared" si="74"/>
        <v>1.4370505211070701E-2</v>
      </c>
      <c r="AN109" s="378">
        <f t="shared" si="75"/>
        <v>7.1863939604744048E-2</v>
      </c>
      <c r="AO109" s="379">
        <f t="shared" si="76"/>
        <v>5.638826770722874E-2</v>
      </c>
      <c r="AP109" s="30"/>
      <c r="AQ109" s="28"/>
      <c r="AR109" s="32"/>
      <c r="AS109" s="29"/>
      <c r="AT109" s="29"/>
    </row>
    <row r="110" spans="1:46" s="86" customFormat="1">
      <c r="A110" s="200" t="s">
        <v>123</v>
      </c>
      <c r="B110" s="323">
        <v>12926490839.27</v>
      </c>
      <c r="C110" s="323">
        <v>776.9</v>
      </c>
      <c r="D110" s="323">
        <v>13285815948.09</v>
      </c>
      <c r="E110" s="323">
        <v>756.94</v>
      </c>
      <c r="F110" s="23">
        <f t="shared" si="100"/>
        <v>2.7797575791288141E-2</v>
      </c>
      <c r="G110" s="23">
        <f t="shared" si="101"/>
        <v>-2.5691852233234551E-2</v>
      </c>
      <c r="H110" s="323">
        <v>13588427269.66</v>
      </c>
      <c r="I110" s="323">
        <v>756.94</v>
      </c>
      <c r="J110" s="23">
        <f>((H110-D110)/D110)</f>
        <v>2.2777021957277963E-2</v>
      </c>
      <c r="K110" s="23">
        <f>((I110-E110)/E110)</f>
        <v>0</v>
      </c>
      <c r="L110" s="323">
        <v>13805727923.85</v>
      </c>
      <c r="M110" s="323">
        <v>756.94</v>
      </c>
      <c r="N110" s="23">
        <f>((L110-H110)/H110)</f>
        <v>1.5991597105220971E-2</v>
      </c>
      <c r="O110" s="23">
        <f>((M110-I110)/I110)</f>
        <v>0</v>
      </c>
      <c r="P110" s="323">
        <v>14429213808.059999</v>
      </c>
      <c r="Q110" s="323">
        <v>756.94</v>
      </c>
      <c r="R110" s="23">
        <f>((P110-L110)/L110)</f>
        <v>4.5161391536110158E-2</v>
      </c>
      <c r="S110" s="23">
        <f>((Q110-M110)/M110)</f>
        <v>0</v>
      </c>
      <c r="T110" s="323">
        <v>15097328453.799999</v>
      </c>
      <c r="U110" s="323">
        <v>762.71</v>
      </c>
      <c r="V110" s="23">
        <f>((T110-P110)/P110)</f>
        <v>4.6302913979055345E-2</v>
      </c>
      <c r="W110" s="23">
        <f>((U110-Q110)/Q110)</f>
        <v>7.622797051285414E-3</v>
      </c>
      <c r="X110" s="323">
        <v>15863440323.450001</v>
      </c>
      <c r="Y110" s="323">
        <v>762.71</v>
      </c>
      <c r="Z110" s="23">
        <f>((X110-T110)/T110)</f>
        <v>5.0744863370656222E-2</v>
      </c>
      <c r="AA110" s="23">
        <f>((Y110-U110)/U110)</f>
        <v>0</v>
      </c>
      <c r="AB110" s="323">
        <v>16657205047.360001</v>
      </c>
      <c r="AC110" s="323">
        <v>762.71</v>
      </c>
      <c r="AD110" s="23">
        <f>((AB110-X110)/X110)</f>
        <v>5.0037363127128462E-2</v>
      </c>
      <c r="AE110" s="23">
        <f>((AC110-Y110)/Y110)</f>
        <v>0</v>
      </c>
      <c r="AF110" s="323">
        <v>17372075357.919998</v>
      </c>
      <c r="AG110" s="323">
        <f>762.71*1.1072</f>
        <v>844.47251200000005</v>
      </c>
      <c r="AH110" s="23">
        <f>((AF110-AB110)/AB110)</f>
        <v>4.2916582255394478E-2</v>
      </c>
      <c r="AI110" s="23">
        <f>((AG110-AC110)/AC110)</f>
        <v>0.10720000000000002</v>
      </c>
      <c r="AJ110" s="24">
        <f t="shared" si="71"/>
        <v>3.7716163640266469E-2</v>
      </c>
      <c r="AK110" s="24">
        <f t="shared" si="72"/>
        <v>1.114136810225636E-2</v>
      </c>
      <c r="AL110" s="25">
        <f t="shared" si="73"/>
        <v>0.30756555907410776</v>
      </c>
      <c r="AM110" s="25">
        <f t="shared" si="74"/>
        <v>0.11563996089518322</v>
      </c>
      <c r="AN110" s="378">
        <f t="shared" si="75"/>
        <v>1.3476329286736911E-2</v>
      </c>
      <c r="AO110" s="379">
        <f t="shared" si="76"/>
        <v>4.1905981115442956E-2</v>
      </c>
      <c r="AP110" s="30"/>
      <c r="AQ110" s="28"/>
      <c r="AR110" s="32"/>
      <c r="AS110" s="29"/>
      <c r="AT110" s="29"/>
    </row>
    <row r="111" spans="1:46" s="103" customFormat="1">
      <c r="A111" s="202" t="s">
        <v>42</v>
      </c>
      <c r="B111" s="76">
        <f>SUM(B89:B110)</f>
        <v>569956762301.13733</v>
      </c>
      <c r="C111" s="85"/>
      <c r="D111" s="76">
        <f>SUM(D89:D110)</f>
        <v>553123134779.05676</v>
      </c>
      <c r="E111" s="85"/>
      <c r="F111" s="23"/>
      <c r="G111" s="23"/>
      <c r="H111" s="76">
        <f>SUM(H89:H110)</f>
        <v>554621583051.02319</v>
      </c>
      <c r="I111" s="85"/>
      <c r="J111" s="23"/>
      <c r="K111" s="23"/>
      <c r="L111" s="76">
        <f>SUM(L89:L110)</f>
        <v>555450233256.58521</v>
      </c>
      <c r="M111" s="85"/>
      <c r="N111" s="23"/>
      <c r="O111" s="23"/>
      <c r="P111" s="76">
        <f>SUM(P89:P110)</f>
        <v>584920699343.90466</v>
      </c>
      <c r="Q111" s="85"/>
      <c r="R111" s="23"/>
      <c r="S111" s="23"/>
      <c r="T111" s="76">
        <f>SUM(T89:T110)</f>
        <v>561324750435.97546</v>
      </c>
      <c r="U111" s="85"/>
      <c r="V111" s="23"/>
      <c r="W111" s="23"/>
      <c r="X111" s="76">
        <f>SUM(X89:X110)</f>
        <v>554560757841.43372</v>
      </c>
      <c r="Y111" s="85"/>
      <c r="Z111" s="23"/>
      <c r="AA111" s="23"/>
      <c r="AB111" s="76">
        <f>SUM(AB89:AB110)</f>
        <v>579242821265.46704</v>
      </c>
      <c r="AC111" s="85"/>
      <c r="AD111" s="23"/>
      <c r="AE111" s="23"/>
      <c r="AF111" s="76">
        <f>SUM(AF89:AF110)</f>
        <v>573412197469.83374</v>
      </c>
      <c r="AG111" s="85"/>
      <c r="AH111" s="23"/>
      <c r="AI111" s="23"/>
      <c r="AJ111" s="24" t="e">
        <f t="shared" si="71"/>
        <v>#DIV/0!</v>
      </c>
      <c r="AK111" s="24"/>
      <c r="AL111" s="25">
        <f t="shared" si="73"/>
        <v>3.6680914998938489E-2</v>
      </c>
      <c r="AM111" s="25"/>
      <c r="AN111" s="378" t="e">
        <f t="shared" si="75"/>
        <v>#DIV/0!</v>
      </c>
      <c r="AO111" s="379"/>
      <c r="AP111" s="30"/>
      <c r="AQ111" s="28"/>
      <c r="AR111" s="32"/>
      <c r="AS111" s="29"/>
      <c r="AT111" s="29"/>
    </row>
    <row r="112" spans="1:46" s="103" customFormat="1" ht="8.25" customHeight="1">
      <c r="A112" s="202"/>
      <c r="B112" s="85"/>
      <c r="C112" s="85"/>
      <c r="D112" s="85"/>
      <c r="E112" s="85"/>
      <c r="F112" s="23"/>
      <c r="G112" s="23"/>
      <c r="H112" s="85"/>
      <c r="I112" s="85"/>
      <c r="J112" s="23"/>
      <c r="K112" s="23"/>
      <c r="L112" s="85"/>
      <c r="M112" s="85"/>
      <c r="N112" s="23"/>
      <c r="O112" s="23"/>
      <c r="P112" s="85"/>
      <c r="Q112" s="85"/>
      <c r="R112" s="23"/>
      <c r="S112" s="23"/>
      <c r="T112" s="85"/>
      <c r="U112" s="85"/>
      <c r="V112" s="23"/>
      <c r="W112" s="23"/>
      <c r="X112" s="85"/>
      <c r="Y112" s="85"/>
      <c r="Z112" s="23"/>
      <c r="AA112" s="23"/>
      <c r="AB112" s="85"/>
      <c r="AC112" s="85"/>
      <c r="AD112" s="23"/>
      <c r="AE112" s="23"/>
      <c r="AF112" s="85"/>
      <c r="AG112" s="85"/>
      <c r="AH112" s="23"/>
      <c r="AI112" s="23"/>
      <c r="AJ112" s="24"/>
      <c r="AK112" s="24"/>
      <c r="AL112" s="25"/>
      <c r="AM112" s="25"/>
      <c r="AN112" s="378"/>
      <c r="AO112" s="379"/>
      <c r="AP112" s="30"/>
      <c r="AQ112" s="28"/>
      <c r="AR112" s="32"/>
      <c r="AS112" s="29"/>
      <c r="AT112" s="29"/>
    </row>
    <row r="113" spans="1:46">
      <c r="A113" s="204" t="s">
        <v>210</v>
      </c>
      <c r="B113" s="85"/>
      <c r="C113" s="85"/>
      <c r="D113" s="85"/>
      <c r="E113" s="85"/>
      <c r="F113" s="23"/>
      <c r="G113" s="23"/>
      <c r="H113" s="85"/>
      <c r="I113" s="85"/>
      <c r="J113" s="23"/>
      <c r="K113" s="23"/>
      <c r="L113" s="85"/>
      <c r="M113" s="85"/>
      <c r="N113" s="23"/>
      <c r="O113" s="23"/>
      <c r="P113" s="85"/>
      <c r="Q113" s="85"/>
      <c r="R113" s="23"/>
      <c r="S113" s="23"/>
      <c r="T113" s="85"/>
      <c r="U113" s="85"/>
      <c r="V113" s="23"/>
      <c r="W113" s="23"/>
      <c r="X113" s="85"/>
      <c r="Y113" s="85"/>
      <c r="Z113" s="23"/>
      <c r="AA113" s="23"/>
      <c r="AB113" s="85"/>
      <c r="AC113" s="85"/>
      <c r="AD113" s="23"/>
      <c r="AE113" s="23"/>
      <c r="AF113" s="85"/>
      <c r="AG113" s="85"/>
      <c r="AH113" s="23"/>
      <c r="AI113" s="23"/>
      <c r="AJ113" s="24"/>
      <c r="AK113" s="24"/>
      <c r="AL113" s="25"/>
      <c r="AM113" s="25"/>
      <c r="AN113" s="378"/>
      <c r="AO113" s="379"/>
      <c r="AP113" s="30"/>
      <c r="AQ113" s="54">
        <f>SUM(AQ92:AQ104)</f>
        <v>16564722721.154379</v>
      </c>
      <c r="AR113" s="55"/>
      <c r="AS113" s="29" t="e">
        <f>(#REF!/AQ113)-1</f>
        <v>#REF!</v>
      </c>
      <c r="AT113" s="29" t="e">
        <f>(#REF!/AR113)-1</f>
        <v>#REF!</v>
      </c>
    </row>
    <row r="114" spans="1:46">
      <c r="A114" s="200" t="s">
        <v>162</v>
      </c>
      <c r="B114" s="324">
        <v>54330953714</v>
      </c>
      <c r="C114" s="325">
        <v>101.72</v>
      </c>
      <c r="D114" s="324">
        <v>54330953714</v>
      </c>
      <c r="E114" s="325">
        <v>101.29</v>
      </c>
      <c r="F114" s="23">
        <f t="shared" ref="F114:G117" si="116">((D114-B114)/B114)</f>
        <v>0</v>
      </c>
      <c r="G114" s="23">
        <f t="shared" si="116"/>
        <v>-4.2272906016515201E-3</v>
      </c>
      <c r="H114" s="324">
        <v>54330953714</v>
      </c>
      <c r="I114" s="325">
        <v>101.29</v>
      </c>
      <c r="J114" s="23">
        <f t="shared" ref="J114:J117" si="117">((H114-D114)/D114)</f>
        <v>0</v>
      </c>
      <c r="K114" s="23">
        <f t="shared" ref="K114:K117" si="118">((I114-E114)/E114)</f>
        <v>0</v>
      </c>
      <c r="L114" s="324">
        <v>54330953714</v>
      </c>
      <c r="M114" s="325">
        <v>101.29</v>
      </c>
      <c r="N114" s="23">
        <f t="shared" ref="N114:N117" si="119">((L114-H114)/H114)</f>
        <v>0</v>
      </c>
      <c r="O114" s="23">
        <f t="shared" ref="O114:O117" si="120">((M114-I114)/I114)</f>
        <v>0</v>
      </c>
      <c r="P114" s="324">
        <v>54330953714</v>
      </c>
      <c r="Q114" s="325">
        <v>101.29</v>
      </c>
      <c r="R114" s="23">
        <f t="shared" ref="R114:R117" si="121">((P114-L114)/L114)</f>
        <v>0</v>
      </c>
      <c r="S114" s="23">
        <f t="shared" ref="S114:S117" si="122">((Q114-M114)/M114)</f>
        <v>0</v>
      </c>
      <c r="T114" s="324">
        <v>54330953714</v>
      </c>
      <c r="U114" s="325">
        <v>101.48</v>
      </c>
      <c r="V114" s="23">
        <f t="shared" ref="V114:V117" si="123">((T114-P114)/P114)</f>
        <v>0</v>
      </c>
      <c r="W114" s="23">
        <f t="shared" ref="W114:W117" si="124">((U114-Q114)/Q114)</f>
        <v>1.875802152236131E-3</v>
      </c>
      <c r="X114" s="324">
        <v>54330953714</v>
      </c>
      <c r="Y114" s="325">
        <v>101.48</v>
      </c>
      <c r="Z114" s="23">
        <f t="shared" ref="Z114:Z117" si="125">((X114-T114)/T114)</f>
        <v>0</v>
      </c>
      <c r="AA114" s="23">
        <f t="shared" ref="AA114:AA117" si="126">((Y114-U114)/U114)</f>
        <v>0</v>
      </c>
      <c r="AB114" s="324">
        <v>54330953714</v>
      </c>
      <c r="AC114" s="325">
        <v>101.48</v>
      </c>
      <c r="AD114" s="23">
        <f t="shared" ref="AD114:AD117" si="127">((AB114-X114)/X114)</f>
        <v>0</v>
      </c>
      <c r="AE114" s="23">
        <f t="shared" ref="AE114:AE117" si="128">((AC114-Y114)/Y114)</f>
        <v>0</v>
      </c>
      <c r="AF114" s="324">
        <v>54330953714</v>
      </c>
      <c r="AG114" s="325">
        <v>101.48</v>
      </c>
      <c r="AH114" s="23">
        <f t="shared" ref="AH114:AH117" si="129">((AF114-AB114)/AB114)</f>
        <v>0</v>
      </c>
      <c r="AI114" s="23">
        <f t="shared" ref="AI114:AI117" si="130">((AG114-AC114)/AC114)</f>
        <v>0</v>
      </c>
      <c r="AJ114" s="24">
        <f t="shared" si="71"/>
        <v>0</v>
      </c>
      <c r="AK114" s="24">
        <f t="shared" si="72"/>
        <v>-2.9393605617692364E-4</v>
      </c>
      <c r="AL114" s="25">
        <f t="shared" si="73"/>
        <v>0</v>
      </c>
      <c r="AM114" s="25">
        <f t="shared" si="74"/>
        <v>1.875802152236131E-3</v>
      </c>
      <c r="AN114" s="378">
        <f t="shared" si="75"/>
        <v>0</v>
      </c>
      <c r="AO114" s="379">
        <f t="shared" si="76"/>
        <v>1.7195278548060894E-3</v>
      </c>
      <c r="AP114" s="30"/>
      <c r="AQ114" s="40"/>
      <c r="AR114" s="13"/>
      <c r="AS114" s="29" t="e">
        <f>(#REF!/AQ114)-1</f>
        <v>#REF!</v>
      </c>
      <c r="AT114" s="29" t="e">
        <f>(#REF!/AR114)-1</f>
        <v>#REF!</v>
      </c>
    </row>
    <row r="115" spans="1:46">
      <c r="A115" s="200" t="s">
        <v>139</v>
      </c>
      <c r="B115" s="324">
        <v>2420689064.9899998</v>
      </c>
      <c r="C115" s="325">
        <v>69.3</v>
      </c>
      <c r="D115" s="324">
        <v>2426333291.4699998</v>
      </c>
      <c r="E115" s="325">
        <v>69.3</v>
      </c>
      <c r="F115" s="23">
        <f t="shared" si="116"/>
        <v>2.3316610801574949E-3</v>
      </c>
      <c r="G115" s="23">
        <f t="shared" si="116"/>
        <v>0</v>
      </c>
      <c r="H115" s="324">
        <v>2430805410.1199999</v>
      </c>
      <c r="I115" s="325">
        <v>76.2</v>
      </c>
      <c r="J115" s="23">
        <f t="shared" si="117"/>
        <v>1.8431592501006535E-3</v>
      </c>
      <c r="K115" s="23">
        <f t="shared" si="118"/>
        <v>9.9567099567099651E-2</v>
      </c>
      <c r="L115" s="324">
        <v>2435291609.4000001</v>
      </c>
      <c r="M115" s="325">
        <v>76.2</v>
      </c>
      <c r="N115" s="23">
        <f t="shared" si="119"/>
        <v>1.8455608422307825E-3</v>
      </c>
      <c r="O115" s="23">
        <f t="shared" si="120"/>
        <v>0</v>
      </c>
      <c r="P115" s="324">
        <v>2438723204.9299998</v>
      </c>
      <c r="Q115" s="325">
        <v>83.8</v>
      </c>
      <c r="R115" s="23">
        <f t="shared" si="121"/>
        <v>1.4091107269265382E-3</v>
      </c>
      <c r="S115" s="23">
        <f t="shared" si="122"/>
        <v>9.9737532808398865E-2</v>
      </c>
      <c r="T115" s="324">
        <v>2446041455.8499999</v>
      </c>
      <c r="U115" s="325">
        <v>92.15</v>
      </c>
      <c r="V115" s="23">
        <f t="shared" si="123"/>
        <v>3.0008534405240699E-3</v>
      </c>
      <c r="W115" s="23">
        <f t="shared" si="124"/>
        <v>9.9642004773269802E-2</v>
      </c>
      <c r="X115" s="324">
        <v>2299214969.5500002</v>
      </c>
      <c r="Y115" s="325">
        <v>92.15</v>
      </c>
      <c r="Z115" s="23">
        <f t="shared" si="125"/>
        <v>-6.0026164294495768E-2</v>
      </c>
      <c r="AA115" s="23">
        <f t="shared" si="126"/>
        <v>0</v>
      </c>
      <c r="AB115" s="324">
        <v>2300853716.8299999</v>
      </c>
      <c r="AC115" s="325">
        <v>92.15</v>
      </c>
      <c r="AD115" s="23">
        <f t="shared" si="127"/>
        <v>7.1274208880106008E-4</v>
      </c>
      <c r="AE115" s="23">
        <f t="shared" si="128"/>
        <v>0</v>
      </c>
      <c r="AF115" s="324">
        <v>2308270619.0300002</v>
      </c>
      <c r="AG115" s="325">
        <v>92.15</v>
      </c>
      <c r="AH115" s="23">
        <f t="shared" si="129"/>
        <v>3.223543568088683E-3</v>
      </c>
      <c r="AI115" s="23">
        <f t="shared" si="130"/>
        <v>0</v>
      </c>
      <c r="AJ115" s="24">
        <f t="shared" si="71"/>
        <v>-5.7074416622083105E-3</v>
      </c>
      <c r="AK115" s="24">
        <f t="shared" si="72"/>
        <v>3.7368329643596036E-2</v>
      </c>
      <c r="AL115" s="25">
        <f t="shared" si="73"/>
        <v>-4.8658884933516708E-2</v>
      </c>
      <c r="AM115" s="25">
        <f t="shared" si="74"/>
        <v>0.32972582972582987</v>
      </c>
      <c r="AN115" s="378">
        <f t="shared" si="75"/>
        <v>2.196318738369403E-2</v>
      </c>
      <c r="AO115" s="379">
        <f t="shared" si="76"/>
        <v>5.1500002687658697E-2</v>
      </c>
      <c r="AP115" s="30"/>
      <c r="AQ115" s="28">
        <v>640873657.65999997</v>
      </c>
      <c r="AR115" s="32">
        <v>11.5358</v>
      </c>
      <c r="AS115" s="29" t="e">
        <f>(#REF!/AQ115)-1</f>
        <v>#REF!</v>
      </c>
      <c r="AT115" s="29" t="e">
        <f>(#REF!/AR115)-1</f>
        <v>#REF!</v>
      </c>
    </row>
    <row r="116" spans="1:46">
      <c r="A116" s="200" t="s">
        <v>21</v>
      </c>
      <c r="B116" s="324">
        <v>9927214011.3899994</v>
      </c>
      <c r="C116" s="325">
        <v>36.6</v>
      </c>
      <c r="D116" s="324">
        <v>9933540017.9400005</v>
      </c>
      <c r="E116" s="325">
        <v>36.6</v>
      </c>
      <c r="F116" s="23">
        <f t="shared" si="116"/>
        <v>6.3723886104832578E-4</v>
      </c>
      <c r="G116" s="23">
        <f t="shared" si="116"/>
        <v>0</v>
      </c>
      <c r="H116" s="324">
        <v>9944614288.5400009</v>
      </c>
      <c r="I116" s="325">
        <v>36.6</v>
      </c>
      <c r="J116" s="23">
        <f t="shared" si="117"/>
        <v>1.1148362597825365E-3</v>
      </c>
      <c r="K116" s="23">
        <f t="shared" si="118"/>
        <v>0</v>
      </c>
      <c r="L116" s="324">
        <v>9961671468.0100002</v>
      </c>
      <c r="M116" s="325">
        <v>36.6</v>
      </c>
      <c r="N116" s="23">
        <f t="shared" si="119"/>
        <v>1.7152178028318008E-3</v>
      </c>
      <c r="O116" s="23">
        <f t="shared" si="120"/>
        <v>0</v>
      </c>
      <c r="P116" s="324">
        <v>9973258463.5</v>
      </c>
      <c r="Q116" s="325">
        <v>36.6</v>
      </c>
      <c r="R116" s="23">
        <f t="shared" si="121"/>
        <v>1.1631577619488043E-3</v>
      </c>
      <c r="S116" s="23">
        <f t="shared" si="122"/>
        <v>0</v>
      </c>
      <c r="T116" s="324">
        <v>9971710298.6399994</v>
      </c>
      <c r="U116" s="325">
        <v>36.6</v>
      </c>
      <c r="V116" s="23">
        <f t="shared" si="123"/>
        <v>-1.5523159914751671E-4</v>
      </c>
      <c r="W116" s="23">
        <f t="shared" si="124"/>
        <v>0</v>
      </c>
      <c r="X116" s="324">
        <v>9975213480.9500008</v>
      </c>
      <c r="Y116" s="325">
        <v>36.6</v>
      </c>
      <c r="Z116" s="23">
        <f t="shared" si="125"/>
        <v>3.5131208238963358E-4</v>
      </c>
      <c r="AA116" s="23">
        <f t="shared" si="126"/>
        <v>0</v>
      </c>
      <c r="AB116" s="324">
        <v>9995456646.1000004</v>
      </c>
      <c r="AC116" s="325">
        <v>36.6</v>
      </c>
      <c r="AD116" s="23">
        <f t="shared" si="127"/>
        <v>2.0293465587136223E-3</v>
      </c>
      <c r="AE116" s="23">
        <f t="shared" si="128"/>
        <v>0</v>
      </c>
      <c r="AF116" s="324">
        <v>10006289289.290001</v>
      </c>
      <c r="AG116" s="325">
        <v>36.6</v>
      </c>
      <c r="AH116" s="23">
        <f t="shared" si="129"/>
        <v>1.0837567080266598E-3</v>
      </c>
      <c r="AI116" s="23">
        <f t="shared" si="130"/>
        <v>0</v>
      </c>
      <c r="AJ116" s="24">
        <f t="shared" si="71"/>
        <v>9.9245430444923322E-4</v>
      </c>
      <c r="AK116" s="24">
        <f t="shared" si="72"/>
        <v>0</v>
      </c>
      <c r="AL116" s="25">
        <f t="shared" si="73"/>
        <v>7.3235997659057087E-3</v>
      </c>
      <c r="AM116" s="25">
        <f t="shared" si="74"/>
        <v>0</v>
      </c>
      <c r="AN116" s="378">
        <f t="shared" si="75"/>
        <v>7.0755212400550722E-4</v>
      </c>
      <c r="AO116" s="379">
        <f t="shared" si="76"/>
        <v>7.1748235652199322E-4</v>
      </c>
      <c r="AP116" s="30"/>
      <c r="AQ116" s="28">
        <v>2128320668.46</v>
      </c>
      <c r="AR116" s="35">
        <v>1.04</v>
      </c>
      <c r="AS116" s="29" t="e">
        <f>(#REF!/AQ116)-1</f>
        <v>#REF!</v>
      </c>
      <c r="AT116" s="29" t="e">
        <f>(#REF!/AR116)-1</f>
        <v>#REF!</v>
      </c>
    </row>
    <row r="117" spans="1:46">
      <c r="A117" s="200" t="s">
        <v>181</v>
      </c>
      <c r="B117" s="324">
        <v>26879601041.349998</v>
      </c>
      <c r="C117" s="325">
        <v>10.07</v>
      </c>
      <c r="D117" s="324">
        <v>26883973889</v>
      </c>
      <c r="E117" s="325">
        <v>3.65</v>
      </c>
      <c r="F117" s="23">
        <f t="shared" si="116"/>
        <v>1.6268275869402206E-4</v>
      </c>
      <c r="G117" s="23">
        <f t="shared" si="116"/>
        <v>-0.63753723932472683</v>
      </c>
      <c r="H117" s="324">
        <v>26888503253.650002</v>
      </c>
      <c r="I117" s="325">
        <v>3.7</v>
      </c>
      <c r="J117" s="23">
        <f t="shared" si="117"/>
        <v>1.684782416729986E-4</v>
      </c>
      <c r="K117" s="23">
        <f t="shared" si="118"/>
        <v>1.3698630136986375E-2</v>
      </c>
      <c r="L117" s="324">
        <v>26898810426.599998</v>
      </c>
      <c r="M117" s="325">
        <v>3.65</v>
      </c>
      <c r="N117" s="23">
        <f t="shared" si="119"/>
        <v>3.8333011148910986E-4</v>
      </c>
      <c r="O117" s="23">
        <f t="shared" si="120"/>
        <v>-1.3513513513513585E-2</v>
      </c>
      <c r="P117" s="324">
        <v>26766647841.02</v>
      </c>
      <c r="Q117" s="325">
        <v>3.65</v>
      </c>
      <c r="R117" s="23">
        <f t="shared" si="121"/>
        <v>-4.913324547962299E-3</v>
      </c>
      <c r="S117" s="23">
        <f t="shared" si="122"/>
        <v>0</v>
      </c>
      <c r="T117" s="324">
        <v>26756217072.84</v>
      </c>
      <c r="U117" s="325">
        <v>3.65</v>
      </c>
      <c r="V117" s="23">
        <f t="shared" si="123"/>
        <v>-3.8969273410528114E-4</v>
      </c>
      <c r="W117" s="23">
        <f t="shared" si="124"/>
        <v>0</v>
      </c>
      <c r="X117" s="324">
        <v>26258357411.380001</v>
      </c>
      <c r="Y117" s="325">
        <v>3.35</v>
      </c>
      <c r="Z117" s="23">
        <f t="shared" si="125"/>
        <v>-1.8607251544739935E-2</v>
      </c>
      <c r="AA117" s="23">
        <f t="shared" si="126"/>
        <v>-8.2191780821917762E-2</v>
      </c>
      <c r="AB117" s="324">
        <v>26273000959.59</v>
      </c>
      <c r="AC117" s="325">
        <v>3.4</v>
      </c>
      <c r="AD117" s="23">
        <f t="shared" si="127"/>
        <v>5.5767190538935911E-4</v>
      </c>
      <c r="AE117" s="23">
        <f t="shared" si="128"/>
        <v>1.4925373134328304E-2</v>
      </c>
      <c r="AF117" s="324">
        <v>26284931933.349998</v>
      </c>
      <c r="AG117" s="325">
        <v>3.55</v>
      </c>
      <c r="AH117" s="23">
        <f t="shared" si="129"/>
        <v>4.5411537792538901E-4</v>
      </c>
      <c r="AI117" s="23">
        <f t="shared" si="130"/>
        <v>4.4117647058823505E-2</v>
      </c>
      <c r="AJ117" s="24">
        <f t="shared" si="71"/>
        <v>-2.7729988039545792E-3</v>
      </c>
      <c r="AK117" s="24">
        <f t="shared" si="72"/>
        <v>-8.2562610416252513E-2</v>
      </c>
      <c r="AL117" s="25">
        <f t="shared" si="73"/>
        <v>-2.2282492838423301E-2</v>
      </c>
      <c r="AM117" s="25">
        <f t="shared" si="74"/>
        <v>-2.7397260273972629E-2</v>
      </c>
      <c r="AN117" s="378">
        <f t="shared" si="75"/>
        <v>6.6518016996340232E-3</v>
      </c>
      <c r="AO117" s="379">
        <f t="shared" si="76"/>
        <v>0.22633578558430975</v>
      </c>
      <c r="AP117" s="30"/>
      <c r="AQ117" s="28">
        <v>1789192828.73</v>
      </c>
      <c r="AR117" s="32">
        <v>0.79</v>
      </c>
      <c r="AS117" s="29" t="e">
        <f>(#REF!/AQ117)-1</f>
        <v>#REF!</v>
      </c>
      <c r="AT117" s="29" t="e">
        <f>(#REF!/AR117)-1</f>
        <v>#REF!</v>
      </c>
    </row>
    <row r="118" spans="1:46">
      <c r="A118" s="202" t="s">
        <v>42</v>
      </c>
      <c r="B118" s="70">
        <f>SUM(B114:B117)</f>
        <v>93558457831.729996</v>
      </c>
      <c r="C118" s="85"/>
      <c r="D118" s="70">
        <f>SUM(D114:D117)</f>
        <v>93574800912.410004</v>
      </c>
      <c r="E118" s="85"/>
      <c r="F118" s="23">
        <f>((D118-B118)/B118)</f>
        <v>1.7468309182053706E-4</v>
      </c>
      <c r="G118" s="23"/>
      <c r="H118" s="70">
        <f>SUM(H114:H117)</f>
        <v>93594876666.309998</v>
      </c>
      <c r="I118" s="85"/>
      <c r="J118" s="23">
        <f>((H118-D118)/D118)</f>
        <v>2.1454230951328078E-4</v>
      </c>
      <c r="K118" s="23"/>
      <c r="L118" s="70">
        <f>SUM(L114:L117)</f>
        <v>93626727218.01001</v>
      </c>
      <c r="M118" s="85"/>
      <c r="N118" s="23">
        <f>((L118-H118)/H118)</f>
        <v>3.4030229895561147E-4</v>
      </c>
      <c r="O118" s="23"/>
      <c r="P118" s="70">
        <f>SUM(P114:P117)</f>
        <v>93509583223.449997</v>
      </c>
      <c r="Q118" s="85"/>
      <c r="R118" s="23">
        <f>((P118-L118)/L118)</f>
        <v>-1.2511811321487592E-3</v>
      </c>
      <c r="S118" s="23"/>
      <c r="T118" s="70">
        <f>SUM(T114:T117)</f>
        <v>93504922541.330002</v>
      </c>
      <c r="U118" s="85"/>
      <c r="V118" s="23">
        <f>((T118-P118)/P118)</f>
        <v>-4.9841759093909942E-5</v>
      </c>
      <c r="W118" s="23"/>
      <c r="X118" s="70">
        <f>SUM(X114:X117)</f>
        <v>92863739575.880005</v>
      </c>
      <c r="Y118" s="85"/>
      <c r="Z118" s="23">
        <f>((X118-T118)/T118)</f>
        <v>-6.8572108079827396E-3</v>
      </c>
      <c r="AA118" s="23"/>
      <c r="AB118" s="70">
        <f>SUM(AB114:AB117)</f>
        <v>92900265036.520004</v>
      </c>
      <c r="AC118" s="85"/>
      <c r="AD118" s="23">
        <f>((AB118-X118)/X118)</f>
        <v>3.9332317228248196E-4</v>
      </c>
      <c r="AE118" s="23"/>
      <c r="AF118" s="70">
        <f>SUM(AF114:AF117)</f>
        <v>92930445555.669998</v>
      </c>
      <c r="AG118" s="85"/>
      <c r="AH118" s="23">
        <f>((AF118-AB118)/AB118)</f>
        <v>3.2487010815447767E-4</v>
      </c>
      <c r="AI118" s="23"/>
      <c r="AJ118" s="24">
        <f t="shared" si="71"/>
        <v>-8.388140898123776E-4</v>
      </c>
      <c r="AK118" s="24"/>
      <c r="AL118" s="25">
        <f t="shared" si="73"/>
        <v>-6.8859922805836324E-3</v>
      </c>
      <c r="AM118" s="25"/>
      <c r="AN118" s="378">
        <f t="shared" si="75"/>
        <v>2.4903527523571032E-3</v>
      </c>
      <c r="AO118" s="379"/>
      <c r="AP118" s="30"/>
      <c r="AQ118" s="28">
        <v>204378030.47999999</v>
      </c>
      <c r="AR118" s="32">
        <v>22.9087</v>
      </c>
      <c r="AS118" s="29" t="e">
        <f>(#REF!/AQ118)-1</f>
        <v>#REF!</v>
      </c>
      <c r="AT118" s="29" t="e">
        <f>(#REF!/AR118)-1</f>
        <v>#REF!</v>
      </c>
    </row>
    <row r="119" spans="1:46" s="365" customFormat="1" ht="7.5" customHeight="1">
      <c r="A119" s="202"/>
      <c r="B119" s="85"/>
      <c r="C119" s="85"/>
      <c r="D119" s="85"/>
      <c r="E119" s="85"/>
      <c r="F119" s="23"/>
      <c r="G119" s="23"/>
      <c r="H119" s="85"/>
      <c r="I119" s="85"/>
      <c r="J119" s="23"/>
      <c r="K119" s="23"/>
      <c r="L119" s="85"/>
      <c r="M119" s="85"/>
      <c r="N119" s="23"/>
      <c r="O119" s="23"/>
      <c r="P119" s="85"/>
      <c r="Q119" s="85"/>
      <c r="R119" s="23"/>
      <c r="S119" s="23"/>
      <c r="T119" s="85"/>
      <c r="U119" s="85"/>
      <c r="V119" s="23"/>
      <c r="W119" s="23"/>
      <c r="X119" s="85"/>
      <c r="Y119" s="85"/>
      <c r="Z119" s="23"/>
      <c r="AA119" s="23"/>
      <c r="AB119" s="85"/>
      <c r="AC119" s="85"/>
      <c r="AD119" s="23"/>
      <c r="AE119" s="23"/>
      <c r="AF119" s="85"/>
      <c r="AG119" s="85"/>
      <c r="AH119" s="23"/>
      <c r="AI119" s="23"/>
      <c r="AJ119" s="24"/>
      <c r="AK119" s="24"/>
      <c r="AL119" s="25"/>
      <c r="AM119" s="25"/>
      <c r="AN119" s="378"/>
      <c r="AO119" s="379"/>
      <c r="AP119" s="30"/>
      <c r="AQ119" s="28"/>
      <c r="AR119" s="32"/>
      <c r="AS119" s="29"/>
      <c r="AT119" s="29"/>
    </row>
    <row r="120" spans="1:46">
      <c r="A120" s="204" t="s">
        <v>219</v>
      </c>
      <c r="B120" s="85"/>
      <c r="C120" s="85"/>
      <c r="D120" s="85"/>
      <c r="E120" s="85"/>
      <c r="F120" s="23"/>
      <c r="G120" s="23"/>
      <c r="H120" s="85"/>
      <c r="I120" s="85"/>
      <c r="J120" s="23"/>
      <c r="K120" s="23"/>
      <c r="L120" s="85"/>
      <c r="M120" s="85"/>
      <c r="N120" s="23"/>
      <c r="O120" s="23"/>
      <c r="P120" s="85"/>
      <c r="Q120" s="85"/>
      <c r="R120" s="23"/>
      <c r="S120" s="23"/>
      <c r="T120" s="85"/>
      <c r="U120" s="85"/>
      <c r="V120" s="23"/>
      <c r="W120" s="23"/>
      <c r="X120" s="85"/>
      <c r="Y120" s="85"/>
      <c r="Z120" s="23"/>
      <c r="AA120" s="23"/>
      <c r="AB120" s="85"/>
      <c r="AC120" s="85"/>
      <c r="AD120" s="23"/>
      <c r="AE120" s="23"/>
      <c r="AF120" s="85"/>
      <c r="AG120" s="85"/>
      <c r="AH120" s="23"/>
      <c r="AI120" s="23"/>
      <c r="AJ120" s="24"/>
      <c r="AK120" s="24"/>
      <c r="AL120" s="25"/>
      <c r="AM120" s="25"/>
      <c r="AN120" s="378"/>
      <c r="AO120" s="379"/>
      <c r="AP120" s="30"/>
      <c r="AQ120" s="28">
        <v>160273731.87</v>
      </c>
      <c r="AR120" s="32">
        <v>133.94</v>
      </c>
      <c r="AS120" s="29" t="e">
        <f>(#REF!/AQ120)-1</f>
        <v>#REF!</v>
      </c>
      <c r="AT120" s="29" t="e">
        <f>(#REF!/AR120)-1</f>
        <v>#REF!</v>
      </c>
    </row>
    <row r="121" spans="1:46" s="93" customFormat="1">
      <c r="A121" s="200" t="s">
        <v>116</v>
      </c>
      <c r="B121" s="323">
        <v>196441877.56999999</v>
      </c>
      <c r="C121" s="323">
        <v>4.49</v>
      </c>
      <c r="D121" s="323">
        <v>197752973.91</v>
      </c>
      <c r="E121" s="323">
        <v>4.51</v>
      </c>
      <c r="F121" s="23">
        <f t="shared" ref="F121:F144" si="131">((D121-B121)/B121)</f>
        <v>6.6742201623114106E-3</v>
      </c>
      <c r="G121" s="23">
        <f t="shared" ref="G121:G144" si="132">((E121-C121)/C121)</f>
        <v>4.4543429844097048E-3</v>
      </c>
      <c r="H121" s="323">
        <v>197556609.03999999</v>
      </c>
      <c r="I121" s="323">
        <v>4.51</v>
      </c>
      <c r="J121" s="23">
        <f t="shared" ref="J121:J132" si="133">((H121-D121)/D121)</f>
        <v>-9.9298061676368534E-4</v>
      </c>
      <c r="K121" s="23">
        <f t="shared" ref="K121:K132" si="134">((I121-E121)/E121)</f>
        <v>0</v>
      </c>
      <c r="L121" s="323">
        <v>196387821.63999999</v>
      </c>
      <c r="M121" s="323">
        <v>4.4800000000000004</v>
      </c>
      <c r="N121" s="23">
        <f t="shared" ref="N121:N132" si="135">((L121-H121)/H121)</f>
        <v>-5.9162151328653219E-3</v>
      </c>
      <c r="O121" s="23">
        <f t="shared" ref="O121:O132" si="136">((M121-I121)/I121)</f>
        <v>-6.6518847006650471E-3</v>
      </c>
      <c r="P121" s="323">
        <v>198966198.49000001</v>
      </c>
      <c r="Q121" s="323">
        <v>4.54</v>
      </c>
      <c r="R121" s="23">
        <f t="shared" ref="R121:R132" si="137">((P121-L121)/L121)</f>
        <v>1.3129005803254268E-2</v>
      </c>
      <c r="S121" s="23">
        <f t="shared" ref="S121:S132" si="138">((Q121-M121)/M121)</f>
        <v>1.3392857142857054E-2</v>
      </c>
      <c r="T121" s="323">
        <v>201572585.09</v>
      </c>
      <c r="U121" s="323">
        <v>4.5999999999999996</v>
      </c>
      <c r="V121" s="23">
        <f t="shared" ref="V121:V132" si="139">((T121-P121)/P121)</f>
        <v>1.3099645164758929E-2</v>
      </c>
      <c r="W121" s="23">
        <f t="shared" ref="W121:W132" si="140">((U121-Q121)/Q121)</f>
        <v>1.3215859030836918E-2</v>
      </c>
      <c r="X121" s="323">
        <v>208020985.75999999</v>
      </c>
      <c r="Y121" s="323">
        <v>4.75</v>
      </c>
      <c r="Z121" s="23">
        <f t="shared" ref="Z121:Z132" si="141">((X121-T121)/T121)</f>
        <v>3.1990464710867528E-2</v>
      </c>
      <c r="AA121" s="23">
        <f t="shared" ref="AA121:AA132" si="142">((Y121-U121)/U121)</f>
        <v>3.2608695652173995E-2</v>
      </c>
      <c r="AB121" s="323">
        <v>202694998.53</v>
      </c>
      <c r="AC121" s="323">
        <v>4.6500000000000004</v>
      </c>
      <c r="AD121" s="23">
        <f t="shared" ref="AD121:AD132" si="143">((AB121-X121)/X121)</f>
        <v>-2.560312465851277E-2</v>
      </c>
      <c r="AE121" s="23">
        <f t="shared" ref="AE121:AE132" si="144">((AC121-Y121)/Y121)</f>
        <v>-2.1052631578947295E-2</v>
      </c>
      <c r="AF121" s="323">
        <v>204029615.66</v>
      </c>
      <c r="AG121" s="323">
        <v>4.68</v>
      </c>
      <c r="AH121" s="23">
        <f t="shared" ref="AH121:AH132" si="145">((AF121-AB121)/AB121)</f>
        <v>6.5843614281507019E-3</v>
      </c>
      <c r="AI121" s="23">
        <f t="shared" ref="AI121:AI132" si="146">((AG121-AC121)/AC121)</f>
        <v>6.4516129032256685E-3</v>
      </c>
      <c r="AJ121" s="24">
        <f t="shared" si="71"/>
        <v>4.8706721076501322E-3</v>
      </c>
      <c r="AK121" s="24">
        <f t="shared" si="72"/>
        <v>5.302356429236375E-3</v>
      </c>
      <c r="AL121" s="25">
        <f t="shared" si="73"/>
        <v>3.1739809651897238E-2</v>
      </c>
      <c r="AM121" s="25">
        <f t="shared" si="74"/>
        <v>3.769401330376939E-2</v>
      </c>
      <c r="AN121" s="378">
        <f t="shared" si="75"/>
        <v>1.6720305830568879E-2</v>
      </c>
      <c r="AO121" s="379">
        <f t="shared" si="76"/>
        <v>1.6900274963011292E-2</v>
      </c>
      <c r="AP121" s="30"/>
      <c r="AQ121" s="28"/>
      <c r="AR121" s="32"/>
      <c r="AS121" s="29"/>
      <c r="AT121" s="29"/>
    </row>
    <row r="122" spans="1:46" s="103" customFormat="1">
      <c r="A122" s="200" t="s">
        <v>154</v>
      </c>
      <c r="B122" s="323">
        <v>5929939862.1999998</v>
      </c>
      <c r="C122" s="323">
        <v>650.22670000000005</v>
      </c>
      <c r="D122" s="323">
        <v>5915840945.8199997</v>
      </c>
      <c r="E122" s="323">
        <v>648.44129999999996</v>
      </c>
      <c r="F122" s="23">
        <f t="shared" si="131"/>
        <v>-2.3775816800222045E-3</v>
      </c>
      <c r="G122" s="23">
        <f t="shared" si="132"/>
        <v>-2.745811576178116E-3</v>
      </c>
      <c r="H122" s="323">
        <v>5922743856.6300001</v>
      </c>
      <c r="I122" s="323">
        <v>649.63660000000004</v>
      </c>
      <c r="J122" s="23">
        <f t="shared" si="133"/>
        <v>1.1668519950452456E-3</v>
      </c>
      <c r="K122" s="23">
        <f t="shared" si="134"/>
        <v>1.8433434144310187E-3</v>
      </c>
      <c r="L122" s="323">
        <v>5914131913.4499998</v>
      </c>
      <c r="M122" s="323">
        <v>649.74300000000005</v>
      </c>
      <c r="N122" s="23">
        <f t="shared" si="135"/>
        <v>-1.4540461969092212E-3</v>
      </c>
      <c r="O122" s="23">
        <f t="shared" si="136"/>
        <v>1.6378387547747128E-4</v>
      </c>
      <c r="P122" s="323">
        <v>5936352467.5100002</v>
      </c>
      <c r="Q122" s="323">
        <v>652.64739999999995</v>
      </c>
      <c r="R122" s="23">
        <f t="shared" si="137"/>
        <v>3.7571962183437489E-3</v>
      </c>
      <c r="S122" s="23">
        <f t="shared" si="138"/>
        <v>4.4700750912282173E-3</v>
      </c>
      <c r="T122" s="323">
        <v>6010240590.0100002</v>
      </c>
      <c r="U122" s="323">
        <v>660.65819999999997</v>
      </c>
      <c r="V122" s="23">
        <f t="shared" si="139"/>
        <v>1.2446720929121706E-2</v>
      </c>
      <c r="W122" s="23">
        <f t="shared" si="140"/>
        <v>1.2274315350065009E-2</v>
      </c>
      <c r="X122" s="323">
        <v>6030381903.1300001</v>
      </c>
      <c r="Y122" s="323">
        <v>662.84059999999999</v>
      </c>
      <c r="Z122" s="23">
        <f t="shared" si="141"/>
        <v>3.3511658673827521E-3</v>
      </c>
      <c r="AA122" s="23">
        <f t="shared" si="142"/>
        <v>3.3033723035603428E-3</v>
      </c>
      <c r="AB122" s="323">
        <v>6002425527.3199997</v>
      </c>
      <c r="AC122" s="323">
        <v>660.29539999999997</v>
      </c>
      <c r="AD122" s="23">
        <f t="shared" si="143"/>
        <v>-4.635921283109779E-3</v>
      </c>
      <c r="AE122" s="23">
        <f t="shared" si="144"/>
        <v>-3.8398372097303976E-3</v>
      </c>
      <c r="AF122" s="323">
        <v>5974958018.5299997</v>
      </c>
      <c r="AG122" s="323">
        <v>658.48649999999998</v>
      </c>
      <c r="AH122" s="23">
        <f t="shared" si="145"/>
        <v>-4.5760682352461984E-3</v>
      </c>
      <c r="AI122" s="23">
        <f t="shared" si="146"/>
        <v>-2.7395314279033208E-3</v>
      </c>
      <c r="AJ122" s="24">
        <f t="shared" si="71"/>
        <v>9.597897018257561E-4</v>
      </c>
      <c r="AK122" s="24">
        <f t="shared" si="72"/>
        <v>1.5912137276187779E-3</v>
      </c>
      <c r="AL122" s="25">
        <f t="shared" si="73"/>
        <v>9.9930125321862871E-3</v>
      </c>
      <c r="AM122" s="25">
        <f t="shared" si="74"/>
        <v>1.5491301988321878E-2</v>
      </c>
      <c r="AN122" s="378">
        <f t="shared" si="75"/>
        <v>5.6626468194213835E-3</v>
      </c>
      <c r="AO122" s="379">
        <f t="shared" si="76"/>
        <v>5.3946037743488355E-3</v>
      </c>
      <c r="AP122" s="30"/>
      <c r="AQ122" s="28"/>
      <c r="AR122" s="32"/>
      <c r="AS122" s="29"/>
      <c r="AT122" s="29"/>
    </row>
    <row r="123" spans="1:46" s="365" customFormat="1">
      <c r="A123" s="200" t="s">
        <v>239</v>
      </c>
      <c r="B123" s="323">
        <v>3110666057.9299998</v>
      </c>
      <c r="C123" s="323">
        <v>16.975899999999999</v>
      </c>
      <c r="D123" s="323">
        <v>3161579693.9099998</v>
      </c>
      <c r="E123" s="323">
        <v>16.876100000000001</v>
      </c>
      <c r="F123" s="23">
        <f t="shared" si="131"/>
        <v>1.6367438687353221E-2</v>
      </c>
      <c r="G123" s="23">
        <f t="shared" si="132"/>
        <v>-5.8789224724461351E-3</v>
      </c>
      <c r="H123" s="323">
        <v>3146529104.1599998</v>
      </c>
      <c r="I123" s="323">
        <v>16.984500000000001</v>
      </c>
      <c r="J123" s="23">
        <f t="shared" si="133"/>
        <v>-4.7604650861691805E-3</v>
      </c>
      <c r="K123" s="23">
        <f t="shared" si="134"/>
        <v>6.4232850006814132E-3</v>
      </c>
      <c r="L123" s="323">
        <v>3139142049.8600001</v>
      </c>
      <c r="M123" s="323">
        <v>17.014700000000001</v>
      </c>
      <c r="N123" s="23">
        <f t="shared" si="135"/>
        <v>-2.3476834491164729E-3</v>
      </c>
      <c r="O123" s="23">
        <f t="shared" si="136"/>
        <v>1.7780917895728852E-3</v>
      </c>
      <c r="P123" s="323">
        <v>3204670184.5100002</v>
      </c>
      <c r="Q123" s="323">
        <v>17.276199999999999</v>
      </c>
      <c r="R123" s="23">
        <f t="shared" si="137"/>
        <v>2.0874536293418938E-2</v>
      </c>
      <c r="S123" s="23">
        <f t="shared" si="138"/>
        <v>1.5369063221802209E-2</v>
      </c>
      <c r="T123" s="323">
        <v>3322021353.6500001</v>
      </c>
      <c r="U123" s="323">
        <v>17.567</v>
      </c>
      <c r="V123" s="23">
        <f t="shared" si="139"/>
        <v>3.6618797686958561E-2</v>
      </c>
      <c r="W123" s="23">
        <f t="shared" si="140"/>
        <v>1.6832405274308057E-2</v>
      </c>
      <c r="X123" s="323">
        <v>3362499867.3800001</v>
      </c>
      <c r="Y123" s="323">
        <v>17.998799999999999</v>
      </c>
      <c r="Z123" s="23">
        <f t="shared" si="141"/>
        <v>1.2184904737450021E-2</v>
      </c>
      <c r="AA123" s="23">
        <f t="shared" si="142"/>
        <v>2.4580178744236299E-2</v>
      </c>
      <c r="AB123" s="323">
        <v>3269943808.6799998</v>
      </c>
      <c r="AC123" s="323">
        <v>18.497299999999999</v>
      </c>
      <c r="AD123" s="23">
        <f t="shared" si="143"/>
        <v>-2.7525966498288167E-2</v>
      </c>
      <c r="AE123" s="23">
        <f t="shared" si="144"/>
        <v>2.7696290863835366E-2</v>
      </c>
      <c r="AF123" s="323">
        <v>3254629165.5700002</v>
      </c>
      <c r="AG123" s="323">
        <v>18.341899999999999</v>
      </c>
      <c r="AH123" s="23">
        <f t="shared" si="145"/>
        <v>-4.6834575778786306E-3</v>
      </c>
      <c r="AI123" s="23">
        <f t="shared" si="146"/>
        <v>-8.4012261248939141E-3</v>
      </c>
      <c r="AJ123" s="24">
        <f t="shared" si="71"/>
        <v>5.8410130992160355E-3</v>
      </c>
      <c r="AK123" s="24">
        <f t="shared" si="72"/>
        <v>9.7998957871370234E-3</v>
      </c>
      <c r="AL123" s="25">
        <f t="shared" si="73"/>
        <v>2.9431322525014025E-2</v>
      </c>
      <c r="AM123" s="25">
        <f t="shared" si="74"/>
        <v>8.685656046124389E-2</v>
      </c>
      <c r="AN123" s="378">
        <f t="shared" si="75"/>
        <v>1.9740803797173585E-2</v>
      </c>
      <c r="AO123" s="379">
        <f t="shared" si="76"/>
        <v>1.6749492028016216E-2</v>
      </c>
      <c r="AP123" s="30"/>
      <c r="AQ123" s="28"/>
      <c r="AR123" s="32"/>
      <c r="AS123" s="29"/>
      <c r="AT123" s="29"/>
    </row>
    <row r="124" spans="1:46">
      <c r="A124" s="200" t="s">
        <v>142</v>
      </c>
      <c r="B124" s="324">
        <v>1172510831.96</v>
      </c>
      <c r="C124" s="323">
        <v>2.7671000000000001</v>
      </c>
      <c r="D124" s="324">
        <v>1192191747.8199999</v>
      </c>
      <c r="E124" s="323">
        <v>2.8462999999999998</v>
      </c>
      <c r="F124" s="23">
        <f t="shared" si="131"/>
        <v>1.6785274236742663E-2</v>
      </c>
      <c r="G124" s="23">
        <f t="shared" si="132"/>
        <v>2.8622023056629579E-2</v>
      </c>
      <c r="H124" s="324">
        <v>1190963374.2</v>
      </c>
      <c r="I124" s="323">
        <v>2.8431999999999999</v>
      </c>
      <c r="J124" s="23">
        <f t="shared" si="133"/>
        <v>-1.0303490375990663E-3</v>
      </c>
      <c r="K124" s="23">
        <f t="shared" si="134"/>
        <v>-1.0891332607244075E-3</v>
      </c>
      <c r="L124" s="324">
        <v>1185559244.05</v>
      </c>
      <c r="M124" s="323">
        <v>2.8370000000000002</v>
      </c>
      <c r="N124" s="23">
        <f t="shared" si="135"/>
        <v>-4.537612379247334E-3</v>
      </c>
      <c r="O124" s="23">
        <f t="shared" si="136"/>
        <v>-2.1806415306695839E-3</v>
      </c>
      <c r="P124" s="324">
        <v>1185559244.05</v>
      </c>
      <c r="Q124" s="323">
        <v>2.871</v>
      </c>
      <c r="R124" s="23">
        <f t="shared" si="137"/>
        <v>0</v>
      </c>
      <c r="S124" s="23">
        <f t="shared" si="138"/>
        <v>1.1984490659146918E-2</v>
      </c>
      <c r="T124" s="324">
        <v>1245841494.54</v>
      </c>
      <c r="U124" s="323">
        <v>2.9805999999999999</v>
      </c>
      <c r="V124" s="23">
        <f t="shared" si="139"/>
        <v>5.0847100887231288E-2</v>
      </c>
      <c r="W124" s="23">
        <f t="shared" si="140"/>
        <v>3.8174851967955385E-2</v>
      </c>
      <c r="X124" s="324">
        <v>1260693337.28</v>
      </c>
      <c r="Y124" s="323">
        <v>3.0183</v>
      </c>
      <c r="Z124" s="23">
        <f t="shared" si="141"/>
        <v>1.1921133470902517E-2</v>
      </c>
      <c r="AA124" s="23">
        <f t="shared" si="142"/>
        <v>1.2648460041602385E-2</v>
      </c>
      <c r="AB124" s="324">
        <v>1245885409.1099999</v>
      </c>
      <c r="AC124" s="323">
        <v>2.9843000000000002</v>
      </c>
      <c r="AD124" s="23">
        <f t="shared" si="143"/>
        <v>-1.1745860576965384E-2</v>
      </c>
      <c r="AE124" s="23">
        <f t="shared" si="144"/>
        <v>-1.1264619156478748E-2</v>
      </c>
      <c r="AF124" s="324">
        <v>1212650456.8699999</v>
      </c>
      <c r="AG124" s="323">
        <v>2.9024999999999999</v>
      </c>
      <c r="AH124" s="23">
        <f t="shared" si="145"/>
        <v>-2.667576969517722E-2</v>
      </c>
      <c r="AI124" s="23">
        <f t="shared" si="146"/>
        <v>-2.741011292430396E-2</v>
      </c>
      <c r="AJ124" s="24">
        <f t="shared" si="71"/>
        <v>4.4454896132359329E-3</v>
      </c>
      <c r="AK124" s="24">
        <f t="shared" si="72"/>
        <v>6.1856648566446957E-3</v>
      </c>
      <c r="AL124" s="25">
        <f t="shared" si="73"/>
        <v>1.7160586027717462E-2</v>
      </c>
      <c r="AM124" s="25">
        <f t="shared" si="74"/>
        <v>1.9744932017004543E-2</v>
      </c>
      <c r="AN124" s="378">
        <f t="shared" si="75"/>
        <v>2.3060172761792827E-2</v>
      </c>
      <c r="AO124" s="379">
        <f t="shared" si="76"/>
        <v>2.1297877405123986E-2</v>
      </c>
      <c r="AP124" s="30"/>
      <c r="AQ124" s="56">
        <f>SUM(AQ115:AQ120)</f>
        <v>4923038917.1999998</v>
      </c>
      <c r="AR124" s="13"/>
      <c r="AS124" s="29" t="e">
        <f>(#REF!/AQ124)-1</f>
        <v>#REF!</v>
      </c>
      <c r="AT124" s="29" t="e">
        <f>(#REF!/AR124)-1</f>
        <v>#REF!</v>
      </c>
    </row>
    <row r="125" spans="1:46">
      <c r="A125" s="200" t="s">
        <v>261</v>
      </c>
      <c r="B125" s="324">
        <v>2765772017.4156599</v>
      </c>
      <c r="C125" s="323">
        <v>5161.76841462434</v>
      </c>
      <c r="D125" s="324">
        <v>2780286642.5514998</v>
      </c>
      <c r="E125" s="323">
        <v>5180.0532889984097</v>
      </c>
      <c r="F125" s="23">
        <f t="shared" si="131"/>
        <v>5.2479470630418844E-3</v>
      </c>
      <c r="G125" s="23">
        <f t="shared" si="132"/>
        <v>3.5423662794062767E-3</v>
      </c>
      <c r="H125" s="324">
        <v>2788129733.9608202</v>
      </c>
      <c r="I125" s="323">
        <v>5194.5260950062902</v>
      </c>
      <c r="J125" s="23">
        <f t="shared" si="133"/>
        <v>2.8209650362247046E-3</v>
      </c>
      <c r="K125" s="23">
        <f t="shared" si="134"/>
        <v>2.7939492511821107E-3</v>
      </c>
      <c r="L125" s="324">
        <v>2770696574.1588702</v>
      </c>
      <c r="M125" s="323">
        <v>5126.5014879937098</v>
      </c>
      <c r="N125" s="23">
        <f t="shared" si="135"/>
        <v>-6.2526358044266515E-3</v>
      </c>
      <c r="O125" s="23">
        <f t="shared" si="136"/>
        <v>-1.3095440424868642E-2</v>
      </c>
      <c r="P125" s="324">
        <v>2787327323.64955</v>
      </c>
      <c r="Q125" s="323">
        <v>5199.9387916825999</v>
      </c>
      <c r="R125" s="23">
        <f t="shared" si="137"/>
        <v>6.0023712613599756E-3</v>
      </c>
      <c r="S125" s="23">
        <f t="shared" si="138"/>
        <v>1.4325033136317351E-2</v>
      </c>
      <c r="T125" s="324">
        <v>2863828573.4371901</v>
      </c>
      <c r="U125" s="323">
        <v>5339.21632797846</v>
      </c>
      <c r="V125" s="23">
        <f t="shared" si="139"/>
        <v>2.7446094736901658E-2</v>
      </c>
      <c r="W125" s="23">
        <f t="shared" si="140"/>
        <v>2.6784456870653381E-2</v>
      </c>
      <c r="X125" s="324">
        <v>2916013333.4011302</v>
      </c>
      <c r="Y125" s="323">
        <v>5399.78863918967</v>
      </c>
      <c r="Z125" s="23">
        <f t="shared" si="141"/>
        <v>1.8222026432716108E-2</v>
      </c>
      <c r="AA125" s="23">
        <f t="shared" si="142"/>
        <v>1.1344794346278903E-2</v>
      </c>
      <c r="AB125" s="324">
        <v>2856098748.25137</v>
      </c>
      <c r="AC125" s="323">
        <v>5307.4907533654496</v>
      </c>
      <c r="AD125" s="23">
        <f t="shared" si="143"/>
        <v>-2.0546745950533116E-2</v>
      </c>
      <c r="AE125" s="23">
        <f t="shared" si="144"/>
        <v>-1.7092870108721753E-2</v>
      </c>
      <c r="AF125" s="324">
        <v>2869224009.1135802</v>
      </c>
      <c r="AG125" s="323">
        <v>5330.5719750109101</v>
      </c>
      <c r="AH125" s="23">
        <f t="shared" si="145"/>
        <v>4.5955206801747105E-3</v>
      </c>
      <c r="AI125" s="23">
        <f t="shared" si="146"/>
        <v>4.3488011035770343E-3</v>
      </c>
      <c r="AJ125" s="24">
        <f t="shared" si="71"/>
        <v>4.691942931932409E-3</v>
      </c>
      <c r="AK125" s="24">
        <f t="shared" si="72"/>
        <v>4.1188863067280817E-3</v>
      </c>
      <c r="AL125" s="25">
        <f t="shared" si="73"/>
        <v>3.1988560172508534E-2</v>
      </c>
      <c r="AM125" s="25">
        <f t="shared" si="74"/>
        <v>2.9057362466169533E-2</v>
      </c>
      <c r="AN125" s="378">
        <f t="shared" si="75"/>
        <v>1.4457454936375284E-2</v>
      </c>
      <c r="AO125" s="379">
        <f t="shared" si="76"/>
        <v>1.5002301088402635E-2</v>
      </c>
      <c r="AP125" s="30"/>
      <c r="AQ125" s="12" t="e">
        <f>SUM(AQ21,AQ53,#REF!,#REF!,AQ90,AQ113,AQ124)</f>
        <v>#REF!</v>
      </c>
      <c r="AR125" s="13"/>
      <c r="AS125" s="29" t="e">
        <f>(#REF!/AQ125)-1</f>
        <v>#REF!</v>
      </c>
      <c r="AT125" s="29" t="e">
        <f>(#REF!/AR125)-1</f>
        <v>#REF!</v>
      </c>
    </row>
    <row r="126" spans="1:46" ht="15" customHeight="1">
      <c r="A126" s="200" t="s">
        <v>155</v>
      </c>
      <c r="B126" s="323">
        <v>429083634.07999998</v>
      </c>
      <c r="C126" s="323">
        <v>156.9</v>
      </c>
      <c r="D126" s="323">
        <v>425887457.70999998</v>
      </c>
      <c r="E126" s="323">
        <v>154.74</v>
      </c>
      <c r="F126" s="23">
        <f t="shared" si="131"/>
        <v>-7.4488424077346601E-3</v>
      </c>
      <c r="G126" s="23">
        <f t="shared" si="132"/>
        <v>-1.3766730401529615E-2</v>
      </c>
      <c r="H126" s="323">
        <v>430921309.29000002</v>
      </c>
      <c r="I126" s="323">
        <v>156.74</v>
      </c>
      <c r="J126" s="23">
        <f t="shared" si="133"/>
        <v>1.1819675571257958E-2</v>
      </c>
      <c r="K126" s="23">
        <f t="shared" si="134"/>
        <v>1.2924906294429364E-2</v>
      </c>
      <c r="L126" s="323">
        <v>416776146.10000002</v>
      </c>
      <c r="M126" s="323">
        <v>154.24</v>
      </c>
      <c r="N126" s="23">
        <f t="shared" si="135"/>
        <v>-3.2825397317449975E-2</v>
      </c>
      <c r="O126" s="23">
        <f t="shared" si="136"/>
        <v>-1.5949980860022969E-2</v>
      </c>
      <c r="P126" s="323">
        <v>419031720.31</v>
      </c>
      <c r="Q126" s="323">
        <v>152.9</v>
      </c>
      <c r="R126" s="23">
        <f t="shared" si="137"/>
        <v>5.4119561090686386E-3</v>
      </c>
      <c r="S126" s="23">
        <f t="shared" si="138"/>
        <v>-8.6877593360996062E-3</v>
      </c>
      <c r="T126" s="323">
        <v>430045074.02999997</v>
      </c>
      <c r="U126" s="323">
        <v>157.25</v>
      </c>
      <c r="V126" s="23">
        <f t="shared" si="139"/>
        <v>2.6282864008128744E-2</v>
      </c>
      <c r="W126" s="23">
        <f t="shared" si="140"/>
        <v>2.8449967298888126E-2</v>
      </c>
      <c r="X126" s="323">
        <v>442825424.91000003</v>
      </c>
      <c r="Y126" s="323">
        <v>161.84</v>
      </c>
      <c r="Z126" s="23">
        <f t="shared" si="141"/>
        <v>2.9718631026822311E-2</v>
      </c>
      <c r="AA126" s="23">
        <f t="shared" si="142"/>
        <v>2.918918918918921E-2</v>
      </c>
      <c r="AB126" s="323">
        <v>429426357.94</v>
      </c>
      <c r="AC126" s="323">
        <v>156.62</v>
      </c>
      <c r="AD126" s="23">
        <f t="shared" si="143"/>
        <v>-3.0258124796522828E-2</v>
      </c>
      <c r="AE126" s="23">
        <f t="shared" si="144"/>
        <v>-3.225407810182896E-2</v>
      </c>
      <c r="AF126" s="323">
        <v>431738448.56999999</v>
      </c>
      <c r="AG126" s="323">
        <v>157.46</v>
      </c>
      <c r="AH126" s="23">
        <f t="shared" si="145"/>
        <v>5.3841376693580687E-3</v>
      </c>
      <c r="AI126" s="23">
        <f t="shared" si="146"/>
        <v>5.3632997062955136E-3</v>
      </c>
      <c r="AJ126" s="24">
        <f t="shared" si="71"/>
        <v>1.010612482866032E-3</v>
      </c>
      <c r="AK126" s="24">
        <f t="shared" si="72"/>
        <v>6.5860172366513257E-4</v>
      </c>
      <c r="AL126" s="25">
        <f t="shared" si="73"/>
        <v>1.3738349777804765E-2</v>
      </c>
      <c r="AM126" s="25">
        <f t="shared" si="74"/>
        <v>1.7577872560423927E-2</v>
      </c>
      <c r="AN126" s="378">
        <f t="shared" si="75"/>
        <v>2.3337108054091952E-2</v>
      </c>
      <c r="AO126" s="379">
        <f t="shared" si="76"/>
        <v>2.1664937176525085E-2</v>
      </c>
      <c r="AP126" s="30"/>
      <c r="AQ126" s="57"/>
      <c r="AR126" s="58"/>
      <c r="AS126" s="29" t="e">
        <f>(#REF!/AQ126)-1</f>
        <v>#REF!</v>
      </c>
      <c r="AT126" s="29" t="e">
        <f>(#REF!/AR126)-1</f>
        <v>#REF!</v>
      </c>
    </row>
    <row r="127" spans="1:46" ht="17.25" customHeight="1">
      <c r="A127" s="200" t="s">
        <v>179</v>
      </c>
      <c r="B127" s="323">
        <v>3734808.11</v>
      </c>
      <c r="C127" s="323">
        <v>102.99</v>
      </c>
      <c r="D127" s="323">
        <v>3734808.11</v>
      </c>
      <c r="E127" s="323">
        <v>102.99</v>
      </c>
      <c r="F127" s="23">
        <f t="shared" si="131"/>
        <v>0</v>
      </c>
      <c r="G127" s="23">
        <f t="shared" si="132"/>
        <v>0</v>
      </c>
      <c r="H127" s="323">
        <v>3734808.11</v>
      </c>
      <c r="I127" s="323">
        <v>102.99</v>
      </c>
      <c r="J127" s="23">
        <f t="shared" si="133"/>
        <v>0</v>
      </c>
      <c r="K127" s="23">
        <f t="shared" si="134"/>
        <v>0</v>
      </c>
      <c r="L127" s="323">
        <v>3734808.11</v>
      </c>
      <c r="M127" s="323">
        <v>102.99</v>
      </c>
      <c r="N127" s="23">
        <f t="shared" si="135"/>
        <v>0</v>
      </c>
      <c r="O127" s="23">
        <f t="shared" si="136"/>
        <v>0</v>
      </c>
      <c r="P127" s="323">
        <v>3734808.11</v>
      </c>
      <c r="Q127" s="323">
        <v>102.99</v>
      </c>
      <c r="R127" s="23">
        <f t="shared" si="137"/>
        <v>0</v>
      </c>
      <c r="S127" s="23">
        <f t="shared" si="138"/>
        <v>0</v>
      </c>
      <c r="T127" s="323">
        <v>3734808.11</v>
      </c>
      <c r="U127" s="323">
        <v>102.99</v>
      </c>
      <c r="V127" s="23">
        <f t="shared" si="139"/>
        <v>0</v>
      </c>
      <c r="W127" s="23">
        <f t="shared" si="140"/>
        <v>0</v>
      </c>
      <c r="X127" s="323">
        <v>3734808.11</v>
      </c>
      <c r="Y127" s="323">
        <v>102.99</v>
      </c>
      <c r="Z127" s="23">
        <f t="shared" si="141"/>
        <v>0</v>
      </c>
      <c r="AA127" s="23">
        <f t="shared" si="142"/>
        <v>0</v>
      </c>
      <c r="AB127" s="323">
        <v>3734808.11</v>
      </c>
      <c r="AC127" s="323">
        <v>102.99</v>
      </c>
      <c r="AD127" s="23">
        <f t="shared" si="143"/>
        <v>0</v>
      </c>
      <c r="AE127" s="23">
        <f t="shared" si="144"/>
        <v>0</v>
      </c>
      <c r="AF127" s="323">
        <v>3734808.11</v>
      </c>
      <c r="AG127" s="323">
        <v>102.99</v>
      </c>
      <c r="AH127" s="23">
        <f t="shared" si="145"/>
        <v>0</v>
      </c>
      <c r="AI127" s="23">
        <f t="shared" si="146"/>
        <v>0</v>
      </c>
      <c r="AJ127" s="24">
        <f t="shared" si="71"/>
        <v>0</v>
      </c>
      <c r="AK127" s="24">
        <f t="shared" si="72"/>
        <v>0</v>
      </c>
      <c r="AL127" s="25">
        <f t="shared" si="73"/>
        <v>0</v>
      </c>
      <c r="AM127" s="25">
        <f t="shared" si="74"/>
        <v>0</v>
      </c>
      <c r="AN127" s="378">
        <f t="shared" si="75"/>
        <v>0</v>
      </c>
      <c r="AO127" s="379">
        <f t="shared" si="76"/>
        <v>0</v>
      </c>
      <c r="AP127" s="30"/>
      <c r="AQ127" s="465" t="s">
        <v>84</v>
      </c>
      <c r="AR127" s="465"/>
      <c r="AS127" s="29" t="e">
        <f>(#REF!/AQ127)-1</f>
        <v>#REF!</v>
      </c>
      <c r="AT127" s="29" t="e">
        <f>(#REF!/AR127)-1</f>
        <v>#REF!</v>
      </c>
    </row>
    <row r="128" spans="1:46" ht="16.5" customHeight="1">
      <c r="A128" s="200" t="s">
        <v>109</v>
      </c>
      <c r="B128" s="323">
        <v>162810556.72999999</v>
      </c>
      <c r="C128" s="323">
        <v>1.4359999999999999</v>
      </c>
      <c r="D128" s="323">
        <v>164146634.36000001</v>
      </c>
      <c r="E128" s="323">
        <v>1.4474</v>
      </c>
      <c r="F128" s="23">
        <f t="shared" si="131"/>
        <v>8.2063329112972393E-3</v>
      </c>
      <c r="G128" s="23">
        <f t="shared" si="132"/>
        <v>7.9387186629527005E-3</v>
      </c>
      <c r="H128" s="323">
        <v>163299574.40000001</v>
      </c>
      <c r="I128" s="323">
        <v>1.4474</v>
      </c>
      <c r="J128" s="23">
        <f t="shared" si="133"/>
        <v>-5.1603857934867511E-3</v>
      </c>
      <c r="K128" s="23">
        <f t="shared" si="134"/>
        <v>0</v>
      </c>
      <c r="L128" s="323">
        <v>162535800.59</v>
      </c>
      <c r="M128" s="323">
        <v>1.4359999999999999</v>
      </c>
      <c r="N128" s="23">
        <f t="shared" si="135"/>
        <v>-4.6771328878613561E-3</v>
      </c>
      <c r="O128" s="23">
        <f t="shared" si="136"/>
        <v>-7.8761917921791325E-3</v>
      </c>
      <c r="P128" s="323">
        <v>164143275.25</v>
      </c>
      <c r="Q128" s="323">
        <v>1.4492</v>
      </c>
      <c r="R128" s="23">
        <f t="shared" si="137"/>
        <v>9.8899728808355594E-3</v>
      </c>
      <c r="S128" s="23">
        <f t="shared" si="138"/>
        <v>9.1922005571031338E-3</v>
      </c>
      <c r="T128" s="323">
        <v>172327437.09999999</v>
      </c>
      <c r="U128" s="323">
        <v>1.4803999999999999</v>
      </c>
      <c r="V128" s="23">
        <f t="shared" si="139"/>
        <v>4.985986686043048E-2</v>
      </c>
      <c r="W128" s="23">
        <f t="shared" si="140"/>
        <v>2.1529119514214667E-2</v>
      </c>
      <c r="X128" s="323">
        <v>166178349.90000001</v>
      </c>
      <c r="Y128" s="323">
        <v>1.2060999999999999</v>
      </c>
      <c r="Z128" s="23">
        <f t="shared" si="141"/>
        <v>-3.5682577907960936E-2</v>
      </c>
      <c r="AA128" s="23">
        <f t="shared" si="142"/>
        <v>-0.18528776006484735</v>
      </c>
      <c r="AB128" s="323">
        <v>163596341.93000001</v>
      </c>
      <c r="AC128" s="323">
        <v>1.4673</v>
      </c>
      <c r="AD128" s="23">
        <f t="shared" si="143"/>
        <v>-1.5537571359649172E-2</v>
      </c>
      <c r="AE128" s="23">
        <f t="shared" si="144"/>
        <v>0.21656579056462988</v>
      </c>
      <c r="AF128" s="323">
        <v>162860881.53</v>
      </c>
      <c r="AG128" s="323">
        <v>1.4594</v>
      </c>
      <c r="AH128" s="23">
        <f t="shared" si="145"/>
        <v>-4.4955797380524347E-3</v>
      </c>
      <c r="AI128" s="23">
        <f t="shared" si="146"/>
        <v>-5.3840387105568172E-3</v>
      </c>
      <c r="AJ128" s="24">
        <f t="shared" si="71"/>
        <v>3.0036562069407852E-4</v>
      </c>
      <c r="AK128" s="24">
        <f t="shared" si="72"/>
        <v>7.0847298414146373E-3</v>
      </c>
      <c r="AL128" s="25">
        <f t="shared" si="73"/>
        <v>-7.8329527438262912E-3</v>
      </c>
      <c r="AM128" s="25">
        <f t="shared" si="74"/>
        <v>8.2907282022937762E-3</v>
      </c>
      <c r="AN128" s="378">
        <f t="shared" si="75"/>
        <v>2.4593314746111716E-2</v>
      </c>
      <c r="AO128" s="379">
        <f t="shared" si="76"/>
        <v>6.700559778566148E-2</v>
      </c>
      <c r="AP128" s="30"/>
      <c r="AQ128" s="59" t="s">
        <v>72</v>
      </c>
      <c r="AR128" s="60" t="s">
        <v>73</v>
      </c>
      <c r="AS128" s="29" t="e">
        <f>(#REF!/AQ128)-1</f>
        <v>#REF!</v>
      </c>
      <c r="AT128" s="29" t="e">
        <f>(#REF!/AR128)-1</f>
        <v>#REF!</v>
      </c>
    </row>
    <row r="129" spans="1:46" s="365" customFormat="1" ht="16.5" customHeight="1">
      <c r="A129" s="200" t="s">
        <v>243</v>
      </c>
      <c r="B129" s="319">
        <v>84697979.370000005</v>
      </c>
      <c r="C129" s="323">
        <v>121.6553</v>
      </c>
      <c r="D129" s="319">
        <v>84110906.269999996</v>
      </c>
      <c r="E129" s="323">
        <v>120.76900000000001</v>
      </c>
      <c r="F129" s="23">
        <f t="shared" si="131"/>
        <v>-6.9313707879074858E-3</v>
      </c>
      <c r="G129" s="23">
        <f t="shared" si="132"/>
        <v>-7.2853381644695419E-3</v>
      </c>
      <c r="H129" s="319">
        <v>99231279.709999993</v>
      </c>
      <c r="I129" s="323">
        <v>121.371</v>
      </c>
      <c r="J129" s="23">
        <f t="shared" si="133"/>
        <v>0.17976709692632348</v>
      </c>
      <c r="K129" s="23">
        <f t="shared" si="134"/>
        <v>4.9847229007443103E-3</v>
      </c>
      <c r="L129" s="319">
        <v>99127290.280000001</v>
      </c>
      <c r="M129" s="323">
        <v>120.9435</v>
      </c>
      <c r="N129" s="23">
        <f t="shared" si="135"/>
        <v>-1.0479501050868012E-3</v>
      </c>
      <c r="O129" s="23">
        <f t="shared" si="136"/>
        <v>-3.5222582000642238E-3</v>
      </c>
      <c r="P129" s="319">
        <v>105503200.2</v>
      </c>
      <c r="Q129" s="323">
        <v>121.22669999999999</v>
      </c>
      <c r="R129" s="23">
        <f t="shared" si="137"/>
        <v>6.4320429843187296E-2</v>
      </c>
      <c r="S129" s="23">
        <f t="shared" si="138"/>
        <v>2.3415892544865467E-3</v>
      </c>
      <c r="T129" s="319">
        <v>107205100.59</v>
      </c>
      <c r="U129" s="323">
        <v>123.00530000000001</v>
      </c>
      <c r="V129" s="23">
        <f t="shared" si="139"/>
        <v>1.6131267930960834E-2</v>
      </c>
      <c r="W129" s="23">
        <f t="shared" si="140"/>
        <v>1.4671685363043056E-2</v>
      </c>
      <c r="X129" s="319">
        <v>113252406.45</v>
      </c>
      <c r="Y129" s="323">
        <v>124.3608</v>
      </c>
      <c r="Z129" s="23">
        <f t="shared" si="141"/>
        <v>5.6408751325439141E-2</v>
      </c>
      <c r="AA129" s="23">
        <f t="shared" si="142"/>
        <v>1.1019850364171236E-2</v>
      </c>
      <c r="AB129" s="319">
        <v>112785306.44</v>
      </c>
      <c r="AC129" s="323">
        <v>123.0081</v>
      </c>
      <c r="AD129" s="23">
        <f t="shared" si="143"/>
        <v>-4.1244157598207517E-3</v>
      </c>
      <c r="AE129" s="23">
        <f t="shared" si="144"/>
        <v>-1.0877221761198052E-2</v>
      </c>
      <c r="AF129" s="319">
        <v>112786583.75</v>
      </c>
      <c r="AG129" s="323">
        <v>123.3403</v>
      </c>
      <c r="AH129" s="23">
        <f t="shared" si="145"/>
        <v>1.1325145449526202E-5</v>
      </c>
      <c r="AI129" s="23">
        <f t="shared" si="146"/>
        <v>2.7006351614243312E-3</v>
      </c>
      <c r="AJ129" s="24">
        <f t="shared" si="71"/>
        <v>3.8066891814818156E-2</v>
      </c>
      <c r="AK129" s="24">
        <f t="shared" si="72"/>
        <v>1.7542081147672076E-3</v>
      </c>
      <c r="AL129" s="25">
        <f t="shared" si="73"/>
        <v>0.34092698261923038</v>
      </c>
      <c r="AM129" s="25">
        <f t="shared" si="74"/>
        <v>2.1291059791833943E-2</v>
      </c>
      <c r="AN129" s="378">
        <f t="shared" si="75"/>
        <v>6.3660863597883921E-2</v>
      </c>
      <c r="AO129" s="379">
        <f t="shared" si="76"/>
        <v>7.5857288476207886E-3</v>
      </c>
      <c r="AP129" s="30"/>
      <c r="AQ129" s="59"/>
      <c r="AR129" s="60"/>
      <c r="AS129" s="29"/>
      <c r="AT129" s="29"/>
    </row>
    <row r="130" spans="1:46" ht="14.25" customHeight="1">
      <c r="A130" s="200" t="s">
        <v>232</v>
      </c>
      <c r="B130" s="319">
        <v>177609366.86000001</v>
      </c>
      <c r="C130" s="323">
        <v>113.66</v>
      </c>
      <c r="D130" s="319">
        <v>177835881.47</v>
      </c>
      <c r="E130" s="323">
        <v>113.85</v>
      </c>
      <c r="F130" s="23">
        <f t="shared" si="131"/>
        <v>1.2753528375478861E-3</v>
      </c>
      <c r="G130" s="23">
        <f t="shared" si="132"/>
        <v>1.671652296322345E-3</v>
      </c>
      <c r="H130" s="319">
        <v>177983926.46000001</v>
      </c>
      <c r="I130" s="323">
        <v>114.06</v>
      </c>
      <c r="J130" s="23">
        <f t="shared" si="133"/>
        <v>8.3248098626813945E-4</v>
      </c>
      <c r="K130" s="23">
        <f t="shared" si="134"/>
        <v>1.844532279314958E-3</v>
      </c>
      <c r="L130" s="319">
        <v>177861281.72999999</v>
      </c>
      <c r="M130" s="323">
        <v>113.48</v>
      </c>
      <c r="N130" s="23">
        <f t="shared" si="135"/>
        <v>-6.8907756132451754E-4</v>
      </c>
      <c r="O130" s="23">
        <f t="shared" si="136"/>
        <v>-5.0850429598456801E-3</v>
      </c>
      <c r="P130" s="319">
        <v>179824986.94999999</v>
      </c>
      <c r="Q130" s="323">
        <v>114.17</v>
      </c>
      <c r="R130" s="23">
        <f t="shared" si="137"/>
        <v>1.1040655958956688E-2</v>
      </c>
      <c r="S130" s="23">
        <f t="shared" si="138"/>
        <v>6.0803665844201419E-3</v>
      </c>
      <c r="T130" s="319">
        <v>180191552.40000001</v>
      </c>
      <c r="U130" s="323">
        <v>114.84</v>
      </c>
      <c r="V130" s="23">
        <f t="shared" si="139"/>
        <v>2.0384567029160454E-3</v>
      </c>
      <c r="W130" s="23">
        <f t="shared" si="140"/>
        <v>5.8684417973198007E-3</v>
      </c>
      <c r="X130" s="319">
        <v>180686237.71000001</v>
      </c>
      <c r="Y130" s="323">
        <v>115.23</v>
      </c>
      <c r="Z130" s="23">
        <f t="shared" si="141"/>
        <v>2.7453301967334757E-3</v>
      </c>
      <c r="AA130" s="23">
        <f t="shared" si="142"/>
        <v>3.3960292580982286E-3</v>
      </c>
      <c r="AB130" s="319">
        <v>180415683.75999999</v>
      </c>
      <c r="AC130" s="323">
        <v>115.18</v>
      </c>
      <c r="AD130" s="23">
        <f t="shared" si="143"/>
        <v>-1.4973688833692738E-3</v>
      </c>
      <c r="AE130" s="23">
        <f t="shared" si="144"/>
        <v>-4.3391477913735276E-4</v>
      </c>
      <c r="AF130" s="319">
        <v>180465262.38</v>
      </c>
      <c r="AG130" s="323">
        <v>115.29</v>
      </c>
      <c r="AH130" s="23">
        <f t="shared" si="145"/>
        <v>2.7480216224414996E-4</v>
      </c>
      <c r="AI130" s="23">
        <f t="shared" si="146"/>
        <v>9.5502691439485518E-4</v>
      </c>
      <c r="AJ130" s="24">
        <f t="shared" si="71"/>
        <v>2.0025790499965741E-3</v>
      </c>
      <c r="AK130" s="24">
        <f t="shared" si="72"/>
        <v>1.787136423860912E-3</v>
      </c>
      <c r="AL130" s="25">
        <f t="shared" si="73"/>
        <v>1.4785435246618437E-2</v>
      </c>
      <c r="AM130" s="25">
        <f t="shared" si="74"/>
        <v>1.2648221343873623E-2</v>
      </c>
      <c r="AN130" s="378">
        <f t="shared" si="75"/>
        <v>3.9027033112673756E-3</v>
      </c>
      <c r="AO130" s="379">
        <f t="shared" si="76"/>
        <v>3.7082901293643928E-3</v>
      </c>
      <c r="AP130" s="30"/>
      <c r="AQ130" s="53">
        <v>1901056000</v>
      </c>
      <c r="AR130" s="47">
        <v>12.64</v>
      </c>
      <c r="AS130" s="29" t="e">
        <f>(#REF!/AQ130)-1</f>
        <v>#REF!</v>
      </c>
      <c r="AT130" s="29" t="e">
        <f>(#REF!/AR130)-1</f>
        <v>#REF!</v>
      </c>
    </row>
    <row r="131" spans="1:46">
      <c r="A131" s="200" t="s">
        <v>259</v>
      </c>
      <c r="B131" s="324">
        <v>378863904.12</v>
      </c>
      <c r="C131" s="323">
        <v>1.2543</v>
      </c>
      <c r="D131" s="324">
        <v>443648904.97000003</v>
      </c>
      <c r="E131" s="323">
        <v>1.2548999999999999</v>
      </c>
      <c r="F131" s="23">
        <f t="shared" si="131"/>
        <v>0.1709980817530726</v>
      </c>
      <c r="G131" s="23">
        <f t="shared" si="132"/>
        <v>4.7835446065529294E-4</v>
      </c>
      <c r="H131" s="324">
        <v>434113394.18000001</v>
      </c>
      <c r="I131" s="323">
        <v>1.2607999999999999</v>
      </c>
      <c r="J131" s="23">
        <f t="shared" si="133"/>
        <v>-2.1493371635042856E-2</v>
      </c>
      <c r="K131" s="23">
        <f t="shared" si="134"/>
        <v>4.7015698462028977E-3</v>
      </c>
      <c r="L131" s="324">
        <v>522323143.73000002</v>
      </c>
      <c r="M131" s="323">
        <v>1.2607999999999999</v>
      </c>
      <c r="N131" s="23">
        <f t="shared" si="135"/>
        <v>0.20319518064311298</v>
      </c>
      <c r="O131" s="23">
        <f t="shared" si="136"/>
        <v>0</v>
      </c>
      <c r="P131" s="324">
        <v>519182707.39999998</v>
      </c>
      <c r="Q131" s="323">
        <v>1.2531000000000001</v>
      </c>
      <c r="R131" s="23">
        <f t="shared" si="137"/>
        <v>-6.0124395552792155E-3</v>
      </c>
      <c r="S131" s="23">
        <f t="shared" si="138"/>
        <v>-6.1072335025379272E-3</v>
      </c>
      <c r="T131" s="324">
        <v>530380478.81999999</v>
      </c>
      <c r="U131" s="323">
        <v>1.268</v>
      </c>
      <c r="V131" s="23">
        <f t="shared" si="139"/>
        <v>2.1568074707412756E-2</v>
      </c>
      <c r="W131" s="23">
        <f t="shared" si="140"/>
        <v>1.1890511531402052E-2</v>
      </c>
      <c r="X131" s="324">
        <v>536390332.81999999</v>
      </c>
      <c r="Y131" s="323">
        <v>1.2847999999999999</v>
      </c>
      <c r="Z131" s="23">
        <f t="shared" si="141"/>
        <v>1.1331212667123102E-2</v>
      </c>
      <c r="AA131" s="23">
        <f t="shared" si="142"/>
        <v>1.3249211356466818E-2</v>
      </c>
      <c r="AB131" s="324">
        <v>528682505.04000002</v>
      </c>
      <c r="AC131" s="323">
        <v>1.2639</v>
      </c>
      <c r="AD131" s="23">
        <f t="shared" si="143"/>
        <v>-1.4369811140102216E-2</v>
      </c>
      <c r="AE131" s="23">
        <f t="shared" si="144"/>
        <v>-1.626712328767117E-2</v>
      </c>
      <c r="AF131" s="324">
        <v>521727575.39999998</v>
      </c>
      <c r="AG131" s="323">
        <v>1.2548999999999999</v>
      </c>
      <c r="AH131" s="23">
        <f t="shared" si="145"/>
        <v>-1.3155210497222404E-2</v>
      </c>
      <c r="AI131" s="23">
        <f t="shared" si="146"/>
        <v>-7.1208165202944207E-3</v>
      </c>
      <c r="AJ131" s="24">
        <f t="shared" si="71"/>
        <v>4.4007714617884344E-2</v>
      </c>
      <c r="AK131" s="24">
        <f t="shared" si="72"/>
        <v>1.0305923552794303E-4</v>
      </c>
      <c r="AL131" s="25">
        <f t="shared" si="73"/>
        <v>0.17599202782948309</v>
      </c>
      <c r="AM131" s="25">
        <f t="shared" si="74"/>
        <v>0</v>
      </c>
      <c r="AN131" s="378">
        <f t="shared" si="75"/>
        <v>8.9846247674945159E-2</v>
      </c>
      <c r="AO131" s="379">
        <f t="shared" si="76"/>
        <v>9.508111081203665E-3</v>
      </c>
      <c r="AP131" s="30"/>
      <c r="AQ131" s="53">
        <v>106884243.56</v>
      </c>
      <c r="AR131" s="47">
        <v>2.92</v>
      </c>
      <c r="AS131" s="29" t="e">
        <f>(#REF!/AQ131)-1</f>
        <v>#REF!</v>
      </c>
      <c r="AT131" s="29" t="e">
        <f>(#REF!/AR131)-1</f>
        <v>#REF!</v>
      </c>
    </row>
    <row r="132" spans="1:46">
      <c r="A132" s="201" t="s">
        <v>126</v>
      </c>
      <c r="B132" s="323">
        <v>6074144231.3900003</v>
      </c>
      <c r="C132" s="323">
        <v>251.18</v>
      </c>
      <c r="D132" s="323">
        <v>6245064348.7700005</v>
      </c>
      <c r="E132" s="323">
        <v>258.22000000000003</v>
      </c>
      <c r="F132" s="23">
        <f t="shared" si="131"/>
        <v>2.8138962604265811E-2</v>
      </c>
      <c r="G132" s="23">
        <f t="shared" si="132"/>
        <v>2.8027709212517002E-2</v>
      </c>
      <c r="H132" s="323">
        <v>6224010652.3400002</v>
      </c>
      <c r="I132" s="323">
        <v>257.32</v>
      </c>
      <c r="J132" s="23">
        <f t="shared" si="133"/>
        <v>-3.3712537220127996E-3</v>
      </c>
      <c r="K132" s="23">
        <f t="shared" si="134"/>
        <v>-3.4854000464721322E-3</v>
      </c>
      <c r="L132" s="323">
        <v>6182725913.04</v>
      </c>
      <c r="M132" s="323">
        <v>255.83</v>
      </c>
      <c r="N132" s="23">
        <f t="shared" si="135"/>
        <v>-6.6331408485746472E-3</v>
      </c>
      <c r="O132" s="23">
        <f t="shared" si="136"/>
        <v>-5.7904554640136044E-3</v>
      </c>
      <c r="P132" s="323">
        <v>6300725764.1800003</v>
      </c>
      <c r="Q132" s="323">
        <v>260.70999999999998</v>
      </c>
      <c r="R132" s="23">
        <f t="shared" si="137"/>
        <v>1.9085408733893024E-2</v>
      </c>
      <c r="S132" s="23">
        <f t="shared" si="138"/>
        <v>1.9075167103154309E-2</v>
      </c>
      <c r="T132" s="323">
        <v>6519020773.8999996</v>
      </c>
      <c r="U132" s="323">
        <v>269.69</v>
      </c>
      <c r="V132" s="23">
        <f t="shared" si="139"/>
        <v>3.4646010299483179E-2</v>
      </c>
      <c r="W132" s="23">
        <f t="shared" si="140"/>
        <v>3.4444401825783511E-2</v>
      </c>
      <c r="X132" s="323">
        <v>6632477030.1300001</v>
      </c>
      <c r="Y132" s="323">
        <v>274.23</v>
      </c>
      <c r="Z132" s="23">
        <f t="shared" si="141"/>
        <v>1.7403880147804064E-2</v>
      </c>
      <c r="AA132" s="23">
        <f t="shared" si="142"/>
        <v>1.6834142904816718E-2</v>
      </c>
      <c r="AB132" s="323">
        <v>6557198037.6899996</v>
      </c>
      <c r="AC132" s="323">
        <v>270.95999999999998</v>
      </c>
      <c r="AD132" s="23">
        <f t="shared" si="143"/>
        <v>-1.1350057014600023E-2</v>
      </c>
      <c r="AE132" s="23">
        <f t="shared" si="144"/>
        <v>-1.1924297122853219E-2</v>
      </c>
      <c r="AF132" s="323">
        <v>6581243485.6899996</v>
      </c>
      <c r="AG132" s="323">
        <v>271.94</v>
      </c>
      <c r="AH132" s="23">
        <f t="shared" si="145"/>
        <v>3.6670309272023821E-3</v>
      </c>
      <c r="AI132" s="23">
        <f t="shared" si="146"/>
        <v>3.6167700029525328E-3</v>
      </c>
      <c r="AJ132" s="24">
        <f t="shared" si="71"/>
        <v>1.0198355140932624E-2</v>
      </c>
      <c r="AK132" s="24">
        <f t="shared" si="72"/>
        <v>1.009975480198564E-2</v>
      </c>
      <c r="AL132" s="25">
        <f t="shared" si="73"/>
        <v>5.3831172610128743E-2</v>
      </c>
      <c r="AM132" s="25">
        <f t="shared" si="74"/>
        <v>5.3132987375106376E-2</v>
      </c>
      <c r="AN132" s="378">
        <f t="shared" si="75"/>
        <v>1.7007890418614963E-2</v>
      </c>
      <c r="AO132" s="379">
        <f t="shared" si="76"/>
        <v>1.6814623361899941E-2</v>
      </c>
      <c r="AP132" s="30"/>
      <c r="AQ132" s="53">
        <v>84059843.040000007</v>
      </c>
      <c r="AR132" s="47">
        <v>7.19</v>
      </c>
      <c r="AS132" s="29" t="e">
        <f>(#REF!/AQ132)-1</f>
        <v>#REF!</v>
      </c>
      <c r="AT132" s="29" t="e">
        <f>(#REF!/AR132)-1</f>
        <v>#REF!</v>
      </c>
    </row>
    <row r="133" spans="1:46" s="365" customFormat="1">
      <c r="A133" s="200" t="s">
        <v>260</v>
      </c>
      <c r="B133" s="323">
        <v>2291800485.3400002</v>
      </c>
      <c r="C133" s="323">
        <v>1.6227</v>
      </c>
      <c r="D133" s="323">
        <v>2269683639.9899998</v>
      </c>
      <c r="E133" s="323">
        <v>1.6069</v>
      </c>
      <c r="F133" s="23">
        <f t="shared" si="131"/>
        <v>-9.6504235388183181E-3</v>
      </c>
      <c r="G133" s="23">
        <f t="shared" si="132"/>
        <v>-9.7368583225488602E-3</v>
      </c>
      <c r="H133" s="323">
        <v>2276844044.0500002</v>
      </c>
      <c r="I133" s="323">
        <v>1.6111</v>
      </c>
      <c r="J133" s="23">
        <f>((H133-D133)/D133)</f>
        <v>3.1548026931330253E-3</v>
      </c>
      <c r="K133" s="23">
        <f>((I133-E133)/E133)</f>
        <v>2.6137282967203818E-3</v>
      </c>
      <c r="L133" s="323">
        <v>2294747911.5799999</v>
      </c>
      <c r="M133" s="323">
        <v>1.6234999999999999</v>
      </c>
      <c r="N133" s="23">
        <f>((L133-H133)/H133)</f>
        <v>7.8634580074938842E-3</v>
      </c>
      <c r="O133" s="23">
        <f>((M133-I133)/I133)</f>
        <v>7.6966048041710424E-3</v>
      </c>
      <c r="P133" s="323">
        <v>2283745850.8400002</v>
      </c>
      <c r="Q133" s="323">
        <v>1.6155999999999999</v>
      </c>
      <c r="R133" s="23">
        <f>((P133-L133)/L133)</f>
        <v>-4.7944528828112263E-3</v>
      </c>
      <c r="S133" s="23">
        <f>((Q133-M133)/M133)</f>
        <v>-4.8660301817062017E-3</v>
      </c>
      <c r="T133" s="323">
        <v>2324468880.2800002</v>
      </c>
      <c r="U133" s="323">
        <v>1.6442000000000001</v>
      </c>
      <c r="V133" s="23">
        <f>((T133-P133)/P133)</f>
        <v>1.7831681850684674E-2</v>
      </c>
      <c r="W133" s="23">
        <f>((U133-Q133)/Q133)</f>
        <v>1.7702401584550744E-2</v>
      </c>
      <c r="X133" s="323">
        <v>2375635718.1199999</v>
      </c>
      <c r="Y133" s="323">
        <v>1.6801999999999999</v>
      </c>
      <c r="Z133" s="23">
        <f>((X133-T133)/T133)</f>
        <v>2.2012270533747148E-2</v>
      </c>
      <c r="AA133" s="23">
        <f>((Y133-U133)/U133)</f>
        <v>2.1895146575842239E-2</v>
      </c>
      <c r="AB133" s="323">
        <v>2336674013.5799999</v>
      </c>
      <c r="AC133" s="323">
        <v>1.6266</v>
      </c>
      <c r="AD133" s="23">
        <f>((AB133-X133)/X133)</f>
        <v>-1.6400538282373096E-2</v>
      </c>
      <c r="AE133" s="23">
        <f>((AC133-Y133)/Y133)</f>
        <v>-3.1900964170931953E-2</v>
      </c>
      <c r="AF133" s="323">
        <v>2331885369.5300002</v>
      </c>
      <c r="AG133" s="323">
        <v>1.6496</v>
      </c>
      <c r="AH133" s="23">
        <f>((AF133-AB133)/AB133)</f>
        <v>-2.0493419373732282E-3</v>
      </c>
      <c r="AI133" s="23">
        <f>((AG133-AC133)/AC133)</f>
        <v>1.4139923767367458E-2</v>
      </c>
      <c r="AJ133" s="24">
        <f t="shared" si="71"/>
        <v>2.2459320554603581E-3</v>
      </c>
      <c r="AK133" s="24">
        <f t="shared" si="72"/>
        <v>2.192994044183107E-3</v>
      </c>
      <c r="AL133" s="25">
        <f t="shared" si="73"/>
        <v>2.7405462349049888E-2</v>
      </c>
      <c r="AM133" s="25">
        <f t="shared" si="74"/>
        <v>2.6572904349990642E-2</v>
      </c>
      <c r="AN133" s="378">
        <f t="shared" si="75"/>
        <v>1.3219233327742637E-2</v>
      </c>
      <c r="AO133" s="379">
        <f t="shared" si="76"/>
        <v>1.3678712134997831E-2</v>
      </c>
      <c r="AP133" s="30"/>
      <c r="AQ133" s="53"/>
      <c r="AR133" s="47"/>
      <c r="AS133" s="29"/>
      <c r="AT133" s="29"/>
    </row>
    <row r="134" spans="1:46" s="365" customFormat="1">
      <c r="A134" s="200" t="s">
        <v>251</v>
      </c>
      <c r="B134" s="323">
        <v>155303384.59191602</v>
      </c>
      <c r="C134" s="323">
        <v>106.14</v>
      </c>
      <c r="D134" s="323">
        <v>153558114.06464234</v>
      </c>
      <c r="E134" s="323">
        <v>105.05</v>
      </c>
      <c r="F134" s="23">
        <f t="shared" si="131"/>
        <v>-1.1237813856147801E-2</v>
      </c>
      <c r="G134" s="23">
        <f t="shared" si="132"/>
        <v>-1.026945543621635E-2</v>
      </c>
      <c r="H134" s="323">
        <v>154342748.83182439</v>
      </c>
      <c r="I134" s="323">
        <v>105.59381274957177</v>
      </c>
      <c r="J134" s="23">
        <f>((H134-D134)/D134)</f>
        <v>5.1096926525924227E-3</v>
      </c>
      <c r="K134" s="23">
        <f>((I134-E134)/E134)</f>
        <v>5.1767039464233307E-3</v>
      </c>
      <c r="L134" s="323">
        <v>153299132.10603249</v>
      </c>
      <c r="M134" s="323">
        <v>104.9517475426494</v>
      </c>
      <c r="N134" s="23">
        <f>((L134-H134)/H134)</f>
        <v>-6.7616829017931477E-3</v>
      </c>
      <c r="O134" s="23">
        <f>((M134-I134)/I134)</f>
        <v>-6.080519210392577E-3</v>
      </c>
      <c r="P134" s="323">
        <v>151247340.81</v>
      </c>
      <c r="Q134" s="323">
        <v>103.66</v>
      </c>
      <c r="R134" s="23">
        <f>((P134-L134)/L134)</f>
        <v>-1.3384232955822117E-2</v>
      </c>
      <c r="S134" s="23">
        <f>((Q134-M134)/M134)</f>
        <v>-1.230801366241638E-2</v>
      </c>
      <c r="T134" s="323">
        <v>156365774.81</v>
      </c>
      <c r="U134" s="323">
        <v>107.03</v>
      </c>
      <c r="V134" s="23">
        <f>((T134-P134)/P134)</f>
        <v>3.3841480931753251E-2</v>
      </c>
      <c r="W134" s="23">
        <f>((U134-Q134)/Q134)</f>
        <v>3.2510129268763309E-2</v>
      </c>
      <c r="X134" s="323">
        <v>157906198.10688844</v>
      </c>
      <c r="Y134" s="323">
        <v>108.08</v>
      </c>
      <c r="Z134" s="23">
        <f>((X134-T134)/T134)</f>
        <v>9.8514096115995247E-3</v>
      </c>
      <c r="AA134" s="23">
        <f>((Y134-U134)/U134)</f>
        <v>9.8103335513407188E-3</v>
      </c>
      <c r="AB134" s="323">
        <v>158468200.44026017</v>
      </c>
      <c r="AC134" s="323">
        <v>108.49</v>
      </c>
      <c r="AD134" s="23">
        <f>((AB134-X134)/X134)</f>
        <v>3.5590897641098488E-3</v>
      </c>
      <c r="AE134" s="23">
        <f>((AC134-Y134)/Y134)</f>
        <v>3.7934863064396428E-3</v>
      </c>
      <c r="AF134" s="323">
        <v>158737005.13365284</v>
      </c>
      <c r="AG134" s="323">
        <v>108.70547547996027</v>
      </c>
      <c r="AH134" s="23">
        <f>((AF134-AB134)/AB134)</f>
        <v>1.6962689842243714E-3</v>
      </c>
      <c r="AI134" s="23">
        <f>((AG134-AC134)/AC134)</f>
        <v>1.986132177714772E-3</v>
      </c>
      <c r="AJ134" s="24">
        <f t="shared" ref="AJ134:AJ173" si="147">AVERAGE(F134,J134,N134,R134,V134,Z134,AD134,AH134)</f>
        <v>2.8342765288145444E-3</v>
      </c>
      <c r="AK134" s="24">
        <f t="shared" ref="AK134:AK173" si="148">AVERAGE(G134,K134,O134,S134,W134,AA134,AE134,AI134)</f>
        <v>3.0773496177070587E-3</v>
      </c>
      <c r="AL134" s="25">
        <f t="shared" ref="AL134:AL173" si="149">((AF134-D134)/D134)</f>
        <v>3.3725935620897068E-2</v>
      </c>
      <c r="AM134" s="25">
        <f t="shared" ref="AM134:AM173" si="150">((AG134-E134)/E134)</f>
        <v>3.4797481960592798E-2</v>
      </c>
      <c r="AN134" s="378">
        <f t="shared" ref="AN134:AN173" si="151">STDEV(F134,J134,N134,R134,V134,Z134,AD134,AH134)</f>
        <v>1.498013461040395E-2</v>
      </c>
      <c r="AO134" s="379">
        <f t="shared" ref="AO134:AO173" si="152">STDEV(G134,K134,O134,S134,W134,AA134,AD134,AI134)</f>
        <v>1.4223511774873734E-2</v>
      </c>
      <c r="AP134" s="30"/>
      <c r="AQ134" s="53"/>
      <c r="AR134" s="47"/>
      <c r="AS134" s="29"/>
      <c r="AT134" s="29"/>
    </row>
    <row r="135" spans="1:46" s="365" customFormat="1">
      <c r="A135" s="200" t="s">
        <v>267</v>
      </c>
      <c r="B135" s="324">
        <v>2601994669.3099999</v>
      </c>
      <c r="C135" s="323">
        <v>3.73</v>
      </c>
      <c r="D135" s="324">
        <v>2573022303.79</v>
      </c>
      <c r="E135" s="323">
        <v>3.68</v>
      </c>
      <c r="F135" s="23">
        <f t="shared" si="131"/>
        <v>-1.1134675201960697E-2</v>
      </c>
      <c r="G135" s="23">
        <f t="shared" si="132"/>
        <v>-1.3404825737265367E-2</v>
      </c>
      <c r="H135" s="324">
        <v>2589525124.8400002</v>
      </c>
      <c r="I135" s="323">
        <v>3.7</v>
      </c>
      <c r="J135" s="23">
        <f t="shared" ref="J135:J144" si="153">((H135-D135)/D135)</f>
        <v>6.4137885729524894E-3</v>
      </c>
      <c r="K135" s="23">
        <f t="shared" ref="K135:K144" si="154">((I135-E135)/E135)</f>
        <v>5.4347826086956564E-3</v>
      </c>
      <c r="L135" s="324">
        <v>2607126466.6500001</v>
      </c>
      <c r="M135" s="323">
        <v>3.71</v>
      </c>
      <c r="N135" s="23">
        <f t="shared" ref="N135:N144" si="155">((L135-H135)/H135)</f>
        <v>6.7971311191998892E-3</v>
      </c>
      <c r="O135" s="23">
        <f t="shared" ref="O135:O144" si="156">((M135-I135)/I135)</f>
        <v>2.7027027027026452E-3</v>
      </c>
      <c r="P135" s="324">
        <v>2615702885.4400001</v>
      </c>
      <c r="Q135" s="323">
        <v>3.69</v>
      </c>
      <c r="R135" s="23">
        <f t="shared" ref="R135:R144" si="157">((P135-L135)/L135)</f>
        <v>3.2896059702927035E-3</v>
      </c>
      <c r="S135" s="23">
        <f t="shared" ref="S135:S144" si="158">((Q135-M135)/M135)</f>
        <v>-5.3908355795148294E-3</v>
      </c>
      <c r="T135" s="324">
        <v>2616486492.1900001</v>
      </c>
      <c r="U135" s="323">
        <v>3.69</v>
      </c>
      <c r="V135" s="23">
        <f t="shared" ref="V135:V144" si="159">((T135-P135)/P135)</f>
        <v>2.9957788950796136E-4</v>
      </c>
      <c r="W135" s="23">
        <f t="shared" ref="W135:W144" si="160">((U135-Q135)/Q135)</f>
        <v>0</v>
      </c>
      <c r="X135" s="324">
        <v>2663677164.0799999</v>
      </c>
      <c r="Y135" s="323">
        <v>3.75</v>
      </c>
      <c r="Z135" s="23">
        <f t="shared" ref="Z135:Z144" si="161">((X135-T135)/T135)</f>
        <v>1.8035893565994013E-2</v>
      </c>
      <c r="AA135" s="23">
        <f t="shared" ref="AA135:AA144" si="162">((Y135-U135)/U135)</f>
        <v>1.6260162601626032E-2</v>
      </c>
      <c r="AB135" s="324">
        <v>2613539875.8600001</v>
      </c>
      <c r="AC135" s="323">
        <v>3.68</v>
      </c>
      <c r="AD135" s="23">
        <f t="shared" ref="AD135:AD144" si="163">((AB135-X135)/X135)</f>
        <v>-1.8822584394275334E-2</v>
      </c>
      <c r="AE135" s="23">
        <f t="shared" ref="AE135:AE144" si="164">((AC135-Y135)/Y135)</f>
        <v>-1.8666666666666623E-2</v>
      </c>
      <c r="AF135" s="324">
        <v>2646507846.4299998</v>
      </c>
      <c r="AG135" s="323">
        <v>3.72</v>
      </c>
      <c r="AH135" s="23">
        <f t="shared" ref="AH135:AH144" si="165">((AF135-AB135)/AB135)</f>
        <v>1.2614297900907824E-2</v>
      </c>
      <c r="AI135" s="23">
        <f t="shared" ref="AI135:AI144" si="166">((AG135-AC135)/AC135)</f>
        <v>1.0869565217391313E-2</v>
      </c>
      <c r="AJ135" s="24">
        <f t="shared" si="147"/>
        <v>2.1866294278273563E-3</v>
      </c>
      <c r="AK135" s="24">
        <f t="shared" si="148"/>
        <v>-2.7438935662889665E-4</v>
      </c>
      <c r="AL135" s="25">
        <f t="shared" si="149"/>
        <v>2.8560009966395329E-2</v>
      </c>
      <c r="AM135" s="25">
        <f t="shared" si="150"/>
        <v>1.0869565217391313E-2</v>
      </c>
      <c r="AN135" s="378">
        <f t="shared" si="151"/>
        <v>1.2087081575054547E-2</v>
      </c>
      <c r="AO135" s="379">
        <f t="shared" si="152"/>
        <v>1.1842604835607303E-2</v>
      </c>
      <c r="AP135" s="30"/>
      <c r="AQ135" s="53"/>
      <c r="AR135" s="47"/>
      <c r="AS135" s="29"/>
      <c r="AT135" s="29"/>
    </row>
    <row r="136" spans="1:46">
      <c r="A136" s="200" t="s">
        <v>129</v>
      </c>
      <c r="B136" s="324">
        <v>179109011.09999999</v>
      </c>
      <c r="C136" s="323">
        <v>165.58421300000001</v>
      </c>
      <c r="D136" s="324">
        <v>182939141.30000001</v>
      </c>
      <c r="E136" s="323">
        <v>169.067768</v>
      </c>
      <c r="F136" s="23">
        <f t="shared" si="131"/>
        <v>2.1384352336475034E-2</v>
      </c>
      <c r="G136" s="23">
        <f t="shared" si="132"/>
        <v>2.1037965738919782E-2</v>
      </c>
      <c r="H136" s="324">
        <v>188240758.78999999</v>
      </c>
      <c r="I136" s="323">
        <v>173.95459700000001</v>
      </c>
      <c r="J136" s="23">
        <f t="shared" si="153"/>
        <v>2.8980225075539805E-2</v>
      </c>
      <c r="K136" s="23">
        <f t="shared" si="154"/>
        <v>2.8904557372520619E-2</v>
      </c>
      <c r="L136" s="324">
        <v>187758517.75</v>
      </c>
      <c r="M136" s="323">
        <v>173.61736999999999</v>
      </c>
      <c r="N136" s="23">
        <f t="shared" si="155"/>
        <v>-2.5618311522956419E-3</v>
      </c>
      <c r="O136" s="23">
        <f t="shared" si="156"/>
        <v>-1.9385920568687979E-3</v>
      </c>
      <c r="P136" s="324">
        <v>190824404.06</v>
      </c>
      <c r="Q136" s="323">
        <v>176.20522500000001</v>
      </c>
      <c r="R136" s="23">
        <f t="shared" si="157"/>
        <v>1.6328880024938323E-2</v>
      </c>
      <c r="S136" s="23">
        <f t="shared" si="158"/>
        <v>1.490550743857034E-2</v>
      </c>
      <c r="T136" s="324">
        <v>191166550.22999999</v>
      </c>
      <c r="U136" s="323">
        <v>176.39175900000001</v>
      </c>
      <c r="V136" s="23">
        <f t="shared" si="159"/>
        <v>1.7929895900128555E-3</v>
      </c>
      <c r="W136" s="23">
        <f t="shared" si="160"/>
        <v>1.0586178701567711E-3</v>
      </c>
      <c r="X136" s="324">
        <v>187497688.61000001</v>
      </c>
      <c r="Y136" s="323">
        <v>179.137585</v>
      </c>
      <c r="Z136" s="23">
        <f t="shared" si="161"/>
        <v>-1.919196436607672E-2</v>
      </c>
      <c r="AA136" s="23">
        <f t="shared" si="162"/>
        <v>1.5566634266626899E-2</v>
      </c>
      <c r="AB136" s="324">
        <v>155914257.34999999</v>
      </c>
      <c r="AC136" s="323">
        <v>176.68709100000001</v>
      </c>
      <c r="AD136" s="23">
        <f t="shared" si="163"/>
        <v>-0.16844704323632684</v>
      </c>
      <c r="AE136" s="23">
        <f t="shared" si="164"/>
        <v>-1.3679396202644977E-2</v>
      </c>
      <c r="AF136" s="324">
        <v>155373183.38</v>
      </c>
      <c r="AG136" s="323">
        <v>175.28889699999999</v>
      </c>
      <c r="AH136" s="23">
        <f t="shared" si="165"/>
        <v>-3.4703302904838472E-3</v>
      </c>
      <c r="AI136" s="23">
        <f t="shared" si="166"/>
        <v>-7.9133907977466094E-3</v>
      </c>
      <c r="AJ136" s="24">
        <f t="shared" si="147"/>
        <v>-1.564809025227713E-2</v>
      </c>
      <c r="AK136" s="24">
        <f t="shared" si="148"/>
        <v>7.2427379536917531E-3</v>
      </c>
      <c r="AL136" s="25">
        <f t="shared" si="149"/>
        <v>-0.15068376140890968</v>
      </c>
      <c r="AM136" s="25">
        <f t="shared" si="150"/>
        <v>3.6796658958672658E-2</v>
      </c>
      <c r="AN136" s="378">
        <f t="shared" si="151"/>
        <v>6.3661418366384129E-2</v>
      </c>
      <c r="AO136" s="379">
        <f t="shared" si="152"/>
        <v>6.4378975672454652E-2</v>
      </c>
      <c r="AP136" s="30"/>
      <c r="AQ136" s="53">
        <v>82672021.189999998</v>
      </c>
      <c r="AR136" s="47">
        <v>18.53</v>
      </c>
      <c r="AS136" s="29" t="e">
        <f>(#REF!/AQ136)-1</f>
        <v>#REF!</v>
      </c>
      <c r="AT136" s="29" t="e">
        <f>(#REF!/AR136)-1</f>
        <v>#REF!</v>
      </c>
    </row>
    <row r="137" spans="1:46">
      <c r="A137" s="200" t="s">
        <v>27</v>
      </c>
      <c r="B137" s="324">
        <v>1487452911</v>
      </c>
      <c r="C137" s="323">
        <v>552.20000000000005</v>
      </c>
      <c r="D137" s="324">
        <v>1484875628</v>
      </c>
      <c r="E137" s="323">
        <v>552.20000000000005</v>
      </c>
      <c r="F137" s="23">
        <f t="shared" si="131"/>
        <v>-1.7326820774899812E-3</v>
      </c>
      <c r="G137" s="23">
        <f t="shared" si="132"/>
        <v>0</v>
      </c>
      <c r="H137" s="324">
        <v>1493192426.4300001</v>
      </c>
      <c r="I137" s="323">
        <v>552.20000000000005</v>
      </c>
      <c r="J137" s="23">
        <f t="shared" si="153"/>
        <v>5.6010067598739437E-3</v>
      </c>
      <c r="K137" s="23">
        <f t="shared" si="154"/>
        <v>0</v>
      </c>
      <c r="L137" s="324">
        <v>1481207806.28</v>
      </c>
      <c r="M137" s="323">
        <v>552.20000000000005</v>
      </c>
      <c r="N137" s="23">
        <f t="shared" si="155"/>
        <v>-8.0261726070052011E-3</v>
      </c>
      <c r="O137" s="23">
        <f t="shared" si="156"/>
        <v>0</v>
      </c>
      <c r="P137" s="324">
        <v>1473582469.27</v>
      </c>
      <c r="Q137" s="323">
        <v>552.20000000000005</v>
      </c>
      <c r="R137" s="23">
        <f t="shared" si="157"/>
        <v>-5.1480534855880547E-3</v>
      </c>
      <c r="S137" s="23">
        <f t="shared" si="158"/>
        <v>0</v>
      </c>
      <c r="T137" s="324">
        <v>1492307881.0799999</v>
      </c>
      <c r="U137" s="323">
        <v>552.20000000000005</v>
      </c>
      <c r="V137" s="23">
        <f t="shared" si="159"/>
        <v>1.2707406745464575E-2</v>
      </c>
      <c r="W137" s="23">
        <f t="shared" si="160"/>
        <v>0</v>
      </c>
      <c r="X137" s="324">
        <v>1528243247.1800001</v>
      </c>
      <c r="Y137" s="323">
        <v>552.20000000000005</v>
      </c>
      <c r="Z137" s="23">
        <f t="shared" si="161"/>
        <v>2.4080396917821888E-2</v>
      </c>
      <c r="AA137" s="23">
        <f t="shared" si="162"/>
        <v>0</v>
      </c>
      <c r="AB137" s="324">
        <v>1573900648.1700001</v>
      </c>
      <c r="AC137" s="323">
        <v>552.20000000000005</v>
      </c>
      <c r="AD137" s="23">
        <f t="shared" si="163"/>
        <v>2.9875742015709607E-2</v>
      </c>
      <c r="AE137" s="23">
        <f t="shared" si="164"/>
        <v>0</v>
      </c>
      <c r="AF137" s="324">
        <v>1602704381.1199999</v>
      </c>
      <c r="AG137" s="323">
        <v>552.20000000000005</v>
      </c>
      <c r="AH137" s="23">
        <f t="shared" si="165"/>
        <v>1.8300858433148482E-2</v>
      </c>
      <c r="AI137" s="23">
        <f t="shared" si="166"/>
        <v>0</v>
      </c>
      <c r="AJ137" s="24">
        <f t="shared" si="147"/>
        <v>9.4573128377419078E-3</v>
      </c>
      <c r="AK137" s="24">
        <f t="shared" si="148"/>
        <v>0</v>
      </c>
      <c r="AL137" s="25">
        <f t="shared" si="149"/>
        <v>7.9352607651527754E-2</v>
      </c>
      <c r="AM137" s="25">
        <f t="shared" si="150"/>
        <v>0</v>
      </c>
      <c r="AN137" s="378">
        <f t="shared" si="151"/>
        <v>1.4033604153298223E-2</v>
      </c>
      <c r="AO137" s="379">
        <f t="shared" si="152"/>
        <v>1.0562669886144059E-2</v>
      </c>
      <c r="AP137" s="30"/>
      <c r="AQ137" s="53">
        <v>541500000</v>
      </c>
      <c r="AR137" s="47">
        <v>3610</v>
      </c>
      <c r="AS137" s="29" t="e">
        <f>(#REF!/AQ137)-1</f>
        <v>#REF!</v>
      </c>
      <c r="AT137" s="29" t="e">
        <f>(#REF!/AR137)-1</f>
        <v>#REF!</v>
      </c>
    </row>
    <row r="138" spans="1:46">
      <c r="A138" s="200" t="s">
        <v>186</v>
      </c>
      <c r="B138" s="324">
        <v>23867902.100000001</v>
      </c>
      <c r="C138" s="323">
        <v>1.48</v>
      </c>
      <c r="D138" s="324">
        <v>24351294.280000001</v>
      </c>
      <c r="E138" s="323">
        <v>1.5</v>
      </c>
      <c r="F138" s="23">
        <f t="shared" si="131"/>
        <v>2.0252813924521655E-2</v>
      </c>
      <c r="G138" s="23">
        <f t="shared" si="132"/>
        <v>1.3513513513513526E-2</v>
      </c>
      <c r="H138" s="324">
        <v>24277171.809999999</v>
      </c>
      <c r="I138" s="323">
        <v>1.5</v>
      </c>
      <c r="J138" s="23">
        <f t="shared" si="153"/>
        <v>-3.0438821504810186E-3</v>
      </c>
      <c r="K138" s="23">
        <f t="shared" si="154"/>
        <v>0</v>
      </c>
      <c r="L138" s="324">
        <v>24187429.48</v>
      </c>
      <c r="M138" s="323">
        <v>1.49</v>
      </c>
      <c r="N138" s="23">
        <f t="shared" si="155"/>
        <v>-3.6965726775073731E-3</v>
      </c>
      <c r="O138" s="23">
        <f t="shared" si="156"/>
        <v>-6.6666666666666723E-3</v>
      </c>
      <c r="P138" s="324">
        <v>24631372.52</v>
      </c>
      <c r="Q138" s="323">
        <v>1.52</v>
      </c>
      <c r="R138" s="23">
        <f t="shared" si="157"/>
        <v>1.8354287724831813E-2</v>
      </c>
      <c r="S138" s="23">
        <f t="shared" si="158"/>
        <v>2.0134228187919483E-2</v>
      </c>
      <c r="T138" s="324">
        <v>25733202.859999999</v>
      </c>
      <c r="U138" s="323">
        <v>1.58</v>
      </c>
      <c r="V138" s="23">
        <f t="shared" si="159"/>
        <v>4.4732803220987535E-2</v>
      </c>
      <c r="W138" s="23">
        <f t="shared" si="160"/>
        <v>3.9473684210526348E-2</v>
      </c>
      <c r="X138" s="324">
        <v>25618811.960000001</v>
      </c>
      <c r="Y138" s="323">
        <v>1.6</v>
      </c>
      <c r="Z138" s="23">
        <f t="shared" si="161"/>
        <v>-4.4452647663928806E-3</v>
      </c>
      <c r="AA138" s="23">
        <f t="shared" si="162"/>
        <v>1.2658227848101276E-2</v>
      </c>
      <c r="AB138" s="324">
        <v>24884134.879999999</v>
      </c>
      <c r="AC138" s="323">
        <v>1.55</v>
      </c>
      <c r="AD138" s="23">
        <f t="shared" si="163"/>
        <v>-2.8677250184243202E-2</v>
      </c>
      <c r="AE138" s="23">
        <f t="shared" si="164"/>
        <v>-3.1250000000000028E-2</v>
      </c>
      <c r="AF138" s="324">
        <v>24596523.690000001</v>
      </c>
      <c r="AG138" s="323">
        <v>1.55</v>
      </c>
      <c r="AH138" s="23">
        <f t="shared" si="165"/>
        <v>-1.1558014429151721E-2</v>
      </c>
      <c r="AI138" s="23">
        <f t="shared" si="166"/>
        <v>0</v>
      </c>
      <c r="AJ138" s="24">
        <f t="shared" si="147"/>
        <v>3.9898650828205998E-3</v>
      </c>
      <c r="AK138" s="24">
        <f t="shared" si="148"/>
        <v>5.9828733866742409E-3</v>
      </c>
      <c r="AL138" s="25">
        <f t="shared" si="149"/>
        <v>1.0070487719472467E-2</v>
      </c>
      <c r="AM138" s="25">
        <f t="shared" si="150"/>
        <v>3.3333333333333361E-2</v>
      </c>
      <c r="AN138" s="378">
        <f t="shared" si="151"/>
        <v>2.2738860598875081E-2</v>
      </c>
      <c r="AO138" s="379">
        <f t="shared" si="152"/>
        <v>2.019640472774412E-2</v>
      </c>
      <c r="AP138" s="30"/>
      <c r="AQ138" s="28">
        <v>913647681</v>
      </c>
      <c r="AR138" s="32">
        <v>81</v>
      </c>
      <c r="AS138" s="29" t="e">
        <f>(#REF!/AQ138)-1</f>
        <v>#REF!</v>
      </c>
      <c r="AT138" s="29" t="e">
        <f>(#REF!/AR138)-1</f>
        <v>#REF!</v>
      </c>
    </row>
    <row r="139" spans="1:46">
      <c r="A139" s="201" t="s">
        <v>48</v>
      </c>
      <c r="B139" s="323">
        <v>195540854.25999999</v>
      </c>
      <c r="C139" s="323">
        <v>2.0378099999999999</v>
      </c>
      <c r="D139" s="323">
        <v>196215865.47999999</v>
      </c>
      <c r="E139" s="323">
        <v>2.0453060000000001</v>
      </c>
      <c r="F139" s="23">
        <f t="shared" si="131"/>
        <v>3.4520214333444267E-3</v>
      </c>
      <c r="G139" s="23">
        <f t="shared" si="132"/>
        <v>3.678458737566392E-3</v>
      </c>
      <c r="H139" s="323">
        <v>197606583.71000001</v>
      </c>
      <c r="I139" s="323">
        <v>2.0603479999999998</v>
      </c>
      <c r="J139" s="23">
        <f t="shared" si="153"/>
        <v>7.0876951086392814E-3</v>
      </c>
      <c r="K139" s="23">
        <f t="shared" si="154"/>
        <v>7.3544007595928319E-3</v>
      </c>
      <c r="L139" s="323">
        <v>196472646.68000001</v>
      </c>
      <c r="M139" s="323">
        <v>2.0499999999999998</v>
      </c>
      <c r="N139" s="23">
        <f t="shared" si="155"/>
        <v>-5.7383565299834573E-3</v>
      </c>
      <c r="O139" s="23">
        <f t="shared" si="156"/>
        <v>-5.0224525177300266E-3</v>
      </c>
      <c r="P139" s="323">
        <v>192821339.63</v>
      </c>
      <c r="Q139" s="323">
        <v>2.0133200000000002</v>
      </c>
      <c r="R139" s="23">
        <f t="shared" si="157"/>
        <v>-1.8584302251228837E-2</v>
      </c>
      <c r="S139" s="23">
        <f t="shared" si="158"/>
        <v>-1.7892682926829075E-2</v>
      </c>
      <c r="T139" s="323">
        <v>200340230</v>
      </c>
      <c r="U139" s="323">
        <v>2.097105</v>
      </c>
      <c r="V139" s="23">
        <f t="shared" si="159"/>
        <v>3.8994078064325317E-2</v>
      </c>
      <c r="W139" s="23">
        <f t="shared" si="160"/>
        <v>4.1615341823455672E-2</v>
      </c>
      <c r="X139" s="323">
        <v>202421405.49000001</v>
      </c>
      <c r="Y139" s="323">
        <v>2.12</v>
      </c>
      <c r="Z139" s="23">
        <f t="shared" si="161"/>
        <v>1.0388205554121654E-2</v>
      </c>
      <c r="AA139" s="23">
        <f t="shared" si="162"/>
        <v>1.0917431411398146E-2</v>
      </c>
      <c r="AB139" s="323">
        <v>188827875.84999999</v>
      </c>
      <c r="AC139" s="323">
        <v>1.98</v>
      </c>
      <c r="AD139" s="23">
        <f t="shared" si="163"/>
        <v>-6.7154605547245644E-2</v>
      </c>
      <c r="AE139" s="23">
        <f t="shared" si="164"/>
        <v>-6.6037735849056658E-2</v>
      </c>
      <c r="AF139" s="323">
        <v>199916738.36000001</v>
      </c>
      <c r="AG139" s="323">
        <v>2.0944820000000002</v>
      </c>
      <c r="AH139" s="23">
        <f t="shared" si="165"/>
        <v>5.8724711381113702E-2</v>
      </c>
      <c r="AI139" s="23">
        <f t="shared" si="166"/>
        <v>5.781919191919202E-2</v>
      </c>
      <c r="AJ139" s="24">
        <f t="shared" si="147"/>
        <v>3.3961809016358055E-3</v>
      </c>
      <c r="AK139" s="24">
        <f t="shared" si="148"/>
        <v>4.0539941696986631E-3</v>
      </c>
      <c r="AL139" s="25">
        <f t="shared" si="149"/>
        <v>1.886123158770385E-2</v>
      </c>
      <c r="AM139" s="25">
        <f t="shared" si="150"/>
        <v>2.404334608122213E-2</v>
      </c>
      <c r="AN139" s="378">
        <f t="shared" si="151"/>
        <v>3.7673352184552117E-2</v>
      </c>
      <c r="AO139" s="379">
        <f t="shared" si="152"/>
        <v>3.7785558611072037E-2</v>
      </c>
      <c r="AP139" s="30"/>
      <c r="AQ139" s="61">
        <f>SUM(AQ130:AQ138)</f>
        <v>3629819788.79</v>
      </c>
      <c r="AR139" s="62"/>
      <c r="AS139" s="29" t="e">
        <f>(#REF!/AQ139)-1</f>
        <v>#REF!</v>
      </c>
      <c r="AT139" s="29" t="e">
        <f>(#REF!/AR139)-1</f>
        <v>#REF!</v>
      </c>
    </row>
    <row r="140" spans="1:46">
      <c r="A140" s="200" t="s">
        <v>22</v>
      </c>
      <c r="B140" s="324">
        <v>1944767529.4000001</v>
      </c>
      <c r="C140" s="323">
        <v>4590.0600000000004</v>
      </c>
      <c r="D140" s="324">
        <v>1978354598.22</v>
      </c>
      <c r="E140" s="323">
        <v>4633.0600000000004</v>
      </c>
      <c r="F140" s="23">
        <f t="shared" si="131"/>
        <v>1.7270480050827576E-2</v>
      </c>
      <c r="G140" s="23">
        <f t="shared" si="132"/>
        <v>9.3680692627111616E-3</v>
      </c>
      <c r="H140" s="324">
        <v>2010096082.8800001</v>
      </c>
      <c r="I140" s="323">
        <v>4630.1099999999997</v>
      </c>
      <c r="J140" s="23">
        <f t="shared" si="153"/>
        <v>1.6044385919773477E-2</v>
      </c>
      <c r="K140" s="23">
        <f t="shared" si="154"/>
        <v>-6.3672820986577497E-4</v>
      </c>
      <c r="L140" s="324">
        <v>1990223896.46</v>
      </c>
      <c r="M140" s="323">
        <v>4611.95</v>
      </c>
      <c r="N140" s="23">
        <f t="shared" si="155"/>
        <v>-9.8861873266912967E-3</v>
      </c>
      <c r="O140" s="23">
        <f t="shared" si="156"/>
        <v>-3.9221530374008084E-3</v>
      </c>
      <c r="P140" s="324">
        <v>2012395215.51</v>
      </c>
      <c r="Q140" s="323">
        <v>4654.8599999999997</v>
      </c>
      <c r="R140" s="23">
        <f t="shared" si="157"/>
        <v>1.1140112973940245E-2</v>
      </c>
      <c r="S140" s="23">
        <f t="shared" si="158"/>
        <v>9.3040904606511033E-3</v>
      </c>
      <c r="T140" s="324">
        <v>2088142285.0899999</v>
      </c>
      <c r="U140" s="323">
        <v>4800.3599999999997</v>
      </c>
      <c r="V140" s="23">
        <f t="shared" si="159"/>
        <v>3.7640255252149063E-2</v>
      </c>
      <c r="W140" s="23">
        <f t="shared" si="160"/>
        <v>3.1257653291398672E-2</v>
      </c>
      <c r="X140" s="324">
        <v>2131974676.52</v>
      </c>
      <c r="Y140" s="323">
        <v>4855.76</v>
      </c>
      <c r="Z140" s="23">
        <f t="shared" si="161"/>
        <v>2.0991094209900005E-2</v>
      </c>
      <c r="AA140" s="23">
        <f t="shared" si="162"/>
        <v>1.1540801106583787E-2</v>
      </c>
      <c r="AB140" s="324">
        <v>2088321719.49</v>
      </c>
      <c r="AC140" s="323">
        <v>4726.87</v>
      </c>
      <c r="AD140" s="23">
        <f t="shared" si="163"/>
        <v>-2.0475363760536894E-2</v>
      </c>
      <c r="AE140" s="23">
        <f t="shared" si="164"/>
        <v>-2.6543733627691714E-2</v>
      </c>
      <c r="AF140" s="324">
        <v>2055842087.78</v>
      </c>
      <c r="AG140" s="323">
        <v>4691.42</v>
      </c>
      <c r="AH140" s="23">
        <f t="shared" si="165"/>
        <v>-1.5552982764519665E-2</v>
      </c>
      <c r="AI140" s="23">
        <f t="shared" si="166"/>
        <v>-7.4996773763610636E-3</v>
      </c>
      <c r="AJ140" s="24">
        <f t="shared" si="147"/>
        <v>7.1464743193553146E-3</v>
      </c>
      <c r="AK140" s="24">
        <f t="shared" si="148"/>
        <v>2.8585402337531697E-3</v>
      </c>
      <c r="AL140" s="25">
        <f t="shared" si="149"/>
        <v>3.9167644480781326E-2</v>
      </c>
      <c r="AM140" s="25">
        <f t="shared" si="150"/>
        <v>1.2596426551782119E-2</v>
      </c>
      <c r="AN140" s="378">
        <f t="shared" si="151"/>
        <v>2.0310111843460734E-2</v>
      </c>
      <c r="AO140" s="379">
        <f t="shared" si="152"/>
        <v>1.5451147315371628E-2</v>
      </c>
      <c r="AP140" s="30"/>
      <c r="AQ140" s="79"/>
      <c r="AR140" s="80"/>
      <c r="AS140" s="29"/>
      <c r="AT140" s="29"/>
    </row>
    <row r="141" spans="1:46" s="105" customFormat="1">
      <c r="A141" s="200" t="s">
        <v>74</v>
      </c>
      <c r="B141" s="323">
        <v>1549045713.01</v>
      </c>
      <c r="C141" s="323">
        <v>1.7585</v>
      </c>
      <c r="D141" s="323">
        <v>1565409293.96</v>
      </c>
      <c r="E141" s="323">
        <v>1.7450000000000001</v>
      </c>
      <c r="F141" s="23">
        <f t="shared" si="131"/>
        <v>1.0563652713775278E-2</v>
      </c>
      <c r="G141" s="23">
        <f t="shared" si="132"/>
        <v>-7.6769974410007651E-3</v>
      </c>
      <c r="H141" s="323">
        <v>1551948824.96</v>
      </c>
      <c r="I141" s="323">
        <v>1.7299</v>
      </c>
      <c r="J141" s="23">
        <f t="shared" si="153"/>
        <v>-8.5986898454839169E-3</v>
      </c>
      <c r="K141" s="23">
        <f t="shared" si="154"/>
        <v>-8.6532951289398918E-3</v>
      </c>
      <c r="L141" s="323">
        <v>1523575097.6400001</v>
      </c>
      <c r="M141" s="323">
        <v>1.7124999999999999</v>
      </c>
      <c r="N141" s="23">
        <f t="shared" si="155"/>
        <v>-1.8282643643698263E-2</v>
      </c>
      <c r="O141" s="23">
        <f t="shared" si="156"/>
        <v>-1.0058384877738646E-2</v>
      </c>
      <c r="P141" s="323">
        <v>1527782786.1600001</v>
      </c>
      <c r="Q141" s="323">
        <v>1.7078</v>
      </c>
      <c r="R141" s="23">
        <f t="shared" si="157"/>
        <v>2.761720460328894E-3</v>
      </c>
      <c r="S141" s="23">
        <f t="shared" si="158"/>
        <v>-2.7445255474452127E-3</v>
      </c>
      <c r="T141" s="323">
        <v>1565349771.0899999</v>
      </c>
      <c r="U141" s="323">
        <v>1.75</v>
      </c>
      <c r="V141" s="23">
        <f t="shared" si="159"/>
        <v>2.4589218618192726E-2</v>
      </c>
      <c r="W141" s="23">
        <f t="shared" si="160"/>
        <v>2.471015341374869E-2</v>
      </c>
      <c r="X141" s="323">
        <v>1576699720.26</v>
      </c>
      <c r="Y141" s="323">
        <v>1.7653000000000001</v>
      </c>
      <c r="Z141" s="23">
        <f t="shared" si="161"/>
        <v>7.2507431754992155E-3</v>
      </c>
      <c r="AA141" s="23">
        <f t="shared" si="162"/>
        <v>8.7428571428571945E-3</v>
      </c>
      <c r="AB141" s="323">
        <v>1561261931.1700001</v>
      </c>
      <c r="AC141" s="323">
        <v>1.7467999999999999</v>
      </c>
      <c r="AD141" s="23">
        <f t="shared" si="163"/>
        <v>-9.7912043058231788E-3</v>
      </c>
      <c r="AE141" s="23">
        <f t="shared" si="164"/>
        <v>-1.0479805132272238E-2</v>
      </c>
      <c r="AF141" s="323">
        <v>1567842581.22</v>
      </c>
      <c r="AG141" s="323">
        <v>1.7476</v>
      </c>
      <c r="AH141" s="23">
        <f t="shared" si="165"/>
        <v>4.2149558114623689E-3</v>
      </c>
      <c r="AI141" s="23">
        <f t="shared" si="166"/>
        <v>4.579803068468823E-4</v>
      </c>
      <c r="AJ141" s="24">
        <f t="shared" si="147"/>
        <v>1.5884691230316406E-3</v>
      </c>
      <c r="AK141" s="24">
        <f t="shared" si="148"/>
        <v>-7.1275215799299822E-4</v>
      </c>
      <c r="AL141" s="25">
        <f t="shared" si="149"/>
        <v>1.5544096163148031E-3</v>
      </c>
      <c r="AM141" s="25">
        <f t="shared" si="150"/>
        <v>1.4899713467048342E-3</v>
      </c>
      <c r="AN141" s="378">
        <f t="shared" si="151"/>
        <v>1.3512221949470229E-2</v>
      </c>
      <c r="AO141" s="379">
        <f t="shared" si="152"/>
        <v>1.2085907971986189E-2</v>
      </c>
      <c r="AP141" s="30"/>
      <c r="AQ141" s="79"/>
      <c r="AR141" s="80"/>
      <c r="AS141" s="29"/>
      <c r="AT141" s="29"/>
    </row>
    <row r="142" spans="1:46" s="105" customFormat="1">
      <c r="A142" s="200" t="s">
        <v>238</v>
      </c>
      <c r="B142" s="323">
        <v>819811818.97000003</v>
      </c>
      <c r="C142" s="323">
        <v>1.3646</v>
      </c>
      <c r="D142" s="323">
        <v>818123226</v>
      </c>
      <c r="E142" s="323">
        <v>1.3597999999999999</v>
      </c>
      <c r="F142" s="23">
        <f t="shared" si="131"/>
        <v>-2.0597324055678448E-3</v>
      </c>
      <c r="G142" s="23">
        <f t="shared" si="132"/>
        <v>-3.5175142899019035E-3</v>
      </c>
      <c r="H142" s="323">
        <v>823848291.17999995</v>
      </c>
      <c r="I142" s="323">
        <v>1.3589</v>
      </c>
      <c r="J142" s="23">
        <f t="shared" si="153"/>
        <v>6.9978030180015294E-3</v>
      </c>
      <c r="K142" s="23">
        <f t="shared" si="154"/>
        <v>-6.6186203853500585E-4</v>
      </c>
      <c r="L142" s="323">
        <v>809792292.83000004</v>
      </c>
      <c r="M142" s="323">
        <v>1.3421000000000001</v>
      </c>
      <c r="N142" s="23">
        <f t="shared" si="155"/>
        <v>-1.7061391642710654E-2</v>
      </c>
      <c r="O142" s="23">
        <f t="shared" si="156"/>
        <v>-1.2362940613731641E-2</v>
      </c>
      <c r="P142" s="323">
        <v>808301398.69000006</v>
      </c>
      <c r="Q142" s="323">
        <v>1.3391999999999999</v>
      </c>
      <c r="R142" s="23">
        <f t="shared" si="157"/>
        <v>-1.8410821555114127E-3</v>
      </c>
      <c r="S142" s="23">
        <f t="shared" si="158"/>
        <v>-2.1607927874227888E-3</v>
      </c>
      <c r="T142" s="323">
        <v>821223991.77999997</v>
      </c>
      <c r="U142" s="323">
        <v>1.3625</v>
      </c>
      <c r="V142" s="23">
        <f t="shared" si="159"/>
        <v>1.5987344709465227E-2</v>
      </c>
      <c r="W142" s="23">
        <f t="shared" si="160"/>
        <v>1.739844683393078E-2</v>
      </c>
      <c r="X142" s="323">
        <v>831163622.34000003</v>
      </c>
      <c r="Y142" s="323">
        <v>1.3715999999999999</v>
      </c>
      <c r="Z142" s="23">
        <f t="shared" si="161"/>
        <v>1.2103434214648247E-2</v>
      </c>
      <c r="AA142" s="23">
        <f t="shared" si="162"/>
        <v>6.6788990825687239E-3</v>
      </c>
      <c r="AB142" s="323">
        <v>826804083.75999999</v>
      </c>
      <c r="AC142" s="323">
        <v>1.3656999999999999</v>
      </c>
      <c r="AD142" s="23">
        <f t="shared" si="163"/>
        <v>-5.2451027244509356E-3</v>
      </c>
      <c r="AE142" s="23">
        <f t="shared" si="164"/>
        <v>-4.3015456401283292E-3</v>
      </c>
      <c r="AF142" s="323">
        <v>845622955.13</v>
      </c>
      <c r="AG142" s="323">
        <v>1.3529</v>
      </c>
      <c r="AH142" s="23">
        <f t="shared" si="165"/>
        <v>2.27609801882191E-2</v>
      </c>
      <c r="AI142" s="23">
        <f t="shared" si="166"/>
        <v>-9.3724829757632893E-3</v>
      </c>
      <c r="AJ142" s="24">
        <f t="shared" si="147"/>
        <v>3.9552816502616567E-3</v>
      </c>
      <c r="AK142" s="24">
        <f t="shared" si="148"/>
        <v>-1.0374740536229317E-3</v>
      </c>
      <c r="AL142" s="25">
        <f t="shared" si="149"/>
        <v>3.3613187177746737E-2</v>
      </c>
      <c r="AM142" s="25">
        <f t="shared" si="150"/>
        <v>-5.0742756287688682E-3</v>
      </c>
      <c r="AN142" s="378">
        <f t="shared" si="151"/>
        <v>1.2929479173321899E-2</v>
      </c>
      <c r="AO142" s="379">
        <f t="shared" si="152"/>
        <v>9.4287595029983982E-3</v>
      </c>
      <c r="AP142" s="30"/>
      <c r="AQ142" s="79"/>
      <c r="AR142" s="80"/>
      <c r="AS142" s="29"/>
      <c r="AT142" s="29"/>
    </row>
    <row r="143" spans="1:46" ht="15.75" customHeight="1" thickBot="1">
      <c r="A143" s="200" t="s">
        <v>124</v>
      </c>
      <c r="B143" s="323">
        <v>6703756757.4399996</v>
      </c>
      <c r="C143" s="323">
        <v>302.22000000000003</v>
      </c>
      <c r="D143" s="323">
        <v>6597233010.3999996</v>
      </c>
      <c r="E143" s="323">
        <v>297.44</v>
      </c>
      <c r="F143" s="23">
        <f t="shared" si="131"/>
        <v>-1.589015695144028E-2</v>
      </c>
      <c r="G143" s="23">
        <f t="shared" si="132"/>
        <v>-1.5816292766858676E-2</v>
      </c>
      <c r="H143" s="323">
        <v>6597669215.46</v>
      </c>
      <c r="I143" s="323">
        <v>290.7</v>
      </c>
      <c r="J143" s="23">
        <f t="shared" si="153"/>
        <v>6.6119395709197772E-5</v>
      </c>
      <c r="K143" s="23">
        <f t="shared" si="154"/>
        <v>-2.2660032275416922E-2</v>
      </c>
      <c r="L143" s="323">
        <v>6521052649.1700001</v>
      </c>
      <c r="M143" s="323">
        <v>294</v>
      </c>
      <c r="N143" s="23">
        <f t="shared" si="155"/>
        <v>-1.1612671655388249E-2</v>
      </c>
      <c r="O143" s="23">
        <f t="shared" si="156"/>
        <v>1.1351909184726562E-2</v>
      </c>
      <c r="P143" s="323">
        <v>6543002603.9300003</v>
      </c>
      <c r="Q143" s="323">
        <v>293.54000000000002</v>
      </c>
      <c r="R143" s="23">
        <f t="shared" si="157"/>
        <v>3.3660140380547335E-3</v>
      </c>
      <c r="S143" s="23">
        <f t="shared" si="158"/>
        <v>-1.5646258503400664E-3</v>
      </c>
      <c r="T143" s="323">
        <v>6586434171.5500002</v>
      </c>
      <c r="U143" s="323">
        <v>295.48</v>
      </c>
      <c r="V143" s="23">
        <f t="shared" si="159"/>
        <v>6.637864945050316E-3</v>
      </c>
      <c r="W143" s="23">
        <f t="shared" si="160"/>
        <v>6.6089800367922519E-3</v>
      </c>
      <c r="X143" s="323">
        <v>6632673756.3100004</v>
      </c>
      <c r="Y143" s="323">
        <v>297.52999999999997</v>
      </c>
      <c r="Z143" s="23">
        <f t="shared" si="161"/>
        <v>7.0204276784138217E-3</v>
      </c>
      <c r="AA143" s="23">
        <f t="shared" si="162"/>
        <v>6.9378638148096467E-3</v>
      </c>
      <c r="AB143" s="323">
        <v>6659515846.54</v>
      </c>
      <c r="AC143" s="323">
        <v>298.70999999999998</v>
      </c>
      <c r="AD143" s="23">
        <f t="shared" si="163"/>
        <v>4.0469486689984251E-3</v>
      </c>
      <c r="AE143" s="23">
        <f t="shared" si="164"/>
        <v>3.9659866231976839E-3</v>
      </c>
      <c r="AF143" s="323">
        <v>6656001632.1099997</v>
      </c>
      <c r="AG143" s="323">
        <v>298.33</v>
      </c>
      <c r="AH143" s="23">
        <f t="shared" si="165"/>
        <v>-5.2769818572113482E-4</v>
      </c>
      <c r="AI143" s="23">
        <f t="shared" si="166"/>
        <v>-1.2721368551437697E-3</v>
      </c>
      <c r="AJ143" s="24">
        <f t="shared" si="147"/>
        <v>-8.6164400829039621E-4</v>
      </c>
      <c r="AK143" s="24">
        <f t="shared" si="148"/>
        <v>-1.5560435110291613E-3</v>
      </c>
      <c r="AL143" s="25">
        <f t="shared" si="149"/>
        <v>8.9080712500765238E-3</v>
      </c>
      <c r="AM143" s="25">
        <f t="shared" si="150"/>
        <v>2.9922001075846773E-3</v>
      </c>
      <c r="AN143" s="378">
        <f t="shared" si="151"/>
        <v>8.4747534708453764E-3</v>
      </c>
      <c r="AO143" s="379">
        <f t="shared" si="152"/>
        <v>1.1866132738998484E-2</v>
      </c>
      <c r="AP143" s="30"/>
      <c r="AQ143" s="64" t="e">
        <f>SUM(AQ125,AQ139)</f>
        <v>#REF!</v>
      </c>
      <c r="AR143" s="65"/>
      <c r="AS143" s="29" t="e">
        <f>(#REF!/AQ143)-1</f>
        <v>#REF!</v>
      </c>
      <c r="AT143" s="29" t="e">
        <f>(#REF!/AR143)-1</f>
        <v>#REF!</v>
      </c>
    </row>
    <row r="144" spans="1:46" s="300" customFormat="1" ht="15.75" customHeight="1">
      <c r="A144" s="200" t="s">
        <v>231</v>
      </c>
      <c r="B144" s="324">
        <v>251741701.46000001</v>
      </c>
      <c r="C144" s="323">
        <v>195.86</v>
      </c>
      <c r="D144" s="324">
        <v>248249424.53</v>
      </c>
      <c r="E144" s="323">
        <v>195.86</v>
      </c>
      <c r="F144" s="23">
        <f t="shared" si="131"/>
        <v>-1.3872460977844409E-2</v>
      </c>
      <c r="G144" s="23">
        <f t="shared" si="132"/>
        <v>0</v>
      </c>
      <c r="H144" s="324">
        <v>249712170.97</v>
      </c>
      <c r="I144" s="323">
        <v>185.53</v>
      </c>
      <c r="J144" s="23">
        <f t="shared" si="153"/>
        <v>5.892245038510574E-3</v>
      </c>
      <c r="K144" s="23">
        <f t="shared" si="154"/>
        <v>-5.2741754314306194E-2</v>
      </c>
      <c r="L144" s="324">
        <v>250830020.03</v>
      </c>
      <c r="M144" s="323">
        <v>183.53</v>
      </c>
      <c r="N144" s="23">
        <f t="shared" si="155"/>
        <v>4.4765501643662334E-3</v>
      </c>
      <c r="O144" s="23">
        <f t="shared" si="156"/>
        <v>-1.0779927774483911E-2</v>
      </c>
      <c r="P144" s="324">
        <v>249983632.03999999</v>
      </c>
      <c r="Q144" s="323">
        <v>182.88</v>
      </c>
      <c r="R144" s="23">
        <f t="shared" si="157"/>
        <v>-3.3743488514603598E-3</v>
      </c>
      <c r="S144" s="23">
        <f t="shared" si="158"/>
        <v>-3.541655315207354E-3</v>
      </c>
      <c r="T144" s="324">
        <v>255094527.91999999</v>
      </c>
      <c r="U144" s="323">
        <v>186.81</v>
      </c>
      <c r="V144" s="23">
        <f t="shared" si="159"/>
        <v>2.0444922086667653E-2</v>
      </c>
      <c r="W144" s="23">
        <f t="shared" si="160"/>
        <v>2.1489501312335995E-2</v>
      </c>
      <c r="X144" s="324">
        <v>262370739.15000001</v>
      </c>
      <c r="Y144" s="323">
        <v>192.53</v>
      </c>
      <c r="Z144" s="23">
        <f t="shared" si="161"/>
        <v>2.8523588057059016E-2</v>
      </c>
      <c r="AA144" s="23">
        <f t="shared" si="162"/>
        <v>3.061934585942936E-2</v>
      </c>
      <c r="AB144" s="324">
        <v>258967289.41999999</v>
      </c>
      <c r="AC144" s="323">
        <v>189.66</v>
      </c>
      <c r="AD144" s="23">
        <f t="shared" si="163"/>
        <v>-1.297191043874078E-2</v>
      </c>
      <c r="AE144" s="23">
        <f t="shared" si="164"/>
        <v>-1.4906767776450447E-2</v>
      </c>
      <c r="AF144" s="324">
        <v>262915567.68000001</v>
      </c>
      <c r="AG144" s="323">
        <v>192.43</v>
      </c>
      <c r="AH144" s="23">
        <f t="shared" si="165"/>
        <v>1.5246243140756663E-2</v>
      </c>
      <c r="AI144" s="23">
        <f t="shared" si="166"/>
        <v>1.4605082779711115E-2</v>
      </c>
      <c r="AJ144" s="24">
        <f t="shared" si="147"/>
        <v>5.5456035274143237E-3</v>
      </c>
      <c r="AK144" s="24">
        <f t="shared" si="148"/>
        <v>-1.9070219036214293E-3</v>
      </c>
      <c r="AL144" s="25">
        <f t="shared" si="149"/>
        <v>5.907825638575713E-2</v>
      </c>
      <c r="AM144" s="25">
        <f t="shared" si="150"/>
        <v>-1.7512508934953572E-2</v>
      </c>
      <c r="AN144" s="378">
        <f t="shared" si="151"/>
        <v>1.5329094717336136E-2</v>
      </c>
      <c r="AO144" s="379">
        <f t="shared" si="152"/>
        <v>2.5826847978399826E-2</v>
      </c>
      <c r="AP144" s="30"/>
      <c r="AQ144" s="334"/>
      <c r="AR144" s="335"/>
      <c r="AS144" s="29"/>
      <c r="AT144" s="29"/>
    </row>
    <row r="145" spans="1:41">
      <c r="A145" s="202" t="s">
        <v>42</v>
      </c>
      <c r="B145" s="214">
        <f>SUM(B121:B144)</f>
        <v>38690467865.717575</v>
      </c>
      <c r="C145" s="85"/>
      <c r="D145" s="214">
        <f>SUM(D121:D144)</f>
        <v>38884096485.686142</v>
      </c>
      <c r="E145" s="85"/>
      <c r="F145" s="23">
        <f>((D145-B145)/B145)</f>
        <v>5.0045561775213174E-3</v>
      </c>
      <c r="G145" s="23"/>
      <c r="H145" s="214">
        <f>SUM(H121:H144)</f>
        <v>38936521066.392647</v>
      </c>
      <c r="I145" s="85"/>
      <c r="J145" s="23">
        <f>((H145-D145)/D145)</f>
        <v>1.3482267930747254E-3</v>
      </c>
      <c r="K145" s="23"/>
      <c r="L145" s="214">
        <f>SUM(L121:L144)</f>
        <v>38811275853.394905</v>
      </c>
      <c r="M145" s="85"/>
      <c r="N145" s="23">
        <f>((L145-H145)/H145)</f>
        <v>-3.2166513485932576E-3</v>
      </c>
      <c r="O145" s="23"/>
      <c r="P145" s="214">
        <f>SUM(P121:P144)</f>
        <v>39079043179.509552</v>
      </c>
      <c r="Q145" s="85"/>
      <c r="R145" s="23">
        <f>((P145-L145)/L145)</f>
        <v>6.8992147314637878E-3</v>
      </c>
      <c r="S145" s="23"/>
      <c r="T145" s="214">
        <f>SUM(T121:T144)</f>
        <v>39909523580.55719</v>
      </c>
      <c r="U145" s="85"/>
      <c r="V145" s="23">
        <f>((T145-P145)/P145)</f>
        <v>2.1251298227360042E-2</v>
      </c>
      <c r="W145" s="23"/>
      <c r="X145" s="214">
        <f>SUM(X121:X144)</f>
        <v>40429036765.108017</v>
      </c>
      <c r="Y145" s="85"/>
      <c r="Z145" s="23">
        <f>((X145-T145)/T145)</f>
        <v>1.3017273521248433E-2</v>
      </c>
      <c r="AA145" s="23"/>
      <c r="AB145" s="214">
        <f>SUM(AB121:AB144)</f>
        <v>39999967409.311623</v>
      </c>
      <c r="AC145" s="85"/>
      <c r="AD145" s="23">
        <f>((AB145-X145)/X145)</f>
        <v>-1.0612900779439284E-2</v>
      </c>
      <c r="AE145" s="23"/>
      <c r="AF145" s="214">
        <f>SUM(AF121:AF144)</f>
        <v>40017994182.737228</v>
      </c>
      <c r="AG145" s="85"/>
      <c r="AH145" s="23">
        <f>((AF145-AB145)/AB145)</f>
        <v>4.506697028310405E-4</v>
      </c>
      <c r="AI145" s="23"/>
      <c r="AJ145" s="24">
        <f t="shared" si="147"/>
        <v>4.267710878183349E-3</v>
      </c>
      <c r="AK145" s="24"/>
      <c r="AL145" s="25">
        <f t="shared" si="149"/>
        <v>2.9160962952257161E-2</v>
      </c>
      <c r="AM145" s="25"/>
      <c r="AN145" s="378">
        <f t="shared" si="151"/>
        <v>9.8052923837889955E-3</v>
      </c>
      <c r="AO145" s="379"/>
    </row>
    <row r="146" spans="1:41" s="108" customFormat="1" ht="8.25" customHeight="1">
      <c r="A146" s="202"/>
      <c r="B146" s="85"/>
      <c r="C146" s="85"/>
      <c r="D146" s="85"/>
      <c r="E146" s="85"/>
      <c r="F146" s="23"/>
      <c r="G146" s="23"/>
      <c r="H146" s="85"/>
      <c r="I146" s="85"/>
      <c r="J146" s="23"/>
      <c r="K146" s="23"/>
      <c r="L146" s="85"/>
      <c r="M146" s="85"/>
      <c r="N146" s="23"/>
      <c r="O146" s="23"/>
      <c r="P146" s="85"/>
      <c r="Q146" s="85"/>
      <c r="R146" s="23"/>
      <c r="S146" s="23"/>
      <c r="T146" s="85"/>
      <c r="U146" s="85"/>
      <c r="V146" s="23"/>
      <c r="W146" s="23"/>
      <c r="X146" s="85"/>
      <c r="Y146" s="85"/>
      <c r="Z146" s="23"/>
      <c r="AA146" s="23"/>
      <c r="AB146" s="85"/>
      <c r="AC146" s="85"/>
      <c r="AD146" s="23"/>
      <c r="AE146" s="23"/>
      <c r="AF146" s="85"/>
      <c r="AG146" s="85"/>
      <c r="AH146" s="23"/>
      <c r="AI146" s="23"/>
      <c r="AJ146" s="24"/>
      <c r="AK146" s="24"/>
      <c r="AL146" s="25"/>
      <c r="AM146" s="25"/>
      <c r="AN146" s="378"/>
      <c r="AO146" s="379"/>
    </row>
    <row r="147" spans="1:41" s="108" customFormat="1">
      <c r="A147" s="204" t="s">
        <v>66</v>
      </c>
      <c r="B147" s="85"/>
      <c r="C147" s="85"/>
      <c r="D147" s="85"/>
      <c r="E147" s="85"/>
      <c r="F147" s="23"/>
      <c r="G147" s="23"/>
      <c r="H147" s="85"/>
      <c r="I147" s="85"/>
      <c r="J147" s="23"/>
      <c r="K147" s="23"/>
      <c r="L147" s="85"/>
      <c r="M147" s="85"/>
      <c r="N147" s="23"/>
      <c r="O147" s="23"/>
      <c r="P147" s="85"/>
      <c r="Q147" s="85"/>
      <c r="R147" s="23"/>
      <c r="S147" s="23"/>
      <c r="T147" s="85"/>
      <c r="U147" s="85"/>
      <c r="V147" s="23"/>
      <c r="W147" s="23"/>
      <c r="X147" s="85"/>
      <c r="Y147" s="85"/>
      <c r="Z147" s="23"/>
      <c r="AA147" s="23"/>
      <c r="AB147" s="85"/>
      <c r="AC147" s="85"/>
      <c r="AD147" s="23"/>
      <c r="AE147" s="23"/>
      <c r="AF147" s="85"/>
      <c r="AG147" s="85"/>
      <c r="AH147" s="23"/>
      <c r="AI147" s="23"/>
      <c r="AJ147" s="24"/>
      <c r="AK147" s="24"/>
      <c r="AL147" s="25"/>
      <c r="AM147" s="25"/>
      <c r="AN147" s="378"/>
      <c r="AO147" s="379"/>
    </row>
    <row r="148" spans="1:41" s="108" customFormat="1">
      <c r="A148" s="201" t="s">
        <v>26</v>
      </c>
      <c r="B148" s="320">
        <v>650621759.97000003</v>
      </c>
      <c r="C148" s="320">
        <v>50.564999999999998</v>
      </c>
      <c r="D148" s="320">
        <v>651519337.62</v>
      </c>
      <c r="E148" s="320">
        <v>50.603000000000002</v>
      </c>
      <c r="F148" s="23">
        <f t="shared" ref="F148:G150" si="167">((D148-B148)/B148)</f>
        <v>1.3795690602806817E-3</v>
      </c>
      <c r="G148" s="23">
        <f t="shared" si="167"/>
        <v>7.5150796005149436E-4</v>
      </c>
      <c r="H148" s="320">
        <v>651744578.17999995</v>
      </c>
      <c r="I148" s="320">
        <v>50.752800000000001</v>
      </c>
      <c r="J148" s="23">
        <f t="shared" ref="J148:J150" si="168">((H148-D148)/D148)</f>
        <v>3.4571584754912492E-4</v>
      </c>
      <c r="K148" s="23">
        <f t="shared" ref="K148:K150" si="169">((I148-E148)/E148)</f>
        <v>2.9602987965140215E-3</v>
      </c>
      <c r="L148" s="320">
        <v>650528778.51999998</v>
      </c>
      <c r="M148" s="320">
        <v>50.650799999999997</v>
      </c>
      <c r="N148" s="23">
        <f t="shared" ref="N148:N150" si="170">((L148-H148)/H148)</f>
        <v>-1.8654541989364811E-3</v>
      </c>
      <c r="O148" s="23">
        <f t="shared" ref="O148:O150" si="171">((M148-I148)/I148)</f>
        <v>-2.0097413344683222E-3</v>
      </c>
      <c r="P148" s="320">
        <v>661832343.13</v>
      </c>
      <c r="Q148" s="320">
        <v>652.64739999999995</v>
      </c>
      <c r="R148" s="23">
        <f t="shared" ref="R148:R150" si="172">((P148-L148)/L148)</f>
        <v>1.7375963959221669E-2</v>
      </c>
      <c r="S148" s="23">
        <f t="shared" ref="S148:S150" si="173">((Q148-M148)/M148)</f>
        <v>11.885233796899556</v>
      </c>
      <c r="T148" s="320">
        <v>672989644.88999999</v>
      </c>
      <c r="U148" s="320">
        <v>52.300699999999999</v>
      </c>
      <c r="V148" s="23">
        <f t="shared" ref="V148:V150" si="174">((T148-P148)/P148)</f>
        <v>1.6858199626862937E-2</v>
      </c>
      <c r="W148" s="23">
        <f t="shared" ref="W148:W150" si="175">((U148-Q148)/Q148)</f>
        <v>-0.91986377330239877</v>
      </c>
      <c r="X148" s="320">
        <v>669978595.96000004</v>
      </c>
      <c r="Y148" s="320">
        <v>52.4666</v>
      </c>
      <c r="Z148" s="23">
        <f t="shared" ref="Z148:Z150" si="176">((X148-T148)/T148)</f>
        <v>-4.4741385738440338E-3</v>
      </c>
      <c r="AA148" s="23">
        <f t="shared" ref="AA148:AA150" si="177">((Y148-U148)/U148)</f>
        <v>3.172041674394427E-3</v>
      </c>
      <c r="AB148" s="320">
        <v>666981731.60000002</v>
      </c>
      <c r="AC148" s="320">
        <v>52.377600000000001</v>
      </c>
      <c r="AD148" s="23">
        <f t="shared" ref="AD148:AD150" si="178">((AB148-X148)/X148)</f>
        <v>-4.4730747789126944E-3</v>
      </c>
      <c r="AE148" s="23">
        <f t="shared" ref="AE148:AE150" si="179">((AC148-Y148)/Y148)</f>
        <v>-1.696317276133743E-3</v>
      </c>
      <c r="AF148" s="320">
        <v>671653658.22000003</v>
      </c>
      <c r="AG148" s="320">
        <v>52.668100000000003</v>
      </c>
      <c r="AH148" s="23">
        <f t="shared" ref="AH148:AH150" si="180">((AF148-AB148)/AB148)</f>
        <v>7.0045795839005628E-3</v>
      </c>
      <c r="AI148" s="23">
        <f t="shared" ref="AI148:AI150" si="181">((AG148-AC148)/AC148)</f>
        <v>5.5462640518084355E-3</v>
      </c>
      <c r="AJ148" s="24">
        <f t="shared" si="147"/>
        <v>4.018920065765221E-3</v>
      </c>
      <c r="AK148" s="24">
        <f t="shared" si="148"/>
        <v>1.3717617596836655</v>
      </c>
      <c r="AL148" s="25">
        <f t="shared" si="149"/>
        <v>3.0903642359336091E-2</v>
      </c>
      <c r="AM148" s="25">
        <f t="shared" si="150"/>
        <v>4.0809833409086435E-2</v>
      </c>
      <c r="AN148" s="378">
        <f t="shared" si="151"/>
        <v>8.8761507819051667E-3</v>
      </c>
      <c r="AO148" s="379">
        <f t="shared" si="152"/>
        <v>4.2604288935665604</v>
      </c>
    </row>
    <row r="149" spans="1:41">
      <c r="A149" s="201" t="s">
        <v>188</v>
      </c>
      <c r="B149" s="319">
        <v>745488424.90999997</v>
      </c>
      <c r="C149" s="320">
        <v>19.7241</v>
      </c>
      <c r="D149" s="319">
        <v>758135505.74000001</v>
      </c>
      <c r="E149" s="320">
        <v>19.709900000000001</v>
      </c>
      <c r="F149" s="23">
        <f t="shared" si="167"/>
        <v>1.6964825217141204E-2</v>
      </c>
      <c r="G149" s="23">
        <f t="shared" si="167"/>
        <v>-7.1993145441357929E-4</v>
      </c>
      <c r="H149" s="319">
        <v>750151722.47000003</v>
      </c>
      <c r="I149" s="320">
        <v>19.772099999999998</v>
      </c>
      <c r="J149" s="23">
        <f t="shared" si="168"/>
        <v>-1.0530813040087312E-2</v>
      </c>
      <c r="K149" s="23">
        <f t="shared" si="169"/>
        <v>3.1557745092566244E-3</v>
      </c>
      <c r="L149" s="319">
        <v>752802568.57000005</v>
      </c>
      <c r="M149" s="320">
        <v>19.8323</v>
      </c>
      <c r="N149" s="23">
        <f t="shared" si="170"/>
        <v>3.5337466016496896E-3</v>
      </c>
      <c r="O149" s="23">
        <f t="shared" si="171"/>
        <v>3.0446942914511767E-3</v>
      </c>
      <c r="P149" s="319">
        <v>766218716.53999996</v>
      </c>
      <c r="Q149" s="320">
        <v>20.138300000000001</v>
      </c>
      <c r="R149" s="23">
        <f t="shared" si="172"/>
        <v>1.782160227678925E-2</v>
      </c>
      <c r="S149" s="23">
        <f t="shared" si="173"/>
        <v>1.5429375311991091E-2</v>
      </c>
      <c r="T149" s="319">
        <v>795102200.75999999</v>
      </c>
      <c r="U149" s="320">
        <v>20.5185</v>
      </c>
      <c r="V149" s="23">
        <f t="shared" si="174"/>
        <v>3.7696135054529414E-2</v>
      </c>
      <c r="W149" s="23">
        <f t="shared" si="175"/>
        <v>1.8879448612842124E-2</v>
      </c>
      <c r="X149" s="319">
        <v>806257084.20000005</v>
      </c>
      <c r="Y149" s="320">
        <v>21.040099999999999</v>
      </c>
      <c r="Z149" s="23">
        <f t="shared" si="176"/>
        <v>1.4029496370828355E-2</v>
      </c>
      <c r="AA149" s="23">
        <f t="shared" si="177"/>
        <v>2.5420961571264927E-2</v>
      </c>
      <c r="AB149" s="319">
        <v>786368154.72000003</v>
      </c>
      <c r="AC149" s="320">
        <v>21.785900000000002</v>
      </c>
      <c r="AD149" s="23">
        <f t="shared" si="178"/>
        <v>-2.4668222915194098E-2</v>
      </c>
      <c r="AE149" s="23">
        <f t="shared" si="179"/>
        <v>3.5446599588405125E-2</v>
      </c>
      <c r="AF149" s="319">
        <v>780672117.12</v>
      </c>
      <c r="AG149" s="320">
        <v>21.6221</v>
      </c>
      <c r="AH149" s="23">
        <f t="shared" si="180"/>
        <v>-7.2434744029381461E-3</v>
      </c>
      <c r="AI149" s="23">
        <f t="shared" si="181"/>
        <v>-7.5186244313983786E-3</v>
      </c>
      <c r="AJ149" s="24">
        <f t="shared" si="147"/>
        <v>5.9504118953397946E-3</v>
      </c>
      <c r="AK149" s="24">
        <f t="shared" si="148"/>
        <v>1.1642287249924889E-2</v>
      </c>
      <c r="AL149" s="25">
        <f t="shared" si="149"/>
        <v>2.9726363175673308E-2</v>
      </c>
      <c r="AM149" s="25">
        <f t="shared" si="150"/>
        <v>9.7017234993581822E-2</v>
      </c>
      <c r="AN149" s="378">
        <f t="shared" si="151"/>
        <v>1.9727991305266437E-2</v>
      </c>
      <c r="AO149" s="379">
        <f t="shared" si="152"/>
        <v>1.5987513254492859E-2</v>
      </c>
    </row>
    <row r="150" spans="1:41">
      <c r="A150" s="201" t="s">
        <v>25</v>
      </c>
      <c r="B150" s="319">
        <v>2369773198.2399998</v>
      </c>
      <c r="C150" s="320">
        <v>1.93</v>
      </c>
      <c r="D150" s="319">
        <v>2387231872.0700002</v>
      </c>
      <c r="E150" s="320">
        <v>1.95</v>
      </c>
      <c r="F150" s="23">
        <f t="shared" si="167"/>
        <v>7.3672340639883739E-3</v>
      </c>
      <c r="G150" s="23">
        <f t="shared" si="167"/>
        <v>1.0362694300518144E-2</v>
      </c>
      <c r="H150" s="319">
        <v>2419873193.0500002</v>
      </c>
      <c r="I150" s="320">
        <v>1.96</v>
      </c>
      <c r="J150" s="23">
        <f t="shared" si="168"/>
        <v>1.3673293056236008E-2</v>
      </c>
      <c r="K150" s="23">
        <f t="shared" si="169"/>
        <v>5.1282051282051325E-3</v>
      </c>
      <c r="L150" s="319">
        <v>2398957786.46</v>
      </c>
      <c r="M150" s="320">
        <v>1.94</v>
      </c>
      <c r="N150" s="23">
        <f t="shared" si="170"/>
        <v>-8.6431828949013832E-3</v>
      </c>
      <c r="O150" s="23">
        <f t="shared" si="171"/>
        <v>-1.0204081632653071E-2</v>
      </c>
      <c r="P150" s="319">
        <v>2405142731.2399998</v>
      </c>
      <c r="Q150" s="320">
        <v>1.94</v>
      </c>
      <c r="R150" s="23">
        <f t="shared" si="172"/>
        <v>2.5781799141728502E-3</v>
      </c>
      <c r="S150" s="23">
        <f t="shared" si="173"/>
        <v>0</v>
      </c>
      <c r="T150" s="319">
        <v>2482613314.8000002</v>
      </c>
      <c r="U150" s="320">
        <v>2.0099999999999998</v>
      </c>
      <c r="V150" s="23">
        <f t="shared" si="174"/>
        <v>3.2210389243743365E-2</v>
      </c>
      <c r="W150" s="23">
        <f t="shared" si="175"/>
        <v>3.6082474226804044E-2</v>
      </c>
      <c r="X150" s="319">
        <v>2512443474.1199999</v>
      </c>
      <c r="Y150" s="320">
        <v>2.0299999999999998</v>
      </c>
      <c r="Z150" s="23">
        <f t="shared" si="176"/>
        <v>1.201562850814035E-2</v>
      </c>
      <c r="AA150" s="23">
        <f t="shared" si="177"/>
        <v>9.9502487562189157E-3</v>
      </c>
      <c r="AB150" s="319">
        <v>2433828439.27</v>
      </c>
      <c r="AC150" s="320">
        <v>1.96</v>
      </c>
      <c r="AD150" s="23">
        <f t="shared" si="178"/>
        <v>-3.1290270073652239E-2</v>
      </c>
      <c r="AE150" s="23">
        <f t="shared" si="179"/>
        <v>-3.4482758620689578E-2</v>
      </c>
      <c r="AF150" s="319">
        <v>2416554984.6399999</v>
      </c>
      <c r="AG150" s="320">
        <v>1.95</v>
      </c>
      <c r="AH150" s="23">
        <f t="shared" si="180"/>
        <v>-7.097235923161904E-3</v>
      </c>
      <c r="AI150" s="23">
        <f t="shared" si="181"/>
        <v>-5.1020408163265354E-3</v>
      </c>
      <c r="AJ150" s="24">
        <f t="shared" si="147"/>
        <v>2.6017544868206775E-3</v>
      </c>
      <c r="AK150" s="24">
        <f t="shared" si="148"/>
        <v>1.4668426677596309E-3</v>
      </c>
      <c r="AL150" s="25">
        <f t="shared" si="149"/>
        <v>1.2283311442458766E-2</v>
      </c>
      <c r="AM150" s="25">
        <f t="shared" si="150"/>
        <v>0</v>
      </c>
      <c r="AN150" s="378">
        <f t="shared" si="151"/>
        <v>1.8821605952478202E-2</v>
      </c>
      <c r="AO150" s="379">
        <f t="shared" si="152"/>
        <v>1.9331760127390116E-2</v>
      </c>
    </row>
    <row r="151" spans="1:41">
      <c r="A151" s="202" t="s">
        <v>42</v>
      </c>
      <c r="B151" s="214">
        <f>SUM(B148:B150)</f>
        <v>3765883383.1199999</v>
      </c>
      <c r="C151" s="85"/>
      <c r="D151" s="214">
        <f>SUM(D148:D150)</f>
        <v>3796886715.4300003</v>
      </c>
      <c r="E151" s="85"/>
      <c r="F151" s="23">
        <f>((D151-B151)/B151)</f>
        <v>8.2326851779234971E-3</v>
      </c>
      <c r="G151" s="23"/>
      <c r="H151" s="214">
        <f>SUM(H148:H150)</f>
        <v>3821769493.7000003</v>
      </c>
      <c r="I151" s="85"/>
      <c r="J151" s="23">
        <f>((H151-D151)/D151)</f>
        <v>6.5534687060532929E-3</v>
      </c>
      <c r="K151" s="23"/>
      <c r="L151" s="214">
        <f>SUM(L148:L150)</f>
        <v>3802289133.5500002</v>
      </c>
      <c r="M151" s="85"/>
      <c r="N151" s="23">
        <f>((L151-H151)/H151)</f>
        <v>-5.097209599404808E-3</v>
      </c>
      <c r="O151" s="23"/>
      <c r="P151" s="214">
        <f>SUM(P148:P150)</f>
        <v>3833193790.9099998</v>
      </c>
      <c r="Q151" s="85"/>
      <c r="R151" s="23">
        <f>((P151-L151)/L151)</f>
        <v>8.1279082874861699E-3</v>
      </c>
      <c r="S151" s="23"/>
      <c r="T151" s="214">
        <f>SUM(T148:T150)</f>
        <v>3950705160.4500003</v>
      </c>
      <c r="U151" s="85"/>
      <c r="V151" s="23">
        <f>((T151-P151)/P151)</f>
        <v>3.0656255840408018E-2</v>
      </c>
      <c r="W151" s="23"/>
      <c r="X151" s="214">
        <f>SUM(X148:X150)</f>
        <v>3988679154.2799997</v>
      </c>
      <c r="Y151" s="85"/>
      <c r="Z151" s="23">
        <f>((X151-T151)/T151)</f>
        <v>9.6119533824371908E-3</v>
      </c>
      <c r="AA151" s="23"/>
      <c r="AB151" s="214">
        <f>SUM(AB148:AB150)</f>
        <v>3887178325.5900002</v>
      </c>
      <c r="AC151" s="85"/>
      <c r="AD151" s="23">
        <f>((AB151-X151)/X151)</f>
        <v>-2.54472282086378E-2</v>
      </c>
      <c r="AE151" s="23"/>
      <c r="AF151" s="214">
        <f>SUM(AF148:AF150)</f>
        <v>3868880759.98</v>
      </c>
      <c r="AG151" s="85"/>
      <c r="AH151" s="23">
        <f>((AF151-AB151)/AB151)</f>
        <v>-4.7071587865017512E-3</v>
      </c>
      <c r="AI151" s="23"/>
      <c r="AJ151" s="24">
        <f t="shared" si="147"/>
        <v>3.4913343499704771E-3</v>
      </c>
      <c r="AK151" s="24"/>
      <c r="AL151" s="25">
        <f t="shared" si="149"/>
        <v>1.8961335943320692E-2</v>
      </c>
      <c r="AM151" s="25"/>
      <c r="AN151" s="378">
        <f t="shared" si="151"/>
        <v>1.6067574308553993E-2</v>
      </c>
      <c r="AO151" s="379"/>
    </row>
    <row r="152" spans="1:41" ht="8.25" customHeight="1">
      <c r="A152" s="202"/>
      <c r="B152" s="85"/>
      <c r="C152" s="85"/>
      <c r="D152" s="85"/>
      <c r="E152" s="85"/>
      <c r="F152" s="23"/>
      <c r="G152" s="23"/>
      <c r="H152" s="85"/>
      <c r="I152" s="85"/>
      <c r="J152" s="23"/>
      <c r="K152" s="23"/>
      <c r="L152" s="85"/>
      <c r="M152" s="85"/>
      <c r="N152" s="23"/>
      <c r="O152" s="23"/>
      <c r="P152" s="85"/>
      <c r="Q152" s="85"/>
      <c r="R152" s="23"/>
      <c r="S152" s="23"/>
      <c r="T152" s="85"/>
      <c r="U152" s="85"/>
      <c r="V152" s="23"/>
      <c r="W152" s="23"/>
      <c r="X152" s="85"/>
      <c r="Y152" s="85"/>
      <c r="Z152" s="23"/>
      <c r="AA152" s="23"/>
      <c r="AB152" s="85"/>
      <c r="AC152" s="85"/>
      <c r="AD152" s="23"/>
      <c r="AE152" s="23"/>
      <c r="AF152" s="85"/>
      <c r="AG152" s="85"/>
      <c r="AH152" s="23"/>
      <c r="AI152" s="23"/>
      <c r="AJ152" s="24"/>
      <c r="AK152" s="24"/>
      <c r="AL152" s="25"/>
      <c r="AM152" s="25"/>
      <c r="AN152" s="378"/>
      <c r="AO152" s="379"/>
    </row>
    <row r="153" spans="1:41">
      <c r="A153" s="205" t="s">
        <v>196</v>
      </c>
      <c r="B153" s="85"/>
      <c r="C153" s="85"/>
      <c r="D153" s="85"/>
      <c r="E153" s="85"/>
      <c r="F153" s="23"/>
      <c r="G153" s="23"/>
      <c r="H153" s="85"/>
      <c r="I153" s="85"/>
      <c r="J153" s="23"/>
      <c r="K153" s="23"/>
      <c r="L153" s="85"/>
      <c r="M153" s="85"/>
      <c r="N153" s="23"/>
      <c r="O153" s="23"/>
      <c r="P153" s="85"/>
      <c r="Q153" s="85"/>
      <c r="R153" s="23"/>
      <c r="S153" s="23"/>
      <c r="T153" s="85"/>
      <c r="U153" s="85"/>
      <c r="V153" s="23"/>
      <c r="W153" s="23"/>
      <c r="X153" s="85"/>
      <c r="Y153" s="85"/>
      <c r="Z153" s="23"/>
      <c r="AA153" s="23"/>
      <c r="AB153" s="85"/>
      <c r="AC153" s="85"/>
      <c r="AD153" s="23"/>
      <c r="AE153" s="23"/>
      <c r="AF153" s="85"/>
      <c r="AG153" s="85"/>
      <c r="AH153" s="23"/>
      <c r="AI153" s="23"/>
      <c r="AJ153" s="24"/>
      <c r="AK153" s="24"/>
      <c r="AL153" s="25"/>
      <c r="AM153" s="25"/>
      <c r="AN153" s="378"/>
      <c r="AO153" s="379"/>
    </row>
    <row r="154" spans="1:41">
      <c r="A154" s="206" t="s">
        <v>197</v>
      </c>
      <c r="B154" s="85"/>
      <c r="C154" s="85"/>
      <c r="D154" s="85"/>
      <c r="E154" s="85"/>
      <c r="F154" s="23"/>
      <c r="G154" s="23"/>
      <c r="H154" s="85"/>
      <c r="I154" s="85"/>
      <c r="J154" s="23"/>
      <c r="K154" s="23"/>
      <c r="L154" s="85"/>
      <c r="M154" s="85"/>
      <c r="N154" s="23"/>
      <c r="O154" s="23"/>
      <c r="P154" s="85"/>
      <c r="Q154" s="85"/>
      <c r="R154" s="23"/>
      <c r="S154" s="23"/>
      <c r="T154" s="85"/>
      <c r="U154" s="85"/>
      <c r="V154" s="23"/>
      <c r="W154" s="23"/>
      <c r="X154" s="85"/>
      <c r="Y154" s="85"/>
      <c r="Z154" s="23"/>
      <c r="AA154" s="23"/>
      <c r="AB154" s="85"/>
      <c r="AC154" s="85"/>
      <c r="AD154" s="23"/>
      <c r="AE154" s="23"/>
      <c r="AF154" s="85"/>
      <c r="AG154" s="85"/>
      <c r="AH154" s="23"/>
      <c r="AI154" s="23"/>
      <c r="AJ154" s="24"/>
      <c r="AK154" s="24"/>
      <c r="AL154" s="25"/>
      <c r="AM154" s="25"/>
      <c r="AN154" s="378"/>
      <c r="AO154" s="379"/>
    </row>
    <row r="155" spans="1:41">
      <c r="A155" s="201" t="s">
        <v>24</v>
      </c>
      <c r="B155" s="314">
        <v>3619190135.3400002</v>
      </c>
      <c r="C155" s="315">
        <v>1.8</v>
      </c>
      <c r="D155" s="314">
        <v>3620233880.8099999</v>
      </c>
      <c r="E155" s="315">
        <v>1.77</v>
      </c>
      <c r="F155" s="23">
        <f>((D148-B155)/B155)</f>
        <v>-0.81998200888697059</v>
      </c>
      <c r="G155" s="23">
        <f>((E155-C155)/C155)</f>
        <v>-1.666666666666668E-2</v>
      </c>
      <c r="H155" s="314">
        <v>3673350933.2600002</v>
      </c>
      <c r="I155" s="315">
        <v>1.83</v>
      </c>
      <c r="J155" s="23">
        <f>((H148-D155)/D155)</f>
        <v>-0.81997169253767188</v>
      </c>
      <c r="K155" s="23">
        <f>((I155-E155)/E155)</f>
        <v>3.389830508474579E-2</v>
      </c>
      <c r="L155" s="314">
        <v>3641135629.48</v>
      </c>
      <c r="M155" s="315">
        <v>1.82</v>
      </c>
      <c r="N155" s="23">
        <f>((L148-H155)/H155)</f>
        <v>-0.82290589972500305</v>
      </c>
      <c r="O155" s="23">
        <f>((M155-I155)/I155)</f>
        <v>-5.4644808743169442E-3</v>
      </c>
      <c r="P155" s="314">
        <v>3648462686.3000002</v>
      </c>
      <c r="Q155" s="315">
        <v>1.82</v>
      </c>
      <c r="R155" s="23">
        <f>((P148-L155)/L155)</f>
        <v>-0.81823463598236845</v>
      </c>
      <c r="S155" s="23">
        <f>((Q155-M155)/M155)</f>
        <v>0</v>
      </c>
      <c r="T155" s="314">
        <v>3656724039.7600002</v>
      </c>
      <c r="U155" s="315">
        <v>1.82</v>
      </c>
      <c r="V155" s="23">
        <f>((T148-P155)/P155)</f>
        <v>-0.81554158483871031</v>
      </c>
      <c r="W155" s="23">
        <f>((U155-Q155)/Q155)</f>
        <v>0</v>
      </c>
      <c r="X155" s="314">
        <v>3665352380.4000001</v>
      </c>
      <c r="Y155" s="315">
        <v>1.83</v>
      </c>
      <c r="Z155" s="23">
        <f>((X148-T155)/T155)</f>
        <v>-0.81678174544339632</v>
      </c>
      <c r="AA155" s="23">
        <f>((Y155-U155)/U155)</f>
        <v>5.4945054945054993E-3</v>
      </c>
      <c r="AB155" s="314">
        <v>3662980447.79</v>
      </c>
      <c r="AC155" s="315">
        <v>1.83</v>
      </c>
      <c r="AD155" s="23">
        <f>((AB148-X155)/X155)</f>
        <v>-0.81803066598273089</v>
      </c>
      <c r="AE155" s="23">
        <f>((AC155-Y155)/Y155)</f>
        <v>0</v>
      </c>
      <c r="AF155" s="314">
        <v>3665464075.4899998</v>
      </c>
      <c r="AG155" s="315">
        <v>1.83</v>
      </c>
      <c r="AH155" s="23">
        <f>((AF148-AB155)/AB155)</f>
        <v>-0.81663738919894269</v>
      </c>
      <c r="AI155" s="23">
        <f>((AG155-AC155)/AC155)</f>
        <v>0</v>
      </c>
      <c r="AJ155" s="24">
        <f t="shared" si="147"/>
        <v>-0.81851070282447425</v>
      </c>
      <c r="AK155" s="24">
        <f t="shared" si="148"/>
        <v>2.1577078797834579E-3</v>
      </c>
      <c r="AL155" s="25">
        <f t="shared" si="149"/>
        <v>1.2493721723271622E-2</v>
      </c>
      <c r="AM155" s="25">
        <f t="shared" si="150"/>
        <v>3.389830508474579E-2</v>
      </c>
      <c r="AN155" s="378">
        <f t="shared" si="151"/>
        <v>2.3675754842496567E-3</v>
      </c>
      <c r="AO155" s="379">
        <f t="shared" si="152"/>
        <v>0.29044478673378027</v>
      </c>
    </row>
    <row r="156" spans="1:41" s="365" customFormat="1">
      <c r="A156" s="200" t="s">
        <v>65</v>
      </c>
      <c r="B156" s="314">
        <v>418488752.76999998</v>
      </c>
      <c r="C156" s="315">
        <v>338.82</v>
      </c>
      <c r="D156" s="314">
        <v>450866416.00999999</v>
      </c>
      <c r="E156" s="315">
        <v>353.18</v>
      </c>
      <c r="F156" s="23">
        <f>((D148-B156)/B156)</f>
        <v>0.5568383458517292</v>
      </c>
      <c r="G156" s="23">
        <f>((E156-C156)/C156)</f>
        <v>4.238238592763123E-2</v>
      </c>
      <c r="H156" s="314">
        <v>457129538.98000002</v>
      </c>
      <c r="I156" s="315">
        <v>346.62</v>
      </c>
      <c r="J156" s="23">
        <f>((H148-D156)/D156)</f>
        <v>0.44553809074469758</v>
      </c>
      <c r="K156" s="23">
        <f>((I156-E156)/E156)</f>
        <v>-1.85740981935557E-2</v>
      </c>
      <c r="L156" s="314">
        <v>456924615.91000003</v>
      </c>
      <c r="M156" s="315">
        <v>348.25</v>
      </c>
      <c r="N156" s="23">
        <f>((L148-H156)/H156)</f>
        <v>0.42307316208778495</v>
      </c>
      <c r="O156" s="23">
        <f>((M156-I156)/I156)</f>
        <v>4.7025561133229345E-3</v>
      </c>
      <c r="P156" s="314">
        <v>485638650.45999998</v>
      </c>
      <c r="Q156" s="315">
        <v>367.27</v>
      </c>
      <c r="R156" s="23">
        <f>((P148-L156)/L156)</f>
        <v>0.44844974441114471</v>
      </c>
      <c r="S156" s="23">
        <f>((Q156-M156)/M156)</f>
        <v>5.4615936826992048E-2</v>
      </c>
      <c r="T156" s="314">
        <v>520621801.62</v>
      </c>
      <c r="U156" s="315">
        <v>389.86</v>
      </c>
      <c r="V156" s="23">
        <f>((T148-P156)/P156)</f>
        <v>0.38578270953627758</v>
      </c>
      <c r="W156" s="23">
        <f>((U156-Q156)/Q156)</f>
        <v>6.1507882484275966E-2</v>
      </c>
      <c r="X156" s="314">
        <v>529669880.97000003</v>
      </c>
      <c r="Y156" s="315">
        <v>395.08</v>
      </c>
      <c r="Z156" s="23">
        <f>((X148-T156)/T156)</f>
        <v>0.28688155946457083</v>
      </c>
      <c r="AA156" s="23">
        <f>((Y156-U156)/U156)</f>
        <v>1.3389421843738702E-2</v>
      </c>
      <c r="AB156" s="314">
        <v>517837902.87</v>
      </c>
      <c r="AC156" s="315">
        <v>383.72</v>
      </c>
      <c r="AD156" s="23">
        <f>((AB148-X156)/X156)</f>
        <v>0.25924043553040388</v>
      </c>
      <c r="AE156" s="23">
        <f>((AC156-Y156)/Y156)</f>
        <v>-2.8753670142755788E-2</v>
      </c>
      <c r="AF156" s="314">
        <v>516822347.82999998</v>
      </c>
      <c r="AG156" s="315">
        <v>377.58</v>
      </c>
      <c r="AH156" s="23">
        <f>((AF148-AB156)/AB156)</f>
        <v>0.29703456332089795</v>
      </c>
      <c r="AI156" s="23">
        <f>((AG156-AC156)/AC156)</f>
        <v>-1.6001250912123535E-2</v>
      </c>
      <c r="AJ156" s="24">
        <f t="shared" si="147"/>
        <v>0.38785482636843832</v>
      </c>
      <c r="AK156" s="24">
        <f t="shared" si="148"/>
        <v>1.415864549344073E-2</v>
      </c>
      <c r="AL156" s="25">
        <f t="shared" si="149"/>
        <v>0.14628708078034608</v>
      </c>
      <c r="AM156" s="25">
        <f t="shared" si="150"/>
        <v>6.9086584744322943E-2</v>
      </c>
      <c r="AN156" s="378">
        <f t="shared" si="151"/>
        <v>0.10126679057785436</v>
      </c>
      <c r="AO156" s="379">
        <f t="shared" si="152"/>
        <v>8.9796509299424482E-2</v>
      </c>
    </row>
    <row r="157" spans="1:41" ht="8.25" customHeight="1">
      <c r="A157" s="202"/>
      <c r="B157" s="85"/>
      <c r="C157" s="85"/>
      <c r="D157" s="85"/>
      <c r="E157" s="85"/>
      <c r="F157" s="23"/>
      <c r="G157" s="23"/>
      <c r="H157" s="85"/>
      <c r="I157" s="85"/>
      <c r="J157" s="23"/>
      <c r="K157" s="23"/>
      <c r="L157" s="85"/>
      <c r="M157" s="85"/>
      <c r="N157" s="23"/>
      <c r="O157" s="23"/>
      <c r="P157" s="85"/>
      <c r="Q157" s="85"/>
      <c r="R157" s="23"/>
      <c r="S157" s="23"/>
      <c r="T157" s="85"/>
      <c r="U157" s="85"/>
      <c r="V157" s="23"/>
      <c r="W157" s="23"/>
      <c r="X157" s="85"/>
      <c r="Y157" s="85"/>
      <c r="Z157" s="23"/>
      <c r="AA157" s="23"/>
      <c r="AB157" s="85"/>
      <c r="AC157" s="85"/>
      <c r="AD157" s="23"/>
      <c r="AE157" s="23"/>
      <c r="AF157" s="85"/>
      <c r="AG157" s="85"/>
      <c r="AH157" s="23"/>
      <c r="AI157" s="23"/>
      <c r="AJ157" s="24"/>
      <c r="AK157" s="24"/>
      <c r="AL157" s="25"/>
      <c r="AM157" s="25"/>
      <c r="AN157" s="378"/>
      <c r="AO157" s="379"/>
    </row>
    <row r="158" spans="1:41">
      <c r="A158" s="206" t="s">
        <v>198</v>
      </c>
      <c r="B158" s="85"/>
      <c r="C158" s="85"/>
      <c r="D158" s="85"/>
      <c r="E158" s="85"/>
      <c r="F158" s="23"/>
      <c r="G158" s="23"/>
      <c r="H158" s="85"/>
      <c r="I158" s="85"/>
      <c r="J158" s="23"/>
      <c r="K158" s="23"/>
      <c r="L158" s="85"/>
      <c r="M158" s="85"/>
      <c r="N158" s="23"/>
      <c r="O158" s="23"/>
      <c r="P158" s="85"/>
      <c r="Q158" s="85"/>
      <c r="R158" s="23"/>
      <c r="S158" s="23"/>
      <c r="T158" s="85"/>
      <c r="U158" s="85"/>
      <c r="V158" s="23"/>
      <c r="W158" s="23"/>
      <c r="X158" s="85"/>
      <c r="Y158" s="85"/>
      <c r="Z158" s="23"/>
      <c r="AA158" s="23"/>
      <c r="AB158" s="85"/>
      <c r="AC158" s="85"/>
      <c r="AD158" s="23"/>
      <c r="AE158" s="23"/>
      <c r="AF158" s="85"/>
      <c r="AG158" s="85"/>
      <c r="AH158" s="23"/>
      <c r="AI158" s="23"/>
      <c r="AJ158" s="24"/>
      <c r="AK158" s="24"/>
      <c r="AL158" s="25"/>
      <c r="AM158" s="25"/>
      <c r="AN158" s="378"/>
      <c r="AO158" s="379"/>
    </row>
    <row r="159" spans="1:41">
      <c r="A159" s="200" t="s">
        <v>226</v>
      </c>
      <c r="B159" s="324">
        <v>470757767.75</v>
      </c>
      <c r="C159" s="324">
        <v>1025.0999999999999</v>
      </c>
      <c r="D159" s="324">
        <v>471694103.19</v>
      </c>
      <c r="E159" s="324">
        <v>1027.1400000000001</v>
      </c>
      <c r="F159" s="23">
        <f t="shared" ref="F159:G166" si="182">((D159-B159)/B159)</f>
        <v>1.9889962612305669E-3</v>
      </c>
      <c r="G159" s="23">
        <f t="shared" si="182"/>
        <v>1.9900497512439675E-3</v>
      </c>
      <c r="H159" s="324">
        <v>472630097.77999997</v>
      </c>
      <c r="I159" s="324">
        <v>1029.18</v>
      </c>
      <c r="J159" s="23">
        <f t="shared" ref="J159:J169" si="183">((H159-D159)/D159)</f>
        <v>1.9843254000208518E-3</v>
      </c>
      <c r="K159" s="23">
        <f t="shared" ref="K159:K161" si="184">((I159-E159)/E159)</f>
        <v>1.986097318768584E-3</v>
      </c>
      <c r="L159" s="324">
        <v>473557433.18000001</v>
      </c>
      <c r="M159" s="324">
        <v>1031.2</v>
      </c>
      <c r="N159" s="23">
        <f t="shared" ref="N159:N169" si="185">((L159-H159)/H159)</f>
        <v>1.9620743671548658E-3</v>
      </c>
      <c r="O159" s="23">
        <f t="shared" ref="O159:O161" si="186">((M159-I159)/I159)</f>
        <v>1.9627276083872421E-3</v>
      </c>
      <c r="P159" s="324">
        <v>472962572.51999998</v>
      </c>
      <c r="Q159" s="324">
        <v>1029.9000000000001</v>
      </c>
      <c r="R159" s="23">
        <f t="shared" ref="R159:R169" si="187">((P159-L159)/L159)</f>
        <v>-1.2561531470543271E-3</v>
      </c>
      <c r="S159" s="23">
        <f t="shared" ref="S159:S161" si="188">((Q159-M159)/M159)</f>
        <v>-1.2606671838634158E-3</v>
      </c>
      <c r="T159" s="324">
        <v>447062416.44</v>
      </c>
      <c r="U159" s="324">
        <v>1031.99</v>
      </c>
      <c r="V159" s="23">
        <f t="shared" ref="V159:V169" si="189">((T159-P159)/P159)</f>
        <v>-5.4761534178065965E-2</v>
      </c>
      <c r="W159" s="23">
        <f t="shared" ref="W159:W161" si="190">((U159-Q159)/Q159)</f>
        <v>2.0293232352654803E-3</v>
      </c>
      <c r="X159" s="324">
        <v>448123132.58999997</v>
      </c>
      <c r="Y159" s="324">
        <v>1034.44</v>
      </c>
      <c r="Z159" s="23">
        <f t="shared" ref="Z159:Z169" si="191">((X159-T159)/T159)</f>
        <v>2.3726354777182088E-3</v>
      </c>
      <c r="AA159" s="23">
        <f t="shared" ref="AA159:AA161" si="192">((Y159-U159)/U159)</f>
        <v>2.3740540121513247E-3</v>
      </c>
      <c r="AB159" s="324">
        <v>449132137.16000003</v>
      </c>
      <c r="AC159" s="324">
        <v>1036.77</v>
      </c>
      <c r="AD159" s="23">
        <f t="shared" ref="AD159:AD166" si="193">((AB159-X159)/X159)</f>
        <v>2.2516234860904139E-3</v>
      </c>
      <c r="AE159" s="23">
        <f t="shared" ref="AE159:AE161" si="194">((AC159-Y159)/Y159)</f>
        <v>2.2524264336258528E-3</v>
      </c>
      <c r="AF159" s="324">
        <v>450038155.29000002</v>
      </c>
      <c r="AG159" s="324">
        <v>1038.8599999999999</v>
      </c>
      <c r="AH159" s="23">
        <f t="shared" ref="AH159:AH166" si="195">((AF159-AB159)/AB159)</f>
        <v>2.0172640856408654E-3</v>
      </c>
      <c r="AI159" s="23">
        <f t="shared" ref="AI159:AI161" si="196">((AG159-AC159)/AC159)</f>
        <v>2.015876230986543E-3</v>
      </c>
      <c r="AJ159" s="24">
        <f t="shared" si="147"/>
        <v>-5.4300960309080649E-3</v>
      </c>
      <c r="AK159" s="24">
        <f t="shared" si="148"/>
        <v>1.6687359258206972E-3</v>
      </c>
      <c r="AL159" s="25">
        <f t="shared" si="149"/>
        <v>-4.5910999848299751E-2</v>
      </c>
      <c r="AM159" s="25">
        <f t="shared" si="150"/>
        <v>1.1410323811748932E-2</v>
      </c>
      <c r="AN159" s="378">
        <f t="shared" si="151"/>
        <v>1.9967931268813195E-2</v>
      </c>
      <c r="AO159" s="379">
        <f t="shared" si="152"/>
        <v>1.1928091420808859E-3</v>
      </c>
    </row>
    <row r="160" spans="1:41">
      <c r="A160" s="200" t="s">
        <v>229</v>
      </c>
      <c r="B160" s="324">
        <v>48815841.909999996</v>
      </c>
      <c r="C160" s="324">
        <v>104.34</v>
      </c>
      <c r="D160" s="324">
        <v>48776640.25</v>
      </c>
      <c r="E160" s="320">
        <v>104.48</v>
      </c>
      <c r="F160" s="23">
        <f t="shared" si="182"/>
        <v>-8.0305201070322841E-4</v>
      </c>
      <c r="G160" s="23">
        <f t="shared" si="182"/>
        <v>1.3417672992141131E-3</v>
      </c>
      <c r="H160" s="324">
        <v>48910653.93</v>
      </c>
      <c r="I160" s="320">
        <v>104.56</v>
      </c>
      <c r="J160" s="23">
        <f t="shared" si="183"/>
        <v>2.7474971484941443E-3</v>
      </c>
      <c r="K160" s="23">
        <f t="shared" si="184"/>
        <v>7.6569678407349055E-4</v>
      </c>
      <c r="L160" s="324">
        <v>48913503.640000001</v>
      </c>
      <c r="M160" s="320">
        <v>104.67</v>
      </c>
      <c r="N160" s="23">
        <f t="shared" si="185"/>
        <v>5.8263584127894608E-5</v>
      </c>
      <c r="O160" s="23">
        <f t="shared" si="186"/>
        <v>1.0520275439938737E-3</v>
      </c>
      <c r="P160" s="324">
        <v>48879235.689999998</v>
      </c>
      <c r="Q160" s="320">
        <v>104.77</v>
      </c>
      <c r="R160" s="23">
        <f t="shared" si="187"/>
        <v>-7.0058260909324182E-4</v>
      </c>
      <c r="S160" s="23">
        <f t="shared" si="188"/>
        <v>9.5538358650992946E-4</v>
      </c>
      <c r="T160" s="324">
        <v>49054537.969999999</v>
      </c>
      <c r="U160" s="320">
        <v>109.04</v>
      </c>
      <c r="V160" s="23">
        <f t="shared" si="189"/>
        <v>3.5864366028920038E-3</v>
      </c>
      <c r="W160" s="23">
        <f t="shared" si="190"/>
        <v>4.0755941586332063E-2</v>
      </c>
      <c r="X160" s="324">
        <v>47656031.539999999</v>
      </c>
      <c r="Y160" s="320">
        <v>109.21</v>
      </c>
      <c r="Z160" s="23">
        <f t="shared" si="191"/>
        <v>-2.8509216228991417E-2</v>
      </c>
      <c r="AA160" s="23">
        <f t="shared" si="192"/>
        <v>1.5590608950842579E-3</v>
      </c>
      <c r="AB160" s="324">
        <v>47754112.850000001</v>
      </c>
      <c r="AC160" s="320">
        <v>109.51</v>
      </c>
      <c r="AD160" s="23">
        <f t="shared" si="193"/>
        <v>2.0581090542060353E-3</v>
      </c>
      <c r="AE160" s="23">
        <f t="shared" si="194"/>
        <v>2.7470011903672868E-3</v>
      </c>
      <c r="AF160" s="324">
        <v>45681050.659999996</v>
      </c>
      <c r="AG160" s="320">
        <v>109.72</v>
      </c>
      <c r="AH160" s="23">
        <f t="shared" si="195"/>
        <v>-4.3411175839695344E-2</v>
      </c>
      <c r="AI160" s="23">
        <f t="shared" si="196"/>
        <v>1.9176330928681741E-3</v>
      </c>
      <c r="AJ160" s="24">
        <f t="shared" si="147"/>
        <v>-8.121715037345394E-3</v>
      </c>
      <c r="AK160" s="24">
        <f t="shared" si="148"/>
        <v>6.3868139973053979E-3</v>
      </c>
      <c r="AL160" s="25">
        <f t="shared" si="149"/>
        <v>-6.346459235678914E-2</v>
      </c>
      <c r="AM160" s="25">
        <f t="shared" si="150"/>
        <v>5.0153139356814654E-2</v>
      </c>
      <c r="AN160" s="378">
        <f t="shared" si="151"/>
        <v>1.7709536336309412E-2</v>
      </c>
      <c r="AO160" s="379">
        <f t="shared" si="152"/>
        <v>1.3929444209307413E-2</v>
      </c>
    </row>
    <row r="161" spans="1:41">
      <c r="A161" s="200" t="s">
        <v>233</v>
      </c>
      <c r="B161" s="319">
        <v>52891054.869999997</v>
      </c>
      <c r="C161" s="320">
        <v>106.81</v>
      </c>
      <c r="D161" s="319">
        <v>52952923.119999997</v>
      </c>
      <c r="E161" s="320">
        <v>107.06</v>
      </c>
      <c r="F161" s="23">
        <f t="shared" si="182"/>
        <v>1.1697299316881635E-3</v>
      </c>
      <c r="G161" s="23">
        <f t="shared" si="182"/>
        <v>2.340604812283494E-3</v>
      </c>
      <c r="H161" s="319">
        <v>53059520.850000001</v>
      </c>
      <c r="I161" s="320">
        <v>107.31</v>
      </c>
      <c r="J161" s="23">
        <f t="shared" si="183"/>
        <v>2.0130660163639362E-3</v>
      </c>
      <c r="K161" s="23">
        <f t="shared" si="184"/>
        <v>2.3351391742947878E-3</v>
      </c>
      <c r="L161" s="319">
        <v>53116093.890000001</v>
      </c>
      <c r="M161" s="320">
        <v>107.19</v>
      </c>
      <c r="N161" s="23">
        <f t="shared" si="185"/>
        <v>1.0662184485218378E-3</v>
      </c>
      <c r="O161" s="23">
        <f t="shared" si="186"/>
        <v>-1.1182555213866791E-3</v>
      </c>
      <c r="P161" s="319">
        <v>53172803.950000003</v>
      </c>
      <c r="Q161" s="320">
        <v>107.44</v>
      </c>
      <c r="R161" s="23">
        <f t="shared" si="187"/>
        <v>1.0676624700122952E-3</v>
      </c>
      <c r="S161" s="23">
        <f t="shared" si="188"/>
        <v>2.3323071182013246E-3</v>
      </c>
      <c r="T161" s="319">
        <v>53234831.479999997</v>
      </c>
      <c r="U161" s="320">
        <v>107.7</v>
      </c>
      <c r="V161" s="23">
        <f t="shared" si="189"/>
        <v>1.1665273484227031E-3</v>
      </c>
      <c r="W161" s="23">
        <f t="shared" si="190"/>
        <v>2.4199553239017601E-3</v>
      </c>
      <c r="X161" s="319">
        <v>53292006.890000001</v>
      </c>
      <c r="Y161" s="320">
        <v>107.95</v>
      </c>
      <c r="Z161" s="23">
        <f t="shared" si="191"/>
        <v>1.0740225602382967E-3</v>
      </c>
      <c r="AA161" s="23">
        <f t="shared" si="192"/>
        <v>2.321262766945218E-3</v>
      </c>
      <c r="AB161" s="319">
        <v>53349143.259999998</v>
      </c>
      <c r="AC161" s="320">
        <v>108.2</v>
      </c>
      <c r="AD161" s="23">
        <f t="shared" si="193"/>
        <v>1.0721377057150889E-3</v>
      </c>
      <c r="AE161" s="23">
        <f t="shared" si="194"/>
        <v>2.3158869847151459E-3</v>
      </c>
      <c r="AF161" s="319">
        <v>53406240.590000004</v>
      </c>
      <c r="AG161" s="320">
        <v>108.45</v>
      </c>
      <c r="AH161" s="23">
        <f t="shared" si="195"/>
        <v>1.0702576744623371E-3</v>
      </c>
      <c r="AI161" s="23">
        <f t="shared" si="196"/>
        <v>2.3105360443622918E-3</v>
      </c>
      <c r="AJ161" s="24">
        <f t="shared" si="147"/>
        <v>1.2124527694280822E-3</v>
      </c>
      <c r="AK161" s="24">
        <f t="shared" si="148"/>
        <v>1.9071795879146681E-3</v>
      </c>
      <c r="AL161" s="25">
        <f t="shared" si="149"/>
        <v>8.5607638500468548E-3</v>
      </c>
      <c r="AM161" s="25">
        <f t="shared" si="150"/>
        <v>1.2983373809079025E-2</v>
      </c>
      <c r="AN161" s="378">
        <f t="shared" si="151"/>
        <v>3.2652616361972183E-4</v>
      </c>
      <c r="AO161" s="379">
        <f t="shared" si="152"/>
        <v>1.2424646604475087E-3</v>
      </c>
    </row>
    <row r="162" spans="1:41" s="286" customFormat="1">
      <c r="A162" s="200" t="s">
        <v>185</v>
      </c>
      <c r="B162" s="324">
        <v>9961497947.2000008</v>
      </c>
      <c r="C162" s="320">
        <v>131.54</v>
      </c>
      <c r="D162" s="324">
        <v>10434192000.98</v>
      </c>
      <c r="E162" s="320">
        <v>131.85</v>
      </c>
      <c r="F162" s="23">
        <f t="shared" si="182"/>
        <v>4.7452105726013286E-2</v>
      </c>
      <c r="G162" s="23">
        <f t="shared" si="182"/>
        <v>2.3566975824844327E-3</v>
      </c>
      <c r="H162" s="324">
        <v>10272804810.32</v>
      </c>
      <c r="I162" s="320">
        <v>132.19</v>
      </c>
      <c r="J162" s="23">
        <f t="shared" si="183"/>
        <v>-1.5467147877367223E-2</v>
      </c>
      <c r="K162" s="23">
        <f>((I162-E162)/E162)</f>
        <v>2.578687902920011E-3</v>
      </c>
      <c r="L162" s="324">
        <v>10373636336.01</v>
      </c>
      <c r="M162" s="320">
        <v>132.5</v>
      </c>
      <c r="N162" s="23">
        <f t="shared" si="185"/>
        <v>9.8153841673995178E-3</v>
      </c>
      <c r="O162" s="23">
        <f>((M162-I162)/I162)</f>
        <v>2.345109312353448E-3</v>
      </c>
      <c r="P162" s="324">
        <v>10391591264.639999</v>
      </c>
      <c r="Q162" s="320">
        <v>132.82</v>
      </c>
      <c r="R162" s="23">
        <f t="shared" si="187"/>
        <v>1.7308230256416666E-3</v>
      </c>
      <c r="S162" s="23">
        <f>((Q162-M162)/M162)</f>
        <v>2.41509433962259E-3</v>
      </c>
      <c r="T162" s="324">
        <v>10448838291.1</v>
      </c>
      <c r="U162" s="320">
        <v>133.13999999999999</v>
      </c>
      <c r="V162" s="23">
        <f t="shared" si="189"/>
        <v>5.5089759597068046E-3</v>
      </c>
      <c r="W162" s="23">
        <f>((U162-Q162)/Q162)</f>
        <v>2.4092757114891825E-3</v>
      </c>
      <c r="X162" s="324">
        <v>10170894257.049999</v>
      </c>
      <c r="Y162" s="320">
        <v>133.46</v>
      </c>
      <c r="Z162" s="23">
        <f t="shared" si="191"/>
        <v>-2.6600472349806135E-2</v>
      </c>
      <c r="AA162" s="23">
        <f>((Y162-U162)/U162)</f>
        <v>2.4034850533274873E-3</v>
      </c>
      <c r="AB162" s="324">
        <v>10157425882.790001</v>
      </c>
      <c r="AC162" s="320">
        <v>133.78</v>
      </c>
      <c r="AD162" s="23">
        <f t="shared" si="193"/>
        <v>-1.3242074806414058E-3</v>
      </c>
      <c r="AE162" s="23">
        <f t="shared" ref="AE162:AE167" si="197">((AC162-Y162)/Y162)</f>
        <v>2.3977221639442017E-3</v>
      </c>
      <c r="AF162" s="324">
        <v>9332852719.0300007</v>
      </c>
      <c r="AG162" s="320">
        <v>134.11000000000001</v>
      </c>
      <c r="AH162" s="23">
        <f t="shared" si="195"/>
        <v>-8.1179343396154791E-2</v>
      </c>
      <c r="AI162" s="23">
        <f t="shared" ref="AI162:AI167" si="198">((AG162-AC162)/AC162)</f>
        <v>2.4667364329497123E-3</v>
      </c>
      <c r="AJ162" s="24">
        <f t="shared" si="147"/>
        <v>-7.5079852781510335E-3</v>
      </c>
      <c r="AK162" s="24">
        <f t="shared" si="148"/>
        <v>2.4216010623863827E-3</v>
      </c>
      <c r="AL162" s="25">
        <f t="shared" si="149"/>
        <v>-0.10555098869625544</v>
      </c>
      <c r="AM162" s="25">
        <f t="shared" si="150"/>
        <v>1.7140690178232987E-2</v>
      </c>
      <c r="AN162" s="378">
        <f t="shared" si="151"/>
        <v>3.6779433378563604E-2</v>
      </c>
      <c r="AO162" s="379">
        <f t="shared" si="152"/>
        <v>1.3275533873733732E-3</v>
      </c>
    </row>
    <row r="163" spans="1:41" s="365" customFormat="1">
      <c r="A163" s="200" t="s">
        <v>85</v>
      </c>
      <c r="B163" s="324">
        <v>16719439924.309999</v>
      </c>
      <c r="C163" s="324">
        <v>1183.1500000000001</v>
      </c>
      <c r="D163" s="324">
        <v>16745646723.209999</v>
      </c>
      <c r="E163" s="324">
        <v>1185.78</v>
      </c>
      <c r="F163" s="23">
        <f t="shared" si="182"/>
        <v>1.5674447839544574E-3</v>
      </c>
      <c r="G163" s="23">
        <f t="shared" si="182"/>
        <v>2.2228796010648538E-3</v>
      </c>
      <c r="H163" s="324">
        <v>16794386370.92</v>
      </c>
      <c r="I163" s="324">
        <v>1188.17</v>
      </c>
      <c r="J163" s="23">
        <f t="shared" si="183"/>
        <v>2.9105861669974377E-3</v>
      </c>
      <c r="K163" s="23">
        <f t="shared" ref="K163" si="199">((I163-E163)/E163)</f>
        <v>2.015550945369377E-3</v>
      </c>
      <c r="L163" s="324">
        <v>17055139154.139999</v>
      </c>
      <c r="M163" s="324">
        <v>1190.8399999999999</v>
      </c>
      <c r="N163" s="23">
        <f t="shared" si="185"/>
        <v>1.552618699254775E-2</v>
      </c>
      <c r="O163" s="23">
        <f t="shared" ref="O163" si="200">((M163-I163)/I163)</f>
        <v>2.247153185150143E-3</v>
      </c>
      <c r="P163" s="324">
        <v>16726309925.67</v>
      </c>
      <c r="Q163" s="324">
        <v>1194.08</v>
      </c>
      <c r="R163" s="23">
        <f t="shared" si="187"/>
        <v>-1.9280360335856811E-2</v>
      </c>
      <c r="S163" s="23">
        <f t="shared" ref="S163" si="201">((Q163-M163)/M163)</f>
        <v>2.7207685331362814E-3</v>
      </c>
      <c r="T163" s="324">
        <v>16838691547.540001</v>
      </c>
      <c r="U163" s="324">
        <v>1194.53</v>
      </c>
      <c r="V163" s="23">
        <f t="shared" si="189"/>
        <v>6.7188532539103488E-3</v>
      </c>
      <c r="W163" s="23">
        <f t="shared" ref="W163" si="202">((U163-Q163)/Q163)</f>
        <v>3.7685917191481767E-4</v>
      </c>
      <c r="X163" s="324">
        <v>17804355000.360001</v>
      </c>
      <c r="Y163" s="324">
        <v>1196.3399999999999</v>
      </c>
      <c r="Z163" s="23">
        <f t="shared" si="191"/>
        <v>5.7347891318852234E-2</v>
      </c>
      <c r="AA163" s="23">
        <f t="shared" ref="AA163" si="203">((Y163-U163)/U163)</f>
        <v>1.5152403037177345E-3</v>
      </c>
      <c r="AB163" s="324">
        <v>18063713716.709999</v>
      </c>
      <c r="AC163" s="324">
        <v>1198.81</v>
      </c>
      <c r="AD163" s="23">
        <f t="shared" si="193"/>
        <v>1.4567150359827934E-2</v>
      </c>
      <c r="AE163" s="23">
        <f t="shared" si="197"/>
        <v>2.0646304562248418E-3</v>
      </c>
      <c r="AF163" s="324">
        <v>18110055307.509998</v>
      </c>
      <c r="AG163" s="324">
        <v>1204.28</v>
      </c>
      <c r="AH163" s="23">
        <f t="shared" si="195"/>
        <v>2.5654520176064646E-3</v>
      </c>
      <c r="AI163" s="23">
        <f t="shared" si="198"/>
        <v>4.5628581676829755E-3</v>
      </c>
      <c r="AJ163" s="24">
        <f t="shared" si="147"/>
        <v>1.0240400569729977E-2</v>
      </c>
      <c r="AK163" s="24">
        <f t="shared" si="148"/>
        <v>2.2157425455326283E-3</v>
      </c>
      <c r="AL163" s="25">
        <f t="shared" si="149"/>
        <v>8.1478404916358688E-2</v>
      </c>
      <c r="AM163" s="25">
        <f t="shared" si="150"/>
        <v>1.5601544974615866E-2</v>
      </c>
      <c r="AN163" s="378">
        <f t="shared" si="151"/>
        <v>2.1835435757348452E-2</v>
      </c>
      <c r="AO163" s="379">
        <f t="shared" si="152"/>
        <v>4.5149823949919071E-3</v>
      </c>
    </row>
    <row r="164" spans="1:41" s="300" customFormat="1">
      <c r="A164" s="200" t="s">
        <v>172</v>
      </c>
      <c r="B164" s="324">
        <v>669676938.19000006</v>
      </c>
      <c r="C164" s="325">
        <v>102.35</v>
      </c>
      <c r="D164" s="324">
        <v>660121858.90999997</v>
      </c>
      <c r="E164" s="325">
        <v>102.55</v>
      </c>
      <c r="F164" s="23">
        <f t="shared" si="182"/>
        <v>-1.4268192220902092E-2</v>
      </c>
      <c r="G164" s="23">
        <f t="shared" si="182"/>
        <v>1.954079140205206E-3</v>
      </c>
      <c r="H164" s="324">
        <v>658443252.82000005</v>
      </c>
      <c r="I164" s="325">
        <v>102.75</v>
      </c>
      <c r="J164" s="23">
        <f t="shared" si="183"/>
        <v>-2.5428730579709112E-3</v>
      </c>
      <c r="K164" s="23">
        <f>((I164-E164)/E164)</f>
        <v>1.9502681618722851E-3</v>
      </c>
      <c r="L164" s="324">
        <v>661215959.38999999</v>
      </c>
      <c r="M164" s="325">
        <v>102.99</v>
      </c>
      <c r="N164" s="23">
        <f t="shared" si="185"/>
        <v>4.2110030866364025E-3</v>
      </c>
      <c r="O164" s="23">
        <f>((M164-I164)/I164)</f>
        <v>2.3357664233576146E-3</v>
      </c>
      <c r="P164" s="324">
        <v>672856228.33000004</v>
      </c>
      <c r="Q164" s="325">
        <v>103.19</v>
      </c>
      <c r="R164" s="23">
        <f t="shared" si="187"/>
        <v>1.7604337546145595E-2</v>
      </c>
      <c r="S164" s="23">
        <f>((Q164-M164)/M164)</f>
        <v>1.9419361103019987E-3</v>
      </c>
      <c r="T164" s="324">
        <v>679691806.04999995</v>
      </c>
      <c r="U164" s="325">
        <v>103.39</v>
      </c>
      <c r="V164" s="23">
        <f t="shared" si="189"/>
        <v>1.0159046512752831E-2</v>
      </c>
      <c r="W164" s="23">
        <f>((U164-Q164)/Q164)</f>
        <v>1.9381723035178102E-3</v>
      </c>
      <c r="X164" s="324">
        <v>695545937.29999995</v>
      </c>
      <c r="Y164" s="325">
        <v>103.59</v>
      </c>
      <c r="Z164" s="23">
        <f t="shared" si="191"/>
        <v>2.3325470616065845E-2</v>
      </c>
      <c r="AA164" s="23">
        <f>((Y164-U164)/U164)</f>
        <v>1.9344230583228828E-3</v>
      </c>
      <c r="AB164" s="324">
        <v>693735502.30999994</v>
      </c>
      <c r="AC164" s="325">
        <v>103.8</v>
      </c>
      <c r="AD164" s="23">
        <f t="shared" si="193"/>
        <v>-2.6028978000041717E-3</v>
      </c>
      <c r="AE164" s="23">
        <f t="shared" si="197"/>
        <v>2.0272227048942345E-3</v>
      </c>
      <c r="AF164" s="324">
        <v>697637105.63999999</v>
      </c>
      <c r="AG164" s="325">
        <v>104.035668744053</v>
      </c>
      <c r="AH164" s="23">
        <f t="shared" si="195"/>
        <v>5.6240502569185041E-3</v>
      </c>
      <c r="AI164" s="23">
        <f t="shared" si="198"/>
        <v>2.2704117924181211E-3</v>
      </c>
      <c r="AJ164" s="24">
        <f t="shared" si="147"/>
        <v>5.1887431174552504E-3</v>
      </c>
      <c r="AK164" s="24">
        <f t="shared" si="148"/>
        <v>2.0440349618612691E-3</v>
      </c>
      <c r="AL164" s="25">
        <f t="shared" si="149"/>
        <v>5.6830789987693454E-2</v>
      </c>
      <c r="AM164" s="25">
        <f t="shared" si="150"/>
        <v>1.4487262253076559E-2</v>
      </c>
      <c r="AN164" s="378">
        <f t="shared" si="151"/>
        <v>1.1999982992387845E-2</v>
      </c>
      <c r="AO164" s="379">
        <f t="shared" si="152"/>
        <v>1.6518870565011235E-3</v>
      </c>
    </row>
    <row r="165" spans="1:41" s="300" customFormat="1">
      <c r="A165" s="200" t="s">
        <v>130</v>
      </c>
      <c r="B165" s="324">
        <v>8326870609.3299999</v>
      </c>
      <c r="C165" s="325">
        <v>125.05</v>
      </c>
      <c r="D165" s="324">
        <v>8495673660.0200005</v>
      </c>
      <c r="E165" s="325">
        <v>125.15</v>
      </c>
      <c r="F165" s="23">
        <f t="shared" si="182"/>
        <v>2.0272087631680258E-2</v>
      </c>
      <c r="G165" s="23">
        <f t="shared" si="182"/>
        <v>7.9968012794888867E-4</v>
      </c>
      <c r="H165" s="324">
        <v>8502604195.8400002</v>
      </c>
      <c r="I165" s="325">
        <v>125.31</v>
      </c>
      <c r="J165" s="23">
        <f t="shared" si="183"/>
        <v>8.1577236807179557E-4</v>
      </c>
      <c r="K165" s="23">
        <f>((I165-E165)/E165)</f>
        <v>1.2784658409907836E-3</v>
      </c>
      <c r="L165" s="324">
        <v>8487904395.6800003</v>
      </c>
      <c r="M165" s="325">
        <v>125.42</v>
      </c>
      <c r="N165" s="23">
        <f t="shared" si="185"/>
        <v>-1.7288585733758956E-3</v>
      </c>
      <c r="O165" s="23">
        <f>((M165-I165)/I165)</f>
        <v>8.7782299896256826E-4</v>
      </c>
      <c r="P165" s="324">
        <v>8460534801.4499998</v>
      </c>
      <c r="Q165" s="325">
        <v>125.51</v>
      </c>
      <c r="R165" s="23">
        <f t="shared" si="187"/>
        <v>-3.2245408235194676E-3</v>
      </c>
      <c r="S165" s="23">
        <f>((Q165-M165)/M165)</f>
        <v>7.1758890129168724E-4</v>
      </c>
      <c r="T165" s="324">
        <v>8479695487.8599997</v>
      </c>
      <c r="U165" s="325">
        <v>125.68</v>
      </c>
      <c r="V165" s="23">
        <f t="shared" si="189"/>
        <v>2.2647133851061061E-3</v>
      </c>
      <c r="W165" s="23">
        <f>((U165-Q165)/Q165)</f>
        <v>1.3544737471117975E-3</v>
      </c>
      <c r="X165" s="324">
        <v>8499519153.4200001</v>
      </c>
      <c r="Y165" s="325">
        <v>125.84</v>
      </c>
      <c r="Z165" s="23">
        <f t="shared" si="191"/>
        <v>2.3377803587854157E-3</v>
      </c>
      <c r="AA165" s="23">
        <f>((Y165-U165)/U165)</f>
        <v>1.2730744748567519E-3</v>
      </c>
      <c r="AB165" s="324">
        <v>8480954472.5100002</v>
      </c>
      <c r="AC165" s="325">
        <v>125.93</v>
      </c>
      <c r="AD165" s="23">
        <f t="shared" si="193"/>
        <v>-2.1842036678663018E-3</v>
      </c>
      <c r="AE165" s="23">
        <f t="shared" si="197"/>
        <v>7.1519389701210591E-4</v>
      </c>
      <c r="AF165" s="324">
        <v>8513667173.5900002</v>
      </c>
      <c r="AG165" s="325">
        <v>126.1</v>
      </c>
      <c r="AH165" s="23">
        <f t="shared" si="195"/>
        <v>3.857195694898992E-3</v>
      </c>
      <c r="AI165" s="23">
        <f t="shared" si="198"/>
        <v>1.3499563249423289E-3</v>
      </c>
      <c r="AJ165" s="24">
        <f t="shared" si="147"/>
        <v>2.8012432967226128E-3</v>
      </c>
      <c r="AK165" s="24">
        <f t="shared" si="148"/>
        <v>1.0457820391396142E-3</v>
      </c>
      <c r="AL165" s="25">
        <f t="shared" si="149"/>
        <v>2.117961952172882E-3</v>
      </c>
      <c r="AM165" s="25">
        <f t="shared" si="150"/>
        <v>7.5908909308828494E-3</v>
      </c>
      <c r="AN165" s="378">
        <f t="shared" si="151"/>
        <v>7.4878642095718984E-3</v>
      </c>
      <c r="AO165" s="379">
        <f t="shared" si="152"/>
        <v>1.1875603854031146E-3</v>
      </c>
    </row>
    <row r="166" spans="1:41" s="365" customFormat="1">
      <c r="A166" s="200" t="s">
        <v>163</v>
      </c>
      <c r="B166" s="324">
        <v>3747523395.4499998</v>
      </c>
      <c r="C166" s="325">
        <v>1.1295999999999999</v>
      </c>
      <c r="D166" s="324">
        <v>3728038722.7800002</v>
      </c>
      <c r="E166" s="325">
        <v>1.131</v>
      </c>
      <c r="F166" s="23">
        <f t="shared" si="182"/>
        <v>-5.1993465053898338E-3</v>
      </c>
      <c r="G166" s="23">
        <f t="shared" si="182"/>
        <v>1.2393767705383037E-3</v>
      </c>
      <c r="H166" s="324">
        <v>3642600803.2800002</v>
      </c>
      <c r="I166" s="325">
        <v>1.1324000000000001</v>
      </c>
      <c r="J166" s="23">
        <f t="shared" ref="J166" si="204">((H166-D166)/D166)</f>
        <v>-2.2917658815595376E-2</v>
      </c>
      <c r="K166" s="23">
        <f>((I166-E166)/E166)</f>
        <v>1.2378426171530219E-3</v>
      </c>
      <c r="L166" s="324">
        <v>3604899926.6900001</v>
      </c>
      <c r="M166" s="325">
        <v>1.1337999999999999</v>
      </c>
      <c r="N166" s="23">
        <f t="shared" ref="N166" si="205">((L166-H166)/H166)</f>
        <v>-1.0349988545561234E-2</v>
      </c>
      <c r="O166" s="23">
        <f>((M166-I166)/I166)</f>
        <v>1.2363122571528132E-3</v>
      </c>
      <c r="P166" s="324">
        <v>3475427550</v>
      </c>
      <c r="Q166" s="325">
        <v>1.1353</v>
      </c>
      <c r="R166" s="23">
        <f t="shared" ref="R166" si="206">((P166-L166)/L166)</f>
        <v>-3.5915664601785746E-2</v>
      </c>
      <c r="S166" s="23">
        <f>((Q166-M166)/M166)</f>
        <v>1.322984653378071E-3</v>
      </c>
      <c r="T166" s="324">
        <v>3631577658.48</v>
      </c>
      <c r="U166" s="325">
        <v>1.1374</v>
      </c>
      <c r="V166" s="23">
        <f t="shared" ref="V166" si="207">((T166-P166)/P166)</f>
        <v>4.4929755039779209E-2</v>
      </c>
      <c r="W166" s="23">
        <f>((U166-Q166)/Q166)</f>
        <v>1.8497313485422275E-3</v>
      </c>
      <c r="X166" s="324">
        <v>3636154105.5</v>
      </c>
      <c r="Y166" s="325">
        <v>1.1394</v>
      </c>
      <c r="Z166" s="23">
        <f t="shared" ref="Z166" si="208">((X166-T166)/T166)</f>
        <v>1.2601815107309193E-3</v>
      </c>
      <c r="AA166" s="23">
        <f>((Y166-U166)/U166)</f>
        <v>1.7583963425356092E-3</v>
      </c>
      <c r="AB166" s="324">
        <v>3654403630.3299999</v>
      </c>
      <c r="AC166" s="325">
        <v>1.1415</v>
      </c>
      <c r="AD166" s="23">
        <f t="shared" si="193"/>
        <v>5.0189085227152304E-3</v>
      </c>
      <c r="AE166" s="23">
        <f t="shared" si="197"/>
        <v>1.8430753027909345E-3</v>
      </c>
      <c r="AF166" s="324">
        <v>3741352427.71</v>
      </c>
      <c r="AG166" s="325">
        <v>1.1435</v>
      </c>
      <c r="AH166" s="23">
        <f t="shared" si="195"/>
        <v>2.3792882827272276E-2</v>
      </c>
      <c r="AI166" s="23">
        <f t="shared" si="198"/>
        <v>1.7520805957074042E-3</v>
      </c>
      <c r="AJ166" s="24">
        <f t="shared" si="147"/>
        <v>7.738367902067984E-5</v>
      </c>
      <c r="AK166" s="24">
        <f t="shared" si="148"/>
        <v>1.5299749859747983E-3</v>
      </c>
      <c r="AL166" s="25">
        <f t="shared" si="149"/>
        <v>3.5712356871850817E-3</v>
      </c>
      <c r="AM166" s="25">
        <f t="shared" si="150"/>
        <v>1.1052166224579978E-2</v>
      </c>
      <c r="AN166" s="378">
        <f t="shared" si="151"/>
        <v>2.5525402674446196E-2</v>
      </c>
      <c r="AO166" s="379">
        <f t="shared" si="152"/>
        <v>1.2769685326093514E-3</v>
      </c>
    </row>
    <row r="167" spans="1:41">
      <c r="A167" s="200" t="s">
        <v>275</v>
      </c>
      <c r="B167" s="314">
        <v>0</v>
      </c>
      <c r="C167" s="315">
        <v>0</v>
      </c>
      <c r="D167" s="314">
        <v>0</v>
      </c>
      <c r="E167" s="315">
        <v>0</v>
      </c>
      <c r="F167" s="23" t="e">
        <f>((D158-B167)/B167)</f>
        <v>#DIV/0!</v>
      </c>
      <c r="G167" s="23" t="e">
        <f>((E167-C167)/C167)</f>
        <v>#DIV/0!</v>
      </c>
      <c r="H167" s="314">
        <v>0</v>
      </c>
      <c r="I167" s="315">
        <v>0</v>
      </c>
      <c r="J167" s="23" t="e">
        <f>((H158-D167)/D167)</f>
        <v>#DIV/0!</v>
      </c>
      <c r="K167" s="23" t="e">
        <f>((I167-E167)/E167)</f>
        <v>#DIV/0!</v>
      </c>
      <c r="L167" s="314">
        <v>0</v>
      </c>
      <c r="M167" s="315">
        <v>0</v>
      </c>
      <c r="N167" s="23" t="e">
        <f>((L158-H167)/H167)</f>
        <v>#DIV/0!</v>
      </c>
      <c r="O167" s="23" t="e">
        <f>((M167-I167)/I167)</f>
        <v>#DIV/0!</v>
      </c>
      <c r="P167" s="314">
        <v>0</v>
      </c>
      <c r="Q167" s="315">
        <v>0</v>
      </c>
      <c r="R167" s="23" t="e">
        <f>((P158-L167)/L167)</f>
        <v>#DIV/0!</v>
      </c>
      <c r="S167" s="23" t="e">
        <f>((Q167-M167)/M167)</f>
        <v>#DIV/0!</v>
      </c>
      <c r="T167" s="314">
        <v>0</v>
      </c>
      <c r="U167" s="315">
        <v>0</v>
      </c>
      <c r="V167" s="23" t="e">
        <f>((T158-P167)/P167)</f>
        <v>#DIV/0!</v>
      </c>
      <c r="W167" s="23" t="e">
        <f>((U167-Q167)/Q167)</f>
        <v>#DIV/0!</v>
      </c>
      <c r="X167" s="314">
        <v>316215054.29000002</v>
      </c>
      <c r="Y167" s="315">
        <v>98.9876</v>
      </c>
      <c r="Z167" s="23" t="e">
        <f>((X158-T167)/T167)</f>
        <v>#DIV/0!</v>
      </c>
      <c r="AA167" s="23" t="e">
        <f>((Y167-U167)/U167)</f>
        <v>#DIV/0!</v>
      </c>
      <c r="AB167" s="314">
        <v>316215054.29000002</v>
      </c>
      <c r="AC167" s="315">
        <v>98.9876</v>
      </c>
      <c r="AD167" s="23">
        <f>((AB158-X167)/X167)</f>
        <v>-1</v>
      </c>
      <c r="AE167" s="23">
        <f t="shared" si="197"/>
        <v>0</v>
      </c>
      <c r="AF167" s="314">
        <v>315790694.52999997</v>
      </c>
      <c r="AG167" s="315">
        <v>98.859300000000005</v>
      </c>
      <c r="AH167" s="23">
        <f>((AF158-AB167)/AB167)</f>
        <v>-1</v>
      </c>
      <c r="AI167" s="23">
        <f t="shared" si="198"/>
        <v>-1.2961219385053872E-3</v>
      </c>
      <c r="AJ167" s="24" t="e">
        <f t="shared" si="147"/>
        <v>#DIV/0!</v>
      </c>
      <c r="AK167" s="24" t="e">
        <f t="shared" si="148"/>
        <v>#DIV/0!</v>
      </c>
      <c r="AL167" s="25" t="e">
        <f t="shared" si="149"/>
        <v>#DIV/0!</v>
      </c>
      <c r="AM167" s="25" t="e">
        <f t="shared" si="150"/>
        <v>#DIV/0!</v>
      </c>
      <c r="AN167" s="378" t="e">
        <f t="shared" si="151"/>
        <v>#DIV/0!</v>
      </c>
      <c r="AO167" s="379" t="e">
        <f t="shared" si="152"/>
        <v>#DIV/0!</v>
      </c>
    </row>
    <row r="168" spans="1:41">
      <c r="A168" s="202" t="s">
        <v>42</v>
      </c>
      <c r="B168" s="76">
        <f>SUM(B155:B167)</f>
        <v>44035152367.119995</v>
      </c>
      <c r="C168" s="85"/>
      <c r="D168" s="76">
        <f>SUM(D155:D167)</f>
        <v>44708196929.279999</v>
      </c>
      <c r="E168" s="85"/>
      <c r="F168" s="23">
        <f>((D168-B168)/B168)</f>
        <v>1.5284256462856027E-2</v>
      </c>
      <c r="G168" s="23"/>
      <c r="H168" s="76">
        <f>SUM(H155:H167)</f>
        <v>44575920177.979996</v>
      </c>
      <c r="I168" s="85"/>
      <c r="J168" s="23">
        <f t="shared" si="183"/>
        <v>-2.9586688881513188E-3</v>
      </c>
      <c r="K168" s="23"/>
      <c r="L168" s="76">
        <f>SUM(L155:L167)</f>
        <v>44856443048.010002</v>
      </c>
      <c r="M168" s="85"/>
      <c r="N168" s="23">
        <f t="shared" si="185"/>
        <v>6.2931481595882247E-3</v>
      </c>
      <c r="O168" s="23"/>
      <c r="P168" s="76">
        <f>SUM(P155:P167)</f>
        <v>44435835719.010002</v>
      </c>
      <c r="Q168" s="85"/>
      <c r="R168" s="23">
        <f t="shared" si="187"/>
        <v>-9.3767427914385141E-3</v>
      </c>
      <c r="S168" s="23"/>
      <c r="T168" s="76">
        <f>SUM(T155:T167)</f>
        <v>44805192418.300003</v>
      </c>
      <c r="U168" s="85"/>
      <c r="V168" s="23">
        <f t="shared" si="189"/>
        <v>8.3121357641527879E-3</v>
      </c>
      <c r="W168" s="23"/>
      <c r="X168" s="76">
        <f>SUM(X155:X167)</f>
        <v>45866776940.309998</v>
      </c>
      <c r="Y168" s="85"/>
      <c r="Z168" s="23">
        <f t="shared" si="191"/>
        <v>2.3693336970837479E-2</v>
      </c>
      <c r="AA168" s="23"/>
      <c r="AB168" s="76">
        <f>SUM(AB155:AB167)</f>
        <v>46097502002.870003</v>
      </c>
      <c r="AC168" s="85"/>
      <c r="AD168" s="23">
        <f t="shared" ref="AD168:AD169" si="209">((AB168-X168)/X168)</f>
        <v>5.0303308396896004E-3</v>
      </c>
      <c r="AE168" s="23"/>
      <c r="AF168" s="76">
        <f>SUM(AF155:AF167)</f>
        <v>45442767297.869995</v>
      </c>
      <c r="AG168" s="85"/>
      <c r="AH168" s="23">
        <f t="shared" ref="AH168:AH169" si="210">((AF168-AB168)/AB168)</f>
        <v>-1.4203257802543058E-2</v>
      </c>
      <c r="AI168" s="23"/>
      <c r="AJ168" s="24">
        <f t="shared" si="147"/>
        <v>4.0093173393739032E-3</v>
      </c>
      <c r="AK168" s="24"/>
      <c r="AL168" s="25">
        <f t="shared" si="149"/>
        <v>1.6430328643133367E-2</v>
      </c>
      <c r="AM168" s="25"/>
      <c r="AN168" s="378">
        <f t="shared" si="151"/>
        <v>1.2528794323834049E-2</v>
      </c>
      <c r="AO168" s="379"/>
    </row>
    <row r="169" spans="1:41">
      <c r="A169" s="202" t="s">
        <v>28</v>
      </c>
      <c r="B169" s="301">
        <f>SUM(B21,B53,B85,B111,B118,B145,B151,B168)</f>
        <v>1925391614328.5332</v>
      </c>
      <c r="C169" s="85"/>
      <c r="D169" s="301">
        <f>SUM(D21,D53,D85,D111,D118,D145,D151,D168)</f>
        <v>1916191660933.4709</v>
      </c>
      <c r="E169" s="85"/>
      <c r="F169" s="23">
        <f>((D169-B169)/B169)</f>
        <v>-4.7782245059120997E-3</v>
      </c>
      <c r="G169" s="23"/>
      <c r="H169" s="301">
        <f>SUM(H21,H53,H85,H111,H118,H145,H151,H168)</f>
        <v>1919113759297.095</v>
      </c>
      <c r="I169" s="85"/>
      <c r="J169" s="23">
        <f t="shared" si="183"/>
        <v>1.5249509864793619E-3</v>
      </c>
      <c r="K169" s="23"/>
      <c r="L169" s="301">
        <f>SUM(L21,L53,L85,L111,L118,L145,L151,L168)</f>
        <v>1917546500429.8425</v>
      </c>
      <c r="M169" s="85"/>
      <c r="N169" s="23">
        <f t="shared" si="185"/>
        <v>-8.1665761587081435E-4</v>
      </c>
      <c r="O169" s="23"/>
      <c r="P169" s="301">
        <f>SUM(P21,P53,P85,P111,P118,P145,P151,P168)</f>
        <v>1943407345708.8286</v>
      </c>
      <c r="Q169" s="85"/>
      <c r="R169" s="23">
        <f t="shared" si="187"/>
        <v>1.3486424070127657E-2</v>
      </c>
      <c r="S169" s="23"/>
      <c r="T169" s="301">
        <f>SUM(T21,T53,T85,T111,T118,T145,T151,T168)</f>
        <v>1922810043593.2705</v>
      </c>
      <c r="U169" s="85"/>
      <c r="V169" s="23">
        <f t="shared" si="189"/>
        <v>-1.0598551127759348E-2</v>
      </c>
      <c r="W169" s="23"/>
      <c r="X169" s="301">
        <f>SUM(X21,X53,X85,X111,X118,X145,X151,X168)</f>
        <v>1905565030169.3162</v>
      </c>
      <c r="Y169" s="85"/>
      <c r="Z169" s="23">
        <f t="shared" si="191"/>
        <v>-8.9686516259960634E-3</v>
      </c>
      <c r="AA169" s="23"/>
      <c r="AB169" s="301">
        <f>SUM(AB21,AB53,AB85,AB111,AB118,AB145,AB151,AB168)</f>
        <v>1930034404358.7715</v>
      </c>
      <c r="AC169" s="85"/>
      <c r="AD169" s="23">
        <f t="shared" si="209"/>
        <v>1.28410071564344E-2</v>
      </c>
      <c r="AE169" s="23"/>
      <c r="AF169" s="301">
        <f>SUM(AF21,AF53,AF85,AF111,AF118,AF145,AF151,AF168)</f>
        <v>1927585637735.8486</v>
      </c>
      <c r="AG169" s="85"/>
      <c r="AH169" s="23">
        <f t="shared" si="210"/>
        <v>-1.2687683791504339E-3</v>
      </c>
      <c r="AI169" s="23"/>
      <c r="AJ169" s="24">
        <f t="shared" si="147"/>
        <v>1.7769111979408256E-4</v>
      </c>
      <c r="AK169" s="24"/>
      <c r="AL169" s="25">
        <f t="shared" si="149"/>
        <v>5.9461571797192357E-3</v>
      </c>
      <c r="AM169" s="25"/>
      <c r="AN169" s="378">
        <f t="shared" si="151"/>
        <v>8.9977942671385109E-3</v>
      </c>
      <c r="AO169" s="379"/>
    </row>
    <row r="170" spans="1:41" s="108" customFormat="1" ht="6" customHeight="1">
      <c r="A170" s="202"/>
      <c r="B170" s="85"/>
      <c r="C170" s="85"/>
      <c r="D170" s="85"/>
      <c r="E170" s="85"/>
      <c r="F170" s="23"/>
      <c r="G170" s="23"/>
      <c r="H170" s="85"/>
      <c r="I170" s="85"/>
      <c r="J170" s="23"/>
      <c r="K170" s="23"/>
      <c r="L170" s="85"/>
      <c r="M170" s="85"/>
      <c r="N170" s="23"/>
      <c r="O170" s="23"/>
      <c r="P170" s="85"/>
      <c r="Q170" s="85"/>
      <c r="R170" s="23"/>
      <c r="S170" s="23"/>
      <c r="T170" s="85"/>
      <c r="U170" s="85"/>
      <c r="V170" s="23"/>
      <c r="W170" s="23"/>
      <c r="X170" s="85"/>
      <c r="Y170" s="85"/>
      <c r="Z170" s="23"/>
      <c r="AA170" s="23"/>
      <c r="AB170" s="85"/>
      <c r="AC170" s="85"/>
      <c r="AD170" s="23"/>
      <c r="AE170" s="23"/>
      <c r="AF170" s="85"/>
      <c r="AG170" s="85"/>
      <c r="AH170" s="23"/>
      <c r="AI170" s="23"/>
      <c r="AJ170" s="24"/>
      <c r="AK170" s="24"/>
      <c r="AL170" s="25"/>
      <c r="AM170" s="25"/>
      <c r="AN170" s="378"/>
      <c r="AO170" s="379"/>
    </row>
    <row r="171" spans="1:41" s="108" customFormat="1">
      <c r="A171" s="206" t="s">
        <v>199</v>
      </c>
      <c r="B171" s="85"/>
      <c r="C171" s="85"/>
      <c r="D171" s="85"/>
      <c r="E171" s="85"/>
      <c r="F171" s="23"/>
      <c r="G171" s="23"/>
      <c r="H171" s="85"/>
      <c r="I171" s="85"/>
      <c r="J171" s="23"/>
      <c r="K171" s="23"/>
      <c r="L171" s="85"/>
      <c r="M171" s="85"/>
      <c r="N171" s="23"/>
      <c r="O171" s="23"/>
      <c r="P171" s="85"/>
      <c r="Q171" s="85"/>
      <c r="R171" s="23"/>
      <c r="S171" s="23"/>
      <c r="T171" s="85"/>
      <c r="U171" s="85"/>
      <c r="V171" s="23"/>
      <c r="W171" s="23"/>
      <c r="X171" s="85"/>
      <c r="Y171" s="85"/>
      <c r="Z171" s="23"/>
      <c r="AA171" s="23"/>
      <c r="AB171" s="85"/>
      <c r="AC171" s="85"/>
      <c r="AD171" s="23"/>
      <c r="AE171" s="23"/>
      <c r="AF171" s="85"/>
      <c r="AG171" s="85"/>
      <c r="AH171" s="23"/>
      <c r="AI171" s="23"/>
      <c r="AJ171" s="24"/>
      <c r="AK171" s="24"/>
      <c r="AL171" s="25"/>
      <c r="AM171" s="25"/>
      <c r="AN171" s="378"/>
      <c r="AO171" s="379"/>
    </row>
    <row r="172" spans="1:41" s="108" customFormat="1">
      <c r="A172" s="207" t="s">
        <v>118</v>
      </c>
      <c r="B172" s="324">
        <v>92548651821</v>
      </c>
      <c r="C172" s="325">
        <v>108.39</v>
      </c>
      <c r="D172" s="324">
        <v>92548651821</v>
      </c>
      <c r="E172" s="325">
        <v>108.39</v>
      </c>
      <c r="F172" s="23">
        <f>((D172-B172)/B172)</f>
        <v>0</v>
      </c>
      <c r="G172" s="23">
        <f>((E172-C172)/C172)</f>
        <v>0</v>
      </c>
      <c r="H172" s="324">
        <v>92548651821</v>
      </c>
      <c r="I172" s="325">
        <v>108.39</v>
      </c>
      <c r="J172" s="23">
        <f>((H172-D172)/D172)</f>
        <v>0</v>
      </c>
      <c r="K172" s="23">
        <f>((I172-E172)/E172)</f>
        <v>0</v>
      </c>
      <c r="L172" s="324">
        <v>92548651821</v>
      </c>
      <c r="M172" s="325">
        <v>108.39</v>
      </c>
      <c r="N172" s="23">
        <f>((L172-H172)/H172)</f>
        <v>0</v>
      </c>
      <c r="O172" s="23">
        <f>((M172-I172)/I172)</f>
        <v>0</v>
      </c>
      <c r="P172" s="324">
        <v>92548651821</v>
      </c>
      <c r="Q172" s="325">
        <v>108.39</v>
      </c>
      <c r="R172" s="23">
        <f>((P172-L172)/L172)</f>
        <v>0</v>
      </c>
      <c r="S172" s="23">
        <f>((Q172-M172)/M172)</f>
        <v>0</v>
      </c>
      <c r="T172" s="324">
        <v>92548651821</v>
      </c>
      <c r="U172" s="325">
        <v>108.39</v>
      </c>
      <c r="V172" s="23">
        <f>((T172-P172)/P172)</f>
        <v>0</v>
      </c>
      <c r="W172" s="23">
        <f>((U172-Q172)/Q172)</f>
        <v>0</v>
      </c>
      <c r="X172" s="324">
        <v>92548651821</v>
      </c>
      <c r="Y172" s="325">
        <v>108.39</v>
      </c>
      <c r="Z172" s="23">
        <f>((X172-T172)/T172)</f>
        <v>0</v>
      </c>
      <c r="AA172" s="23">
        <f>((Y172-U172)/U172)</f>
        <v>0</v>
      </c>
      <c r="AB172" s="324">
        <v>92548651821</v>
      </c>
      <c r="AC172" s="325">
        <v>108.39</v>
      </c>
      <c r="AD172" s="23">
        <f>((AB172-X172)/X172)</f>
        <v>0</v>
      </c>
      <c r="AE172" s="23">
        <f>((AC172-Y172)/Y172)</f>
        <v>0</v>
      </c>
      <c r="AF172" s="324">
        <v>92548651821</v>
      </c>
      <c r="AG172" s="325">
        <v>108.39</v>
      </c>
      <c r="AH172" s="23">
        <f>((AF172-AB172)/AB172)</f>
        <v>0</v>
      </c>
      <c r="AI172" s="23">
        <f>((AG172-AC172)/AC172)</f>
        <v>0</v>
      </c>
      <c r="AJ172" s="24">
        <f t="shared" si="147"/>
        <v>0</v>
      </c>
      <c r="AK172" s="24">
        <f t="shared" si="148"/>
        <v>0</v>
      </c>
      <c r="AL172" s="25">
        <f t="shared" si="149"/>
        <v>0</v>
      </c>
      <c r="AM172" s="25">
        <f t="shared" si="150"/>
        <v>0</v>
      </c>
      <c r="AN172" s="378">
        <f t="shared" si="151"/>
        <v>0</v>
      </c>
      <c r="AO172" s="379">
        <f t="shared" si="152"/>
        <v>0</v>
      </c>
    </row>
    <row r="173" spans="1:41" s="108" customFormat="1">
      <c r="A173" s="207" t="s">
        <v>241</v>
      </c>
      <c r="B173" s="324">
        <v>1936599109.53</v>
      </c>
      <c r="C173" s="326">
        <v>1000000</v>
      </c>
      <c r="D173" s="324">
        <v>1944452686.1800001</v>
      </c>
      <c r="E173" s="326">
        <v>1000000</v>
      </c>
      <c r="F173" s="23">
        <f>((D173-B173)/B173)</f>
        <v>4.0553445529085816E-3</v>
      </c>
      <c r="G173" s="23">
        <f>((E173-C173)/C173)</f>
        <v>0</v>
      </c>
      <c r="H173" s="324">
        <v>1950918586.28</v>
      </c>
      <c r="I173" s="326">
        <v>1000000</v>
      </c>
      <c r="J173" s="23">
        <f>((H173-D173)/D173)</f>
        <v>3.3253059567638918E-3</v>
      </c>
      <c r="K173" s="23">
        <f>((I173-E173)/E173)</f>
        <v>0</v>
      </c>
      <c r="L173" s="324">
        <v>1956537586.3199999</v>
      </c>
      <c r="M173" s="326">
        <v>1000000</v>
      </c>
      <c r="N173" s="23">
        <f>((L173-H173)/H173)</f>
        <v>2.8801817151756382E-3</v>
      </c>
      <c r="O173" s="23">
        <f>((M173-I173)/I173)</f>
        <v>0</v>
      </c>
      <c r="P173" s="324">
        <v>1962877099.2</v>
      </c>
      <c r="Q173" s="326">
        <v>1000000</v>
      </c>
      <c r="R173" s="23">
        <f>((P173-L173)/L173)</f>
        <v>3.2401692276834496E-3</v>
      </c>
      <c r="S173" s="23">
        <f>((Q173-M173)/M173)</f>
        <v>0</v>
      </c>
      <c r="T173" s="324">
        <v>2116260834.49</v>
      </c>
      <c r="U173" s="326">
        <v>1000000</v>
      </c>
      <c r="V173" s="23">
        <f>((T173-P173)/P173)</f>
        <v>7.8142302109751954E-2</v>
      </c>
      <c r="W173" s="23">
        <f>((U173-Q173)/Q173)</f>
        <v>0</v>
      </c>
      <c r="X173" s="324">
        <v>1974644884.5899999</v>
      </c>
      <c r="Y173" s="326">
        <v>1000000</v>
      </c>
      <c r="Z173" s="23">
        <f>((X173-T173)/T173)</f>
        <v>-6.6918003486147903E-2</v>
      </c>
      <c r="AA173" s="23">
        <f>((Y173-U173)/U173)</f>
        <v>0</v>
      </c>
      <c r="AB173" s="324">
        <v>2001888131.3900001</v>
      </c>
      <c r="AC173" s="326">
        <v>1000000</v>
      </c>
      <c r="AD173" s="23">
        <f>((AB173-X173)/X173)</f>
        <v>1.3796529701418576E-2</v>
      </c>
      <c r="AE173" s="23">
        <f>((AC173-Y173)/Y173)</f>
        <v>0</v>
      </c>
      <c r="AF173" s="324">
        <v>1987239024.8299999</v>
      </c>
      <c r="AG173" s="326">
        <v>1000000</v>
      </c>
      <c r="AH173" s="23">
        <f>((AF173-AB173)/AB173)</f>
        <v>-7.3176449424417409E-3</v>
      </c>
      <c r="AI173" s="23">
        <f>((AG173-AC173)/AC173)</f>
        <v>0</v>
      </c>
      <c r="AJ173" s="24">
        <f t="shared" si="147"/>
        <v>3.9005231043890568E-3</v>
      </c>
      <c r="AK173" s="24">
        <f t="shared" si="148"/>
        <v>0</v>
      </c>
      <c r="AL173" s="25">
        <f t="shared" si="149"/>
        <v>2.2004309466668648E-2</v>
      </c>
      <c r="AM173" s="25">
        <f t="shared" si="150"/>
        <v>0</v>
      </c>
      <c r="AN173" s="378">
        <f t="shared" si="151"/>
        <v>3.9193140266181398E-2</v>
      </c>
      <c r="AO173" s="379">
        <f t="shared" si="152"/>
        <v>4.8778098543573447E-3</v>
      </c>
    </row>
    <row r="174" spans="1:41" s="108" customFormat="1">
      <c r="A174" s="202" t="s">
        <v>42</v>
      </c>
      <c r="B174" s="77">
        <f>SUM(B172:B173)</f>
        <v>94485250930.529999</v>
      </c>
      <c r="C174" s="85"/>
      <c r="D174" s="77">
        <f>SUM(D172:D173)</f>
        <v>94493104507.179993</v>
      </c>
      <c r="E174" s="85"/>
      <c r="F174" s="23"/>
      <c r="G174" s="23"/>
      <c r="H174" s="77">
        <f>SUM(H172:H173)</f>
        <v>94499570407.279999</v>
      </c>
      <c r="I174" s="85"/>
      <c r="J174" s="23"/>
      <c r="K174" s="23"/>
      <c r="L174" s="77">
        <f>SUM(L172:L173)</f>
        <v>94505189407.320007</v>
      </c>
      <c r="M174" s="85"/>
      <c r="N174" s="23"/>
      <c r="O174" s="23"/>
      <c r="P174" s="77">
        <f>SUM(P172:P173)</f>
        <v>94511528920.199997</v>
      </c>
      <c r="Q174" s="85"/>
      <c r="R174" s="23"/>
      <c r="S174" s="23"/>
      <c r="T174" s="77">
        <f>SUM(T172:T173)</f>
        <v>94664912655.490005</v>
      </c>
      <c r="U174" s="85"/>
      <c r="V174" s="23"/>
      <c r="W174" s="23"/>
      <c r="X174" s="77">
        <f>SUM(X172:X173)</f>
        <v>94523296705.589996</v>
      </c>
      <c r="Y174" s="85"/>
      <c r="Z174" s="23"/>
      <c r="AA174" s="23"/>
      <c r="AB174" s="77">
        <f>SUM(AB172:AB173)</f>
        <v>94550539952.389999</v>
      </c>
      <c r="AC174" s="85"/>
      <c r="AD174" s="23"/>
      <c r="AE174" s="23"/>
      <c r="AF174" s="77">
        <f>SUM(AF172:AF173)</f>
        <v>94535890845.830002</v>
      </c>
      <c r="AG174" s="85"/>
      <c r="AH174" s="23"/>
      <c r="AI174" s="23"/>
      <c r="AJ174" s="24"/>
      <c r="AK174" s="24"/>
      <c r="AL174" s="25"/>
      <c r="AM174" s="25"/>
      <c r="AN174" s="378"/>
      <c r="AO174" s="379"/>
    </row>
    <row r="175" spans="1:41" ht="6" customHeight="1">
      <c r="A175" s="201"/>
      <c r="B175" s="85"/>
      <c r="C175" s="85"/>
      <c r="D175" s="85"/>
      <c r="E175" s="85"/>
      <c r="F175" s="23"/>
      <c r="G175" s="23"/>
      <c r="H175" s="85"/>
      <c r="I175" s="85"/>
      <c r="J175" s="23"/>
      <c r="K175" s="23"/>
      <c r="L175" s="85"/>
      <c r="M175" s="85"/>
      <c r="N175" s="23"/>
      <c r="O175" s="23"/>
      <c r="P175" s="85"/>
      <c r="Q175" s="85"/>
      <c r="R175" s="23"/>
      <c r="S175" s="23"/>
      <c r="T175" s="85"/>
      <c r="U175" s="85"/>
      <c r="V175" s="23"/>
      <c r="W175" s="23"/>
      <c r="X175" s="85"/>
      <c r="Y175" s="85"/>
      <c r="Z175" s="23"/>
      <c r="AA175" s="23"/>
      <c r="AB175" s="85"/>
      <c r="AC175" s="85"/>
      <c r="AD175" s="23"/>
      <c r="AE175" s="23"/>
      <c r="AF175" s="85"/>
      <c r="AG175" s="85"/>
      <c r="AH175" s="23"/>
      <c r="AI175" s="23"/>
      <c r="AJ175" s="24"/>
      <c r="AK175" s="24"/>
      <c r="AL175" s="25"/>
      <c r="AM175" s="25"/>
      <c r="AN175" s="26"/>
      <c r="AO175" s="78"/>
    </row>
    <row r="176" spans="1:41" ht="26.25" customHeight="1">
      <c r="A176" s="197" t="s">
        <v>46</v>
      </c>
      <c r="B176" s="458" t="s">
        <v>268</v>
      </c>
      <c r="C176" s="458"/>
      <c r="D176" s="458" t="s">
        <v>269</v>
      </c>
      <c r="E176" s="458"/>
      <c r="F176" s="383" t="s">
        <v>58</v>
      </c>
      <c r="G176" s="383" t="s">
        <v>3</v>
      </c>
      <c r="H176" s="458" t="s">
        <v>270</v>
      </c>
      <c r="I176" s="458"/>
      <c r="J176" s="384" t="s">
        <v>58</v>
      </c>
      <c r="K176" s="384" t="s">
        <v>3</v>
      </c>
      <c r="L176" s="458" t="s">
        <v>272</v>
      </c>
      <c r="M176" s="458"/>
      <c r="N176" s="385" t="s">
        <v>58</v>
      </c>
      <c r="O176" s="385" t="s">
        <v>3</v>
      </c>
      <c r="P176" s="458" t="s">
        <v>273</v>
      </c>
      <c r="Q176" s="458"/>
      <c r="R176" s="388" t="s">
        <v>58</v>
      </c>
      <c r="S176" s="388" t="s">
        <v>3</v>
      </c>
      <c r="T176" s="458" t="s">
        <v>274</v>
      </c>
      <c r="U176" s="458"/>
      <c r="V176" s="391" t="s">
        <v>58</v>
      </c>
      <c r="W176" s="391" t="s">
        <v>3</v>
      </c>
      <c r="X176" s="458" t="s">
        <v>277</v>
      </c>
      <c r="Y176" s="458"/>
      <c r="Z176" s="394" t="s">
        <v>58</v>
      </c>
      <c r="AA176" s="394" t="s">
        <v>3</v>
      </c>
      <c r="AB176" s="458" t="s">
        <v>284</v>
      </c>
      <c r="AC176" s="458"/>
      <c r="AD176" s="397" t="s">
        <v>58</v>
      </c>
      <c r="AE176" s="397" t="s">
        <v>3</v>
      </c>
      <c r="AF176" s="458" t="s">
        <v>287</v>
      </c>
      <c r="AG176" s="458"/>
      <c r="AH176" s="407" t="s">
        <v>58</v>
      </c>
      <c r="AI176" s="407" t="s">
        <v>3</v>
      </c>
      <c r="AJ176" s="303" t="s">
        <v>77</v>
      </c>
      <c r="AK176" s="303" t="s">
        <v>77</v>
      </c>
      <c r="AL176" s="303" t="s">
        <v>77</v>
      </c>
      <c r="AM176" s="303" t="s">
        <v>77</v>
      </c>
      <c r="AN176" s="15" t="s">
        <v>77</v>
      </c>
      <c r="AO176" s="16" t="s">
        <v>77</v>
      </c>
    </row>
    <row r="177" spans="1:41">
      <c r="A177" s="201" t="s">
        <v>140</v>
      </c>
      <c r="B177" s="322">
        <v>650895364.13663208</v>
      </c>
      <c r="C177" s="326">
        <v>152.83000000000001</v>
      </c>
      <c r="D177" s="322">
        <v>652364003.98888946</v>
      </c>
      <c r="E177" s="326">
        <v>152.83000000000001</v>
      </c>
      <c r="F177" s="23">
        <f t="shared" ref="F177:F188" si="211">((D177-B177)/B177)</f>
        <v>2.2563378588591129E-3</v>
      </c>
      <c r="G177" s="23">
        <f t="shared" ref="G177:G188" si="212">((E177-C177)/C177)</f>
        <v>0</v>
      </c>
      <c r="H177" s="322">
        <v>654579731.20072305</v>
      </c>
      <c r="I177" s="326">
        <v>153.68</v>
      </c>
      <c r="J177" s="23">
        <f t="shared" ref="J177:J188" si="213">((H177-D177)/D177)</f>
        <v>3.3964584162913636E-3</v>
      </c>
      <c r="K177" s="23">
        <f t="shared" ref="K177:K188" si="214">((I177-E177)/E177)</f>
        <v>5.5617352614015193E-3</v>
      </c>
      <c r="L177" s="322">
        <v>650142850.86092305</v>
      </c>
      <c r="M177" s="326">
        <v>152.66</v>
      </c>
      <c r="N177" s="23">
        <f t="shared" ref="N177:N188" si="215">((L177-H177)/H177)</f>
        <v>-6.7782122304050636E-3</v>
      </c>
      <c r="O177" s="23">
        <f t="shared" ref="O177:O188" si="216">((M177-I177)/I177)</f>
        <v>-6.637168141592987E-3</v>
      </c>
      <c r="P177" s="322">
        <v>664827517.27999997</v>
      </c>
      <c r="Q177" s="326">
        <v>156.04</v>
      </c>
      <c r="R177" s="23">
        <f t="shared" ref="R177:R188" si="217">((P177-L177)/L177)</f>
        <v>2.2586830570591365E-2</v>
      </c>
      <c r="S177" s="23">
        <f t="shared" ref="S177:S188" si="218">((Q177-M177)/M177)</f>
        <v>2.2140704834272211E-2</v>
      </c>
      <c r="T177" s="322">
        <v>687767970.75398576</v>
      </c>
      <c r="U177" s="326">
        <v>161.31958479106711</v>
      </c>
      <c r="V177" s="23">
        <f t="shared" ref="V177:V188" si="219">((T177-P177)/P177)</f>
        <v>3.450587239204804E-2</v>
      </c>
      <c r="W177" s="23">
        <f t="shared" ref="W177:W188" si="220">((U177-Q177)/Q177)</f>
        <v>3.3834816656415807E-2</v>
      </c>
      <c r="X177" s="322">
        <v>693144591.02525568</v>
      </c>
      <c r="Y177" s="326">
        <v>162.56</v>
      </c>
      <c r="Z177" s="23">
        <f t="shared" ref="Z177:Z188" si="221">((X177-T177)/T177)</f>
        <v>7.8174915086197463E-3</v>
      </c>
      <c r="AA177" s="23">
        <f t="shared" ref="AA177:AA188" si="222">((Y177-U177)/U177)</f>
        <v>7.6891792806149974E-3</v>
      </c>
      <c r="AB177" s="322">
        <v>684785503.34995151</v>
      </c>
      <c r="AC177" s="326">
        <v>160.63</v>
      </c>
      <c r="AD177" s="23">
        <f t="shared" ref="AD177:AD188" si="223">((AB177-X177)/X177)</f>
        <v>-1.2059659389305685E-2</v>
      </c>
      <c r="AE177" s="23">
        <f t="shared" ref="AE177:AE188" si="224">((AC177-Y177)/Y177)</f>
        <v>-1.1872539370078782E-2</v>
      </c>
      <c r="AF177" s="322">
        <v>683734177.20645022</v>
      </c>
      <c r="AG177" s="326">
        <v>160.39072153562796</v>
      </c>
      <c r="AH177" s="23">
        <f t="shared" ref="AH177:AH188" si="225">((AF177-AB177)/AB177)</f>
        <v>-1.5352634341092557E-3</v>
      </c>
      <c r="AI177" s="23">
        <f t="shared" ref="AI177:AI188" si="226">((AG177-AC177)/AC177)</f>
        <v>-1.489625003872469E-3</v>
      </c>
      <c r="AJ177" s="24">
        <f t="shared" ref="AJ177" si="227">AVERAGE(F177,J177,N177,R177,V177,Z177,AD177,AH177)</f>
        <v>6.273731961573702E-3</v>
      </c>
      <c r="AK177" s="24">
        <f t="shared" ref="AK177" si="228">AVERAGE(G177,K177,O177,S177,W177,AA177,AE177,AI177)</f>
        <v>6.1533879396450377E-3</v>
      </c>
      <c r="AL177" s="25">
        <f t="shared" ref="AL177" si="229">((AF177-D177)/D177)</f>
        <v>4.8086916239626E-2</v>
      </c>
      <c r="AM177" s="25">
        <f t="shared" ref="AM177" si="230">((AG177-E177)/E177)</f>
        <v>4.9471448901576572E-2</v>
      </c>
      <c r="AN177" s="378">
        <f t="shared" ref="AN177" si="231">STDEV(F177,J177,N177,R177,V177,Z177,AD177,AH177)</f>
        <v>1.5387467935156966E-2</v>
      </c>
      <c r="AO177" s="379">
        <f t="shared" ref="AO177" si="232">STDEV(G177,K177,O177,S177,W177,AA177,AD177,AI177)</f>
        <v>1.5194704793598815E-2</v>
      </c>
    </row>
    <row r="178" spans="1:41">
      <c r="A178" s="201" t="s">
        <v>47</v>
      </c>
      <c r="B178" s="322">
        <v>701848406</v>
      </c>
      <c r="C178" s="326">
        <v>21.01</v>
      </c>
      <c r="D178" s="322">
        <v>692410486.17999995</v>
      </c>
      <c r="E178" s="326">
        <v>21.01</v>
      </c>
      <c r="F178" s="23">
        <f t="shared" si="211"/>
        <v>-1.3447234102573501E-2</v>
      </c>
      <c r="G178" s="23">
        <f t="shared" si="212"/>
        <v>0</v>
      </c>
      <c r="H178" s="322">
        <v>693201817.89999998</v>
      </c>
      <c r="I178" s="326">
        <v>20.75</v>
      </c>
      <c r="J178" s="23">
        <f t="shared" si="213"/>
        <v>1.1428650140262505E-3</v>
      </c>
      <c r="K178" s="23">
        <f t="shared" si="214"/>
        <v>-1.2375059495478418E-2</v>
      </c>
      <c r="L178" s="322">
        <v>691760282.20000005</v>
      </c>
      <c r="M178" s="326">
        <v>20.71</v>
      </c>
      <c r="N178" s="23">
        <f t="shared" si="215"/>
        <v>-2.079532486465409E-3</v>
      </c>
      <c r="O178" s="23">
        <f t="shared" si="216"/>
        <v>-1.9277108433734529E-3</v>
      </c>
      <c r="P178" s="322">
        <v>705187821.41999996</v>
      </c>
      <c r="Q178" s="326">
        <v>21.11</v>
      </c>
      <c r="R178" s="23">
        <f t="shared" si="217"/>
        <v>1.9410682523281628E-2</v>
      </c>
      <c r="S178" s="23">
        <f t="shared" si="218"/>
        <v>1.9314340898116782E-2</v>
      </c>
      <c r="T178" s="322">
        <v>723373148.36000001</v>
      </c>
      <c r="U178" s="326">
        <v>21.66</v>
      </c>
      <c r="V178" s="23">
        <f t="shared" si="219"/>
        <v>2.5787919739426599E-2</v>
      </c>
      <c r="W178" s="23">
        <f t="shared" si="220"/>
        <v>2.6054002842254891E-2</v>
      </c>
      <c r="X178" s="322">
        <v>723976732.95000005</v>
      </c>
      <c r="Y178" s="326">
        <v>21.68</v>
      </c>
      <c r="Z178" s="23">
        <f t="shared" si="221"/>
        <v>8.3440281322088607E-4</v>
      </c>
      <c r="AA178" s="23">
        <f t="shared" si="222"/>
        <v>9.2336103416433861E-4</v>
      </c>
      <c r="AB178" s="322">
        <v>718787830.10000002</v>
      </c>
      <c r="AC178" s="326">
        <v>21.52</v>
      </c>
      <c r="AD178" s="23">
        <f t="shared" si="223"/>
        <v>-7.1672232184268065E-3</v>
      </c>
      <c r="AE178" s="23">
        <f t="shared" si="224"/>
        <v>-7.3800738007380141E-3</v>
      </c>
      <c r="AF178" s="322">
        <v>720360218.08000004</v>
      </c>
      <c r="AG178" s="326">
        <v>21.65</v>
      </c>
      <c r="AH178" s="23">
        <f t="shared" si="225"/>
        <v>2.1875550950567202E-3</v>
      </c>
      <c r="AI178" s="23">
        <f t="shared" si="226"/>
        <v>6.0408921933085037E-3</v>
      </c>
      <c r="AJ178" s="24">
        <f t="shared" ref="AJ178:AJ190" si="233">AVERAGE(F178,J178,N178,R178,V178,Z178,AD178,AH178)</f>
        <v>3.3336794221932959E-3</v>
      </c>
      <c r="AK178" s="24">
        <f t="shared" ref="AK178:AK188" si="234">AVERAGE(G178,K178,O178,S178,W178,AA178,AE178,AI178)</f>
        <v>3.8312191035318284E-3</v>
      </c>
      <c r="AL178" s="25">
        <f t="shared" ref="AL178:AL190" si="235">((AF178-D178)/D178)</f>
        <v>4.0365841445004123E-2</v>
      </c>
      <c r="AM178" s="25">
        <f t="shared" ref="AM178:AM188" si="236">((AG178-E178)/E178)</f>
        <v>3.0461684911946549E-2</v>
      </c>
      <c r="AN178" s="378">
        <f t="shared" ref="AN178:AN190" si="237">STDEV(F178,J178,N178,R178,V178,Z178,AD178,AH178)</f>
        <v>1.3072290581938361E-2</v>
      </c>
      <c r="AO178" s="379">
        <f t="shared" ref="AO178:AO188" si="238">STDEV(G178,K178,O178,S178,W178,AA178,AD178,AI178)</f>
        <v>1.2974505339531909E-2</v>
      </c>
    </row>
    <row r="179" spans="1:41">
      <c r="A179" s="201" t="s">
        <v>183</v>
      </c>
      <c r="B179" s="322">
        <v>268120408.99000001</v>
      </c>
      <c r="C179" s="326">
        <v>19.25</v>
      </c>
      <c r="D179" s="322">
        <v>261176003.83000001</v>
      </c>
      <c r="E179" s="326">
        <v>19.25</v>
      </c>
      <c r="F179" s="23">
        <f t="shared" si="211"/>
        <v>-2.5900322866727388E-2</v>
      </c>
      <c r="G179" s="23">
        <f t="shared" si="212"/>
        <v>0</v>
      </c>
      <c r="H179" s="322">
        <v>260600578.40000001</v>
      </c>
      <c r="I179" s="326">
        <v>19.25</v>
      </c>
      <c r="J179" s="23">
        <f t="shared" si="213"/>
        <v>-2.203209412663166E-3</v>
      </c>
      <c r="K179" s="23">
        <f t="shared" si="214"/>
        <v>0</v>
      </c>
      <c r="L179" s="322">
        <v>258551809.02000001</v>
      </c>
      <c r="M179" s="326">
        <v>19.25</v>
      </c>
      <c r="N179" s="23">
        <f t="shared" si="215"/>
        <v>-7.8617223053715039E-3</v>
      </c>
      <c r="O179" s="23">
        <f t="shared" si="216"/>
        <v>0</v>
      </c>
      <c r="P179" s="322">
        <v>266220817.55000001</v>
      </c>
      <c r="Q179" s="326">
        <v>19.25</v>
      </c>
      <c r="R179" s="23">
        <f t="shared" si="217"/>
        <v>2.9661399620711116E-2</v>
      </c>
      <c r="S179" s="23">
        <f t="shared" si="218"/>
        <v>0</v>
      </c>
      <c r="T179" s="322">
        <v>282270547.17000002</v>
      </c>
      <c r="U179" s="326">
        <v>19.25</v>
      </c>
      <c r="V179" s="23">
        <f t="shared" si="219"/>
        <v>6.028728244358892E-2</v>
      </c>
      <c r="W179" s="23">
        <f t="shared" si="220"/>
        <v>0</v>
      </c>
      <c r="X179" s="322">
        <v>286927810.92000002</v>
      </c>
      <c r="Y179" s="326">
        <v>19.25</v>
      </c>
      <c r="Z179" s="23">
        <f t="shared" si="221"/>
        <v>1.6499290473954834E-2</v>
      </c>
      <c r="AA179" s="23">
        <f t="shared" si="222"/>
        <v>0</v>
      </c>
      <c r="AB179" s="322">
        <v>286927810.92000002</v>
      </c>
      <c r="AC179" s="326">
        <v>19.25</v>
      </c>
      <c r="AD179" s="23">
        <f t="shared" si="223"/>
        <v>0</v>
      </c>
      <c r="AE179" s="23">
        <f t="shared" si="224"/>
        <v>0</v>
      </c>
      <c r="AF179" s="322">
        <v>297583151.73000002</v>
      </c>
      <c r="AG179" s="326">
        <v>19.350000000000001</v>
      </c>
      <c r="AH179" s="23">
        <f t="shared" si="225"/>
        <v>3.7135963836460867E-2</v>
      </c>
      <c r="AI179" s="23">
        <f t="shared" si="226"/>
        <v>5.1948051948052685E-3</v>
      </c>
      <c r="AJ179" s="24">
        <f t="shared" si="233"/>
        <v>1.345233522374421E-2</v>
      </c>
      <c r="AK179" s="24">
        <f t="shared" si="234"/>
        <v>6.4935064935065857E-4</v>
      </c>
      <c r="AL179" s="25">
        <f t="shared" si="235"/>
        <v>0.13939698657652136</v>
      </c>
      <c r="AM179" s="25">
        <f t="shared" si="236"/>
        <v>5.1948051948052685E-3</v>
      </c>
      <c r="AN179" s="378">
        <f t="shared" si="237"/>
        <v>2.7916780407507811E-2</v>
      </c>
      <c r="AO179" s="379">
        <f t="shared" si="238"/>
        <v>1.8366409900949547E-3</v>
      </c>
    </row>
    <row r="180" spans="1:41">
      <c r="A180" s="201" t="s">
        <v>182</v>
      </c>
      <c r="B180" s="322">
        <v>373153756.23000002</v>
      </c>
      <c r="C180" s="326">
        <v>27.77</v>
      </c>
      <c r="D180" s="322">
        <v>370231469.66000003</v>
      </c>
      <c r="E180" s="326">
        <v>27.8</v>
      </c>
      <c r="F180" s="23">
        <f t="shared" si="211"/>
        <v>-7.8313202566257668E-3</v>
      </c>
      <c r="G180" s="23">
        <f t="shared" si="212"/>
        <v>1.0803024846957558E-3</v>
      </c>
      <c r="H180" s="322">
        <v>371226490.92000002</v>
      </c>
      <c r="I180" s="326">
        <v>27.8</v>
      </c>
      <c r="J180" s="23">
        <f t="shared" si="213"/>
        <v>2.6875653247784761E-3</v>
      </c>
      <c r="K180" s="23">
        <f t="shared" si="214"/>
        <v>0</v>
      </c>
      <c r="L180" s="322">
        <v>364534747.94</v>
      </c>
      <c r="M180" s="326">
        <v>27.8</v>
      </c>
      <c r="N180" s="23">
        <f t="shared" si="215"/>
        <v>-1.8026038398865511E-2</v>
      </c>
      <c r="O180" s="23">
        <f t="shared" si="216"/>
        <v>0</v>
      </c>
      <c r="P180" s="322">
        <v>362040379.38999999</v>
      </c>
      <c r="Q180" s="326">
        <v>27.8</v>
      </c>
      <c r="R180" s="23">
        <f t="shared" si="217"/>
        <v>-6.8426084594014301E-3</v>
      </c>
      <c r="S180" s="23">
        <f t="shared" si="218"/>
        <v>0</v>
      </c>
      <c r="T180" s="322">
        <v>386379305.58999997</v>
      </c>
      <c r="U180" s="326">
        <v>27.8</v>
      </c>
      <c r="V180" s="23">
        <f t="shared" si="219"/>
        <v>6.7227103896555743E-2</v>
      </c>
      <c r="W180" s="23">
        <f t="shared" si="220"/>
        <v>0</v>
      </c>
      <c r="X180" s="322">
        <v>404605814.07999998</v>
      </c>
      <c r="Y180" s="326">
        <v>27.8</v>
      </c>
      <c r="Z180" s="23">
        <f t="shared" si="221"/>
        <v>4.717257944798102E-2</v>
      </c>
      <c r="AA180" s="23">
        <f t="shared" si="222"/>
        <v>0</v>
      </c>
      <c r="AB180" s="322">
        <v>404605814.07999998</v>
      </c>
      <c r="AC180" s="326">
        <v>27.8</v>
      </c>
      <c r="AD180" s="23">
        <f t="shared" si="223"/>
        <v>0</v>
      </c>
      <c r="AE180" s="23">
        <f t="shared" si="224"/>
        <v>0</v>
      </c>
      <c r="AF180" s="322">
        <v>393235014.62</v>
      </c>
      <c r="AG180" s="326">
        <v>27.9</v>
      </c>
      <c r="AH180" s="23">
        <f t="shared" si="225"/>
        <v>-2.8103401049377176E-2</v>
      </c>
      <c r="AI180" s="23">
        <f t="shared" si="226"/>
        <v>3.5971223021581968E-3</v>
      </c>
      <c r="AJ180" s="24">
        <f t="shared" si="233"/>
        <v>7.0354850631306693E-3</v>
      </c>
      <c r="AK180" s="24">
        <f t="shared" si="234"/>
        <v>5.8467809835674412E-4</v>
      </c>
      <c r="AL180" s="25">
        <f t="shared" si="235"/>
        <v>6.2132873202607963E-2</v>
      </c>
      <c r="AM180" s="25">
        <f t="shared" si="236"/>
        <v>3.5971223021581968E-3</v>
      </c>
      <c r="AN180" s="378">
        <f t="shared" si="237"/>
        <v>3.2904329796007679E-2</v>
      </c>
      <c r="AO180" s="379">
        <f t="shared" si="238"/>
        <v>1.2745618006391305E-3</v>
      </c>
    </row>
    <row r="181" spans="1:41">
      <c r="A181" s="201" t="s">
        <v>32</v>
      </c>
      <c r="B181" s="322">
        <v>701395164.20000005</v>
      </c>
      <c r="C181" s="326">
        <v>15797.9</v>
      </c>
      <c r="D181" s="322">
        <v>696249436</v>
      </c>
      <c r="E181" s="326">
        <v>15682</v>
      </c>
      <c r="F181" s="23">
        <f t="shared" si="211"/>
        <v>-7.3364181315238777E-3</v>
      </c>
      <c r="G181" s="23">
        <f t="shared" si="212"/>
        <v>-7.3364181315237875E-3</v>
      </c>
      <c r="H181" s="322">
        <v>621572000</v>
      </c>
      <c r="I181" s="326">
        <v>14000</v>
      </c>
      <c r="J181" s="23">
        <f t="shared" si="213"/>
        <v>-0.10725672745823236</v>
      </c>
      <c r="K181" s="23">
        <f t="shared" si="214"/>
        <v>-0.10725672745823236</v>
      </c>
      <c r="L181" s="322">
        <v>630452043.98000002</v>
      </c>
      <c r="M181" s="326">
        <v>14200.01</v>
      </c>
      <c r="N181" s="23">
        <f t="shared" si="215"/>
        <v>1.4286428571428603E-2</v>
      </c>
      <c r="O181" s="23">
        <f t="shared" si="216"/>
        <v>1.4286428571428587E-2</v>
      </c>
      <c r="P181" s="322">
        <v>621572000</v>
      </c>
      <c r="Q181" s="326">
        <v>14000</v>
      </c>
      <c r="R181" s="23">
        <f t="shared" si="217"/>
        <v>-1.4085201348449785E-2</v>
      </c>
      <c r="S181" s="23">
        <f t="shared" si="218"/>
        <v>-1.4085201348449769E-2</v>
      </c>
      <c r="T181" s="322">
        <v>621572000</v>
      </c>
      <c r="U181" s="326">
        <v>14000</v>
      </c>
      <c r="V181" s="23">
        <f t="shared" si="219"/>
        <v>0</v>
      </c>
      <c r="W181" s="23">
        <f t="shared" si="220"/>
        <v>0</v>
      </c>
      <c r="X181" s="322">
        <v>577174000</v>
      </c>
      <c r="Y181" s="326">
        <v>13000</v>
      </c>
      <c r="Z181" s="23">
        <f t="shared" si="221"/>
        <v>-7.1428571428571425E-2</v>
      </c>
      <c r="AA181" s="23">
        <f t="shared" si="222"/>
        <v>-7.1428571428571425E-2</v>
      </c>
      <c r="AB181" s="322">
        <v>630380600</v>
      </c>
      <c r="AC181" s="326">
        <v>14200</v>
      </c>
      <c r="AD181" s="23">
        <f t="shared" si="223"/>
        <v>9.2184679143551163E-2</v>
      </c>
      <c r="AE181" s="23">
        <f t="shared" si="224"/>
        <v>9.2307692307692313E-2</v>
      </c>
      <c r="AF181" s="322">
        <v>577109000</v>
      </c>
      <c r="AG181" s="326">
        <v>13000</v>
      </c>
      <c r="AH181" s="23">
        <f t="shared" si="225"/>
        <v>-8.4507042253521125E-2</v>
      </c>
      <c r="AI181" s="23">
        <f t="shared" si="226"/>
        <v>-8.4507042253521125E-2</v>
      </c>
      <c r="AJ181" s="24">
        <f t="shared" si="233"/>
        <v>-2.2267856613164851E-2</v>
      </c>
      <c r="AK181" s="24">
        <f t="shared" si="234"/>
        <v>-2.2252479967647197E-2</v>
      </c>
      <c r="AL181" s="25">
        <f t="shared" si="235"/>
        <v>-0.17111746141507825</v>
      </c>
      <c r="AM181" s="25">
        <f t="shared" si="236"/>
        <v>-0.17102410406835863</v>
      </c>
      <c r="AN181" s="378">
        <f t="shared" si="237"/>
        <v>6.4070229463804182E-2</v>
      </c>
      <c r="AO181" s="379">
        <f t="shared" si="238"/>
        <v>6.4070229463804182E-2</v>
      </c>
    </row>
    <row r="182" spans="1:41">
      <c r="A182" s="201" t="s">
        <v>94</v>
      </c>
      <c r="B182" s="322">
        <v>913584473.54999995</v>
      </c>
      <c r="C182" s="326">
        <v>85</v>
      </c>
      <c r="D182" s="322">
        <v>904419756.62</v>
      </c>
      <c r="E182" s="326">
        <v>93.5</v>
      </c>
      <c r="F182" s="23">
        <f t="shared" si="211"/>
        <v>-1.0031603201822987E-2</v>
      </c>
      <c r="G182" s="23">
        <f t="shared" si="212"/>
        <v>0.1</v>
      </c>
      <c r="H182" s="322">
        <v>914158634.20000005</v>
      </c>
      <c r="I182" s="326">
        <v>93.5</v>
      </c>
      <c r="J182" s="23">
        <f t="shared" si="213"/>
        <v>1.076809469133691E-2</v>
      </c>
      <c r="K182" s="23">
        <f t="shared" si="214"/>
        <v>0</v>
      </c>
      <c r="L182" s="322">
        <v>842451986.74000001</v>
      </c>
      <c r="M182" s="326">
        <v>102.8</v>
      </c>
      <c r="N182" s="23">
        <f t="shared" si="215"/>
        <v>-7.844004834319819E-2</v>
      </c>
      <c r="O182" s="23">
        <f t="shared" si="216"/>
        <v>9.9465240641711195E-2</v>
      </c>
      <c r="P182" s="322">
        <v>847118276.70000005</v>
      </c>
      <c r="Q182" s="326">
        <v>113.08</v>
      </c>
      <c r="R182" s="23">
        <f t="shared" si="217"/>
        <v>5.5389387566844948E-3</v>
      </c>
      <c r="S182" s="23">
        <f t="shared" si="218"/>
        <v>0.10000000000000002</v>
      </c>
      <c r="T182" s="322">
        <v>873484399.74000001</v>
      </c>
      <c r="U182" s="326">
        <v>159.80000000000001</v>
      </c>
      <c r="V182" s="23">
        <f t="shared" si="219"/>
        <v>3.1124488474868907E-2</v>
      </c>
      <c r="W182" s="23">
        <f t="shared" si="220"/>
        <v>0.41315882561018757</v>
      </c>
      <c r="X182" s="322">
        <v>885927492.50999999</v>
      </c>
      <c r="Y182" s="326">
        <v>212.66</v>
      </c>
      <c r="Z182" s="23">
        <f t="shared" si="221"/>
        <v>1.4245352033423576E-2</v>
      </c>
      <c r="AA182" s="23">
        <f t="shared" si="222"/>
        <v>0.33078848560700863</v>
      </c>
      <c r="AB182" s="322">
        <v>877612571.36000001</v>
      </c>
      <c r="AC182" s="326">
        <v>205</v>
      </c>
      <c r="AD182" s="23">
        <f t="shared" si="223"/>
        <v>-9.3855549357004745E-3</v>
      </c>
      <c r="AE182" s="23">
        <f t="shared" si="224"/>
        <v>-3.6019937929088669E-2</v>
      </c>
      <c r="AF182" s="322">
        <v>883939863.95000005</v>
      </c>
      <c r="AG182" s="326">
        <v>205</v>
      </c>
      <c r="AH182" s="23">
        <f t="shared" si="225"/>
        <v>7.2096649438315235E-3</v>
      </c>
      <c r="AI182" s="23">
        <f t="shared" si="226"/>
        <v>0</v>
      </c>
      <c r="AJ182" s="24">
        <f t="shared" si="233"/>
        <v>-3.6213334475720298E-3</v>
      </c>
      <c r="AK182" s="24">
        <f t="shared" si="234"/>
        <v>0.12592407674122735</v>
      </c>
      <c r="AL182" s="25">
        <f t="shared" si="235"/>
        <v>-2.2644234073940919E-2</v>
      </c>
      <c r="AM182" s="25">
        <f t="shared" si="236"/>
        <v>1.1925133689839573</v>
      </c>
      <c r="AN182" s="378">
        <f t="shared" si="237"/>
        <v>3.2965187812595234E-2</v>
      </c>
      <c r="AO182" s="379">
        <f t="shared" si="238"/>
        <v>0.15876810642811234</v>
      </c>
    </row>
    <row r="183" spans="1:41">
      <c r="A183" s="201" t="s">
        <v>40</v>
      </c>
      <c r="B183" s="322">
        <v>585327326.66999996</v>
      </c>
      <c r="C183" s="326">
        <v>220.5</v>
      </c>
      <c r="D183" s="322">
        <v>577083235.82000005</v>
      </c>
      <c r="E183" s="326">
        <v>237.6</v>
      </c>
      <c r="F183" s="23">
        <f t="shared" si="211"/>
        <v>-1.4084582206167554E-2</v>
      </c>
      <c r="G183" s="23">
        <f t="shared" si="212"/>
        <v>7.7551020408163238E-2</v>
      </c>
      <c r="H183" s="322">
        <v>578774054.28999996</v>
      </c>
      <c r="I183" s="326">
        <v>244.98</v>
      </c>
      <c r="J183" s="23">
        <f t="shared" si="213"/>
        <v>2.9299386380499505E-3</v>
      </c>
      <c r="K183" s="23">
        <f t="shared" si="214"/>
        <v>3.1060606060606042E-2</v>
      </c>
      <c r="L183" s="322">
        <v>563848388.20000005</v>
      </c>
      <c r="M183" s="326">
        <v>244.99</v>
      </c>
      <c r="N183" s="23">
        <f t="shared" si="215"/>
        <v>-2.5788416013758066E-2</v>
      </c>
      <c r="O183" s="23">
        <f t="shared" si="216"/>
        <v>4.0819658747731761E-5</v>
      </c>
      <c r="P183" s="322">
        <v>575459072.04999995</v>
      </c>
      <c r="Q183" s="326">
        <v>212</v>
      </c>
      <c r="R183" s="23">
        <f t="shared" si="217"/>
        <v>2.0591854287400273E-2</v>
      </c>
      <c r="S183" s="23">
        <f t="shared" si="218"/>
        <v>-0.13465855749214256</v>
      </c>
      <c r="T183" s="322">
        <v>592931630.91999996</v>
      </c>
      <c r="U183" s="326">
        <v>260</v>
      </c>
      <c r="V183" s="23">
        <f t="shared" si="219"/>
        <v>3.0362817650534606E-2</v>
      </c>
      <c r="W183" s="23">
        <f t="shared" si="220"/>
        <v>0.22641509433962265</v>
      </c>
      <c r="X183" s="322">
        <v>596822445.79999995</v>
      </c>
      <c r="Y183" s="326">
        <v>253</v>
      </c>
      <c r="Z183" s="23">
        <f t="shared" si="221"/>
        <v>6.5619958138562438E-3</v>
      </c>
      <c r="AA183" s="23">
        <f t="shared" si="222"/>
        <v>-2.6923076923076925E-2</v>
      </c>
      <c r="AB183" s="322">
        <v>589894658.48000002</v>
      </c>
      <c r="AC183" s="326">
        <v>280</v>
      </c>
      <c r="AD183" s="23">
        <f t="shared" si="223"/>
        <v>-1.1607786149386028E-2</v>
      </c>
      <c r="AE183" s="23">
        <f t="shared" si="224"/>
        <v>0.1067193675889328</v>
      </c>
      <c r="AF183" s="322">
        <v>588610293.54999995</v>
      </c>
      <c r="AG183" s="326">
        <v>288</v>
      </c>
      <c r="AH183" s="23">
        <f t="shared" si="225"/>
        <v>-2.1772784539353688E-3</v>
      </c>
      <c r="AI183" s="23">
        <f t="shared" si="226"/>
        <v>2.8571428571428571E-2</v>
      </c>
      <c r="AJ183" s="24">
        <f t="shared" si="233"/>
        <v>8.4856794582425664E-4</v>
      </c>
      <c r="AK183" s="24">
        <f t="shared" si="234"/>
        <v>3.8597087776535192E-2</v>
      </c>
      <c r="AL183" s="25">
        <f t="shared" si="235"/>
        <v>1.9974688250336461E-2</v>
      </c>
      <c r="AM183" s="25">
        <f t="shared" si="236"/>
        <v>0.21212121212121215</v>
      </c>
      <c r="AN183" s="378">
        <f t="shared" si="237"/>
        <v>1.8495976569684772E-2</v>
      </c>
      <c r="AO183" s="379">
        <f t="shared" si="238"/>
        <v>0.10248183547675653</v>
      </c>
    </row>
    <row r="184" spans="1:41">
      <c r="A184" s="201" t="s">
        <v>50</v>
      </c>
      <c r="B184" s="322">
        <v>192688040.13999999</v>
      </c>
      <c r="C184" s="326">
        <v>8.7100000000000009</v>
      </c>
      <c r="D184" s="322">
        <v>197155230.56</v>
      </c>
      <c r="E184" s="326">
        <v>8.91</v>
      </c>
      <c r="F184" s="23">
        <f t="shared" si="211"/>
        <v>2.3183537581026419E-2</v>
      </c>
      <c r="G184" s="23">
        <f t="shared" si="212"/>
        <v>2.2962112514351235E-2</v>
      </c>
      <c r="H184" s="322">
        <v>195116441.81</v>
      </c>
      <c r="I184" s="326">
        <v>8.83</v>
      </c>
      <c r="J184" s="23">
        <f t="shared" si="213"/>
        <v>-1.0341033023618098E-2</v>
      </c>
      <c r="K184" s="23">
        <f t="shared" si="214"/>
        <v>-8.9786756453423197E-3</v>
      </c>
      <c r="L184" s="322">
        <v>199819185.72999999</v>
      </c>
      <c r="M184" s="326">
        <v>9.0399999999999991</v>
      </c>
      <c r="N184" s="23">
        <f t="shared" si="215"/>
        <v>2.4102243134278827E-2</v>
      </c>
      <c r="O184" s="23">
        <f t="shared" si="216"/>
        <v>2.3782559456398535E-2</v>
      </c>
      <c r="P184" s="322">
        <v>223519089.94</v>
      </c>
      <c r="Q184" s="326">
        <v>10.08</v>
      </c>
      <c r="R184" s="23">
        <f t="shared" si="217"/>
        <v>0.11860675001460487</v>
      </c>
      <c r="S184" s="23">
        <f t="shared" si="218"/>
        <v>0.11504424778761073</v>
      </c>
      <c r="T184" s="322">
        <v>240727083.00999999</v>
      </c>
      <c r="U184" s="326">
        <v>10.84</v>
      </c>
      <c r="V184" s="23">
        <f t="shared" si="219"/>
        <v>7.6986681874103874E-2</v>
      </c>
      <c r="W184" s="23">
        <f t="shared" si="220"/>
        <v>7.5396825396825379E-2</v>
      </c>
      <c r="X184" s="322">
        <v>249157734.88</v>
      </c>
      <c r="Y184" s="326">
        <v>11.08</v>
      </c>
      <c r="Z184" s="23">
        <f t="shared" si="221"/>
        <v>3.5021617694963675E-2</v>
      </c>
      <c r="AA184" s="23">
        <f t="shared" si="222"/>
        <v>2.2140221402214041E-2</v>
      </c>
      <c r="AB184" s="322">
        <v>244398156.22</v>
      </c>
      <c r="AC184" s="326">
        <v>10.87</v>
      </c>
      <c r="AD184" s="23">
        <f t="shared" si="223"/>
        <v>-1.9102672699654769E-2</v>
      </c>
      <c r="AE184" s="23">
        <f t="shared" si="224"/>
        <v>-1.895306859205784E-2</v>
      </c>
      <c r="AF184" s="322">
        <v>251661465.49000001</v>
      </c>
      <c r="AG184" s="326">
        <v>11.2</v>
      </c>
      <c r="AH184" s="23">
        <f t="shared" si="225"/>
        <v>2.9719165571207479E-2</v>
      </c>
      <c r="AI184" s="23">
        <f t="shared" si="226"/>
        <v>3.0358785648574065E-2</v>
      </c>
      <c r="AJ184" s="24">
        <f t="shared" si="233"/>
        <v>3.4772036268364032E-2</v>
      </c>
      <c r="AK184" s="24">
        <f t="shared" si="234"/>
        <v>3.2719125996071727E-2</v>
      </c>
      <c r="AL184" s="25">
        <f t="shared" si="235"/>
        <v>0.27646354994072647</v>
      </c>
      <c r="AM184" s="25">
        <f t="shared" si="236"/>
        <v>0.25701459034792357</v>
      </c>
      <c r="AN184" s="378">
        <f t="shared" si="237"/>
        <v>4.4756069660814163E-2</v>
      </c>
      <c r="AO184" s="379">
        <f t="shared" si="238"/>
        <v>4.3614480476768192E-2</v>
      </c>
    </row>
    <row r="185" spans="1:41">
      <c r="A185" s="201" t="s">
        <v>59</v>
      </c>
      <c r="B185" s="75">
        <v>576424197.48000002</v>
      </c>
      <c r="C185" s="326">
        <v>6.93</v>
      </c>
      <c r="D185" s="75">
        <v>564654288.44000006</v>
      </c>
      <c r="E185" s="326">
        <v>6.78</v>
      </c>
      <c r="F185" s="23">
        <f t="shared" si="211"/>
        <v>-2.0418832331216174E-2</v>
      </c>
      <c r="G185" s="23">
        <f t="shared" si="212"/>
        <v>-2.1645021645021568E-2</v>
      </c>
      <c r="H185" s="75">
        <v>571169548.72000003</v>
      </c>
      <c r="I185" s="326">
        <v>6.87</v>
      </c>
      <c r="J185" s="23">
        <f t="shared" si="213"/>
        <v>1.1538494284706527E-2</v>
      </c>
      <c r="K185" s="23">
        <f t="shared" si="214"/>
        <v>1.327433628318582E-2</v>
      </c>
      <c r="L185" s="75">
        <v>559942467.96000004</v>
      </c>
      <c r="M185" s="326">
        <v>6.73</v>
      </c>
      <c r="N185" s="23">
        <f t="shared" si="215"/>
        <v>-1.9656301329719093E-2</v>
      </c>
      <c r="O185" s="23">
        <f t="shared" si="216"/>
        <v>-2.0378457059679719E-2</v>
      </c>
      <c r="P185" s="75">
        <v>540966994.87</v>
      </c>
      <c r="Q185" s="326">
        <v>6.49</v>
      </c>
      <c r="R185" s="23">
        <f t="shared" si="217"/>
        <v>-3.3888254911494879E-2</v>
      </c>
      <c r="S185" s="23">
        <f t="shared" si="218"/>
        <v>-3.5661218424962879E-2</v>
      </c>
      <c r="T185" s="75">
        <v>566676527.20000005</v>
      </c>
      <c r="U185" s="326">
        <v>6.82</v>
      </c>
      <c r="V185" s="23">
        <f t="shared" si="219"/>
        <v>4.7525140302096085E-2</v>
      </c>
      <c r="W185" s="23">
        <f t="shared" si="220"/>
        <v>5.0847457627118654E-2</v>
      </c>
      <c r="X185" s="75">
        <v>595799387.82000005</v>
      </c>
      <c r="Y185" s="326">
        <v>7.19</v>
      </c>
      <c r="Z185" s="23">
        <f t="shared" si="221"/>
        <v>5.1392389171117943E-2</v>
      </c>
      <c r="AA185" s="23">
        <f t="shared" si="222"/>
        <v>5.425219941348975E-2</v>
      </c>
      <c r="AB185" s="75">
        <v>577269462.83000004</v>
      </c>
      <c r="AC185" s="326">
        <v>6.96</v>
      </c>
      <c r="AD185" s="23">
        <f t="shared" si="223"/>
        <v>-3.110094667569242E-2</v>
      </c>
      <c r="AE185" s="23">
        <f t="shared" si="224"/>
        <v>-3.1988873435326901E-2</v>
      </c>
      <c r="AF185" s="75">
        <v>581595539.76999998</v>
      </c>
      <c r="AG185" s="326">
        <v>7</v>
      </c>
      <c r="AH185" s="23">
        <f t="shared" si="225"/>
        <v>7.4940339279195916E-3</v>
      </c>
      <c r="AI185" s="23">
        <f t="shared" si="226"/>
        <v>5.7471264367816143E-3</v>
      </c>
      <c r="AJ185" s="24">
        <f t="shared" si="233"/>
        <v>1.6107153047146979E-3</v>
      </c>
      <c r="AK185" s="24">
        <f t="shared" si="234"/>
        <v>1.8059436494480966E-3</v>
      </c>
      <c r="AL185" s="25">
        <f t="shared" si="235"/>
        <v>3.0002873752724708E-2</v>
      </c>
      <c r="AM185" s="25">
        <f t="shared" si="236"/>
        <v>3.2448377581120909E-2</v>
      </c>
      <c r="AN185" s="378">
        <f t="shared" si="237"/>
        <v>3.3779411292306424E-2</v>
      </c>
      <c r="AO185" s="379">
        <f t="shared" si="238"/>
        <v>3.5519381649539175E-2</v>
      </c>
    </row>
    <row r="186" spans="1:41">
      <c r="A186" s="201" t="s">
        <v>92</v>
      </c>
      <c r="B186" s="322">
        <v>507339964.98000002</v>
      </c>
      <c r="C186" s="326">
        <v>145.12</v>
      </c>
      <c r="D186" s="322">
        <v>506037376.98000002</v>
      </c>
      <c r="E186" s="326">
        <v>144.75</v>
      </c>
      <c r="F186" s="23">
        <f t="shared" si="211"/>
        <v>-2.56748549279249E-3</v>
      </c>
      <c r="G186" s="23">
        <f t="shared" si="212"/>
        <v>-2.549614112458686E-3</v>
      </c>
      <c r="H186" s="322">
        <v>504256502.29000002</v>
      </c>
      <c r="I186" s="326">
        <v>144.24</v>
      </c>
      <c r="J186" s="23">
        <f t="shared" si="213"/>
        <v>-3.5192552388682201E-3</v>
      </c>
      <c r="K186" s="23">
        <f t="shared" si="214"/>
        <v>-3.5233160621761031E-3</v>
      </c>
      <c r="L186" s="322">
        <v>500949975.83999997</v>
      </c>
      <c r="M186" s="326">
        <v>141.30000000000001</v>
      </c>
      <c r="N186" s="23">
        <f t="shared" si="215"/>
        <v>-6.5572311610935866E-3</v>
      </c>
      <c r="O186" s="23">
        <f t="shared" si="216"/>
        <v>-2.0382695507487503E-2</v>
      </c>
      <c r="P186" s="322">
        <v>496224413.14999998</v>
      </c>
      <c r="Q186" s="326">
        <v>141.96</v>
      </c>
      <c r="R186" s="23">
        <f t="shared" si="217"/>
        <v>-9.4332027505862389E-3</v>
      </c>
      <c r="S186" s="23">
        <f t="shared" si="218"/>
        <v>4.6709129511677038E-3</v>
      </c>
      <c r="T186" s="322">
        <v>498263793.85000002</v>
      </c>
      <c r="U186" s="326">
        <v>142.54</v>
      </c>
      <c r="V186" s="23">
        <f t="shared" si="219"/>
        <v>4.1097951772549705E-3</v>
      </c>
      <c r="W186" s="23">
        <f t="shared" si="220"/>
        <v>4.0856579318116655E-3</v>
      </c>
      <c r="X186" s="322">
        <v>496447067.19999999</v>
      </c>
      <c r="Y186" s="326">
        <v>142.02000000000001</v>
      </c>
      <c r="Z186" s="23">
        <f t="shared" si="221"/>
        <v>-3.6461141114880057E-3</v>
      </c>
      <c r="AA186" s="23">
        <f t="shared" si="222"/>
        <v>-3.6480987792898963E-3</v>
      </c>
      <c r="AB186" s="322">
        <v>493812313.94</v>
      </c>
      <c r="AC186" s="326">
        <v>141.27000000000001</v>
      </c>
      <c r="AD186" s="23">
        <f t="shared" si="223"/>
        <v>-5.3072189042433137E-3</v>
      </c>
      <c r="AE186" s="23">
        <f t="shared" si="224"/>
        <v>-5.2809463455851281E-3</v>
      </c>
      <c r="AF186" s="322">
        <v>494643556.45999998</v>
      </c>
      <c r="AG186" s="326">
        <v>141.51</v>
      </c>
      <c r="AH186" s="23">
        <f t="shared" si="225"/>
        <v>1.6833167106905722E-3</v>
      </c>
      <c r="AI186" s="23">
        <f t="shared" si="226"/>
        <v>1.6988744956464971E-3</v>
      </c>
      <c r="AJ186" s="24">
        <f t="shared" si="233"/>
        <v>-3.1546744713907889E-3</v>
      </c>
      <c r="AK186" s="24">
        <f t="shared" si="234"/>
        <v>-3.1161531785464315E-3</v>
      </c>
      <c r="AL186" s="25">
        <f t="shared" si="235"/>
        <v>-2.2515768673052692E-2</v>
      </c>
      <c r="AM186" s="25">
        <f t="shared" si="236"/>
        <v>-2.2383419689119236E-2</v>
      </c>
      <c r="AN186" s="378">
        <f t="shared" si="237"/>
        <v>4.3511682802463807E-3</v>
      </c>
      <c r="AO186" s="379">
        <f t="shared" si="238"/>
        <v>7.9227777836252591E-3</v>
      </c>
    </row>
    <row r="187" spans="1:41">
      <c r="A187" s="201" t="s">
        <v>30</v>
      </c>
      <c r="B187" s="322">
        <v>3453776496.79</v>
      </c>
      <c r="C187" s="326">
        <v>24.14</v>
      </c>
      <c r="D187" s="322">
        <v>3458506493.6799998</v>
      </c>
      <c r="E187" s="326">
        <v>24.18</v>
      </c>
      <c r="F187" s="23">
        <f t="shared" si="211"/>
        <v>1.3695144704343226E-3</v>
      </c>
      <c r="G187" s="23">
        <f t="shared" si="212"/>
        <v>1.6570008285003788E-3</v>
      </c>
      <c r="H187" s="322">
        <v>3467794816.6300001</v>
      </c>
      <c r="I187" s="326">
        <v>24.24</v>
      </c>
      <c r="J187" s="23">
        <f t="shared" si="213"/>
        <v>2.6856456586025115E-3</v>
      </c>
      <c r="K187" s="23">
        <f t="shared" si="214"/>
        <v>2.4813895781637188E-3</v>
      </c>
      <c r="L187" s="322">
        <v>3464666966.0700002</v>
      </c>
      <c r="M187" s="326">
        <v>24.06</v>
      </c>
      <c r="N187" s="23">
        <f t="shared" si="215"/>
        <v>-9.0197105809148919E-4</v>
      </c>
      <c r="O187" s="23">
        <f t="shared" si="216"/>
        <v>-7.4257425742574141E-3</v>
      </c>
      <c r="P187" s="322">
        <v>3537957378.96</v>
      </c>
      <c r="Q187" s="326">
        <v>24.56</v>
      </c>
      <c r="R187" s="23">
        <f t="shared" si="217"/>
        <v>2.1153667468690008E-2</v>
      </c>
      <c r="S187" s="23">
        <f t="shared" si="218"/>
        <v>2.0781379883624274E-2</v>
      </c>
      <c r="T187" s="322">
        <v>3649788764.3600001</v>
      </c>
      <c r="U187" s="326">
        <v>25.34</v>
      </c>
      <c r="V187" s="23">
        <f t="shared" si="219"/>
        <v>3.160902561038581E-2</v>
      </c>
      <c r="W187" s="23">
        <f t="shared" si="220"/>
        <v>3.1758957654723176E-2</v>
      </c>
      <c r="X187" s="322">
        <v>3677564501.5900002</v>
      </c>
      <c r="Y187" s="326">
        <v>25.33</v>
      </c>
      <c r="Z187" s="23">
        <f t="shared" si="221"/>
        <v>7.6102314471535081E-3</v>
      </c>
      <c r="AA187" s="23">
        <f t="shared" si="222"/>
        <v>-3.9463299131813588E-4</v>
      </c>
      <c r="AB187" s="322">
        <v>3644999523.2199998</v>
      </c>
      <c r="AC187" s="326">
        <v>25.26</v>
      </c>
      <c r="AD187" s="23">
        <f t="shared" si="223"/>
        <v>-8.8550393489824179E-3</v>
      </c>
      <c r="AE187" s="23">
        <f t="shared" si="224"/>
        <v>-2.7635215159888169E-3</v>
      </c>
      <c r="AF187" s="322">
        <v>3640501585.79</v>
      </c>
      <c r="AG187" s="326">
        <v>25.26</v>
      </c>
      <c r="AH187" s="23">
        <f t="shared" si="225"/>
        <v>-1.2340021998209596E-3</v>
      </c>
      <c r="AI187" s="23">
        <f t="shared" si="226"/>
        <v>0</v>
      </c>
      <c r="AJ187" s="24">
        <f t="shared" si="233"/>
        <v>6.679634006046411E-3</v>
      </c>
      <c r="AK187" s="24">
        <f t="shared" si="234"/>
        <v>5.7618538579308973E-3</v>
      </c>
      <c r="AL187" s="25">
        <f t="shared" si="235"/>
        <v>5.2622452044711797E-2</v>
      </c>
      <c r="AM187" s="25">
        <f t="shared" si="236"/>
        <v>4.4665012406947965E-2</v>
      </c>
      <c r="AN187" s="378">
        <f t="shared" si="237"/>
        <v>1.3295649041453132E-2</v>
      </c>
      <c r="AO187" s="379">
        <f t="shared" si="238"/>
        <v>1.4056396944038985E-2</v>
      </c>
    </row>
    <row r="188" spans="1:41">
      <c r="A188" s="201" t="s">
        <v>51</v>
      </c>
      <c r="B188" s="75">
        <v>296989283.70999998</v>
      </c>
      <c r="C188" s="326">
        <v>28.55</v>
      </c>
      <c r="D188" s="75">
        <v>297502295.94999999</v>
      </c>
      <c r="E188" s="326">
        <v>28.55</v>
      </c>
      <c r="F188" s="23">
        <f t="shared" si="211"/>
        <v>1.7273762662121798E-3</v>
      </c>
      <c r="G188" s="23">
        <f t="shared" si="212"/>
        <v>0</v>
      </c>
      <c r="H188" s="75">
        <v>296254914.07999998</v>
      </c>
      <c r="I188" s="326">
        <v>28.51</v>
      </c>
      <c r="J188" s="23">
        <f t="shared" si="213"/>
        <v>-4.1928478770787278E-3</v>
      </c>
      <c r="K188" s="23">
        <f t="shared" si="214"/>
        <v>-1.4010507880910384E-3</v>
      </c>
      <c r="L188" s="75">
        <v>299854466.44999999</v>
      </c>
      <c r="M188" s="326">
        <v>28.61</v>
      </c>
      <c r="N188" s="23">
        <f t="shared" si="215"/>
        <v>1.2150186204263232E-2</v>
      </c>
      <c r="O188" s="23">
        <f t="shared" si="216"/>
        <v>3.5075412136091849E-3</v>
      </c>
      <c r="P188" s="75">
        <v>299661540.26999998</v>
      </c>
      <c r="Q188" s="326">
        <v>28.61</v>
      </c>
      <c r="R188" s="23">
        <f t="shared" si="217"/>
        <v>-6.433993873230404E-4</v>
      </c>
      <c r="S188" s="23">
        <f t="shared" si="218"/>
        <v>0</v>
      </c>
      <c r="T188" s="75">
        <v>305064197.12</v>
      </c>
      <c r="U188" s="326">
        <v>29.17</v>
      </c>
      <c r="V188" s="23">
        <f t="shared" si="219"/>
        <v>1.8029196690146292E-2</v>
      </c>
      <c r="W188" s="23">
        <f t="shared" si="220"/>
        <v>1.9573575672841743E-2</v>
      </c>
      <c r="X188" s="75">
        <v>303525475.61000001</v>
      </c>
      <c r="Y188" s="326">
        <v>29.03</v>
      </c>
      <c r="Z188" s="23">
        <f t="shared" si="221"/>
        <v>-5.0439268997361864E-3</v>
      </c>
      <c r="AA188" s="23">
        <f t="shared" si="222"/>
        <v>-4.7994514912581615E-3</v>
      </c>
      <c r="AB188" s="75">
        <v>302641865.83999997</v>
      </c>
      <c r="AC188" s="326">
        <v>28.95</v>
      </c>
      <c r="AD188" s="23">
        <f t="shared" si="223"/>
        <v>-2.9111552110221914E-3</v>
      </c>
      <c r="AE188" s="23">
        <f t="shared" si="224"/>
        <v>-2.7557698932139801E-3</v>
      </c>
      <c r="AF188" s="75">
        <v>289745068.94</v>
      </c>
      <c r="AG188" s="326">
        <v>27.56</v>
      </c>
      <c r="AH188" s="23">
        <f t="shared" si="225"/>
        <v>-4.2614054285596517E-2</v>
      </c>
      <c r="AI188" s="23">
        <f t="shared" si="226"/>
        <v>-4.8013816925734046E-2</v>
      </c>
      <c r="AJ188" s="24">
        <f t="shared" si="233"/>
        <v>-2.9373280625168701E-3</v>
      </c>
      <c r="AK188" s="24">
        <f t="shared" si="234"/>
        <v>-4.2361215264807867E-3</v>
      </c>
      <c r="AL188" s="25">
        <f t="shared" si="235"/>
        <v>-2.6074511409161415E-2</v>
      </c>
      <c r="AM188" s="25">
        <f t="shared" si="236"/>
        <v>-3.4676007005254007E-2</v>
      </c>
      <c r="AN188" s="378">
        <f t="shared" si="237"/>
        <v>1.8025803725535763E-2</v>
      </c>
      <c r="AO188" s="379">
        <f t="shared" si="238"/>
        <v>1.9232968507981583E-2</v>
      </c>
    </row>
    <row r="189" spans="1:41" ht="15.75" thickBot="1">
      <c r="A189" s="202" t="s">
        <v>33</v>
      </c>
      <c r="B189" s="77">
        <f>SUM(B177:B188)</f>
        <v>9221542882.8766327</v>
      </c>
      <c r="C189" s="305"/>
      <c r="D189" s="77">
        <f>SUM(D177:D188)</f>
        <v>9177790077.7088909</v>
      </c>
      <c r="E189" s="305"/>
      <c r="F189" s="23">
        <f>((D189-B189)/B189)</f>
        <v>-4.7446295835142527E-3</v>
      </c>
      <c r="G189" s="208"/>
      <c r="H189" s="77">
        <f>SUM(H177:H188)</f>
        <v>9128705530.4407215</v>
      </c>
      <c r="I189" s="305"/>
      <c r="J189" s="23">
        <f>((H189-D189)/D189)</f>
        <v>-5.3481880553562068E-3</v>
      </c>
      <c r="K189" s="208"/>
      <c r="L189" s="77">
        <f>SUM(L177:L188)</f>
        <v>9026975170.9909229</v>
      </c>
      <c r="M189" s="305"/>
      <c r="N189" s="23">
        <f>((L189-H189)/H189)</f>
        <v>-1.1144007122430116E-2</v>
      </c>
      <c r="O189" s="208"/>
      <c r="P189" s="77">
        <f>SUM(P177:P188)</f>
        <v>9140755301.5800018</v>
      </c>
      <c r="Q189" s="305"/>
      <c r="R189" s="23">
        <f>((P189-L189)/L189)</f>
        <v>1.2604458130639663E-2</v>
      </c>
      <c r="S189" s="208"/>
      <c r="T189" s="77">
        <f>SUM(T177:T188)</f>
        <v>9428299368.073988</v>
      </c>
      <c r="U189" s="305"/>
      <c r="V189" s="23">
        <f>((T189-P189)/P189)</f>
        <v>3.1457363971255571E-2</v>
      </c>
      <c r="W189" s="208"/>
      <c r="X189" s="77">
        <f>SUM(X177:X188)</f>
        <v>9491073054.3852577</v>
      </c>
      <c r="Y189" s="305"/>
      <c r="Z189" s="23">
        <f>((X189-T189)/T189)</f>
        <v>6.6580073309756562E-3</v>
      </c>
      <c r="AA189" s="208"/>
      <c r="AB189" s="77">
        <f>SUM(AB177:AB188)</f>
        <v>9456116110.3399506</v>
      </c>
      <c r="AC189" s="305"/>
      <c r="AD189" s="23">
        <f>((AB189-X189)/X189)</f>
        <v>-3.683139287306997E-3</v>
      </c>
      <c r="AE189" s="208"/>
      <c r="AF189" s="77">
        <f>SUM(AF177:AF188)</f>
        <v>9402718935.5864506</v>
      </c>
      <c r="AG189" s="305"/>
      <c r="AH189" s="23">
        <f>((AF189-AB189)/AB189)</f>
        <v>-5.6468400060265692E-3</v>
      </c>
      <c r="AI189" s="208"/>
      <c r="AJ189" s="24">
        <f t="shared" si="233"/>
        <v>2.5191281722795936E-3</v>
      </c>
      <c r="AK189" s="24"/>
      <c r="AL189" s="25">
        <f t="shared" si="235"/>
        <v>2.4507954090589753E-2</v>
      </c>
      <c r="AM189" s="25"/>
      <c r="AN189" s="378">
        <f t="shared" si="237"/>
        <v>1.3952751687584747E-2</v>
      </c>
      <c r="AO189" s="379"/>
    </row>
    <row r="190" spans="1:41" ht="15.75" thickBot="1">
      <c r="A190" s="63" t="s">
        <v>43</v>
      </c>
      <c r="B190" s="221">
        <f>SUM(B169,B174,B189)</f>
        <v>2029098408141.9399</v>
      </c>
      <c r="C190" s="306"/>
      <c r="D190" s="221">
        <f>SUM(D169,D174,D189)</f>
        <v>2019862555518.3599</v>
      </c>
      <c r="E190" s="306"/>
      <c r="F190" s="208">
        <f>((D190-B190)/B190)</f>
        <v>-4.5517026609061383E-3</v>
      </c>
      <c r="G190" s="304"/>
      <c r="H190" s="221">
        <f>SUM(H169,H174,H189)</f>
        <v>2022742035234.8157</v>
      </c>
      <c r="I190" s="306"/>
      <c r="J190" s="208">
        <f>((H190-D190)/D190)</f>
        <v>1.425582007344478E-3</v>
      </c>
      <c r="K190" s="304"/>
      <c r="L190" s="221">
        <f>SUM(L169,L174,L189)</f>
        <v>2021078665008.1536</v>
      </c>
      <c r="M190" s="306"/>
      <c r="N190" s="208">
        <f>((L190-H190)/H190)</f>
        <v>-8.2233433511901693E-4</v>
      </c>
      <c r="O190" s="304"/>
      <c r="P190" s="221">
        <f>SUM(P169,P174,P189)</f>
        <v>2047059629930.6086</v>
      </c>
      <c r="Q190" s="306"/>
      <c r="R190" s="208">
        <f>((P190-L190)/L190)</f>
        <v>1.2854999348751358E-2</v>
      </c>
      <c r="S190" s="304"/>
      <c r="T190" s="221">
        <f>SUM(T169,T174,T189)</f>
        <v>2026903255616.8345</v>
      </c>
      <c r="U190" s="306"/>
      <c r="V190" s="208">
        <f>((T190-P190)/P190)</f>
        <v>-9.8465008146623612E-3</v>
      </c>
      <c r="W190" s="304"/>
      <c r="X190" s="221">
        <f>SUM(X169,X174,X189)</f>
        <v>2009579399929.2915</v>
      </c>
      <c r="Y190" s="306"/>
      <c r="Z190" s="208">
        <f>((X190-T190)/T190)</f>
        <v>-8.5469573545437477E-3</v>
      </c>
      <c r="AA190" s="304"/>
      <c r="AB190" s="221">
        <f>SUM(AB169,AB174,AB189)</f>
        <v>2034041060421.5012</v>
      </c>
      <c r="AC190" s="306"/>
      <c r="AD190" s="208">
        <f>((AB190-X190)/X190)</f>
        <v>1.217252749160865E-2</v>
      </c>
      <c r="AE190" s="304"/>
      <c r="AF190" s="221">
        <f>SUM(AF169,AF174,AF189)</f>
        <v>2031524247517.2651</v>
      </c>
      <c r="AG190" s="306"/>
      <c r="AH190" s="208">
        <f>((AF190-AB190)/AB190)</f>
        <v>-1.2373461643466238E-3</v>
      </c>
      <c r="AI190" s="304"/>
      <c r="AJ190" s="24">
        <f t="shared" si="233"/>
        <v>1.8103343976582476E-4</v>
      </c>
      <c r="AK190" s="24"/>
      <c r="AL190" s="25">
        <f t="shared" si="235"/>
        <v>5.7735076909292563E-3</v>
      </c>
      <c r="AM190" s="25"/>
      <c r="AN190" s="378">
        <f t="shared" si="237"/>
        <v>8.519899795818341E-3</v>
      </c>
      <c r="AO190" s="379"/>
    </row>
  </sheetData>
  <protectedRanges>
    <protectedRange password="CADF" sqref="B9" name="Fund Name_1_1_1_3_1_1_2"/>
    <protectedRange password="CADF" sqref="B16" name="Yield_2_1_2_5_6"/>
    <protectedRange password="CADF" sqref="C9" name="Fund Name_1_1_1_1_1_1_2"/>
    <protectedRange password="CADF" sqref="B46" name="Yield_2_1_2_3_1"/>
    <protectedRange password="CADF" sqref="B51" name="Yield_2_1_2_4_1"/>
    <protectedRange password="CADF" sqref="B76" name="Yield_2_1_2_1_1_6"/>
    <protectedRange password="CADF" sqref="C76" name="Fund Name_2_2_1_1_2"/>
    <protectedRange password="CADF" sqref="C75" name="BidOffer Prices_2_1_1_1_1_1_1_1_1_1_7"/>
    <protectedRange password="CADF" sqref="B92:B93" name="Yield_2_1_2_6_3_6"/>
    <protectedRange password="CADF" sqref="B135 B143:B144" name="Fund Name_1_1_1_2_8"/>
    <protectedRange password="CADF" sqref="C135 C143:C144" name="Fund Name_1_1_1_1_2_2"/>
    <protectedRange password="CADF" sqref="D9" name="Fund Name_1_1_1_3_1_1_3"/>
    <protectedRange password="CADF" sqref="D16" name="Yield_2_1_2_5_7"/>
    <protectedRange password="CADF" sqref="E9" name="Fund Name_1_1_1_1_1_1_3"/>
    <protectedRange password="CADF" sqref="D46" name="Yield_2_1_2_3_1_2"/>
    <protectedRange password="CADF" sqref="D51" name="Yield_2_1_2_4_1_2"/>
    <protectedRange password="CADF" sqref="D92:D93" name="Yield_2_1_2_6_3_7"/>
    <protectedRange password="CADF" sqref="D135 D143:D144" name="Fund Name_1_1_1_2_3"/>
    <protectedRange password="CADF" sqref="E135 E143:E144" name="Fund Name_1_1_1_1_2_3"/>
    <protectedRange password="CADF" sqref="D76" name="Yield_2_1_2_1_1_7"/>
    <protectedRange password="CADF" sqref="E76" name="Fund Name_2_2_1_1_8"/>
    <protectedRange password="CADF" sqref="E75" name="BidOffer Prices_2_1_1_1_1_1_1_1_1_1_8"/>
    <protectedRange password="CADF" sqref="H9" name="Fund Name_1_1_1_3_1_1_8"/>
    <protectedRange password="CADF" sqref="H16" name="Yield_2_1_2_5_8"/>
    <protectedRange password="CADF" sqref="I9" name="Fund Name_1_1_1_1_1_1_7"/>
    <protectedRange password="CADF" sqref="H46" name="Yield_2_1_2_3_1_8"/>
    <protectedRange password="CADF" sqref="H51" name="Yield_2_1_2_4_1_8"/>
    <protectedRange password="CADF" sqref="H76" name="Yield_2_1_2_1_1_8"/>
    <protectedRange password="CADF" sqref="I76" name="Fund Name_2_2_1_1_9"/>
    <protectedRange password="CADF" sqref="I75" name="BidOffer Prices_2_1_1_1_1_1_1_1_1_1_9"/>
    <protectedRange password="CADF" sqref="H92:H93" name="Yield_2_1_2_6_3_8"/>
    <protectedRange password="CADF" sqref="H135 H143:H144" name="Fund Name_1_1_1_2_7"/>
    <protectedRange password="CADF" sqref="I135 I143:I144" name="Fund Name_1_1_1_1_2_8"/>
    <protectedRange password="CADF" sqref="L9" name="Fund Name_1_1_1_3_1_1_4"/>
    <protectedRange password="CADF" sqref="L16" name="Yield_2_1_2_5_9"/>
    <protectedRange password="CADF" sqref="M9" name="Fund Name_1_1_1_1_1_1_4"/>
    <protectedRange password="CADF" sqref="L46" name="Yield_2_1_2_3_1_3"/>
    <protectedRange password="CADF" sqref="L51" name="Yield_2_1_2_4_1_3"/>
    <protectedRange password="CADF" sqref="L76" name="Yield_2_1_2_1_1_2"/>
    <protectedRange password="CADF" sqref="M76" name="Fund Name_2_2_1_1_3"/>
    <protectedRange password="CADF" sqref="M75" name="BidOffer Prices_2_1_1_1_1_1_1_1_1_1"/>
    <protectedRange password="CADF" sqref="L135 L143:L144" name="Fund Name_1_1_1_2"/>
    <protectedRange password="CADF" sqref="M135 M143:M144" name="Fund Name_1_1_1_1_2_4"/>
    <protectedRange password="CADF" sqref="L92:L93" name="Yield_2_1_2_6_3"/>
    <protectedRange password="CADF" sqref="P9" name="Fund Name_1_1_1_3_1_1"/>
    <protectedRange password="CADF" sqref="P16" name="Yield_2_1_2_5"/>
    <protectedRange password="CADF" sqref="Q9" name="Fund Name_1_1_1_1_1_1"/>
    <protectedRange password="CADF" sqref="P46" name="Yield_2_1_2_3_1_4"/>
    <protectedRange password="CADF" sqref="P51" name="Yield_2_1_2_4_1_4"/>
    <protectedRange password="CADF" sqref="P76" name="Yield_2_1_2_1_1_3"/>
    <protectedRange password="CADF" sqref="Q76" name="Fund Name_2_2_1_1_4"/>
    <protectedRange password="CADF" sqref="Q75" name="BidOffer Prices_2_1_1_1_1_1_1_1_1_1_3"/>
    <protectedRange password="CADF" sqref="P92:P93" name="Yield_2_1_2_6_3_1"/>
    <protectedRange password="CADF" sqref="P135 P143:P144" name="Fund Name_1_1_1_2_4"/>
    <protectedRange password="CADF" sqref="Q135 Q143:Q144" name="Fund Name_1_1_1_1_2_5"/>
    <protectedRange password="CADF" sqref="T9" name="Fund Name_1_1_1_3_1_1_10"/>
    <protectedRange password="CADF" sqref="T16" name="Yield_2_1_2_5_10"/>
    <protectedRange password="CADF" sqref="U9" name="Fund Name_1_1_1_1_1_1_9"/>
    <protectedRange password="CADF" sqref="T46" name="Yield_2_1_2_3_1_9"/>
    <protectedRange password="CADF" sqref="T51" name="Yield_2_1_2_4_1_9"/>
    <protectedRange password="CADF" sqref="T76" name="Yield_2_1_2_1_1_9"/>
    <protectedRange password="CADF" sqref="U76" name="Fund Name_2_2_1_1_5"/>
    <protectedRange password="CADF" sqref="U75" name="BidOffer Prices_2_1_1_1_1_1_1_1_1_1_4"/>
    <protectedRange password="CADF" sqref="T92:T93" name="Yield_2_1_2_6_3_9"/>
    <protectedRange password="CADF" sqref="T135 T143:T144" name="Fund Name_1_1_1_2_9"/>
    <protectedRange password="CADF" sqref="U135 U143:U144" name="Fund Name_1_1_1_1_2_9"/>
    <protectedRange password="CADF" sqref="X9" name="Fund Name_1_1_1_3_1_1_5"/>
    <protectedRange password="CADF" sqref="X16" name="Yield_2_1_2_5_1"/>
    <protectedRange password="CADF" sqref="Y9" name="Fund Name_1_1_1_1_1_1_5"/>
    <protectedRange password="CADF" sqref="X46" name="Yield_2_1_2_3_1_5"/>
    <protectedRange password="CADF" sqref="X51" name="Yield_2_1_2_4_1_5"/>
    <protectedRange password="CADF" sqref="X76" name="Yield_2_1_2_1_1_4"/>
    <protectedRange password="CADF" sqref="Y76" name="Fund Name_2_2_1_1_6"/>
    <protectedRange password="CADF" sqref="Y75" name="BidOffer Prices_2_1_1_1_1_1_1_1_1_1_5"/>
    <protectedRange password="CADF" sqref="X92:X93" name="Yield_2_1_2_6_3_2"/>
    <protectedRange password="CADF" sqref="X135 X143:X144" name="Fund Name_1_1_1_2_5"/>
    <protectedRange password="CADF" sqref="Y135 Y143:Y144" name="Fund Name_1_1_1_1_2_6"/>
    <protectedRange password="CADF" sqref="AB9" name="Fund Name_1_1_1_3_1_1_6"/>
    <protectedRange password="CADF" sqref="AB16" name="Yield_2_1_2_5_2"/>
    <protectedRange password="CADF" sqref="AC9" name="Fund Name_1_1_1_1_1_1_6"/>
    <protectedRange password="CADF" sqref="AB46" name="Yield_2_1_2_3_1_6"/>
    <protectedRange password="CADF" sqref="AB51" name="Yield_2_1_2_4_1_6"/>
    <protectedRange password="CADF" sqref="AB76" name="Yield_2_1_2_1_1_5"/>
    <protectedRange password="CADF" sqref="AC76" name="Fund Name_2_2_1_1_7"/>
    <protectedRange password="CADF" sqref="AC75" name="BidOffer Prices_2_1_1_1_1_1_1_1_1_1_6"/>
    <protectedRange password="CADF" sqref="AB92:AB93" name="Yield_2_1_2_6_3_3"/>
    <protectedRange password="CADF" sqref="AB135 AB143:AB144" name="Fund Name_1_1_1_2_6"/>
    <protectedRange password="CADF" sqref="AC135 AC143:AC144" name="Fund Name_1_1_1_1_2_7"/>
    <protectedRange password="CADF" sqref="AF9" name="Fund Name_1_1_1_3_1_1_1"/>
    <protectedRange password="CADF" sqref="AF16" name="Yield_2_1_2_5_3"/>
    <protectedRange password="CADF" sqref="AG9" name="Fund Name_1_1_1_1_1_1_1"/>
    <protectedRange password="CADF" sqref="AF46" name="Yield_2_1_2_3_1_1"/>
    <protectedRange password="CADF" sqref="AF51" name="Yield_2_1_2_4_1_1"/>
    <protectedRange password="CADF" sqref="AF76" name="Yield_2_1_2_1_1_1"/>
    <protectedRange password="CADF" sqref="AG76" name="Fund Name_2_2_1_1"/>
    <protectedRange password="CADF" sqref="AG75" name="BidOffer Prices_2_1_1_1_1_1_1_1_1_1_1"/>
    <protectedRange password="CADF" sqref="AF92:AF93" name="Yield_2_1_2_6_3_4"/>
    <protectedRange password="CADF" sqref="AF135 AF143:AF144" name="Fund Name_1_1_1_2_1"/>
    <protectedRange password="CADF" sqref="AG135 AG143:AG144" name="Fund Name_1_1_1_1_2"/>
  </protectedRanges>
  <sortState ref="A174:AO185">
    <sortCondition ref="A174:A185"/>
  </sortState>
  <mergeCells count="32">
    <mergeCell ref="AQ2:AR2"/>
    <mergeCell ref="AQ127:AR127"/>
    <mergeCell ref="D2:E2"/>
    <mergeCell ref="F2:G2"/>
    <mergeCell ref="D176:E176"/>
    <mergeCell ref="H2:I2"/>
    <mergeCell ref="J2:K2"/>
    <mergeCell ref="H176:I176"/>
    <mergeCell ref="L2:M2"/>
    <mergeCell ref="L176:M176"/>
    <mergeCell ref="N2:O2"/>
    <mergeCell ref="P2:Q2"/>
    <mergeCell ref="R2:S2"/>
    <mergeCell ref="P176:Q176"/>
    <mergeCell ref="T176:U176"/>
    <mergeCell ref="X176:Y176"/>
    <mergeCell ref="A1:AO1"/>
    <mergeCell ref="AN2:AO2"/>
    <mergeCell ref="AL2:AM2"/>
    <mergeCell ref="AJ2:AK2"/>
    <mergeCell ref="T2:U2"/>
    <mergeCell ref="V2:W2"/>
    <mergeCell ref="X2:Y2"/>
    <mergeCell ref="Z2:AA2"/>
    <mergeCell ref="B2:C2"/>
    <mergeCell ref="B176:C176"/>
    <mergeCell ref="AF2:AG2"/>
    <mergeCell ref="AH2:AI2"/>
    <mergeCell ref="AF176:AG176"/>
    <mergeCell ref="AB2:AC2"/>
    <mergeCell ref="AD2:AE2"/>
    <mergeCell ref="AB176:AC176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Data</vt:lpstr>
      <vt:lpstr>Market Share</vt:lpstr>
      <vt:lpstr>NAV Trend</vt:lpstr>
      <vt:lpstr>Volatility Measure</vt:lpstr>
      <vt:lpstr>NAV COMPARISON</vt:lpstr>
      <vt:lpstr>Total NAV</vt:lpstr>
      <vt:lpstr>Sector Trend</vt:lpstr>
      <vt:lpstr>Data!OLE_LINK6</vt:lpstr>
      <vt:lpstr>Data!Print_Area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2023-09-28T15:07:01Z</dcterms:modified>
</cp:coreProperties>
</file>