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' Spreadsheet\2022\"/>
    </mc:Choice>
  </mc:AlternateContent>
  <bookViews>
    <workbookView xWindow="0" yWindow="0" windowWidth="20490" windowHeight="6750"/>
  </bookViews>
  <sheets>
    <sheet name="DECEMBER 2022" sheetId="1" r:id="rId1"/>
    <sheet name="Market Share" sheetId="2" r:id="rId2"/>
    <sheet name="Unit Holders" sheetId="3" r:id="rId3"/>
    <sheet name="NAV Comparison Oct - Dec '22" sheetId="4" r:id="rId4"/>
  </sheets>
  <definedNames>
    <definedName name="_xlnm._FilterDatabase" localSheetId="0" hidden="1">'DECEMBER 2022'!$A$1:$AE$92</definedName>
    <definedName name="_Hlk108107245" localSheetId="0">'DECEMBER 2022'!$R$44</definedName>
    <definedName name="_Hlk108109806" localSheetId="0">'DECEMBER 2022'!$N$44</definedName>
  </definedNames>
  <calcPr calcId="162913"/>
</workbook>
</file>

<file path=xl/calcChain.xml><?xml version="1.0" encoding="utf-8"?>
<calcChain xmlns="http://schemas.openxmlformats.org/spreadsheetml/2006/main">
  <c r="S151" i="1" l="1"/>
  <c r="T151" i="1"/>
  <c r="U151" i="1"/>
  <c r="V151" i="1"/>
  <c r="W151" i="1"/>
  <c r="X151" i="1"/>
  <c r="S152" i="1"/>
  <c r="T152" i="1"/>
  <c r="U152" i="1"/>
  <c r="V152" i="1"/>
  <c r="W152" i="1"/>
  <c r="X152" i="1"/>
  <c r="S153" i="1"/>
  <c r="T153" i="1"/>
  <c r="U153" i="1"/>
  <c r="V153" i="1"/>
  <c r="W153" i="1"/>
  <c r="X153" i="1"/>
  <c r="S154" i="1"/>
  <c r="T154" i="1"/>
  <c r="U154" i="1"/>
  <c r="V154" i="1"/>
  <c r="W154" i="1"/>
  <c r="X154" i="1"/>
  <c r="S155" i="1"/>
  <c r="T155" i="1"/>
  <c r="U155" i="1"/>
  <c r="V155" i="1"/>
  <c r="W155" i="1"/>
  <c r="X155" i="1"/>
  <c r="S156" i="1"/>
  <c r="T156" i="1"/>
  <c r="U156" i="1"/>
  <c r="V156" i="1"/>
  <c r="W156" i="1"/>
  <c r="X156" i="1"/>
  <c r="S141" i="1"/>
  <c r="T141" i="1"/>
  <c r="U141" i="1"/>
  <c r="V141" i="1"/>
  <c r="W141" i="1"/>
  <c r="X141" i="1"/>
  <c r="S142" i="1"/>
  <c r="T142" i="1"/>
  <c r="U142" i="1"/>
  <c r="V142" i="1"/>
  <c r="W142" i="1"/>
  <c r="X142" i="1"/>
  <c r="S115" i="1"/>
  <c r="T115" i="1"/>
  <c r="U115" i="1"/>
  <c r="V115" i="1"/>
  <c r="W115" i="1"/>
  <c r="X115" i="1"/>
  <c r="S116" i="1"/>
  <c r="T116" i="1"/>
  <c r="U116" i="1"/>
  <c r="V116" i="1"/>
  <c r="W116" i="1"/>
  <c r="X116" i="1"/>
  <c r="S117" i="1"/>
  <c r="T117" i="1"/>
  <c r="U117" i="1"/>
  <c r="V117" i="1"/>
  <c r="W117" i="1"/>
  <c r="X117" i="1"/>
  <c r="S118" i="1"/>
  <c r="T118" i="1"/>
  <c r="U118" i="1"/>
  <c r="V118" i="1"/>
  <c r="W118" i="1"/>
  <c r="X118" i="1"/>
  <c r="S119" i="1"/>
  <c r="T119" i="1"/>
  <c r="U119" i="1"/>
  <c r="V119" i="1"/>
  <c r="W119" i="1"/>
  <c r="X119" i="1"/>
  <c r="S120" i="1"/>
  <c r="T120" i="1"/>
  <c r="U120" i="1"/>
  <c r="V120" i="1"/>
  <c r="W120" i="1"/>
  <c r="X120" i="1"/>
  <c r="S121" i="1"/>
  <c r="T121" i="1"/>
  <c r="U121" i="1"/>
  <c r="V121" i="1"/>
  <c r="W121" i="1"/>
  <c r="X121" i="1"/>
  <c r="S122" i="1"/>
  <c r="T122" i="1"/>
  <c r="U122" i="1"/>
  <c r="V122" i="1"/>
  <c r="W122" i="1"/>
  <c r="X122" i="1"/>
  <c r="S123" i="1"/>
  <c r="T123" i="1"/>
  <c r="U123" i="1"/>
  <c r="V123" i="1"/>
  <c r="W123" i="1"/>
  <c r="X123" i="1"/>
  <c r="S124" i="1"/>
  <c r="T124" i="1"/>
  <c r="U124" i="1"/>
  <c r="V124" i="1"/>
  <c r="W124" i="1"/>
  <c r="X124" i="1"/>
  <c r="S125" i="1"/>
  <c r="T125" i="1"/>
  <c r="U125" i="1"/>
  <c r="V125" i="1"/>
  <c r="W125" i="1"/>
  <c r="X125" i="1"/>
  <c r="S126" i="1"/>
  <c r="T126" i="1"/>
  <c r="U126" i="1"/>
  <c r="V126" i="1"/>
  <c r="W126" i="1"/>
  <c r="X126" i="1"/>
  <c r="S127" i="1"/>
  <c r="T127" i="1"/>
  <c r="U127" i="1"/>
  <c r="V127" i="1"/>
  <c r="W127" i="1"/>
  <c r="X127" i="1"/>
  <c r="S128" i="1"/>
  <c r="T128" i="1"/>
  <c r="U128" i="1"/>
  <c r="V128" i="1"/>
  <c r="W128" i="1"/>
  <c r="X128" i="1"/>
  <c r="S129" i="1"/>
  <c r="T129" i="1"/>
  <c r="U129" i="1"/>
  <c r="V129" i="1"/>
  <c r="W129" i="1"/>
  <c r="X129" i="1"/>
  <c r="S130" i="1"/>
  <c r="T130" i="1"/>
  <c r="U130" i="1"/>
  <c r="V130" i="1"/>
  <c r="W130" i="1"/>
  <c r="X130" i="1"/>
  <c r="S131" i="1"/>
  <c r="T131" i="1"/>
  <c r="U131" i="1"/>
  <c r="V131" i="1"/>
  <c r="W131" i="1"/>
  <c r="X131" i="1"/>
  <c r="S132" i="1"/>
  <c r="T132" i="1"/>
  <c r="U132" i="1"/>
  <c r="V132" i="1"/>
  <c r="W132" i="1"/>
  <c r="X132" i="1"/>
  <c r="S133" i="1"/>
  <c r="T133" i="1"/>
  <c r="U133" i="1"/>
  <c r="V133" i="1"/>
  <c r="W133" i="1"/>
  <c r="X133" i="1"/>
  <c r="S134" i="1"/>
  <c r="T134" i="1"/>
  <c r="U134" i="1"/>
  <c r="V134" i="1"/>
  <c r="W134" i="1"/>
  <c r="X134" i="1"/>
  <c r="S135" i="1"/>
  <c r="T135" i="1"/>
  <c r="U135" i="1"/>
  <c r="V135" i="1"/>
  <c r="W135" i="1"/>
  <c r="X135" i="1"/>
  <c r="S136" i="1"/>
  <c r="T136" i="1"/>
  <c r="U136" i="1"/>
  <c r="V136" i="1"/>
  <c r="W136" i="1"/>
  <c r="X136" i="1"/>
  <c r="S137" i="1"/>
  <c r="T137" i="1"/>
  <c r="U137" i="1"/>
  <c r="V137" i="1"/>
  <c r="W137" i="1"/>
  <c r="X137" i="1"/>
  <c r="S109" i="1"/>
  <c r="T109" i="1"/>
  <c r="U109" i="1"/>
  <c r="V109" i="1"/>
  <c r="W109" i="1"/>
  <c r="X109" i="1"/>
  <c r="S110" i="1"/>
  <c r="T110" i="1"/>
  <c r="U110" i="1"/>
  <c r="V110" i="1"/>
  <c r="W110" i="1"/>
  <c r="X110" i="1"/>
  <c r="S111" i="1"/>
  <c r="T111" i="1"/>
  <c r="U111" i="1"/>
  <c r="V111" i="1"/>
  <c r="W111" i="1"/>
  <c r="X111" i="1"/>
  <c r="S99" i="1"/>
  <c r="T99" i="1"/>
  <c r="U99" i="1"/>
  <c r="V99" i="1"/>
  <c r="W99" i="1"/>
  <c r="X99" i="1"/>
  <c r="S100" i="1"/>
  <c r="T100" i="1"/>
  <c r="U100" i="1"/>
  <c r="V100" i="1"/>
  <c r="W100" i="1"/>
  <c r="X100" i="1"/>
  <c r="S101" i="1"/>
  <c r="T101" i="1"/>
  <c r="U101" i="1"/>
  <c r="V101" i="1"/>
  <c r="W101" i="1"/>
  <c r="X101" i="1"/>
  <c r="S102" i="1"/>
  <c r="T102" i="1"/>
  <c r="U102" i="1"/>
  <c r="V102" i="1"/>
  <c r="W102" i="1"/>
  <c r="X102" i="1"/>
  <c r="S103" i="1"/>
  <c r="T103" i="1"/>
  <c r="U103" i="1"/>
  <c r="V103" i="1"/>
  <c r="W103" i="1"/>
  <c r="X103" i="1"/>
  <c r="S104" i="1"/>
  <c r="T104" i="1"/>
  <c r="U104" i="1"/>
  <c r="V104" i="1"/>
  <c r="W104" i="1"/>
  <c r="X104" i="1"/>
  <c r="S105" i="1"/>
  <c r="T105" i="1"/>
  <c r="U105" i="1"/>
  <c r="V105" i="1"/>
  <c r="W105" i="1"/>
  <c r="X105" i="1"/>
  <c r="X98" i="1"/>
  <c r="V98" i="1"/>
  <c r="S88" i="1"/>
  <c r="T88" i="1"/>
  <c r="U88" i="1"/>
  <c r="V88" i="1"/>
  <c r="W88" i="1"/>
  <c r="X88" i="1"/>
  <c r="S89" i="1"/>
  <c r="T89" i="1"/>
  <c r="U89" i="1"/>
  <c r="V89" i="1"/>
  <c r="W89" i="1"/>
  <c r="X89" i="1"/>
  <c r="S90" i="1"/>
  <c r="T90" i="1"/>
  <c r="U90" i="1"/>
  <c r="V90" i="1"/>
  <c r="W90" i="1"/>
  <c r="X90" i="1"/>
  <c r="S91" i="1"/>
  <c r="T91" i="1"/>
  <c r="U91" i="1"/>
  <c r="V91" i="1"/>
  <c r="W91" i="1"/>
  <c r="X91" i="1"/>
  <c r="S92" i="1"/>
  <c r="T92" i="1"/>
  <c r="U92" i="1"/>
  <c r="V92" i="1"/>
  <c r="W92" i="1"/>
  <c r="X92" i="1"/>
  <c r="S93" i="1"/>
  <c r="T93" i="1"/>
  <c r="U93" i="1"/>
  <c r="V93" i="1"/>
  <c r="W93" i="1"/>
  <c r="X93" i="1"/>
  <c r="S94" i="1"/>
  <c r="T94" i="1"/>
  <c r="U94" i="1"/>
  <c r="V94" i="1"/>
  <c r="W94" i="1"/>
  <c r="X94" i="1"/>
  <c r="S95" i="1"/>
  <c r="T95" i="1"/>
  <c r="U95" i="1"/>
  <c r="V95" i="1"/>
  <c r="W95" i="1"/>
  <c r="X95" i="1"/>
  <c r="S54" i="1"/>
  <c r="T54" i="1"/>
  <c r="U54" i="1"/>
  <c r="V54" i="1"/>
  <c r="W54" i="1"/>
  <c r="X54" i="1"/>
  <c r="S55" i="1"/>
  <c r="T55" i="1"/>
  <c r="U55" i="1"/>
  <c r="V55" i="1"/>
  <c r="W55" i="1"/>
  <c r="X55" i="1"/>
  <c r="S56" i="1"/>
  <c r="T56" i="1"/>
  <c r="U56" i="1"/>
  <c r="V56" i="1"/>
  <c r="W56" i="1"/>
  <c r="X56" i="1"/>
  <c r="S57" i="1"/>
  <c r="T57" i="1"/>
  <c r="U57" i="1"/>
  <c r="V57" i="1"/>
  <c r="W57" i="1"/>
  <c r="X57" i="1"/>
  <c r="S58" i="1"/>
  <c r="T58" i="1"/>
  <c r="U58" i="1"/>
  <c r="V58" i="1"/>
  <c r="W58" i="1"/>
  <c r="X58" i="1"/>
  <c r="S59" i="1"/>
  <c r="T59" i="1"/>
  <c r="U59" i="1"/>
  <c r="V59" i="1"/>
  <c r="W59" i="1"/>
  <c r="X59" i="1"/>
  <c r="S60" i="1"/>
  <c r="T60" i="1"/>
  <c r="U60" i="1"/>
  <c r="V60" i="1"/>
  <c r="W60" i="1"/>
  <c r="X60" i="1"/>
  <c r="S61" i="1"/>
  <c r="T61" i="1"/>
  <c r="U61" i="1"/>
  <c r="V61" i="1"/>
  <c r="W61" i="1"/>
  <c r="X61" i="1"/>
  <c r="S62" i="1"/>
  <c r="T62" i="1"/>
  <c r="U62" i="1"/>
  <c r="V62" i="1"/>
  <c r="W62" i="1"/>
  <c r="X62" i="1"/>
  <c r="S63" i="1"/>
  <c r="T63" i="1"/>
  <c r="U63" i="1"/>
  <c r="V63" i="1"/>
  <c r="W63" i="1"/>
  <c r="X63" i="1"/>
  <c r="S64" i="1"/>
  <c r="T64" i="1"/>
  <c r="U64" i="1"/>
  <c r="V64" i="1"/>
  <c r="W64" i="1"/>
  <c r="X64" i="1"/>
  <c r="S65" i="1"/>
  <c r="T65" i="1"/>
  <c r="U65" i="1"/>
  <c r="V65" i="1"/>
  <c r="W65" i="1"/>
  <c r="X65" i="1"/>
  <c r="S66" i="1"/>
  <c r="T66" i="1"/>
  <c r="U66" i="1"/>
  <c r="V66" i="1"/>
  <c r="W66" i="1"/>
  <c r="X66" i="1"/>
  <c r="S67" i="1"/>
  <c r="T67" i="1"/>
  <c r="U67" i="1"/>
  <c r="V67" i="1"/>
  <c r="W67" i="1"/>
  <c r="X67" i="1"/>
  <c r="S68" i="1"/>
  <c r="T68" i="1"/>
  <c r="U68" i="1"/>
  <c r="V68" i="1"/>
  <c r="W68" i="1"/>
  <c r="X68" i="1"/>
  <c r="S69" i="1"/>
  <c r="T69" i="1"/>
  <c r="U69" i="1"/>
  <c r="V69" i="1"/>
  <c r="W69" i="1"/>
  <c r="X69" i="1"/>
  <c r="S70" i="1"/>
  <c r="T70" i="1"/>
  <c r="U70" i="1"/>
  <c r="V70" i="1"/>
  <c r="W70" i="1"/>
  <c r="X70" i="1"/>
  <c r="S71" i="1"/>
  <c r="T71" i="1"/>
  <c r="U71" i="1"/>
  <c r="V71" i="1"/>
  <c r="W71" i="1"/>
  <c r="X71" i="1"/>
  <c r="S72" i="1"/>
  <c r="T72" i="1"/>
  <c r="U72" i="1"/>
  <c r="V72" i="1"/>
  <c r="W72" i="1"/>
  <c r="X72" i="1"/>
  <c r="S73" i="1"/>
  <c r="T73" i="1"/>
  <c r="U73" i="1"/>
  <c r="V73" i="1"/>
  <c r="W73" i="1"/>
  <c r="X73" i="1"/>
  <c r="S74" i="1"/>
  <c r="T74" i="1"/>
  <c r="U74" i="1"/>
  <c r="V74" i="1"/>
  <c r="W74" i="1"/>
  <c r="X74" i="1"/>
  <c r="S75" i="1"/>
  <c r="T75" i="1"/>
  <c r="U75" i="1"/>
  <c r="V75" i="1"/>
  <c r="W75" i="1"/>
  <c r="X75" i="1"/>
  <c r="S76" i="1"/>
  <c r="T76" i="1"/>
  <c r="U76" i="1"/>
  <c r="V76" i="1"/>
  <c r="W76" i="1"/>
  <c r="X76" i="1"/>
  <c r="S77" i="1"/>
  <c r="T77" i="1"/>
  <c r="U77" i="1"/>
  <c r="V77" i="1"/>
  <c r="W77" i="1"/>
  <c r="X77" i="1"/>
  <c r="S78" i="1"/>
  <c r="T78" i="1"/>
  <c r="U78" i="1"/>
  <c r="V78" i="1"/>
  <c r="W78" i="1"/>
  <c r="X78" i="1"/>
  <c r="S79" i="1"/>
  <c r="T79" i="1"/>
  <c r="U79" i="1"/>
  <c r="V79" i="1"/>
  <c r="W79" i="1"/>
  <c r="X79" i="1"/>
  <c r="S80" i="1"/>
  <c r="T80" i="1"/>
  <c r="U80" i="1"/>
  <c r="V80" i="1"/>
  <c r="W80" i="1"/>
  <c r="X80" i="1"/>
  <c r="S81" i="1"/>
  <c r="T81" i="1"/>
  <c r="U81" i="1"/>
  <c r="V81" i="1"/>
  <c r="W81" i="1"/>
  <c r="X81" i="1"/>
  <c r="S82" i="1"/>
  <c r="T82" i="1"/>
  <c r="U82" i="1"/>
  <c r="V82" i="1"/>
  <c r="W82" i="1"/>
  <c r="X82" i="1"/>
  <c r="S83" i="1"/>
  <c r="T83" i="1"/>
  <c r="U83" i="1"/>
  <c r="V83" i="1"/>
  <c r="W83" i="1"/>
  <c r="X83" i="1"/>
  <c r="S23" i="1"/>
  <c r="T23" i="1"/>
  <c r="U23" i="1"/>
  <c r="V23" i="1"/>
  <c r="W23" i="1"/>
  <c r="X23" i="1"/>
  <c r="S24" i="1"/>
  <c r="T24" i="1"/>
  <c r="U24" i="1"/>
  <c r="V24" i="1"/>
  <c r="W24" i="1"/>
  <c r="X24" i="1"/>
  <c r="S25" i="1"/>
  <c r="T25" i="1"/>
  <c r="U25" i="1"/>
  <c r="V25" i="1"/>
  <c r="W25" i="1"/>
  <c r="X25" i="1"/>
  <c r="S26" i="1"/>
  <c r="T26" i="1"/>
  <c r="U26" i="1"/>
  <c r="V26" i="1"/>
  <c r="W26" i="1"/>
  <c r="X26" i="1"/>
  <c r="S27" i="1"/>
  <c r="T27" i="1"/>
  <c r="U27" i="1"/>
  <c r="V27" i="1"/>
  <c r="W27" i="1"/>
  <c r="X27" i="1"/>
  <c r="S28" i="1"/>
  <c r="T28" i="1"/>
  <c r="U28" i="1"/>
  <c r="V28" i="1"/>
  <c r="W28" i="1"/>
  <c r="X28" i="1"/>
  <c r="S29" i="1"/>
  <c r="T29" i="1"/>
  <c r="U29" i="1"/>
  <c r="V29" i="1"/>
  <c r="W29" i="1"/>
  <c r="X29" i="1"/>
  <c r="S30" i="1"/>
  <c r="T30" i="1"/>
  <c r="U30" i="1"/>
  <c r="V30" i="1"/>
  <c r="W30" i="1"/>
  <c r="X30" i="1"/>
  <c r="S31" i="1"/>
  <c r="T31" i="1"/>
  <c r="U31" i="1"/>
  <c r="V31" i="1"/>
  <c r="W31" i="1"/>
  <c r="X31" i="1"/>
  <c r="S32" i="1"/>
  <c r="T32" i="1"/>
  <c r="U32" i="1"/>
  <c r="V32" i="1"/>
  <c r="W32" i="1"/>
  <c r="X32" i="1"/>
  <c r="S33" i="1"/>
  <c r="T33" i="1"/>
  <c r="U33" i="1"/>
  <c r="V33" i="1"/>
  <c r="W33" i="1"/>
  <c r="X33" i="1"/>
  <c r="S34" i="1"/>
  <c r="T34" i="1"/>
  <c r="U34" i="1"/>
  <c r="V34" i="1"/>
  <c r="W34" i="1"/>
  <c r="X34" i="1"/>
  <c r="S35" i="1"/>
  <c r="T35" i="1"/>
  <c r="U35" i="1"/>
  <c r="V35" i="1"/>
  <c r="W35" i="1"/>
  <c r="X35" i="1"/>
  <c r="S36" i="1"/>
  <c r="T36" i="1"/>
  <c r="U36" i="1"/>
  <c r="V36" i="1"/>
  <c r="W36" i="1"/>
  <c r="X36" i="1"/>
  <c r="S37" i="1"/>
  <c r="T37" i="1"/>
  <c r="U37" i="1"/>
  <c r="V37" i="1"/>
  <c r="W37" i="1"/>
  <c r="X37" i="1"/>
  <c r="S38" i="1"/>
  <c r="T38" i="1"/>
  <c r="U38" i="1"/>
  <c r="V38" i="1"/>
  <c r="W38" i="1"/>
  <c r="X38" i="1"/>
  <c r="S39" i="1"/>
  <c r="T39" i="1"/>
  <c r="U39" i="1"/>
  <c r="V39" i="1"/>
  <c r="W39" i="1"/>
  <c r="X39" i="1"/>
  <c r="S40" i="1"/>
  <c r="T40" i="1"/>
  <c r="U40" i="1"/>
  <c r="V40" i="1"/>
  <c r="W40" i="1"/>
  <c r="X40" i="1"/>
  <c r="S41" i="1"/>
  <c r="T41" i="1"/>
  <c r="U41" i="1"/>
  <c r="V41" i="1"/>
  <c r="W41" i="1"/>
  <c r="X41" i="1"/>
  <c r="S42" i="1"/>
  <c r="T42" i="1"/>
  <c r="U42" i="1"/>
  <c r="V42" i="1"/>
  <c r="W42" i="1"/>
  <c r="X42" i="1"/>
  <c r="S43" i="1"/>
  <c r="T43" i="1"/>
  <c r="U43" i="1"/>
  <c r="V43" i="1"/>
  <c r="W43" i="1"/>
  <c r="X43" i="1"/>
  <c r="S44" i="1"/>
  <c r="T44" i="1"/>
  <c r="U44" i="1"/>
  <c r="V44" i="1"/>
  <c r="W44" i="1"/>
  <c r="X44" i="1"/>
  <c r="S45" i="1"/>
  <c r="T45" i="1"/>
  <c r="U45" i="1"/>
  <c r="V45" i="1"/>
  <c r="W45" i="1"/>
  <c r="X45" i="1"/>
  <c r="S46" i="1"/>
  <c r="T46" i="1"/>
  <c r="U46" i="1"/>
  <c r="V46" i="1"/>
  <c r="W46" i="1"/>
  <c r="X46" i="1"/>
  <c r="S47" i="1"/>
  <c r="T47" i="1"/>
  <c r="U47" i="1"/>
  <c r="V47" i="1"/>
  <c r="W47" i="1"/>
  <c r="X47" i="1"/>
  <c r="S48" i="1"/>
  <c r="T48" i="1"/>
  <c r="U48" i="1"/>
  <c r="V48" i="1"/>
  <c r="W48" i="1"/>
  <c r="X48" i="1"/>
  <c r="S49" i="1"/>
  <c r="T49" i="1"/>
  <c r="U49" i="1"/>
  <c r="V49" i="1"/>
  <c r="W49" i="1"/>
  <c r="X49" i="1"/>
  <c r="S50" i="1"/>
  <c r="T50" i="1"/>
  <c r="U50" i="1"/>
  <c r="V50" i="1"/>
  <c r="W50" i="1"/>
  <c r="X50" i="1"/>
  <c r="S5" i="1"/>
  <c r="T5" i="1"/>
  <c r="U5" i="1"/>
  <c r="V5" i="1"/>
  <c r="W5" i="1"/>
  <c r="X5" i="1"/>
  <c r="S6" i="1"/>
  <c r="T6" i="1"/>
  <c r="U6" i="1"/>
  <c r="V6" i="1"/>
  <c r="W6" i="1"/>
  <c r="X6" i="1"/>
  <c r="S7" i="1"/>
  <c r="T7" i="1"/>
  <c r="U7" i="1"/>
  <c r="V7" i="1"/>
  <c r="W7" i="1"/>
  <c r="X7" i="1"/>
  <c r="S8" i="1"/>
  <c r="T8" i="1"/>
  <c r="U8" i="1"/>
  <c r="V8" i="1"/>
  <c r="W8" i="1"/>
  <c r="X8" i="1"/>
  <c r="S9" i="1"/>
  <c r="T9" i="1"/>
  <c r="U9" i="1"/>
  <c r="V9" i="1"/>
  <c r="W9" i="1"/>
  <c r="X9" i="1"/>
  <c r="S10" i="1"/>
  <c r="T10" i="1"/>
  <c r="U10" i="1"/>
  <c r="V10" i="1"/>
  <c r="W10" i="1"/>
  <c r="X10" i="1"/>
  <c r="S11" i="1"/>
  <c r="T11" i="1"/>
  <c r="U11" i="1"/>
  <c r="V11" i="1"/>
  <c r="W11" i="1"/>
  <c r="X11" i="1"/>
  <c r="S12" i="1"/>
  <c r="T12" i="1"/>
  <c r="U12" i="1"/>
  <c r="V12" i="1"/>
  <c r="W12" i="1"/>
  <c r="X12" i="1"/>
  <c r="S13" i="1"/>
  <c r="T13" i="1"/>
  <c r="U13" i="1"/>
  <c r="V13" i="1"/>
  <c r="W13" i="1"/>
  <c r="X13" i="1"/>
  <c r="S14" i="1"/>
  <c r="T14" i="1"/>
  <c r="U14" i="1"/>
  <c r="V14" i="1"/>
  <c r="W14" i="1"/>
  <c r="X14" i="1"/>
  <c r="S15" i="1"/>
  <c r="T15" i="1"/>
  <c r="U15" i="1"/>
  <c r="V15" i="1"/>
  <c r="W15" i="1"/>
  <c r="X15" i="1"/>
  <c r="S16" i="1"/>
  <c r="T16" i="1"/>
  <c r="U16" i="1"/>
  <c r="V16" i="1"/>
  <c r="W16" i="1"/>
  <c r="X16" i="1"/>
  <c r="S17" i="1"/>
  <c r="T17" i="1"/>
  <c r="U17" i="1"/>
  <c r="V17" i="1"/>
  <c r="W17" i="1"/>
  <c r="X17" i="1"/>
  <c r="S18" i="1"/>
  <c r="T18" i="1"/>
  <c r="U18" i="1"/>
  <c r="V18" i="1"/>
  <c r="W18" i="1"/>
  <c r="X18" i="1"/>
  <c r="S19" i="1"/>
  <c r="T19" i="1"/>
  <c r="U19" i="1"/>
  <c r="V19" i="1"/>
  <c r="W19" i="1"/>
  <c r="X19" i="1"/>
  <c r="P143" i="1" l="1"/>
  <c r="P112" i="1"/>
  <c r="P106" i="1"/>
  <c r="P105" i="1"/>
  <c r="P104" i="1"/>
  <c r="P103" i="1"/>
  <c r="P102" i="1"/>
  <c r="P101" i="1"/>
  <c r="P100" i="1"/>
  <c r="P99" i="1"/>
  <c r="P98" i="1"/>
  <c r="P94" i="1"/>
  <c r="P93" i="1"/>
  <c r="P88" i="1"/>
  <c r="P51" i="1"/>
  <c r="AA157" i="1" l="1"/>
  <c r="U157" i="1"/>
  <c r="R157" i="1"/>
  <c r="P157" i="1"/>
  <c r="T157" i="1" s="1"/>
  <c r="O157" i="1"/>
  <c r="O158" i="1" s="1"/>
  <c r="N157" i="1"/>
  <c r="M157" i="1"/>
  <c r="L157" i="1"/>
  <c r="K157" i="1"/>
  <c r="J157" i="1"/>
  <c r="I157" i="1"/>
  <c r="G157" i="1"/>
  <c r="F157" i="1"/>
  <c r="D157" i="1"/>
  <c r="AB152" i="1"/>
  <c r="X150" i="1"/>
  <c r="W150" i="1"/>
  <c r="V150" i="1"/>
  <c r="U150" i="1"/>
  <c r="T150" i="1"/>
  <c r="S150" i="1"/>
  <c r="X147" i="1"/>
  <c r="W147" i="1"/>
  <c r="V147" i="1"/>
  <c r="U147" i="1"/>
  <c r="T147" i="1"/>
  <c r="S147" i="1"/>
  <c r="X146" i="1"/>
  <c r="W146" i="1"/>
  <c r="V146" i="1"/>
  <c r="U146" i="1"/>
  <c r="T146" i="1"/>
  <c r="S146" i="1"/>
  <c r="Q146" i="1"/>
  <c r="AA143" i="1"/>
  <c r="R143" i="1"/>
  <c r="Q142" i="1"/>
  <c r="O143" i="1"/>
  <c r="N143" i="1"/>
  <c r="M143" i="1"/>
  <c r="L143" i="1"/>
  <c r="K143" i="1"/>
  <c r="J143" i="1"/>
  <c r="H143" i="1"/>
  <c r="H158" i="1" s="1"/>
  <c r="G143" i="1"/>
  <c r="F143" i="1"/>
  <c r="D143" i="1"/>
  <c r="Q141" i="1"/>
  <c r="X140" i="1"/>
  <c r="W140" i="1"/>
  <c r="V140" i="1"/>
  <c r="U140" i="1"/>
  <c r="T140" i="1"/>
  <c r="S140" i="1"/>
  <c r="Q140" i="1"/>
  <c r="AA138" i="1"/>
  <c r="R138" i="1"/>
  <c r="P138" i="1"/>
  <c r="O138" i="1"/>
  <c r="N138" i="1"/>
  <c r="M138" i="1"/>
  <c r="L138" i="1"/>
  <c r="K138" i="1"/>
  <c r="H138" i="1"/>
  <c r="G138" i="1"/>
  <c r="D138" i="1"/>
  <c r="D158" i="1" s="1"/>
  <c r="J135" i="1"/>
  <c r="J134" i="1"/>
  <c r="J138" i="1" s="1"/>
  <c r="F131" i="1"/>
  <c r="F124" i="1"/>
  <c r="F121" i="1"/>
  <c r="F138" i="1" s="1"/>
  <c r="X114" i="1"/>
  <c r="W114" i="1"/>
  <c r="V114" i="1"/>
  <c r="U114" i="1"/>
  <c r="T114" i="1"/>
  <c r="S114" i="1"/>
  <c r="AA112" i="1"/>
  <c r="T112" i="1"/>
  <c r="R112" i="1"/>
  <c r="O112" i="1"/>
  <c r="N112" i="1"/>
  <c r="M112" i="1"/>
  <c r="L112" i="1"/>
  <c r="K112" i="1"/>
  <c r="J112" i="1"/>
  <c r="I112" i="1"/>
  <c r="I158" i="1" s="1"/>
  <c r="H112" i="1"/>
  <c r="G112" i="1"/>
  <c r="F112" i="1"/>
  <c r="Q111" i="1"/>
  <c r="E111" i="1"/>
  <c r="Q110" i="1"/>
  <c r="Q109" i="1"/>
  <c r="X108" i="1"/>
  <c r="W108" i="1"/>
  <c r="V108" i="1"/>
  <c r="U108" i="1"/>
  <c r="T108" i="1"/>
  <c r="S108" i="1"/>
  <c r="Q108" i="1"/>
  <c r="AA106" i="1"/>
  <c r="D106" i="1"/>
  <c r="Z105" i="1"/>
  <c r="Y105" i="1"/>
  <c r="R105" i="1"/>
  <c r="O105" i="1"/>
  <c r="N105" i="1"/>
  <c r="M105" i="1"/>
  <c r="L105" i="1"/>
  <c r="K105" i="1"/>
  <c r="J105" i="1"/>
  <c r="G105" i="1"/>
  <c r="F105" i="1"/>
  <c r="Z104" i="1"/>
  <c r="Y104" i="1"/>
  <c r="R104" i="1"/>
  <c r="O104" i="1"/>
  <c r="N104" i="1"/>
  <c r="M104" i="1"/>
  <c r="L104" i="1"/>
  <c r="K104" i="1"/>
  <c r="J104" i="1"/>
  <c r="G104" i="1"/>
  <c r="F104" i="1"/>
  <c r="Z102" i="1"/>
  <c r="Y102" i="1"/>
  <c r="R102" i="1"/>
  <c r="O102" i="1"/>
  <c r="N102" i="1"/>
  <c r="M102" i="1"/>
  <c r="L102" i="1"/>
  <c r="K102" i="1"/>
  <c r="J102" i="1"/>
  <c r="G102" i="1"/>
  <c r="F102" i="1"/>
  <c r="Z101" i="1"/>
  <c r="Y101" i="1"/>
  <c r="R101" i="1"/>
  <c r="O101" i="1"/>
  <c r="N101" i="1"/>
  <c r="M101" i="1"/>
  <c r="L101" i="1"/>
  <c r="K101" i="1"/>
  <c r="J101" i="1"/>
  <c r="G101" i="1"/>
  <c r="F101" i="1"/>
  <c r="Z100" i="1"/>
  <c r="Y100" i="1"/>
  <c r="R100" i="1"/>
  <c r="O100" i="1"/>
  <c r="N100" i="1"/>
  <c r="M100" i="1"/>
  <c r="L100" i="1"/>
  <c r="K100" i="1"/>
  <c r="J100" i="1"/>
  <c r="G100" i="1"/>
  <c r="Z98" i="1"/>
  <c r="Y98" i="1"/>
  <c r="T98" i="1"/>
  <c r="R98" i="1"/>
  <c r="W98" i="1" s="1"/>
  <c r="O98" i="1"/>
  <c r="N98" i="1"/>
  <c r="M98" i="1"/>
  <c r="L98" i="1"/>
  <c r="L106" i="1" s="1"/>
  <c r="K98" i="1"/>
  <c r="J98" i="1"/>
  <c r="G98" i="1"/>
  <c r="Z94" i="1"/>
  <c r="Y94" i="1"/>
  <c r="R94" i="1"/>
  <c r="O94" i="1"/>
  <c r="N94" i="1"/>
  <c r="M94" i="1"/>
  <c r="L94" i="1"/>
  <c r="K94" i="1"/>
  <c r="J94" i="1"/>
  <c r="G94" i="1"/>
  <c r="Z93" i="1"/>
  <c r="Y93" i="1"/>
  <c r="R93" i="1"/>
  <c r="O93" i="1"/>
  <c r="N93" i="1"/>
  <c r="M93" i="1"/>
  <c r="L93" i="1"/>
  <c r="K93" i="1"/>
  <c r="J93" i="1"/>
  <c r="G93" i="1"/>
  <c r="F93" i="1"/>
  <c r="F106" i="1" s="1"/>
  <c r="Z92" i="1"/>
  <c r="Y92" i="1"/>
  <c r="R92" i="1"/>
  <c r="O92" i="1"/>
  <c r="N92" i="1"/>
  <c r="M92" i="1"/>
  <c r="L92" i="1"/>
  <c r="K92" i="1"/>
  <c r="J92" i="1"/>
  <c r="G92" i="1"/>
  <c r="Z88" i="1"/>
  <c r="Y88" i="1"/>
  <c r="R88" i="1"/>
  <c r="R106" i="1" s="1"/>
  <c r="O88" i="1"/>
  <c r="O106" i="1" s="1"/>
  <c r="N88" i="1"/>
  <c r="N106" i="1" s="1"/>
  <c r="M88" i="1"/>
  <c r="L88" i="1"/>
  <c r="K88" i="1"/>
  <c r="K106" i="1" s="1"/>
  <c r="J88" i="1"/>
  <c r="J106" i="1" s="1"/>
  <c r="G88" i="1"/>
  <c r="G106" i="1" s="1"/>
  <c r="Z87" i="1"/>
  <c r="Y87" i="1"/>
  <c r="X87" i="1"/>
  <c r="W87" i="1"/>
  <c r="V87" i="1"/>
  <c r="U87" i="1"/>
  <c r="T87" i="1"/>
  <c r="AA84" i="1"/>
  <c r="R84" i="1"/>
  <c r="P84" i="1"/>
  <c r="Q83" i="1" s="1"/>
  <c r="O84" i="1"/>
  <c r="N84" i="1"/>
  <c r="M84" i="1"/>
  <c r="L84" i="1"/>
  <c r="K84" i="1"/>
  <c r="I84" i="1"/>
  <c r="G84" i="1"/>
  <c r="D84" i="1"/>
  <c r="J80" i="1"/>
  <c r="F80" i="1"/>
  <c r="Q64" i="1"/>
  <c r="J63" i="1"/>
  <c r="J84" i="1" s="1"/>
  <c r="F63" i="1"/>
  <c r="F84" i="1" s="1"/>
  <c r="Q54" i="1"/>
  <c r="X53" i="1"/>
  <c r="W53" i="1"/>
  <c r="V53" i="1"/>
  <c r="U53" i="1"/>
  <c r="T53" i="1"/>
  <c r="S53" i="1"/>
  <c r="AA51" i="1"/>
  <c r="R51" i="1"/>
  <c r="T51" i="1"/>
  <c r="O51" i="1"/>
  <c r="N51" i="1"/>
  <c r="M51" i="1"/>
  <c r="L51" i="1"/>
  <c r="K51" i="1"/>
  <c r="I51" i="1"/>
  <c r="F51" i="1"/>
  <c r="Q49" i="1"/>
  <c r="Q48" i="1"/>
  <c r="Q47" i="1"/>
  <c r="Q46" i="1"/>
  <c r="Q45" i="1"/>
  <c r="Q44" i="1"/>
  <c r="Q43" i="1"/>
  <c r="Q42" i="1"/>
  <c r="Q41" i="1"/>
  <c r="Q40" i="1"/>
  <c r="J40" i="1"/>
  <c r="J51" i="1" s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X22" i="1"/>
  <c r="W22" i="1"/>
  <c r="V22" i="1"/>
  <c r="U22" i="1"/>
  <c r="T22" i="1"/>
  <c r="S22" i="1"/>
  <c r="Q22" i="1"/>
  <c r="AA20" i="1"/>
  <c r="AA158" i="1" s="1"/>
  <c r="R20" i="1"/>
  <c r="R158" i="1" s="1"/>
  <c r="P20" i="1"/>
  <c r="Q18" i="1" s="1"/>
  <c r="AB17" i="1"/>
  <c r="J17" i="1"/>
  <c r="F17" i="1"/>
  <c r="X4" i="1"/>
  <c r="W4" i="1"/>
  <c r="V4" i="1"/>
  <c r="U4" i="1"/>
  <c r="T4" i="1"/>
  <c r="S4" i="1"/>
  <c r="Q155" i="1" l="1"/>
  <c r="Q156" i="1"/>
  <c r="Q153" i="1"/>
  <c r="Q147" i="1"/>
  <c r="Q154" i="1"/>
  <c r="Q62" i="1"/>
  <c r="Q72" i="1"/>
  <c r="Q6" i="1"/>
  <c r="Q7" i="1"/>
  <c r="Q5" i="1"/>
  <c r="Q11" i="1"/>
  <c r="Q10" i="1"/>
  <c r="Q13" i="1"/>
  <c r="Q8" i="1"/>
  <c r="Q4" i="1"/>
  <c r="Q16" i="1"/>
  <c r="Q15" i="1"/>
  <c r="Q17" i="1"/>
  <c r="Q9" i="1"/>
  <c r="Q14" i="1"/>
  <c r="Q12" i="1"/>
  <c r="T20" i="1"/>
  <c r="M158" i="1"/>
  <c r="Q105" i="1"/>
  <c r="N158" i="1"/>
  <c r="F158" i="1"/>
  <c r="S106" i="1"/>
  <c r="S98" i="1"/>
  <c r="S87" i="1"/>
  <c r="T106" i="1"/>
  <c r="P158" i="1"/>
  <c r="Q157" i="1" s="1"/>
  <c r="G158" i="1"/>
  <c r="S157" i="1"/>
  <c r="S51" i="1"/>
  <c r="S112" i="1"/>
  <c r="S143" i="1"/>
  <c r="J158" i="1"/>
  <c r="K158" i="1"/>
  <c r="Q103" i="1"/>
  <c r="Q100" i="1"/>
  <c r="Q90" i="1"/>
  <c r="Q104" i="1"/>
  <c r="Q95" i="1"/>
  <c r="Q88" i="1"/>
  <c r="Q87" i="1"/>
  <c r="Q102" i="1"/>
  <c r="Q98" i="1"/>
  <c r="Q92" i="1"/>
  <c r="Q94" i="1"/>
  <c r="Q101" i="1"/>
  <c r="Q93" i="1"/>
  <c r="Q99" i="1"/>
  <c r="Q89" i="1"/>
  <c r="L158" i="1"/>
  <c r="Q53" i="1"/>
  <c r="Q61" i="1"/>
  <c r="Q63" i="1"/>
  <c r="Q71" i="1"/>
  <c r="Q79" i="1"/>
  <c r="Q81" i="1"/>
  <c r="U98" i="1"/>
  <c r="M106" i="1"/>
  <c r="T143" i="1"/>
  <c r="Q150" i="1"/>
  <c r="Q19" i="1"/>
  <c r="Q60" i="1"/>
  <c r="Q70" i="1"/>
  <c r="Q78" i="1"/>
  <c r="Q80" i="1"/>
  <c r="Q59" i="1"/>
  <c r="Q69" i="1"/>
  <c r="Q77" i="1"/>
  <c r="S84" i="1"/>
  <c r="S138" i="1"/>
  <c r="Q82" i="1"/>
  <c r="S20" i="1"/>
  <c r="Q50" i="1"/>
  <c r="Q58" i="1"/>
  <c r="Q68" i="1"/>
  <c r="Q76" i="1"/>
  <c r="T84" i="1"/>
  <c r="T138" i="1"/>
  <c r="Q57" i="1"/>
  <c r="Q67" i="1"/>
  <c r="Q75" i="1"/>
  <c r="Q152" i="1"/>
  <c r="Q56" i="1"/>
  <c r="Q66" i="1"/>
  <c r="Q74" i="1"/>
  <c r="Q55" i="1"/>
  <c r="Q65" i="1"/>
  <c r="Q73" i="1"/>
  <c r="Q51" i="1" l="1"/>
  <c r="Q84" i="1"/>
  <c r="Q106" i="1"/>
  <c r="Q138" i="1"/>
  <c r="Q20" i="1"/>
  <c r="Q137" i="1"/>
  <c r="Q126" i="1"/>
  <c r="Q114" i="1"/>
  <c r="Q143" i="1"/>
  <c r="Q127" i="1"/>
  <c r="Q115" i="1"/>
  <c r="Q125" i="1"/>
  <c r="Q128" i="1"/>
  <c r="Q116" i="1"/>
  <c r="Q129" i="1"/>
  <c r="Q117" i="1"/>
  <c r="Q131" i="1"/>
  <c r="Q130" i="1"/>
  <c r="Q118" i="1"/>
  <c r="Q132" i="1"/>
  <c r="Q122" i="1"/>
  <c r="Q119" i="1"/>
  <c r="Q112" i="1"/>
  <c r="Q135" i="1"/>
  <c r="Q134" i="1"/>
  <c r="Q133" i="1"/>
  <c r="Q124" i="1"/>
  <c r="Q123" i="1"/>
  <c r="Q121" i="1"/>
  <c r="Q120" i="1"/>
  <c r="Q136" i="1"/>
</calcChain>
</file>

<file path=xl/sharedStrings.xml><?xml version="1.0" encoding="utf-8"?>
<sst xmlns="http://schemas.openxmlformats.org/spreadsheetml/2006/main" count="322" uniqueCount="227">
  <si>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</si>
  <si>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</si>
  <si>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</si>
  <si>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</si>
  <si>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</si>
  <si>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</si>
  <si>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</si>
  <si>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</si>
  <si>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</si>
  <si>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</si>
  <si>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</si>
  <si>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</si>
  <si>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</si>
  <si>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</si>
  <si>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</si>
  <si>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</si>
  <si>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</si>
  <si>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</si>
  <si>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</si>
  <si>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</si>
  <si>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</si>
  <si>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</si>
  <si>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</si>
  <si>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</si>
  <si>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</si>
  <si>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</si>
  <si>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</si>
  <si>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</si>
  <si>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</si>
  <si>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</si>
  <si>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</si>
  <si>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</si>
  <si>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</si>
  <si>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</si>
  <si>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</si>
  <si>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</si>
  <si>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</si>
  <si>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</si>
  <si>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</si>
  <si>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</si>
  <si>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</si>
  <si>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</si>
  <si>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</si>
  <si>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</si>
  <si>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</si>
  <si>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</si>
  <si>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</si>
  <si>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</si>
  <si>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</si>
  <si>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</si>
  <si>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</si>
  <si>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</si>
  <si>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</si>
  <si>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</si>
  <si>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</si>
  <si>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</si>
  <si>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</si>
  <si>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</si>
  <si>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</si>
  <si>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</si>
  <si>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</si>
  <si>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</si>
  <si>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</si>
  <si>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</si>
  <si>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</si>
  <si>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</si>
  <si>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</si>
  <si>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</si>
  <si>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</si>
  <si>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</si>
  <si>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</si>
  <si>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</si>
  <si>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</si>
  <si>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</si>
  <si>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</si>
  <si>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</si>
  <si>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</si>
  <si>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</si>
  <si>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</si>
  <si>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</si>
  <si>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</si>
  <si>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</si>
  <si>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</si>
  <si>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</si>
  <si>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</si>
  <si>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</si>
  <si>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</si>
  <si>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</si>
  <si>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</si>
  <si>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</si>
  <si>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</si>
  <si>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</si>
  <si>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</si>
  <si>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</si>
  <si>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</si>
  <si>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</si>
  <si>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</si>
  <si>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</si>
  <si>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</si>
  <si>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</si>
  <si>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</si>
  <si>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</si>
  <si>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</si>
  <si>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</si>
  <si>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</si>
  <si>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</si>
  <si>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</si>
  <si>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</si>
  <si>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</si>
  <si>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</si>
  <si>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</si>
  <si>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</si>
  <si>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</si>
  <si>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</si>
  <si>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</si>
  <si>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</si>
  <si>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</si>
  <si>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</si>
  <si>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</si>
  <si>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</si>
  <si>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</si>
  <si>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</si>
  <si>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</si>
  <si>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</si>
  <si>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</si>
  <si>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</si>
  <si>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</si>
  <si>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</si>
  <si>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</si>
  <si>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</si>
  <si>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</si>
  <si>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</si>
  <si>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</si>
  <si>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</si>
  <si>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</si>
  <si>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</si>
  <si>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</si>
  <si>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</si>
  <si>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</si>
  <si>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</si>
  <si>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</si>
  <si>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</si>
  <si>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</si>
  <si>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</si>
  <si>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</si>
  <si>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AVA GAM Fixed Income Naira Fund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</si>
  <si>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</si>
  <si>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</si>
  <si>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</si>
  <si>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</si>
  <si>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</si>
  <si>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</si>
  <si>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</si>
  <si>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</si>
  <si>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</si>
  <si>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</si>
  <si>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</si>
  <si>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</si>
  <si>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</si>
  <si>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</si>
  <si>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</si>
  <si>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</si>
  <si>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</si>
  <si>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</si>
  <si>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</si>
  <si>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</si>
  <si>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</si>
  <si>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FBNQuest Asset Management Limited</t>
  </si>
  <si>
    <t>First City Asset Management Ltd.</t>
  </si>
  <si>
    <t>Nigeria Dollar Income Fund</t>
  </si>
  <si>
    <t>MIXED FUNDS</t>
  </si>
  <si>
    <t>SHARI'AH COMPLIANT FUNDS</t>
  </si>
  <si>
    <t>FBN Halal Fund</t>
  </si>
  <si>
    <t>BOND/FIXED INCOME FUNDS</t>
  </si>
  <si>
    <t>Legacy Debt Fund</t>
  </si>
  <si>
    <t>NOVA Hybrid Balanced Fund</t>
  </si>
  <si>
    <t>S/N</t>
  </si>
  <si>
    <t>Stanbic IBTC Asset Management Limited</t>
  </si>
  <si>
    <t xml:space="preserve">Nigerian Eurobond Fund </t>
  </si>
  <si>
    <t>Chapel Hill Denham Nigeria Bond Fund</t>
  </si>
  <si>
    <t>FBN Dollar Fund (Retail)</t>
  </si>
  <si>
    <t xml:space="preserve">AXA Mansard Investments Limited </t>
  </si>
  <si>
    <t>EDC Nigeria Fixed Income Fund</t>
  </si>
  <si>
    <t xml:space="preserve">Capital Trust Investments &amp; Asset Mgt. Ltd </t>
  </si>
  <si>
    <t xml:space="preserve">NET ASSET VALUE  (N) </t>
  </si>
  <si>
    <t>AXA Mansard Dollar Bond Fund</t>
  </si>
  <si>
    <t>CLOSING NUMBER OF UNITS</t>
  </si>
  <si>
    <t>OPENING NUMBER OF UNITS</t>
  </si>
  <si>
    <t>Capital Trust Halal Fixed Income Fund</t>
  </si>
  <si>
    <t>ADDITIONS</t>
  </si>
  <si>
    <t>REDEMPTIONS</t>
  </si>
  <si>
    <t>Zenith ESG Impact Fund</t>
  </si>
  <si>
    <t>Zenith Balanced Strategy Fund</t>
  </si>
  <si>
    <t>Cordros Fixed Income Fund</t>
  </si>
  <si>
    <t>Nigeria Entertainment Fund</t>
  </si>
  <si>
    <t>Wealth For Women Fund</t>
  </si>
  <si>
    <t>ARM Investment Managers</t>
  </si>
  <si>
    <t>ARM Short Term-Bond Fund</t>
  </si>
  <si>
    <t>Lotus Halal Fixed Income Fund</t>
  </si>
  <si>
    <t>DLM Fixed Income Fund</t>
  </si>
  <si>
    <t>DLM Asset Management Limited</t>
  </si>
  <si>
    <t>EDC Balanced Fund</t>
  </si>
  <si>
    <t>EDC Fund Management Limited</t>
  </si>
  <si>
    <t>EUROBONDS</t>
  </si>
  <si>
    <t>FIXED INCOME</t>
  </si>
  <si>
    <t>Cordros Halal Fixed Income Fund</t>
  </si>
  <si>
    <t>Chapel Hill Denham Money Market Fund</t>
  </si>
  <si>
    <t>Coral Money Market Fund</t>
  </si>
  <si>
    <t>CEAT Fixed Income Fund</t>
  </si>
  <si>
    <t>FBN Bond Fund</t>
  </si>
  <si>
    <t>Emerging Africa Balanced-Diversity Fund</t>
  </si>
  <si>
    <t>SPREADSHEET OF REGISTERED MUTUAL FUNDS AS AT 31ST DECEMBER, 2022</t>
  </si>
  <si>
    <t>NET ASSET VALUE  (N) PREVIOUS NOVEMBER</t>
  </si>
  <si>
    <t>UBA Nom-Cowry Equity Fund</t>
  </si>
  <si>
    <t>Cowry Treasurers Limited</t>
  </si>
  <si>
    <t>Norrenberger Investment and Capital Management Limited</t>
  </si>
  <si>
    <t xml:space="preserve">  </t>
  </si>
  <si>
    <t>UBA Nom-Cowry Fixed Income Fund</t>
  </si>
  <si>
    <t>DOLLAR FUNDS</t>
  </si>
  <si>
    <t>FBN Specialized Dollar Fund</t>
  </si>
  <si>
    <t>Futureview Dollar Fund</t>
  </si>
  <si>
    <t>Futureview Asset Management Limited</t>
  </si>
  <si>
    <t>UBA Nom-Cowry Balanced Fund</t>
  </si>
  <si>
    <t>SHARI'AH COMPLIANT FUNDS (EQUITIES)</t>
  </si>
  <si>
    <t>EDC Halal Fund</t>
  </si>
  <si>
    <t>Norrenberger Investment &amp; Capital Mgt. Ltd.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</si>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</sst>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&quot; &quot;* #,##0&quot; &quot;;&quot;-&quot;* #,##0&quot; &quot;;&quot; &quot;* &quot;-&quot;??&quot; &quot;"/>
    <numFmt numFmtId="167" formatCode="&quot; &quot;* #,##0.00&quot; &quot;;&quot;-&quot;* #,##0.00&quot; &quot;;&quot; &quot;* &quot;-&quot;??&quot; &quot;"/>
    <numFmt numFmtId="168" formatCode="_-* #,##0_-;\-* #,##0_-;_-* &quot;-&quot;??_-;_-@_-"/>
    <numFmt numFmtId="169" formatCode="&quot;Yes&quot;;&quot;Yes&quot;;&quot;No&quot;"/>
    <numFmt numFmtId="170" formatCode="[$-409]d\-mmm\-yy;@"/>
    <numFmt numFmtId="171" formatCode="0.00_)"/>
    <numFmt numFmtId="172" formatCode="mmm\-yyyy"/>
    <numFmt numFmtId="173" formatCode="0;[Red]0"/>
    <numFmt numFmtId="174" formatCode="dd/mm/yy;@"/>
  </numFmts>
  <fonts count="42" x14ac:knownFonts="1">
    <font>
      <sz val="11"/>
      <color indexed="8"/>
      <name val="Calibri"/>
    </font>
    <font>
      <sz val="11"/>
      <color theme="1"/>
      <name val="Helvetica"/>
      <family val="2"/>
      <scheme val="minor"/>
    </font>
    <font>
      <sz val="11"/>
      <color theme="1"/>
      <name val="Helvetica"/>
      <family val="2"/>
      <scheme val="minor"/>
    </font>
    <font>
      <sz val="8"/>
      <color indexed="8"/>
      <name val="Trebuchet MS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32"/>
      <color indexed="9"/>
      <name val="Calibri"/>
      <family val="2"/>
    </font>
    <font>
      <sz val="18"/>
      <color theme="3"/>
      <name val="Helvetica"/>
      <family val="2"/>
      <scheme val="major"/>
    </font>
    <font>
      <b/>
      <sz val="15"/>
      <color theme="3"/>
      <name val="Helvetica"/>
      <family val="2"/>
      <scheme val="minor"/>
    </font>
    <font>
      <b/>
      <sz val="13"/>
      <color theme="3"/>
      <name val="Helvetica"/>
      <family val="2"/>
      <scheme val="minor"/>
    </font>
    <font>
      <b/>
      <sz val="11"/>
      <color theme="3"/>
      <name val="Helvetica"/>
      <family val="2"/>
      <scheme val="minor"/>
    </font>
    <font>
      <sz val="11"/>
      <color rgb="FF006100"/>
      <name val="Helvetica"/>
      <family val="2"/>
      <scheme val="minor"/>
    </font>
    <font>
      <sz val="11"/>
      <color rgb="FF9C0006"/>
      <name val="Helvetica"/>
      <family val="2"/>
      <scheme val="minor"/>
    </font>
    <font>
      <sz val="11"/>
      <color rgb="FF9C6500"/>
      <name val="Helvetica"/>
      <family val="2"/>
      <scheme val="minor"/>
    </font>
    <font>
      <sz val="11"/>
      <color rgb="FF3F3F76"/>
      <name val="Helvetica"/>
      <family val="2"/>
      <scheme val="minor"/>
    </font>
    <font>
      <b/>
      <sz val="11"/>
      <color rgb="FF3F3F3F"/>
      <name val="Helvetica"/>
      <family val="2"/>
      <scheme val="minor"/>
    </font>
    <font>
      <b/>
      <sz val="11"/>
      <color rgb="FFFA7D00"/>
      <name val="Helvetica"/>
      <family val="2"/>
      <scheme val="minor"/>
    </font>
    <font>
      <sz val="11"/>
      <color rgb="FFFA7D00"/>
      <name val="Helvetica"/>
      <family val="2"/>
      <scheme val="minor"/>
    </font>
    <font>
      <b/>
      <sz val="11"/>
      <color theme="0"/>
      <name val="Helvetica"/>
      <family val="2"/>
      <scheme val="minor"/>
    </font>
    <font>
      <sz val="11"/>
      <color rgb="FFFF0000"/>
      <name val="Helvetica"/>
      <family val="2"/>
      <scheme val="minor"/>
    </font>
    <font>
      <i/>
      <sz val="11"/>
      <color rgb="FF7F7F7F"/>
      <name val="Helvetica"/>
      <family val="2"/>
      <scheme val="minor"/>
    </font>
    <font>
      <b/>
      <sz val="11"/>
      <color theme="1"/>
      <name val="Helvetica"/>
      <family val="2"/>
      <scheme val="minor"/>
    </font>
    <font>
      <sz val="11"/>
      <color theme="0"/>
      <name val="Helvetica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6"/>
      <name val="Helv"/>
    </font>
    <font>
      <b/>
      <sz val="18"/>
      <color theme="3"/>
      <name val="Helvetica"/>
      <family val="2"/>
      <scheme val="major"/>
    </font>
    <font>
      <sz val="11"/>
      <color rgb="FF9C5700"/>
      <name val="Helvetica"/>
      <family val="2"/>
      <scheme val="minor"/>
    </font>
    <font>
      <sz val="8"/>
      <color indexed="8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b/>
      <sz val="12"/>
      <color indexed="8"/>
      <name val="Trebuchet MS"/>
      <family val="2"/>
    </font>
    <font>
      <b/>
      <sz val="12"/>
      <name val="Calibri"/>
      <family val="2"/>
    </font>
    <font>
      <sz val="8"/>
      <color theme="1"/>
      <name val="Calibri"/>
      <family val="2"/>
    </font>
    <font>
      <sz val="8"/>
      <color indexed="9"/>
      <name val="Calibri"/>
      <family val="2"/>
    </font>
    <font>
      <sz val="1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96">
    <xf numFmtId="0" fontId="0" fillId="0" borderId="0" applyNumberFormat="0" applyFill="0" applyBorder="0" applyProtection="0"/>
    <xf numFmtId="43" fontId="4" fillId="0" borderId="0" applyFont="0" applyFill="0" applyBorder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5" fillId="17" borderId="20" applyNumberFormat="0" applyAlignment="0" applyProtection="0"/>
    <xf numFmtId="0" fontId="16" fillId="18" borderId="21" applyNumberFormat="0" applyAlignment="0" applyProtection="0"/>
    <xf numFmtId="0" fontId="17" fillId="18" borderId="20" applyNumberFormat="0" applyAlignment="0" applyProtection="0"/>
    <xf numFmtId="0" fontId="18" fillId="0" borderId="22" applyNumberFormat="0" applyFill="0" applyAlignment="0" applyProtection="0"/>
    <xf numFmtId="0" fontId="19" fillId="19" borderId="23" applyNumberFormat="0" applyAlignment="0" applyProtection="0"/>
    <xf numFmtId="0" fontId="22" fillId="0" borderId="25" applyNumberFormat="0" applyFill="0" applyAlignment="0" applyProtection="0"/>
    <xf numFmtId="0" fontId="24" fillId="0" borderId="4"/>
    <xf numFmtId="0" fontId="2" fillId="22" borderId="4" applyNumberFormat="0" applyBorder="0" applyAlignment="0" applyProtection="0"/>
    <xf numFmtId="0" fontId="2" fillId="26" borderId="4" applyNumberFormat="0" applyBorder="0" applyAlignment="0" applyProtection="0"/>
    <xf numFmtId="0" fontId="2" fillId="30" borderId="4" applyNumberFormat="0" applyBorder="0" applyAlignment="0" applyProtection="0"/>
    <xf numFmtId="0" fontId="2" fillId="34" borderId="4" applyNumberFormat="0" applyBorder="0" applyAlignment="0" applyProtection="0"/>
    <xf numFmtId="0" fontId="2" fillId="38" borderId="4" applyNumberFormat="0" applyBorder="0" applyAlignment="0" applyProtection="0"/>
    <xf numFmtId="0" fontId="2" fillId="42" borderId="4" applyNumberFormat="0" applyBorder="0" applyAlignment="0" applyProtection="0"/>
    <xf numFmtId="0" fontId="2" fillId="23" borderId="4" applyNumberFormat="0" applyBorder="0" applyAlignment="0" applyProtection="0"/>
    <xf numFmtId="0" fontId="2" fillId="27" borderId="4" applyNumberFormat="0" applyBorder="0" applyAlignment="0" applyProtection="0"/>
    <xf numFmtId="0" fontId="2" fillId="31" borderId="4" applyNumberFormat="0" applyBorder="0" applyAlignment="0" applyProtection="0"/>
    <xf numFmtId="0" fontId="2" fillId="35" borderId="4" applyNumberFormat="0" applyBorder="0" applyAlignment="0" applyProtection="0"/>
    <xf numFmtId="0" fontId="2" fillId="39" borderId="4" applyNumberFormat="0" applyBorder="0" applyAlignment="0" applyProtection="0"/>
    <xf numFmtId="0" fontId="2" fillId="43" borderId="4" applyNumberFormat="0" applyBorder="0" applyAlignment="0" applyProtection="0"/>
    <xf numFmtId="0" fontId="23" fillId="24" borderId="4" applyNumberFormat="0" applyBorder="0" applyAlignment="0" applyProtection="0"/>
    <xf numFmtId="0" fontId="23" fillId="28" borderId="4" applyNumberFormat="0" applyBorder="0" applyAlignment="0" applyProtection="0"/>
    <xf numFmtId="0" fontId="23" fillId="32" borderId="4" applyNumberFormat="0" applyBorder="0" applyAlignment="0" applyProtection="0"/>
    <xf numFmtId="0" fontId="23" fillId="36" borderId="4" applyNumberFormat="0" applyBorder="0" applyAlignment="0" applyProtection="0"/>
    <xf numFmtId="0" fontId="23" fillId="40" borderId="4" applyNumberFormat="0" applyBorder="0" applyAlignment="0" applyProtection="0"/>
    <xf numFmtId="0" fontId="23" fillId="44" borderId="4" applyNumberFormat="0" applyBorder="0" applyAlignment="0" applyProtection="0"/>
    <xf numFmtId="0" fontId="23" fillId="21" borderId="4" applyNumberFormat="0" applyBorder="0" applyAlignment="0" applyProtection="0"/>
    <xf numFmtId="0" fontId="23" fillId="25" borderId="4" applyNumberFormat="0" applyBorder="0" applyAlignment="0" applyProtection="0"/>
    <xf numFmtId="0" fontId="23" fillId="29" borderId="4" applyNumberFormat="0" applyBorder="0" applyAlignment="0" applyProtection="0"/>
    <xf numFmtId="0" fontId="23" fillId="33" borderId="4" applyNumberFormat="0" applyBorder="0" applyAlignment="0" applyProtection="0"/>
    <xf numFmtId="0" fontId="23" fillId="37" borderId="4" applyNumberFormat="0" applyBorder="0" applyAlignment="0" applyProtection="0"/>
    <xf numFmtId="0" fontId="23" fillId="41" borderId="4" applyNumberFormat="0" applyBorder="0" applyAlignment="0" applyProtection="0"/>
    <xf numFmtId="0" fontId="13" fillId="15" borderId="4" applyNumberFormat="0" applyBorder="0" applyAlignment="0" applyProtection="0"/>
    <xf numFmtId="165" fontId="24" fillId="0" borderId="4" applyFont="0" applyFill="0" applyBorder="0" applyAlignment="0" applyProtection="0"/>
    <xf numFmtId="173" fontId="4" fillId="0" borderId="4" applyFont="0" applyFill="0" applyBorder="0" applyAlignment="0" applyProtection="0"/>
    <xf numFmtId="165" fontId="24" fillId="0" borderId="4" applyFont="0" applyFill="0" applyBorder="0" applyAlignment="0" applyProtection="0"/>
    <xf numFmtId="165" fontId="2" fillId="0" borderId="4" applyFont="0" applyFill="0" applyBorder="0" applyAlignment="0" applyProtection="0"/>
    <xf numFmtId="165" fontId="24" fillId="0" borderId="4" applyFont="0" applyFill="0" applyBorder="0" applyAlignment="0" applyProtection="0"/>
    <xf numFmtId="165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172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" fillId="0" borderId="4" applyFont="0" applyFill="0" applyBorder="0" applyAlignment="0" applyProtection="0"/>
    <xf numFmtId="165" fontId="24" fillId="0" borderId="4" applyFont="0" applyFill="0" applyBorder="0" applyAlignment="0" applyProtection="0"/>
    <xf numFmtId="172" fontId="24" fillId="0" borderId="4" applyFont="0" applyFill="0" applyBorder="0" applyAlignment="0" applyProtection="0"/>
    <xf numFmtId="164" fontId="25" fillId="0" borderId="4" applyFont="0" applyFill="0" applyBorder="0" applyAlignment="0" applyProtection="0"/>
    <xf numFmtId="164" fontId="25" fillId="0" borderId="4" applyFont="0" applyFill="0" applyBorder="0" applyAlignment="0" applyProtection="0"/>
    <xf numFmtId="173" fontId="4" fillId="0" borderId="4" applyFont="0" applyFill="0" applyBorder="0" applyAlignment="0" applyProtection="0"/>
    <xf numFmtId="173" fontId="4" fillId="0" borderId="4" applyFont="0" applyFill="0" applyBorder="0" applyAlignment="0" applyProtection="0"/>
    <xf numFmtId="169" fontId="4" fillId="0" borderId="4" applyFont="0" applyFill="0" applyBorder="0" applyAlignment="0" applyProtection="0"/>
    <xf numFmtId="173" fontId="4" fillId="0" borderId="4" applyFont="0" applyFill="0" applyBorder="0" applyAlignment="0" applyProtection="0"/>
    <xf numFmtId="0" fontId="21" fillId="0" borderId="4" applyNumberFormat="0" applyFill="0" applyBorder="0" applyAlignment="0" applyProtection="0"/>
    <xf numFmtId="0" fontId="12" fillId="14" borderId="4" applyNumberFormat="0" applyBorder="0" applyAlignment="0" applyProtection="0"/>
    <xf numFmtId="0" fontId="11" fillId="0" borderId="4" applyNumberFormat="0" applyFill="0" applyBorder="0" applyAlignment="0" applyProtection="0"/>
    <xf numFmtId="0" fontId="14" fillId="16" borderId="4" applyNumberFormat="0" applyBorder="0" applyAlignment="0" applyProtection="0"/>
    <xf numFmtId="171" fontId="26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4" fillId="0" borderId="4"/>
    <xf numFmtId="0" fontId="24" fillId="0" borderId="4"/>
    <xf numFmtId="49" fontId="24" fillId="0" borderId="4"/>
    <xf numFmtId="49" fontId="24" fillId="0" borderId="4"/>
    <xf numFmtId="49" fontId="24" fillId="0" borderId="4"/>
    <xf numFmtId="0" fontId="24" fillId="0" borderId="4"/>
    <xf numFmtId="0" fontId="2" fillId="0" borderId="4"/>
    <xf numFmtId="0" fontId="2" fillId="0" borderId="4"/>
    <xf numFmtId="0" fontId="25" fillId="0" borderId="4"/>
    <xf numFmtId="0" fontId="24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9" fontId="24" fillId="0" borderId="4" applyFont="0" applyFill="0" applyBorder="0" applyAlignment="0" applyProtection="0"/>
    <xf numFmtId="9" fontId="24" fillId="0" borderId="4" applyFont="0" applyFill="0" applyBorder="0" applyAlignment="0" applyProtection="0"/>
    <xf numFmtId="9" fontId="24" fillId="0" borderId="4" applyFont="0" applyFill="0" applyBorder="0" applyAlignment="0" applyProtection="0"/>
    <xf numFmtId="0" fontId="27" fillId="0" borderId="4" applyNumberFormat="0" applyFill="0" applyBorder="0" applyAlignment="0" applyProtection="0"/>
    <xf numFmtId="0" fontId="20" fillId="0" borderId="4" applyNumberFormat="0" applyFill="0" applyBorder="0" applyAlignment="0" applyProtection="0"/>
    <xf numFmtId="0" fontId="2" fillId="0" borderId="4"/>
    <xf numFmtId="165" fontId="2" fillId="0" borderId="4" applyFont="0" applyFill="0" applyBorder="0" applyAlignment="0" applyProtection="0"/>
    <xf numFmtId="0" fontId="8" fillId="0" borderId="4" applyNumberFormat="0" applyFill="0" applyBorder="0" applyAlignment="0" applyProtection="0"/>
    <xf numFmtId="0" fontId="28" fillId="16" borderId="4" applyNumberFormat="0" applyBorder="0" applyAlignment="0" applyProtection="0"/>
    <xf numFmtId="0" fontId="2" fillId="0" borderId="4"/>
    <xf numFmtId="0" fontId="2" fillId="0" borderId="4"/>
    <xf numFmtId="0" fontId="2" fillId="20" borderId="24" applyNumberFormat="0" applyFont="0" applyAlignment="0" applyProtection="0"/>
    <xf numFmtId="0" fontId="2" fillId="0" borderId="4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0" borderId="4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0" borderId="4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0" borderId="4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0" borderId="4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165" fontId="2" fillId="0" borderId="4" applyFont="0" applyFill="0" applyBorder="0" applyAlignment="0" applyProtection="0"/>
    <xf numFmtId="0" fontId="2" fillId="20" borderId="24" applyNumberFormat="0" applyFont="0" applyAlignment="0" applyProtection="0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4" fillId="0" borderId="4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170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174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2" fillId="0" borderId="4" applyFont="0" applyFill="0" applyBorder="0" applyAlignment="0" applyProtection="0"/>
    <xf numFmtId="170" fontId="24" fillId="0" borderId="4" applyFont="0" applyFill="0" applyBorder="0" applyAlignment="0" applyProtection="0"/>
    <xf numFmtId="0" fontId="2" fillId="0" borderId="4"/>
    <xf numFmtId="0" fontId="24" fillId="0" borderId="4"/>
    <xf numFmtId="49" fontId="24" fillId="0" borderId="4"/>
    <xf numFmtId="0" fontId="2" fillId="0" borderId="4"/>
    <xf numFmtId="0" fontId="2" fillId="0" borderId="4"/>
    <xf numFmtId="0" fontId="25" fillId="0" borderId="4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9" fontId="24" fillId="0" borderId="4" applyFont="0" applyFill="0" applyBorder="0" applyAlignment="0" applyProtection="0"/>
    <xf numFmtId="0" fontId="24" fillId="0" borderId="4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20" borderId="24" applyNumberFormat="0" applyFont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20" borderId="24" applyNumberFormat="0" applyFont="0" applyAlignment="0" applyProtection="0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20" borderId="24" applyNumberFormat="0" applyFont="0" applyAlignment="0" applyProtection="0"/>
    <xf numFmtId="0" fontId="2" fillId="0" borderId="4"/>
    <xf numFmtId="0" fontId="2" fillId="0" borderId="4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0" borderId="4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0" borderId="4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0" borderId="4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20" borderId="24" applyNumberFormat="0" applyFont="0" applyAlignment="0" applyProtection="0"/>
    <xf numFmtId="0" fontId="2" fillId="0" borderId="4"/>
    <xf numFmtId="0" fontId="2" fillId="0" borderId="4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0" borderId="4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0" borderId="4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0" borderId="24" applyNumberFormat="0" applyFont="0" applyAlignment="0" applyProtection="0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20" borderId="24" applyNumberFormat="0" applyFont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20" borderId="24" applyNumberFormat="0" applyFont="0" applyAlignment="0" applyProtection="0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20" borderId="24" applyNumberFormat="0" applyFont="0" applyAlignment="0" applyProtection="0"/>
    <xf numFmtId="0" fontId="2" fillId="0" borderId="4"/>
    <xf numFmtId="0" fontId="2" fillId="0" borderId="4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0" borderId="4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0" borderId="4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0" borderId="4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20" borderId="24" applyNumberFormat="0" applyFont="0" applyAlignment="0" applyProtection="0"/>
    <xf numFmtId="0" fontId="2" fillId="0" borderId="4"/>
    <xf numFmtId="0" fontId="2" fillId="0" borderId="4"/>
    <xf numFmtId="0" fontId="2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2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2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2" fillId="0" borderId="4"/>
    <xf numFmtId="0" fontId="2" fillId="34" borderId="4" applyNumberFormat="0" applyBorder="0" applyAlignment="0" applyProtection="0"/>
    <xf numFmtId="0" fontId="2" fillId="35" borderId="4" applyNumberFormat="0" applyBorder="0" applyAlignment="0" applyProtection="0"/>
    <xf numFmtId="0" fontId="2" fillId="36" borderId="4" applyNumberFormat="0" applyBorder="0" applyAlignment="0" applyProtection="0"/>
    <xf numFmtId="0" fontId="2" fillId="0" borderId="4"/>
    <xf numFmtId="0" fontId="2" fillId="38" borderId="4" applyNumberFormat="0" applyBorder="0" applyAlignment="0" applyProtection="0"/>
    <xf numFmtId="0" fontId="2" fillId="39" borderId="4" applyNumberFormat="0" applyBorder="0" applyAlignment="0" applyProtection="0"/>
    <xf numFmtId="0" fontId="2" fillId="40" borderId="4" applyNumberFormat="0" applyBorder="0" applyAlignment="0" applyProtection="0"/>
    <xf numFmtId="0" fontId="2" fillId="42" borderId="4" applyNumberFormat="0" applyBorder="0" applyAlignment="0" applyProtection="0"/>
    <xf numFmtId="0" fontId="2" fillId="43" borderId="4" applyNumberFormat="0" applyBorder="0" applyAlignment="0" applyProtection="0"/>
    <xf numFmtId="0" fontId="2" fillId="44" borderId="4" applyNumberFormat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37" fontId="24" fillId="0" borderId="4"/>
    <xf numFmtId="37" fontId="24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0" fontId="1" fillId="22" borderId="0" applyNumberFormat="0" applyBorder="0" applyAlignment="0" applyProtection="0"/>
  </cellStyleXfs>
  <cellXfs count="16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0" borderId="0" xfId="0" applyNumberFormat="1" applyFont="1" applyAlignment="1"/>
    <xf numFmtId="0" fontId="0" fillId="2" borderId="12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8" borderId="0" xfId="0" applyNumberFormat="1" applyFont="1" applyFill="1" applyAlignment="1"/>
    <xf numFmtId="0" fontId="0" fillId="8" borderId="0" xfId="0" applyFont="1" applyFill="1" applyAlignment="1"/>
    <xf numFmtId="0" fontId="3" fillId="2" borderId="4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0" fontId="4" fillId="0" borderId="0" xfId="0" applyNumberFormat="1" applyFont="1" applyAlignment="1"/>
    <xf numFmtId="0" fontId="6" fillId="11" borderId="4" xfId="0" applyFont="1" applyFill="1" applyBorder="1" applyAlignment="1"/>
    <xf numFmtId="0" fontId="6" fillId="0" borderId="4" xfId="0" applyFont="1" applyBorder="1" applyAlignment="1"/>
    <xf numFmtId="0" fontId="0" fillId="12" borderId="4" xfId="0" applyNumberFormat="1" applyFont="1" applyFill="1" applyBorder="1" applyAlignment="1"/>
    <xf numFmtId="0" fontId="0" fillId="12" borderId="0" xfId="0" applyNumberFormat="1" applyFont="1" applyFill="1" applyAlignment="1"/>
    <xf numFmtId="43" fontId="0" fillId="0" borderId="0" xfId="1" applyFont="1" applyAlignment="1"/>
    <xf numFmtId="0" fontId="4" fillId="2" borderId="4" xfId="0" applyNumberFormat="1" applyFont="1" applyFill="1" applyBorder="1" applyAlignment="1"/>
    <xf numFmtId="0" fontId="4" fillId="0" borderId="0" xfId="0" applyFont="1" applyAlignment="1"/>
    <xf numFmtId="0" fontId="0" fillId="0" borderId="0" xfId="0" applyNumberFormat="1"/>
    <xf numFmtId="43" fontId="0" fillId="0" borderId="0" xfId="0" applyNumberFormat="1" applyFont="1" applyAlignment="1"/>
    <xf numFmtId="0" fontId="0" fillId="0" borderId="4" xfId="0" applyNumberFormat="1" applyFont="1" applyBorder="1" applyAlignment="1"/>
    <xf numFmtId="49" fontId="5" fillId="0" borderId="13" xfId="0" applyNumberFormat="1" applyFont="1" applyFill="1" applyBorder="1" applyAlignment="1">
      <alignment wrapText="1"/>
    </xf>
    <xf numFmtId="166" fontId="5" fillId="0" borderId="13" xfId="0" applyNumberFormat="1" applyFont="1" applyFill="1" applyBorder="1" applyAlignment="1">
      <alignment horizontal="center" wrapText="1"/>
    </xf>
    <xf numFmtId="167" fontId="29" fillId="0" borderId="13" xfId="0" applyNumberFormat="1" applyFont="1" applyFill="1" applyBorder="1" applyAlignment="1">
      <alignment horizontal="right"/>
    </xf>
    <xf numFmtId="43" fontId="29" fillId="0" borderId="13" xfId="1" applyFont="1" applyFill="1" applyBorder="1" applyAlignment="1"/>
    <xf numFmtId="43" fontId="29" fillId="5" borderId="13" xfId="1" applyFont="1" applyFill="1" applyBorder="1" applyAlignment="1"/>
    <xf numFmtId="167" fontId="29" fillId="7" borderId="13" xfId="0" applyNumberFormat="1" applyFont="1" applyFill="1" applyBorder="1" applyAlignment="1">
      <alignment horizontal="left"/>
    </xf>
    <xf numFmtId="10" fontId="30" fillId="8" borderId="13" xfId="0" applyNumberFormat="1" applyFont="1" applyFill="1" applyBorder="1" applyAlignment="1">
      <alignment horizontal="right" vertical="center"/>
    </xf>
    <xf numFmtId="10" fontId="29" fillId="3" borderId="13" xfId="0" applyNumberFormat="1" applyFont="1" applyFill="1" applyBorder="1" applyAlignment="1">
      <alignment horizontal="right" vertical="center"/>
    </xf>
    <xf numFmtId="167" fontId="29" fillId="3" borderId="13" xfId="0" applyNumberFormat="1" applyFont="1" applyFill="1" applyBorder="1" applyAlignment="1">
      <alignment horizontal="right" vertical="center"/>
    </xf>
    <xf numFmtId="49" fontId="5" fillId="12" borderId="13" xfId="0" applyNumberFormat="1" applyFont="1" applyFill="1" applyBorder="1" applyAlignment="1">
      <alignment vertical="center" wrapText="1"/>
    </xf>
    <xf numFmtId="49" fontId="5" fillId="0" borderId="13" xfId="0" applyNumberFormat="1" applyFont="1" applyFill="1" applyBorder="1" applyAlignment="1">
      <alignment vertical="center" wrapText="1"/>
    </xf>
    <xf numFmtId="167" fontId="29" fillId="2" borderId="13" xfId="0" applyNumberFormat="1" applyFont="1" applyFill="1" applyBorder="1" applyAlignment="1"/>
    <xf numFmtId="167" fontId="29" fillId="7" borderId="13" xfId="0" applyNumberFormat="1" applyFont="1" applyFill="1" applyBorder="1" applyAlignment="1"/>
    <xf numFmtId="167" fontId="5" fillId="7" borderId="13" xfId="0" applyNumberFormat="1" applyFont="1" applyFill="1" applyBorder="1" applyAlignment="1"/>
    <xf numFmtId="166" fontId="32" fillId="2" borderId="13" xfId="0" applyNumberFormat="1" applyFont="1" applyFill="1" applyBorder="1" applyAlignment="1">
      <alignment horizontal="center"/>
    </xf>
    <xf numFmtId="49" fontId="33" fillId="2" borderId="13" xfId="0" applyNumberFormat="1" applyFont="1" applyFill="1" applyBorder="1" applyAlignment="1">
      <alignment horizontal="right"/>
    </xf>
    <xf numFmtId="167" fontId="34" fillId="7" borderId="13" xfId="0" applyNumberFormat="1" applyFont="1" applyFill="1" applyBorder="1" applyAlignment="1">
      <alignment horizontal="left"/>
    </xf>
    <xf numFmtId="10" fontId="32" fillId="8" borderId="13" xfId="0" applyNumberFormat="1" applyFont="1" applyFill="1" applyBorder="1" applyAlignment="1">
      <alignment horizontal="right" vertical="center"/>
    </xf>
    <xf numFmtId="10" fontId="34" fillId="3" borderId="13" xfId="0" applyNumberFormat="1" applyFont="1" applyFill="1" applyBorder="1" applyAlignment="1">
      <alignment horizontal="right" vertical="center"/>
    </xf>
    <xf numFmtId="167" fontId="34" fillId="3" borderId="13" xfId="0" applyNumberFormat="1" applyFont="1" applyFill="1" applyBorder="1" applyAlignment="1">
      <alignment horizontal="right" vertical="center"/>
    </xf>
    <xf numFmtId="49" fontId="5" fillId="12" borderId="13" xfId="0" applyNumberFormat="1" applyFont="1" applyFill="1" applyBorder="1" applyAlignment="1">
      <alignment wrapText="1"/>
    </xf>
    <xf numFmtId="43" fontId="29" fillId="0" borderId="13" xfId="1" applyFont="1" applyFill="1" applyBorder="1" applyAlignment="1">
      <alignment horizontal="right"/>
    </xf>
    <xf numFmtId="49" fontId="5" fillId="0" borderId="13" xfId="0" applyNumberFormat="1" applyFont="1" applyFill="1" applyBorder="1" applyAlignment="1">
      <alignment vertical="top" wrapText="1"/>
    </xf>
    <xf numFmtId="167" fontId="29" fillId="2" borderId="13" xfId="0" applyNumberFormat="1" applyFont="1" applyFill="1" applyBorder="1" applyAlignment="1">
      <alignment horizontal="left"/>
    </xf>
    <xf numFmtId="167" fontId="29" fillId="7" borderId="13" xfId="0" applyNumberFormat="1" applyFont="1" applyFill="1" applyBorder="1"/>
    <xf numFmtId="49" fontId="32" fillId="12" borderId="13" xfId="0" applyNumberFormat="1" applyFont="1" applyFill="1" applyBorder="1" applyAlignment="1">
      <alignment horizontal="center" wrapText="1"/>
    </xf>
    <xf numFmtId="167" fontId="34" fillId="7" borderId="13" xfId="0" applyNumberFormat="1" applyFont="1" applyFill="1" applyBorder="1"/>
    <xf numFmtId="167" fontId="34" fillId="7" borderId="13" xfId="0" applyNumberFormat="1" applyFont="1" applyFill="1" applyBorder="1" applyAlignment="1"/>
    <xf numFmtId="166" fontId="5" fillId="0" borderId="13" xfId="0" applyNumberFormat="1" applyFont="1" applyFill="1" applyBorder="1" applyAlignment="1">
      <alignment horizontal="right" wrapText="1"/>
    </xf>
    <xf numFmtId="43" fontId="29" fillId="5" borderId="13" xfId="1" applyFont="1" applyFill="1" applyBorder="1" applyAlignment="1">
      <alignment horizontal="left"/>
    </xf>
    <xf numFmtId="167" fontId="29" fillId="2" borderId="13" xfId="0" applyNumberFormat="1" applyFont="1" applyFill="1" applyBorder="1" applyAlignment="1">
      <alignment horizontal="right"/>
    </xf>
    <xf numFmtId="43" fontId="29" fillId="2" borderId="13" xfId="1" applyFont="1" applyFill="1" applyBorder="1" applyAlignment="1"/>
    <xf numFmtId="43" fontId="29" fillId="10" borderId="13" xfId="1" applyFont="1" applyFill="1" applyBorder="1" applyAlignment="1"/>
    <xf numFmtId="167" fontId="31" fillId="11" borderId="13" xfId="0" applyNumberFormat="1" applyFont="1" applyFill="1" applyBorder="1" applyAlignment="1">
      <alignment horizontal="left"/>
    </xf>
    <xf numFmtId="166" fontId="30" fillId="0" borderId="13" xfId="0" applyNumberFormat="1" applyFont="1" applyFill="1" applyBorder="1" applyAlignment="1">
      <alignment horizontal="center" wrapText="1"/>
    </xf>
    <xf numFmtId="49" fontId="30" fillId="0" borderId="13" xfId="0" applyNumberFormat="1" applyFont="1" applyFill="1" applyBorder="1" applyAlignment="1">
      <alignment wrapText="1"/>
    </xf>
    <xf numFmtId="167" fontId="29" fillId="0" borderId="13" xfId="0" applyNumberFormat="1" applyFont="1" applyFill="1" applyBorder="1" applyAlignment="1">
      <alignment horizontal="left"/>
    </xf>
    <xf numFmtId="166" fontId="32" fillId="0" borderId="13" xfId="0" applyNumberFormat="1" applyFont="1" applyFill="1" applyBorder="1" applyAlignment="1">
      <alignment horizontal="center" wrapText="1"/>
    </xf>
    <xf numFmtId="43" fontId="34" fillId="2" borderId="13" xfId="1" applyFont="1" applyFill="1" applyBorder="1" applyAlignment="1"/>
    <xf numFmtId="168" fontId="34" fillId="2" borderId="13" xfId="1" applyNumberFormat="1" applyFont="1" applyFill="1" applyBorder="1" applyAlignment="1"/>
    <xf numFmtId="49" fontId="29" fillId="2" borderId="13" xfId="0" applyNumberFormat="1" applyFont="1" applyFill="1" applyBorder="1" applyAlignment="1">
      <alignment horizontal="right"/>
    </xf>
    <xf numFmtId="4" fontId="29" fillId="2" borderId="13" xfId="0" applyNumberFormat="1" applyFont="1" applyFill="1" applyBorder="1" applyAlignment="1">
      <alignment horizontal="right"/>
    </xf>
    <xf numFmtId="43" fontId="29" fillId="5" borderId="13" xfId="1" applyFont="1" applyFill="1" applyBorder="1" applyAlignment="1">
      <alignment horizontal="right"/>
    </xf>
    <xf numFmtId="43" fontId="29" fillId="2" borderId="13" xfId="1" applyFont="1" applyFill="1" applyBorder="1" applyAlignment="1">
      <alignment horizontal="right"/>
    </xf>
    <xf numFmtId="2" fontId="29" fillId="2" borderId="13" xfId="0" applyNumberFormat="1" applyFont="1" applyFill="1" applyBorder="1" applyAlignment="1">
      <alignment horizontal="right"/>
    </xf>
    <xf numFmtId="166" fontId="32" fillId="2" borderId="13" xfId="0" applyNumberFormat="1" applyFont="1" applyFill="1" applyBorder="1" applyAlignment="1">
      <alignment horizontal="center" wrapText="1"/>
    </xf>
    <xf numFmtId="167" fontId="34" fillId="2" borderId="13" xfId="0" applyNumberFormat="1" applyFont="1" applyFill="1" applyBorder="1" applyAlignment="1">
      <alignment horizontal="left"/>
    </xf>
    <xf numFmtId="4" fontId="5" fillId="12" borderId="13" xfId="0" applyNumberFormat="1" applyFont="1" applyFill="1" applyBorder="1" applyAlignment="1">
      <alignment wrapText="1"/>
    </xf>
    <xf numFmtId="0" fontId="5" fillId="12" borderId="13" xfId="0" applyFont="1" applyFill="1" applyBorder="1" applyAlignment="1">
      <alignment wrapText="1"/>
    </xf>
    <xf numFmtId="167" fontId="34" fillId="2" borderId="13" xfId="0" applyNumberFormat="1" applyFont="1" applyFill="1" applyBorder="1" applyAlignment="1">
      <alignment wrapText="1"/>
    </xf>
    <xf numFmtId="166" fontId="30" fillId="12" borderId="13" xfId="0" applyNumberFormat="1" applyFont="1" applyFill="1" applyBorder="1" applyAlignment="1">
      <alignment horizontal="center" wrapText="1"/>
    </xf>
    <xf numFmtId="167" fontId="29" fillId="2" borderId="13" xfId="0" applyNumberFormat="1" applyFont="1" applyFill="1" applyBorder="1" applyAlignment="1">
      <alignment horizontal="left" wrapText="1"/>
    </xf>
    <xf numFmtId="166" fontId="29" fillId="2" borderId="13" xfId="0" applyNumberFormat="1" applyFont="1" applyFill="1" applyBorder="1" applyAlignment="1">
      <alignment horizontal="left"/>
    </xf>
    <xf numFmtId="166" fontId="29" fillId="0" borderId="13" xfId="0" applyNumberFormat="1" applyFont="1" applyFill="1" applyBorder="1" applyAlignment="1">
      <alignment horizontal="center"/>
    </xf>
    <xf numFmtId="49" fontId="34" fillId="0" borderId="13" xfId="0" applyNumberFormat="1" applyFont="1" applyFill="1" applyBorder="1" applyAlignment="1">
      <alignment horizontal="right"/>
    </xf>
    <xf numFmtId="166" fontId="29" fillId="45" borderId="13" xfId="0" applyNumberFormat="1" applyFont="1" applyFill="1" applyBorder="1" applyAlignment="1">
      <alignment horizontal="center" wrapText="1"/>
    </xf>
    <xf numFmtId="49" fontId="34" fillId="45" borderId="13" xfId="0" applyNumberFormat="1" applyFont="1" applyFill="1" applyBorder="1" applyAlignment="1">
      <alignment horizontal="right"/>
    </xf>
    <xf numFmtId="10" fontId="32" fillId="45" borderId="13" xfId="0" applyNumberFormat="1" applyFont="1" applyFill="1" applyBorder="1" applyAlignment="1">
      <alignment horizontal="right" vertical="center"/>
    </xf>
    <xf numFmtId="10" fontId="34" fillId="45" borderId="13" xfId="0" applyNumberFormat="1" applyFont="1" applyFill="1" applyBorder="1" applyAlignment="1">
      <alignment horizontal="right" vertical="center"/>
    </xf>
    <xf numFmtId="167" fontId="34" fillId="45" borderId="13" xfId="0" applyNumberFormat="1" applyFont="1" applyFill="1" applyBorder="1" applyAlignment="1">
      <alignment horizontal="right" vertical="center"/>
    </xf>
    <xf numFmtId="49" fontId="37" fillId="8" borderId="13" xfId="0" applyNumberFormat="1" applyFont="1" applyFill="1" applyBorder="1" applyAlignment="1">
      <alignment horizontal="center" vertical="top" wrapText="1"/>
    </xf>
    <xf numFmtId="43" fontId="37" fillId="8" borderId="13" xfId="1" applyFont="1" applyFill="1" applyBorder="1" applyAlignment="1">
      <alignment horizontal="center" vertical="top" wrapText="1"/>
    </xf>
    <xf numFmtId="167" fontId="29" fillId="0" borderId="13" xfId="0" applyNumberFormat="1" applyFont="1" applyFill="1" applyBorder="1"/>
    <xf numFmtId="4" fontId="29" fillId="0" borderId="13" xfId="0" applyNumberFormat="1" applyFont="1" applyFill="1" applyBorder="1"/>
    <xf numFmtId="4" fontId="29" fillId="2" borderId="13" xfId="0" applyNumberFormat="1" applyFont="1" applyFill="1" applyBorder="1"/>
    <xf numFmtId="10" fontId="29" fillId="6" borderId="13" xfId="0" applyNumberFormat="1" applyFont="1" applyFill="1" applyBorder="1"/>
    <xf numFmtId="10" fontId="29" fillId="46" borderId="13" xfId="0" applyNumberFormat="1" applyFont="1" applyFill="1" applyBorder="1"/>
    <xf numFmtId="10" fontId="29" fillId="9" borderId="13" xfId="0" applyNumberFormat="1" applyFont="1" applyFill="1" applyBorder="1" applyAlignment="1">
      <alignment horizontal="right" vertical="center"/>
    </xf>
    <xf numFmtId="167" fontId="29" fillId="9" borderId="13" xfId="0" applyNumberFormat="1" applyFont="1" applyFill="1" applyBorder="1" applyAlignment="1">
      <alignment horizontal="right" vertical="center"/>
    </xf>
    <xf numFmtId="166" fontId="29" fillId="0" borderId="13" xfId="0" applyNumberFormat="1" applyFont="1" applyFill="1" applyBorder="1"/>
    <xf numFmtId="10" fontId="29" fillId="4" borderId="13" xfId="0" applyNumberFormat="1" applyFont="1" applyFill="1" applyBorder="1"/>
    <xf numFmtId="49" fontId="5" fillId="0" borderId="13" xfId="0" applyNumberFormat="1" applyFont="1" applyFill="1" applyBorder="1"/>
    <xf numFmtId="43" fontId="39" fillId="22" borderId="13" xfId="495" applyNumberFormat="1" applyFont="1" applyBorder="1"/>
    <xf numFmtId="4" fontId="29" fillId="12" borderId="13" xfId="0" applyNumberFormat="1" applyFont="1" applyFill="1" applyBorder="1"/>
    <xf numFmtId="166" fontId="29" fillId="12" borderId="13" xfId="0" applyNumberFormat="1" applyFont="1" applyFill="1" applyBorder="1"/>
    <xf numFmtId="4" fontId="29" fillId="0" borderId="13" xfId="0" applyNumberFormat="1" applyFont="1" applyBorder="1"/>
    <xf numFmtId="166" fontId="29" fillId="2" borderId="13" xfId="0" applyNumberFormat="1" applyFont="1" applyFill="1" applyBorder="1"/>
    <xf numFmtId="167" fontId="29" fillId="2" borderId="13" xfId="0" applyNumberFormat="1" applyFont="1" applyFill="1" applyBorder="1"/>
    <xf numFmtId="3" fontId="29" fillId="0" borderId="13" xfId="0" applyNumberFormat="1" applyFont="1" applyBorder="1"/>
    <xf numFmtId="49" fontId="5" fillId="12" borderId="13" xfId="0" applyNumberFormat="1" applyFont="1" applyFill="1" applyBorder="1"/>
    <xf numFmtId="0" fontId="4" fillId="0" borderId="0" xfId="0" applyNumberFormat="1" applyFont="1"/>
    <xf numFmtId="167" fontId="34" fillId="2" borderId="13" xfId="0" applyNumberFormat="1" applyFont="1" applyFill="1" applyBorder="1"/>
    <xf numFmtId="10" fontId="32" fillId="6" borderId="13" xfId="0" applyNumberFormat="1" applyFont="1" applyFill="1" applyBorder="1"/>
    <xf numFmtId="10" fontId="34" fillId="4" borderId="13" xfId="0" applyNumberFormat="1" applyFont="1" applyFill="1" applyBorder="1"/>
    <xf numFmtId="166" fontId="34" fillId="2" borderId="13" xfId="0" applyNumberFormat="1" applyFont="1" applyFill="1" applyBorder="1"/>
    <xf numFmtId="0" fontId="4" fillId="0" borderId="13" xfId="0" applyNumberFormat="1" applyFont="1" applyBorder="1"/>
    <xf numFmtId="0" fontId="34" fillId="2" borderId="13" xfId="0" applyNumberFormat="1" applyFont="1" applyFill="1" applyBorder="1"/>
    <xf numFmtId="4" fontId="36" fillId="0" borderId="13" xfId="0" applyNumberFormat="1" applyFont="1" applyBorder="1"/>
    <xf numFmtId="167" fontId="29" fillId="12" borderId="13" xfId="0" applyNumberFormat="1" applyFont="1" applyFill="1" applyBorder="1"/>
    <xf numFmtId="49" fontId="33" fillId="12" borderId="13" xfId="0" applyNumberFormat="1" applyFont="1" applyFill="1" applyBorder="1" applyAlignment="1">
      <alignment horizontal="center" wrapText="1"/>
    </xf>
    <xf numFmtId="2" fontId="29" fillId="0" borderId="13" xfId="0" applyNumberFormat="1" applyFont="1" applyFill="1" applyBorder="1"/>
    <xf numFmtId="165" fontId="29" fillId="2" borderId="13" xfId="0" applyNumberFormat="1" applyFont="1" applyFill="1" applyBorder="1"/>
    <xf numFmtId="167" fontId="29" fillId="10" borderId="13" xfId="0" applyNumberFormat="1" applyFont="1" applyFill="1" applyBorder="1"/>
    <xf numFmtId="1" fontId="29" fillId="0" borderId="26" xfId="0" applyNumberFormat="1" applyFont="1" applyFill="1" applyBorder="1"/>
    <xf numFmtId="1" fontId="29" fillId="0" borderId="13" xfId="0" applyNumberFormat="1" applyFont="1" applyFill="1" applyBorder="1"/>
    <xf numFmtId="43" fontId="29" fillId="0" borderId="13" xfId="1" applyFont="1" applyFill="1" applyBorder="1"/>
    <xf numFmtId="0" fontId="29" fillId="2" borderId="13" xfId="0" applyNumberFormat="1" applyFont="1" applyFill="1" applyBorder="1"/>
    <xf numFmtId="2" fontId="29" fillId="12" borderId="13" xfId="0" applyNumberFormat="1" applyFont="1" applyFill="1" applyBorder="1"/>
    <xf numFmtId="167" fontId="5" fillId="2" borderId="13" xfId="0" applyNumberFormat="1" applyFont="1" applyFill="1" applyBorder="1"/>
    <xf numFmtId="49" fontId="32" fillId="2" borderId="13" xfId="0" applyNumberFormat="1" applyFont="1" applyFill="1" applyBorder="1" applyAlignment="1">
      <alignment horizontal="right"/>
    </xf>
    <xf numFmtId="0" fontId="29" fillId="2" borderId="4" xfId="0" applyNumberFormat="1" applyFont="1" applyFill="1" applyBorder="1"/>
    <xf numFmtId="4" fontId="29" fillId="2" borderId="4" xfId="0" applyNumberFormat="1" applyFont="1" applyFill="1" applyBorder="1"/>
    <xf numFmtId="10" fontId="29" fillId="8" borderId="13" xfId="0" applyNumberFormat="1" applyFont="1" applyFill="1" applyBorder="1"/>
    <xf numFmtId="167" fontId="40" fillId="2" borderId="13" xfId="0" applyNumberFormat="1" applyFont="1" applyFill="1" applyBorder="1" applyAlignment="1">
      <alignment horizontal="left"/>
    </xf>
    <xf numFmtId="49" fontId="30" fillId="0" borderId="13" xfId="0" applyNumberFormat="1" applyFont="1" applyFill="1" applyBorder="1"/>
    <xf numFmtId="3" fontId="29" fillId="2" borderId="13" xfId="0" applyNumberFormat="1" applyFont="1" applyFill="1" applyBorder="1"/>
    <xf numFmtId="3" fontId="29" fillId="0" borderId="13" xfId="0" applyNumberFormat="1" applyFont="1" applyFill="1" applyBorder="1"/>
    <xf numFmtId="167" fontId="29" fillId="0" borderId="4" xfId="0" applyNumberFormat="1" applyFont="1" applyFill="1" applyBorder="1"/>
    <xf numFmtId="49" fontId="32" fillId="0" borderId="13" xfId="0" applyNumberFormat="1" applyFont="1" applyFill="1" applyBorder="1" applyAlignment="1">
      <alignment horizontal="right"/>
    </xf>
    <xf numFmtId="4" fontId="4" fillId="0" borderId="13" xfId="0" applyNumberFormat="1" applyFont="1" applyBorder="1"/>
    <xf numFmtId="0" fontId="5" fillId="0" borderId="13" xfId="0" applyFont="1" applyFill="1" applyBorder="1"/>
    <xf numFmtId="0" fontId="4" fillId="0" borderId="13" xfId="0" applyFont="1" applyBorder="1"/>
    <xf numFmtId="3" fontId="4" fillId="0" borderId="13" xfId="0" applyNumberFormat="1" applyFont="1" applyBorder="1"/>
    <xf numFmtId="167" fontId="29" fillId="0" borderId="13" xfId="0" applyNumberFormat="1" applyFont="1" applyBorder="1"/>
    <xf numFmtId="43" fontId="41" fillId="0" borderId="13" xfId="1" applyFont="1" applyBorder="1" applyAlignment="1">
      <alignment horizontal="center"/>
    </xf>
    <xf numFmtId="43" fontId="41" fillId="0" borderId="13" xfId="1" applyFont="1" applyBorder="1"/>
    <xf numFmtId="167" fontId="29" fillId="2" borderId="27" xfId="0" applyNumberFormat="1" applyFont="1" applyFill="1" applyBorder="1"/>
    <xf numFmtId="166" fontId="29" fillId="0" borderId="13" xfId="0" applyNumberFormat="1" applyFont="1" applyBorder="1"/>
    <xf numFmtId="167" fontId="34" fillId="45" borderId="13" xfId="0" applyNumberFormat="1" applyFont="1" applyFill="1" applyBorder="1"/>
    <xf numFmtId="10" fontId="34" fillId="45" borderId="13" xfId="0" applyNumberFormat="1" applyFont="1" applyFill="1" applyBorder="1"/>
    <xf numFmtId="166" fontId="34" fillId="45" borderId="13" xfId="0" applyNumberFormat="1" applyFont="1" applyFill="1" applyBorder="1"/>
    <xf numFmtId="49" fontId="7" fillId="13" borderId="13" xfId="0" applyNumberFormat="1" applyFont="1" applyFill="1" applyBorder="1" applyAlignment="1">
      <alignment horizontal="center"/>
    </xf>
    <xf numFmtId="0" fontId="7" fillId="13" borderId="13" xfId="0" applyNumberFormat="1" applyFont="1" applyFill="1" applyBorder="1" applyAlignment="1">
      <alignment horizontal="center"/>
    </xf>
    <xf numFmtId="49" fontId="38" fillId="9" borderId="14" xfId="0" applyNumberFormat="1" applyFont="1" applyFill="1" applyBorder="1" applyAlignment="1">
      <alignment horizontal="center" vertical="top" wrapText="1"/>
    </xf>
    <xf numFmtId="49" fontId="38" fillId="9" borderId="15" xfId="0" applyNumberFormat="1" applyFont="1" applyFill="1" applyBorder="1" applyAlignment="1">
      <alignment horizontal="center" vertical="top" wrapText="1"/>
    </xf>
    <xf numFmtId="49" fontId="38" fillId="9" borderId="16" xfId="0" applyNumberFormat="1" applyFont="1" applyFill="1" applyBorder="1" applyAlignment="1">
      <alignment horizontal="center" vertical="top" wrapText="1"/>
    </xf>
    <xf numFmtId="49" fontId="35" fillId="9" borderId="14" xfId="0" applyNumberFormat="1" applyFont="1" applyFill="1" applyBorder="1" applyAlignment="1">
      <alignment horizontal="center" vertical="top" wrapText="1"/>
    </xf>
    <xf numFmtId="49" fontId="35" fillId="9" borderId="15" xfId="0" applyNumberFormat="1" applyFont="1" applyFill="1" applyBorder="1" applyAlignment="1">
      <alignment horizontal="center" vertical="top" wrapText="1"/>
    </xf>
    <xf numFmtId="49" fontId="35" fillId="9" borderId="16" xfId="0" applyNumberFormat="1" applyFont="1" applyFill="1" applyBorder="1" applyAlignment="1">
      <alignment horizontal="center" vertical="top" wrapText="1"/>
    </xf>
    <xf numFmtId="0" fontId="33" fillId="8" borderId="14" xfId="0" applyFont="1" applyFill="1" applyBorder="1" applyAlignment="1">
      <alignment horizontal="center" wrapText="1"/>
    </xf>
    <xf numFmtId="0" fontId="33" fillId="8" borderId="15" xfId="0" applyFont="1" applyFill="1" applyBorder="1" applyAlignment="1">
      <alignment horizontal="center" wrapText="1"/>
    </xf>
    <xf numFmtId="0" fontId="33" fillId="8" borderId="16" xfId="0" applyFont="1" applyFill="1" applyBorder="1" applyAlignment="1">
      <alignment horizontal="center" wrapText="1"/>
    </xf>
    <xf numFmtId="167" fontId="33" fillId="8" borderId="14" xfId="0" applyNumberFormat="1" applyFont="1" applyFill="1" applyBorder="1" applyAlignment="1">
      <alignment horizontal="center" wrapText="1"/>
    </xf>
    <xf numFmtId="167" fontId="33" fillId="8" borderId="15" xfId="0" applyNumberFormat="1" applyFont="1" applyFill="1" applyBorder="1" applyAlignment="1">
      <alignment horizontal="center" wrapText="1"/>
    </xf>
    <xf numFmtId="167" fontId="33" fillId="8" borderId="16" xfId="0" applyNumberFormat="1" applyFont="1" applyFill="1" applyBorder="1" applyAlignment="1">
      <alignment horizontal="center" wrapText="1"/>
    </xf>
  </cellXfs>
  <cellStyles count="496">
    <cellStyle name="20% - Accent1" xfId="495" builtinId="30"/>
    <cellStyle name="20% - Accent1 2" xfId="110"/>
    <cellStyle name="20% - Accent1 2 2" xfId="381"/>
    <cellStyle name="20% - Accent1 2 3" xfId="225"/>
    <cellStyle name="20% - Accent1 3" xfId="140"/>
    <cellStyle name="20% - Accent1 3 2" xfId="413"/>
    <cellStyle name="20% - Accent1 3 3" xfId="257"/>
    <cellStyle name="20% - Accent1 4" xfId="301"/>
    <cellStyle name="20% - Accent1 4 2" xfId="457"/>
    <cellStyle name="20% - Accent1 5" xfId="346"/>
    <cellStyle name="20% - Accent1 6" xfId="190"/>
    <cellStyle name="20% - Accent1 7" xfId="12"/>
    <cellStyle name="20% - Accent2 2" xfId="114"/>
    <cellStyle name="20% - Accent2 2 2" xfId="384"/>
    <cellStyle name="20% - Accent2 2 3" xfId="228"/>
    <cellStyle name="20% - Accent2 3" xfId="143"/>
    <cellStyle name="20% - Accent2 3 2" xfId="416"/>
    <cellStyle name="20% - Accent2 3 3" xfId="260"/>
    <cellStyle name="20% - Accent2 4" xfId="304"/>
    <cellStyle name="20% - Accent2 4 2" xfId="460"/>
    <cellStyle name="20% - Accent2 5" xfId="349"/>
    <cellStyle name="20% - Accent2 6" xfId="193"/>
    <cellStyle name="20% - Accent2 7" xfId="13"/>
    <cellStyle name="20% - Accent3 2" xfId="118"/>
    <cellStyle name="20% - Accent3 2 2" xfId="387"/>
    <cellStyle name="20% - Accent3 2 3" xfId="231"/>
    <cellStyle name="20% - Accent3 3" xfId="146"/>
    <cellStyle name="20% - Accent3 3 2" xfId="420"/>
    <cellStyle name="20% - Accent3 3 3" xfId="264"/>
    <cellStyle name="20% - Accent3 4" xfId="307"/>
    <cellStyle name="20% - Accent3 4 2" xfId="463"/>
    <cellStyle name="20% - Accent3 5" xfId="352"/>
    <cellStyle name="20% - Accent3 6" xfId="196"/>
    <cellStyle name="20% - Accent3 7" xfId="14"/>
    <cellStyle name="20% - Accent4 2" xfId="121"/>
    <cellStyle name="20% - Accent4 2 2" xfId="390"/>
    <cellStyle name="20% - Accent4 2 3" xfId="234"/>
    <cellStyle name="20% - Accent4 3" xfId="149"/>
    <cellStyle name="20% - Accent4 3 2" xfId="424"/>
    <cellStyle name="20% - Accent4 3 3" xfId="268"/>
    <cellStyle name="20% - Accent4 4" xfId="311"/>
    <cellStyle name="20% - Accent4 4 2" xfId="467"/>
    <cellStyle name="20% - Accent4 5" xfId="355"/>
    <cellStyle name="20% - Accent4 6" xfId="199"/>
    <cellStyle name="20% - Accent4 7" xfId="15"/>
    <cellStyle name="20% - Accent5 2" xfId="125"/>
    <cellStyle name="20% - Accent5 2 2" xfId="393"/>
    <cellStyle name="20% - Accent5 2 3" xfId="237"/>
    <cellStyle name="20% - Accent5 3" xfId="152"/>
    <cellStyle name="20% - Accent5 3 2" xfId="427"/>
    <cellStyle name="20% - Accent5 3 3" xfId="271"/>
    <cellStyle name="20% - Accent5 4" xfId="315"/>
    <cellStyle name="20% - Accent5 4 2" xfId="471"/>
    <cellStyle name="20% - Accent5 5" xfId="358"/>
    <cellStyle name="20% - Accent5 6" xfId="202"/>
    <cellStyle name="20% - Accent5 7" xfId="16"/>
    <cellStyle name="20% - Accent6 2" xfId="129"/>
    <cellStyle name="20% - Accent6 2 2" xfId="396"/>
    <cellStyle name="20% - Accent6 2 3" xfId="240"/>
    <cellStyle name="20% - Accent6 3" xfId="155"/>
    <cellStyle name="20% - Accent6 3 2" xfId="431"/>
    <cellStyle name="20% - Accent6 3 3" xfId="275"/>
    <cellStyle name="20% - Accent6 4" xfId="318"/>
    <cellStyle name="20% - Accent6 4 2" xfId="474"/>
    <cellStyle name="20% - Accent6 5" xfId="361"/>
    <cellStyle name="20% - Accent6 6" xfId="205"/>
    <cellStyle name="20% - Accent6 7" xfId="17"/>
    <cellStyle name="40% - Accent1 2" xfId="111"/>
    <cellStyle name="40% - Accent1 2 2" xfId="382"/>
    <cellStyle name="40% - Accent1 2 3" xfId="226"/>
    <cellStyle name="40% - Accent1 3" xfId="141"/>
    <cellStyle name="40% - Accent1 3 2" xfId="414"/>
    <cellStyle name="40% - Accent1 3 3" xfId="258"/>
    <cellStyle name="40% - Accent1 4" xfId="302"/>
    <cellStyle name="40% - Accent1 4 2" xfId="458"/>
    <cellStyle name="40% - Accent1 5" xfId="347"/>
    <cellStyle name="40% - Accent1 6" xfId="191"/>
    <cellStyle name="40% - Accent1 7" xfId="18"/>
    <cellStyle name="40% - Accent2 2" xfId="115"/>
    <cellStyle name="40% - Accent2 2 2" xfId="385"/>
    <cellStyle name="40% - Accent2 2 3" xfId="229"/>
    <cellStyle name="40% - Accent2 3" xfId="144"/>
    <cellStyle name="40% - Accent2 3 2" xfId="417"/>
    <cellStyle name="40% - Accent2 3 3" xfId="261"/>
    <cellStyle name="40% - Accent2 4" xfId="305"/>
    <cellStyle name="40% - Accent2 4 2" xfId="461"/>
    <cellStyle name="40% - Accent2 5" xfId="350"/>
    <cellStyle name="40% - Accent2 6" xfId="194"/>
    <cellStyle name="40% - Accent2 7" xfId="19"/>
    <cellStyle name="40% - Accent3 2" xfId="119"/>
    <cellStyle name="40% - Accent3 2 2" xfId="388"/>
    <cellStyle name="40% - Accent3 2 3" xfId="232"/>
    <cellStyle name="40% - Accent3 3" xfId="147"/>
    <cellStyle name="40% - Accent3 3 2" xfId="421"/>
    <cellStyle name="40% - Accent3 3 3" xfId="265"/>
    <cellStyle name="40% - Accent3 4" xfId="308"/>
    <cellStyle name="40% - Accent3 4 2" xfId="464"/>
    <cellStyle name="40% - Accent3 5" xfId="353"/>
    <cellStyle name="40% - Accent3 6" xfId="197"/>
    <cellStyle name="40% - Accent3 7" xfId="20"/>
    <cellStyle name="40% - Accent4 2" xfId="122"/>
    <cellStyle name="40% - Accent4 2 2" xfId="391"/>
    <cellStyle name="40% - Accent4 2 3" xfId="235"/>
    <cellStyle name="40% - Accent4 3" xfId="150"/>
    <cellStyle name="40% - Accent4 3 2" xfId="425"/>
    <cellStyle name="40% - Accent4 3 3" xfId="269"/>
    <cellStyle name="40% - Accent4 4" xfId="312"/>
    <cellStyle name="40% - Accent4 4 2" xfId="468"/>
    <cellStyle name="40% - Accent4 5" xfId="356"/>
    <cellStyle name="40% - Accent4 6" xfId="200"/>
    <cellStyle name="40% - Accent4 7" xfId="21"/>
    <cellStyle name="40% - Accent5 2" xfId="126"/>
    <cellStyle name="40% - Accent5 2 2" xfId="394"/>
    <cellStyle name="40% - Accent5 2 3" xfId="238"/>
    <cellStyle name="40% - Accent5 3" xfId="153"/>
    <cellStyle name="40% - Accent5 3 2" xfId="428"/>
    <cellStyle name="40% - Accent5 3 3" xfId="272"/>
    <cellStyle name="40% - Accent5 4" xfId="316"/>
    <cellStyle name="40% - Accent5 4 2" xfId="472"/>
    <cellStyle name="40% - Accent5 5" xfId="359"/>
    <cellStyle name="40% - Accent5 6" xfId="203"/>
    <cellStyle name="40% - Accent5 7" xfId="22"/>
    <cellStyle name="40% - Accent6 2" xfId="130"/>
    <cellStyle name="40% - Accent6 2 2" xfId="397"/>
    <cellStyle name="40% - Accent6 2 3" xfId="241"/>
    <cellStyle name="40% - Accent6 3" xfId="156"/>
    <cellStyle name="40% - Accent6 3 2" xfId="432"/>
    <cellStyle name="40% - Accent6 3 3" xfId="276"/>
    <cellStyle name="40% - Accent6 4" xfId="319"/>
    <cellStyle name="40% - Accent6 4 2" xfId="475"/>
    <cellStyle name="40% - Accent6 5" xfId="362"/>
    <cellStyle name="40% - Accent6 6" xfId="206"/>
    <cellStyle name="40% - Accent6 7" xfId="23"/>
    <cellStyle name="60% - Accent1 2" xfId="112"/>
    <cellStyle name="60% - Accent1 2 2" xfId="383"/>
    <cellStyle name="60% - Accent1 2 3" xfId="227"/>
    <cellStyle name="60% - Accent1 3" xfId="142"/>
    <cellStyle name="60% - Accent1 3 2" xfId="415"/>
    <cellStyle name="60% - Accent1 3 3" xfId="259"/>
    <cellStyle name="60% - Accent1 4" xfId="303"/>
    <cellStyle name="60% - Accent1 4 2" xfId="459"/>
    <cellStyle name="60% - Accent1 5" xfId="348"/>
    <cellStyle name="60% - Accent1 6" xfId="192"/>
    <cellStyle name="60% - Accent1 7" xfId="24"/>
    <cellStyle name="60% - Accent2 2" xfId="116"/>
    <cellStyle name="60% - Accent2 2 2" xfId="386"/>
    <cellStyle name="60% - Accent2 2 3" xfId="230"/>
    <cellStyle name="60% - Accent2 3" xfId="145"/>
    <cellStyle name="60% - Accent2 3 2" xfId="418"/>
    <cellStyle name="60% - Accent2 3 3" xfId="262"/>
    <cellStyle name="60% - Accent2 4" xfId="306"/>
    <cellStyle name="60% - Accent2 4 2" xfId="462"/>
    <cellStyle name="60% - Accent2 5" xfId="351"/>
    <cellStyle name="60% - Accent2 6" xfId="195"/>
    <cellStyle name="60% - Accent2 7" xfId="25"/>
    <cellStyle name="60% - Accent3 2" xfId="120"/>
    <cellStyle name="60% - Accent3 2 2" xfId="389"/>
    <cellStyle name="60% - Accent3 2 3" xfId="233"/>
    <cellStyle name="60% - Accent3 3" xfId="148"/>
    <cellStyle name="60% - Accent3 3 2" xfId="422"/>
    <cellStyle name="60% - Accent3 3 3" xfId="266"/>
    <cellStyle name="60% - Accent3 4" xfId="309"/>
    <cellStyle name="60% - Accent3 4 2" xfId="465"/>
    <cellStyle name="60% - Accent3 5" xfId="354"/>
    <cellStyle name="60% - Accent3 6" xfId="198"/>
    <cellStyle name="60% - Accent3 7" xfId="26"/>
    <cellStyle name="60% - Accent4 2" xfId="123"/>
    <cellStyle name="60% - Accent4 2 2" xfId="392"/>
    <cellStyle name="60% - Accent4 2 3" xfId="236"/>
    <cellStyle name="60% - Accent4 3" xfId="151"/>
    <cellStyle name="60% - Accent4 3 2" xfId="426"/>
    <cellStyle name="60% - Accent4 3 3" xfId="270"/>
    <cellStyle name="60% - Accent4 4" xfId="313"/>
    <cellStyle name="60% - Accent4 4 2" xfId="469"/>
    <cellStyle name="60% - Accent4 5" xfId="357"/>
    <cellStyle name="60% - Accent4 6" xfId="201"/>
    <cellStyle name="60% - Accent4 7" xfId="27"/>
    <cellStyle name="60% - Accent5 2" xfId="127"/>
    <cellStyle name="60% - Accent5 2 2" xfId="395"/>
    <cellStyle name="60% - Accent5 2 3" xfId="239"/>
    <cellStyle name="60% - Accent5 3" xfId="154"/>
    <cellStyle name="60% - Accent5 3 2" xfId="429"/>
    <cellStyle name="60% - Accent5 3 3" xfId="273"/>
    <cellStyle name="60% - Accent5 4" xfId="317"/>
    <cellStyle name="60% - Accent5 4 2" xfId="473"/>
    <cellStyle name="60% - Accent5 5" xfId="360"/>
    <cellStyle name="60% - Accent5 6" xfId="204"/>
    <cellStyle name="60% - Accent5 7" xfId="28"/>
    <cellStyle name="60% - Accent6 2" xfId="131"/>
    <cellStyle name="60% - Accent6 2 2" xfId="398"/>
    <cellStyle name="60% - Accent6 2 3" xfId="242"/>
    <cellStyle name="60% - Accent6 3" xfId="157"/>
    <cellStyle name="60% - Accent6 3 2" xfId="433"/>
    <cellStyle name="60% - Accent6 3 3" xfId="277"/>
    <cellStyle name="60% - Accent6 4" xfId="320"/>
    <cellStyle name="60% - Accent6 4 2" xfId="476"/>
    <cellStyle name="60% - Accent6 5" xfId="363"/>
    <cellStyle name="60% - Accent6 6" xfId="207"/>
    <cellStyle name="60% - Accent6 7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Calculation" xfId="7" builtinId="22" customBuiltin="1"/>
    <cellStyle name="Check Cell" xfId="9" builtinId="23" customBuiltin="1"/>
    <cellStyle name="Comma" xfId="1" builtinId="3"/>
    <cellStyle name="Comma 10" xfId="38"/>
    <cellStyle name="Comma 11" xfId="39"/>
    <cellStyle name="Comma 12" xfId="40"/>
    <cellStyle name="Comma 12 2" xfId="365"/>
    <cellStyle name="Comma 12 3" xfId="209"/>
    <cellStyle name="Comma 13" xfId="103"/>
    <cellStyle name="Comma 13 2" xfId="378"/>
    <cellStyle name="Comma 13 3" xfId="222"/>
    <cellStyle name="Comma 14" xfId="41"/>
    <cellStyle name="Comma 15" xfId="136"/>
    <cellStyle name="Comma 15 2" xfId="400"/>
    <cellStyle name="Comma 15 3" xfId="244"/>
    <cellStyle name="Comma 16" xfId="138"/>
    <cellStyle name="Comma 16 2" xfId="447"/>
    <cellStyle name="Comma 16 3" xfId="291"/>
    <cellStyle name="Comma 17" xfId="492"/>
    <cellStyle name="Comma 18" xfId="37"/>
    <cellStyle name="Comma 2" xfId="42"/>
    <cellStyle name="Comma 2 10" xfId="43"/>
    <cellStyle name="Comma 2 10 2" xfId="159"/>
    <cellStyle name="Comma 2 11" xfId="44"/>
    <cellStyle name="Comma 2 11 2" xfId="160"/>
    <cellStyle name="Comma 2 12" xfId="491"/>
    <cellStyle name="Comma 2 2" xfId="45"/>
    <cellStyle name="Comma 2 2 2" xfId="46"/>
    <cellStyle name="Comma 2 2 2 2" xfId="47"/>
    <cellStyle name="Comma 2 2 2 2 2" xfId="163"/>
    <cellStyle name="Comma 2 2 2 2 3" xfId="162"/>
    <cellStyle name="Comma 2 2 2 3" xfId="161"/>
    <cellStyle name="Comma 2 3" xfId="48"/>
    <cellStyle name="Comma 2 3 2" xfId="164"/>
    <cellStyle name="Comma 2 4" xfId="49"/>
    <cellStyle name="Comma 2 4 2" xfId="165"/>
    <cellStyle name="Comma 2 5" xfId="50"/>
    <cellStyle name="Comma 2 5 2" xfId="166"/>
    <cellStyle name="Comma 2 6" xfId="51"/>
    <cellStyle name="Comma 2 6 2" xfId="167"/>
    <cellStyle name="Comma 2 7" xfId="52"/>
    <cellStyle name="Comma 2 7 2" xfId="168"/>
    <cellStyle name="Comma 2 8" xfId="53"/>
    <cellStyle name="Comma 2 8 2" xfId="169"/>
    <cellStyle name="Comma 2 9" xfId="54"/>
    <cellStyle name="Comma 2 9 2" xfId="170"/>
    <cellStyle name="Comma 3" xfId="55"/>
    <cellStyle name="Comma 3 2" xfId="333"/>
    <cellStyle name="Comma 3 3" xfId="171"/>
    <cellStyle name="Comma 3 4" xfId="489"/>
    <cellStyle name="Comma 3 4 3" xfId="493"/>
    <cellStyle name="Comma 3 4 4" xfId="494"/>
    <cellStyle name="Comma 4" xfId="56"/>
    <cellStyle name="Comma 4 2" xfId="57"/>
    <cellStyle name="Comma 4 3" xfId="172"/>
    <cellStyle name="Comma 5" xfId="58"/>
    <cellStyle name="Comma 6" xfId="59"/>
    <cellStyle name="Comma 7" xfId="60"/>
    <cellStyle name="Comma 8" xfId="61"/>
    <cellStyle name="Comma 8 2" xfId="62"/>
    <cellStyle name="Comma 9" xfId="63"/>
    <cellStyle name="Explanatory Text 2" xfId="64"/>
    <cellStyle name="Good 2" xfId="65"/>
    <cellStyle name="Heading 1" xfId="2" builtinId="16" customBuiltin="1"/>
    <cellStyle name="Heading 2" xfId="3" builtinId="17" customBuiltin="1"/>
    <cellStyle name="Heading 3" xfId="4" builtinId="18" customBuiltin="1"/>
    <cellStyle name="Heading 4 2" xfId="66"/>
    <cellStyle name="Input" xfId="5" builtinId="20" customBuiltin="1"/>
    <cellStyle name="Linked Cell" xfId="8" builtinId="24" customBuiltin="1"/>
    <cellStyle name="Neutral 2" xfId="105"/>
    <cellStyle name="Neutral 3" xfId="67"/>
    <cellStyle name="Normal" xfId="0" builtinId="0"/>
    <cellStyle name="Normal - Style1" xfId="68"/>
    <cellStyle name="Normal 10" xfId="69"/>
    <cellStyle name="Normal 10 2" xfId="370"/>
    <cellStyle name="Normal 10 3" xfId="214"/>
    <cellStyle name="Normal 11" xfId="70"/>
    <cellStyle name="Normal 11 2" xfId="374"/>
    <cellStyle name="Normal 11 3" xfId="218"/>
    <cellStyle name="Normal 12" xfId="71"/>
    <cellStyle name="Normal 12 2" xfId="72"/>
    <cellStyle name="Normal 12 2 2" xfId="334"/>
    <cellStyle name="Normal 12 2 3" xfId="173"/>
    <cellStyle name="Normal 12 3" xfId="371"/>
    <cellStyle name="Normal 12 4" xfId="215"/>
    <cellStyle name="Normal 13" xfId="73"/>
    <cellStyle name="Normal 13 2" xfId="376"/>
    <cellStyle name="Normal 13 3" xfId="220"/>
    <cellStyle name="Normal 14" xfId="74"/>
    <cellStyle name="Normal 14 2" xfId="174"/>
    <cellStyle name="Normal 15" xfId="102"/>
    <cellStyle name="Normal 15 2" xfId="372"/>
    <cellStyle name="Normal 15 3" xfId="216"/>
    <cellStyle name="Normal 16" xfId="107"/>
    <cellStyle name="Normal 16 2" xfId="375"/>
    <cellStyle name="Normal 16 3" xfId="219"/>
    <cellStyle name="Normal 17" xfId="124"/>
    <cellStyle name="Normal 17 2" xfId="373"/>
    <cellStyle name="Normal 17 3" xfId="217"/>
    <cellStyle name="Normal 18" xfId="128"/>
    <cellStyle name="Normal 18 2" xfId="377"/>
    <cellStyle name="Normal 18 3" xfId="221"/>
    <cellStyle name="Normal 19" xfId="109"/>
    <cellStyle name="Normal 19 2" xfId="379"/>
    <cellStyle name="Normal 19 3" xfId="223"/>
    <cellStyle name="Normal 2" xfId="75"/>
    <cellStyle name="Normal 2 2" xfId="76"/>
    <cellStyle name="Normal 2 2 2" xfId="175"/>
    <cellStyle name="Normal 2 3" xfId="77"/>
    <cellStyle name="Normal 2 4" xfId="78"/>
    <cellStyle name="Normal 2 5" xfId="79"/>
    <cellStyle name="Normal 2 6" xfId="490"/>
    <cellStyle name="Normal 20" xfId="113"/>
    <cellStyle name="Normal 20 2" xfId="399"/>
    <cellStyle name="Normal 20 3" xfId="243"/>
    <cellStyle name="Normal 21" xfId="134"/>
    <cellStyle name="Normal 21 2" xfId="409"/>
    <cellStyle name="Normal 21 3" xfId="253"/>
    <cellStyle name="Normal 22" xfId="133"/>
    <cellStyle name="Normal 22 2" xfId="405"/>
    <cellStyle name="Normal 22 3" xfId="249"/>
    <cellStyle name="Normal 23" xfId="132"/>
    <cellStyle name="Normal 23 2" xfId="443"/>
    <cellStyle name="Normal 23 3" xfId="287"/>
    <cellStyle name="Normal 24" xfId="106"/>
    <cellStyle name="Normal 24 2" xfId="403"/>
    <cellStyle name="Normal 24 3" xfId="247"/>
    <cellStyle name="Normal 25" xfId="117"/>
    <cellStyle name="Normal 25 2" xfId="411"/>
    <cellStyle name="Normal 25 3" xfId="255"/>
    <cellStyle name="Normal 26" xfId="135"/>
    <cellStyle name="Normal 26 2" xfId="401"/>
    <cellStyle name="Normal 26 3" xfId="245"/>
    <cellStyle name="Normal 27" xfId="137"/>
    <cellStyle name="Normal 27 2" xfId="412"/>
    <cellStyle name="Normal 27 3" xfId="256"/>
    <cellStyle name="Normal 28" xfId="289"/>
    <cellStyle name="Normal 28 2" xfId="445"/>
    <cellStyle name="Normal 29" xfId="279"/>
    <cellStyle name="Normal 29 2" xfId="435"/>
    <cellStyle name="Normal 3" xfId="80"/>
    <cellStyle name="Normal 3 2" xfId="81"/>
    <cellStyle name="Normal 3 2 2" xfId="336"/>
    <cellStyle name="Normal 3 2 3" xfId="177"/>
    <cellStyle name="Normal 3 3" xfId="335"/>
    <cellStyle name="Normal 3 4" xfId="176"/>
    <cellStyle name="Normal 30" xfId="288"/>
    <cellStyle name="Normal 30 2" xfId="444"/>
    <cellStyle name="Normal 31" xfId="283"/>
    <cellStyle name="Normal 31 2" xfId="439"/>
    <cellStyle name="Normal 32" xfId="282"/>
    <cellStyle name="Normal 32 2" xfId="438"/>
    <cellStyle name="Normal 33" xfId="267"/>
    <cellStyle name="Normal 33 2" xfId="423"/>
    <cellStyle name="Normal 34" xfId="248"/>
    <cellStyle name="Normal 34 2" xfId="404"/>
    <cellStyle name="Normal 35" xfId="250"/>
    <cellStyle name="Normal 35 2" xfId="406"/>
    <cellStyle name="Normal 36" xfId="274"/>
    <cellStyle name="Normal 36 2" xfId="430"/>
    <cellStyle name="Normal 37" xfId="252"/>
    <cellStyle name="Normal 37 2" xfId="408"/>
    <cellStyle name="Normal 38" xfId="281"/>
    <cellStyle name="Normal 38 2" xfId="437"/>
    <cellStyle name="Normal 39" xfId="246"/>
    <cellStyle name="Normal 39 2" xfId="402"/>
    <cellStyle name="Normal 4" xfId="82"/>
    <cellStyle name="Normal 4 2" xfId="178"/>
    <cellStyle name="Normal 40" xfId="251"/>
    <cellStyle name="Normal 40 2" xfId="407"/>
    <cellStyle name="Normal 41" xfId="278"/>
    <cellStyle name="Normal 41 2" xfId="434"/>
    <cellStyle name="Normal 42" xfId="284"/>
    <cellStyle name="Normal 42 2" xfId="440"/>
    <cellStyle name="Normal 43" xfId="263"/>
    <cellStyle name="Normal 43 2" xfId="419"/>
    <cellStyle name="Normal 44" xfId="286"/>
    <cellStyle name="Normal 44 2" xfId="442"/>
    <cellStyle name="Normal 45" xfId="280"/>
    <cellStyle name="Normal 45 2" xfId="436"/>
    <cellStyle name="Normal 46" xfId="285"/>
    <cellStyle name="Normal 46 2" xfId="441"/>
    <cellStyle name="Normal 47" xfId="290"/>
    <cellStyle name="Normal 47 2" xfId="446"/>
    <cellStyle name="Normal 48" xfId="297"/>
    <cellStyle name="Normal 48 2" xfId="453"/>
    <cellStyle name="Normal 49" xfId="294"/>
    <cellStyle name="Normal 49 2" xfId="450"/>
    <cellStyle name="Normal 5" xfId="83"/>
    <cellStyle name="Normal 50" xfId="296"/>
    <cellStyle name="Normal 50 2" xfId="452"/>
    <cellStyle name="Normal 51" xfId="300"/>
    <cellStyle name="Normal 51 2" xfId="456"/>
    <cellStyle name="Normal 52" xfId="310"/>
    <cellStyle name="Normal 52 2" xfId="466"/>
    <cellStyle name="Normal 53" xfId="328"/>
    <cellStyle name="Normal 53 2" xfId="484"/>
    <cellStyle name="Normal 54" xfId="323"/>
    <cellStyle name="Normal 54 2" xfId="479"/>
    <cellStyle name="Normal 55" xfId="322"/>
    <cellStyle name="Normal 55 2" xfId="478"/>
    <cellStyle name="Normal 56" xfId="325"/>
    <cellStyle name="Normal 56 2" xfId="481"/>
    <cellStyle name="Normal 57" xfId="321"/>
    <cellStyle name="Normal 57 2" xfId="477"/>
    <cellStyle name="Normal 58" xfId="324"/>
    <cellStyle name="Normal 58 2" xfId="480"/>
    <cellStyle name="Normal 59" xfId="314"/>
    <cellStyle name="Normal 59 2" xfId="470"/>
    <cellStyle name="Normal 6" xfId="84"/>
    <cellStyle name="Normal 6 2" xfId="364"/>
    <cellStyle name="Normal 6 3" xfId="208"/>
    <cellStyle name="Normal 60" xfId="295"/>
    <cellStyle name="Normal 60 2" xfId="451"/>
    <cellStyle name="Normal 61" xfId="299"/>
    <cellStyle name="Normal 61 2" xfId="455"/>
    <cellStyle name="Normal 62" xfId="293"/>
    <cellStyle name="Normal 62 2" xfId="449"/>
    <cellStyle name="Normal 63" xfId="331"/>
    <cellStyle name="Normal 63 2" xfId="487"/>
    <cellStyle name="Normal 64" xfId="332"/>
    <cellStyle name="Normal 64 2" xfId="488"/>
    <cellStyle name="Normal 65" xfId="330"/>
    <cellStyle name="Normal 65 2" xfId="486"/>
    <cellStyle name="Normal 66" xfId="329"/>
    <cellStyle name="Normal 66 2" xfId="485"/>
    <cellStyle name="Normal 67" xfId="327"/>
    <cellStyle name="Normal 67 2" xfId="483"/>
    <cellStyle name="Normal 68" xfId="292"/>
    <cellStyle name="Normal 68 2" xfId="448"/>
    <cellStyle name="Normal 69" xfId="326"/>
    <cellStyle name="Normal 69 2" xfId="482"/>
    <cellStyle name="Normal 7" xfId="85"/>
    <cellStyle name="Normal 7 2" xfId="368"/>
    <cellStyle name="Normal 7 3" xfId="212"/>
    <cellStyle name="Normal 70" xfId="158"/>
    <cellStyle name="Normal 71" xfId="189"/>
    <cellStyle name="Normal 72" xfId="11"/>
    <cellStyle name="Normal 8" xfId="86"/>
    <cellStyle name="Normal 8 2" xfId="366"/>
    <cellStyle name="Normal 8 3" xfId="210"/>
    <cellStyle name="Normal 9" xfId="87"/>
    <cellStyle name="Normal 9 2" xfId="367"/>
    <cellStyle name="Normal 9 3" xfId="211"/>
    <cellStyle name="Note 10" xfId="88"/>
    <cellStyle name="Note 10 2" xfId="337"/>
    <cellStyle name="Note 10 3" xfId="179"/>
    <cellStyle name="Note 11" xfId="108"/>
    <cellStyle name="Note 11 2" xfId="369"/>
    <cellStyle name="Note 11 3" xfId="213"/>
    <cellStyle name="Note 12" xfId="139"/>
    <cellStyle name="Note 12 2" xfId="380"/>
    <cellStyle name="Note 12 3" xfId="224"/>
    <cellStyle name="Note 13" xfId="254"/>
    <cellStyle name="Note 13 2" xfId="410"/>
    <cellStyle name="Note 14" xfId="298"/>
    <cellStyle name="Note 14 2" xfId="454"/>
    <cellStyle name="Note 2" xfId="89"/>
    <cellStyle name="Note 2 2" xfId="338"/>
    <cellStyle name="Note 2 3" xfId="180"/>
    <cellStyle name="Note 3" xfId="90"/>
    <cellStyle name="Note 3 2" xfId="339"/>
    <cellStyle name="Note 3 3" xfId="181"/>
    <cellStyle name="Note 4" xfId="91"/>
    <cellStyle name="Note 4 2" xfId="340"/>
    <cellStyle name="Note 4 3" xfId="182"/>
    <cellStyle name="Note 5" xfId="92"/>
    <cellStyle name="Note 5 2" xfId="341"/>
    <cellStyle name="Note 5 3" xfId="183"/>
    <cellStyle name="Note 6" xfId="93"/>
    <cellStyle name="Note 6 2" xfId="342"/>
    <cellStyle name="Note 6 3" xfId="184"/>
    <cellStyle name="Note 7" xfId="94"/>
    <cellStyle name="Note 7 2" xfId="343"/>
    <cellStyle name="Note 7 3" xfId="185"/>
    <cellStyle name="Note 8" xfId="95"/>
    <cellStyle name="Note 8 2" xfId="344"/>
    <cellStyle name="Note 8 3" xfId="186"/>
    <cellStyle name="Note 9" xfId="96"/>
    <cellStyle name="Note 9 2" xfId="345"/>
    <cellStyle name="Note 9 3" xfId="187"/>
    <cellStyle name="Output" xfId="6" builtinId="21" customBuiltin="1"/>
    <cellStyle name="Percent 2" xfId="98"/>
    <cellStyle name="Percent 2 2" xfId="188"/>
    <cellStyle name="Percent 3" xfId="99"/>
    <cellStyle name="Percent 4" xfId="97"/>
    <cellStyle name="Title 2" xfId="104"/>
    <cellStyle name="Title 3" xfId="100"/>
    <cellStyle name="Total" xfId="10" builtinId="25" customBuiltin="1"/>
    <cellStyle name="Warning Text 2" xfId="10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250030</xdr:colOff>
      <xdr:row>28</xdr:row>
      <xdr:rowOff>11906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7780" cy="467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14</xdr:col>
      <xdr:colOff>23812</xdr:colOff>
      <xdr:row>24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"/>
          <a:ext cx="9358312" cy="398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369094</xdr:colOff>
      <xdr:row>22</xdr:row>
      <xdr:rowOff>35719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89344" cy="422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58"/>
  <sheetViews>
    <sheetView showGridLines="0" tabSelected="1" view="pageBreakPreview" zoomScale="120" zoomScaleNormal="160" zoomScaleSheetLayoutView="120" workbookViewId="0">
      <pane ySplit="2" topLeftCell="A3" activePane="bottomLeft" state="frozen"/>
      <selection pane="bottomLeft" activeCell="A3" sqref="A3:AE3"/>
    </sheetView>
  </sheetViews>
  <sheetFormatPr defaultColWidth="8.85546875" defaultRowHeight="15.75" customHeight="1" x14ac:dyDescent="0.25"/>
  <cols>
    <col min="1" max="1" width="6.42578125" style="1" customWidth="1"/>
    <col min="2" max="2" width="36.5703125" style="17" customWidth="1"/>
    <col min="3" max="3" width="37.85546875" style="1" customWidth="1"/>
    <col min="4" max="4" width="0.140625" style="1" customWidth="1"/>
    <col min="5" max="5" width="17.42578125" style="1" hidden="1" customWidth="1"/>
    <col min="6" max="6" width="21.140625" style="1" hidden="1" customWidth="1"/>
    <col min="7" max="7" width="19.85546875" style="1" hidden="1" customWidth="1"/>
    <col min="8" max="8" width="19.140625" style="1" hidden="1" customWidth="1"/>
    <col min="9" max="9" width="0.140625" style="1" hidden="1" customWidth="1"/>
    <col min="10" max="10" width="20.28515625" style="1" customWidth="1"/>
    <col min="11" max="11" width="18.42578125" style="17" customWidth="1"/>
    <col min="12" max="12" width="19.7109375" style="1" customWidth="1"/>
    <col min="13" max="13" width="17.7109375" style="28" customWidth="1"/>
    <col min="14" max="14" width="22.42578125" style="1" customWidth="1"/>
    <col min="15" max="15" width="19.42578125" style="1" customWidth="1"/>
    <col min="16" max="16" width="20.42578125" style="31" customWidth="1"/>
    <col min="17" max="17" width="9.28515625" style="1" customWidth="1"/>
    <col min="18" max="18" width="22.5703125" style="1" customWidth="1"/>
    <col min="19" max="19" width="9.140625" style="1" customWidth="1"/>
    <col min="20" max="20" width="11.5703125" style="1" customWidth="1"/>
    <col min="21" max="21" width="12.28515625" style="1" customWidth="1"/>
    <col min="22" max="22" width="12.7109375" style="1" customWidth="1"/>
    <col min="23" max="23" width="12.28515625" style="1" customWidth="1"/>
    <col min="24" max="24" width="12.7109375" style="1" customWidth="1"/>
    <col min="25" max="25" width="11.5703125" style="1" customWidth="1"/>
    <col min="26" max="26" width="11" style="1" customWidth="1"/>
    <col min="27" max="27" width="13.7109375" style="1" customWidth="1"/>
    <col min="28" max="28" width="18.7109375" style="17" customWidth="1"/>
    <col min="29" max="29" width="15.140625" style="17" customWidth="1"/>
    <col min="30" max="30" width="16" style="17" customWidth="1"/>
    <col min="31" max="31" width="18.42578125" style="1" customWidth="1"/>
    <col min="32" max="32" width="8.85546875" style="1" customWidth="1"/>
    <col min="33" max="33" width="20.28515625" style="1" customWidth="1"/>
    <col min="34" max="241" width="8.85546875" style="1" customWidth="1"/>
  </cols>
  <sheetData>
    <row r="1" spans="1:241" ht="34.5" customHeight="1" x14ac:dyDescent="0.65">
      <c r="A1" s="155" t="s">
        <v>211</v>
      </c>
      <c r="B1" s="155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33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41" ht="54" customHeight="1" x14ac:dyDescent="0.25">
      <c r="A2" s="94" t="s">
        <v>176</v>
      </c>
      <c r="B2" s="94" t="s">
        <v>1</v>
      </c>
      <c r="C2" s="94" t="s">
        <v>0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156</v>
      </c>
      <c r="L2" s="94" t="s">
        <v>9</v>
      </c>
      <c r="M2" s="95" t="s">
        <v>10</v>
      </c>
      <c r="N2" s="94" t="s">
        <v>11</v>
      </c>
      <c r="O2" s="94" t="s">
        <v>12</v>
      </c>
      <c r="P2" s="94" t="s">
        <v>212</v>
      </c>
      <c r="Q2" s="94" t="s">
        <v>13</v>
      </c>
      <c r="R2" s="94" t="s">
        <v>184</v>
      </c>
      <c r="S2" s="94" t="s">
        <v>13</v>
      </c>
      <c r="T2" s="94" t="s">
        <v>14</v>
      </c>
      <c r="U2" s="94" t="s">
        <v>15</v>
      </c>
      <c r="V2" s="94" t="s">
        <v>16</v>
      </c>
      <c r="W2" s="94" t="s">
        <v>17</v>
      </c>
      <c r="X2" s="94" t="s">
        <v>18</v>
      </c>
      <c r="Y2" s="94" t="s">
        <v>19</v>
      </c>
      <c r="Z2" s="94" t="s">
        <v>20</v>
      </c>
      <c r="AA2" s="94" t="s">
        <v>21</v>
      </c>
      <c r="AB2" s="94" t="s">
        <v>187</v>
      </c>
      <c r="AC2" s="94" t="s">
        <v>189</v>
      </c>
      <c r="AD2" s="94" t="s">
        <v>190</v>
      </c>
      <c r="AE2" s="94" t="s">
        <v>186</v>
      </c>
      <c r="AF2" s="5"/>
    </row>
    <row r="3" spans="1:241" ht="18" customHeight="1" x14ac:dyDescent="0.25">
      <c r="A3" s="157" t="s">
        <v>226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9"/>
      <c r="AF3" s="5"/>
    </row>
    <row r="4" spans="1:241" ht="18" customHeight="1" x14ac:dyDescent="0.25">
      <c r="A4" s="35">
        <v>1</v>
      </c>
      <c r="B4" s="34" t="s">
        <v>31</v>
      </c>
      <c r="C4" s="34" t="s">
        <v>30</v>
      </c>
      <c r="D4" s="36">
        <v>342088430.68000001</v>
      </c>
      <c r="E4" s="37"/>
      <c r="F4" s="96">
        <v>67750265.530000001</v>
      </c>
      <c r="G4" s="96"/>
      <c r="H4" s="96"/>
      <c r="I4" s="96"/>
      <c r="J4" s="97">
        <v>409838696.20999998</v>
      </c>
      <c r="K4" s="97">
        <v>1289601.68</v>
      </c>
      <c r="L4" s="97">
        <v>-829479.54</v>
      </c>
      <c r="M4" s="38">
        <v>460122.14</v>
      </c>
      <c r="N4" s="98">
        <v>415464602.79000002</v>
      </c>
      <c r="O4" s="98">
        <v>-11778902.35</v>
      </c>
      <c r="P4" s="39">
        <v>382638984.98000002</v>
      </c>
      <c r="Q4" s="99">
        <f t="shared" ref="Q4:Q19" si="0">(P4/$P$20)</f>
        <v>2.5203922744240895E-2</v>
      </c>
      <c r="R4" s="39">
        <v>403685700.44</v>
      </c>
      <c r="S4" s="99">
        <f t="shared" ref="S4:S19" si="1">(R4/$R$20)</f>
        <v>2.5007193026111377E-2</v>
      </c>
      <c r="T4" s="100">
        <f t="shared" ref="T4:T20" si="2">((R4-P4)/P4)</f>
        <v>5.5004106445400644E-2</v>
      </c>
      <c r="U4" s="40">
        <f t="shared" ref="U4:U9" si="3">(L4/R4)</f>
        <v>-2.0547657226795578E-3</v>
      </c>
      <c r="V4" s="101">
        <f t="shared" ref="V4:V9" si="4">M4/R4</f>
        <v>1.1398029196934315E-3</v>
      </c>
      <c r="W4" s="102">
        <f t="shared" ref="W4:W9" si="5">R4/AE4</f>
        <v>188.51093426045807</v>
      </c>
      <c r="X4" s="102">
        <f t="shared" ref="X4:X9" si="6">M4/AE4</f>
        <v>0.21486531326420666</v>
      </c>
      <c r="Y4" s="96">
        <v>188.51089999999999</v>
      </c>
      <c r="Z4" s="96">
        <v>194.01140000000001</v>
      </c>
      <c r="AA4" s="103">
        <v>1715</v>
      </c>
      <c r="AB4" s="96">
        <v>2143216.9736000001</v>
      </c>
      <c r="AC4" s="96">
        <v>1213.3883000000001</v>
      </c>
      <c r="AD4" s="96">
        <v>-2985.8775000000001</v>
      </c>
      <c r="AE4" s="96">
        <v>2141444.4844999998</v>
      </c>
      <c r="AF4" s="5"/>
    </row>
    <row r="5" spans="1:241" ht="18" customHeight="1" x14ac:dyDescent="0.25">
      <c r="A5" s="35">
        <v>2</v>
      </c>
      <c r="B5" s="34" t="s">
        <v>48</v>
      </c>
      <c r="C5" s="34" t="s">
        <v>47</v>
      </c>
      <c r="D5" s="36">
        <v>324344164.80000001</v>
      </c>
      <c r="E5" s="37"/>
      <c r="F5" s="96">
        <v>70241916.400000006</v>
      </c>
      <c r="G5" s="37">
        <v>39393189.560000002</v>
      </c>
      <c r="H5" s="96"/>
      <c r="I5" s="96"/>
      <c r="J5" s="97">
        <v>433979270.75999999</v>
      </c>
      <c r="K5" s="97">
        <v>665192.98</v>
      </c>
      <c r="L5" s="97">
        <v>4528616.6900000004</v>
      </c>
      <c r="M5" s="38">
        <v>-3863423.71</v>
      </c>
      <c r="N5" s="98">
        <v>438958961.13999999</v>
      </c>
      <c r="O5" s="98">
        <v>4528616.6900000004</v>
      </c>
      <c r="P5" s="39">
        <v>415079285.43000001</v>
      </c>
      <c r="Q5" s="99">
        <f t="shared" si="0"/>
        <v>2.7340722334550541E-2</v>
      </c>
      <c r="R5" s="39">
        <v>434430344.44999999</v>
      </c>
      <c r="S5" s="99">
        <f t="shared" ref="S5:S19" si="7">(R5/$R$20)</f>
        <v>2.6911737196091016E-2</v>
      </c>
      <c r="T5" s="100">
        <f t="shared" ref="T5:T19" si="8">((R5-P5)/P5)</f>
        <v>4.6620151135591641E-2</v>
      </c>
      <c r="U5" s="40">
        <f t="shared" ref="U5:U19" si="9">(L5/R5)</f>
        <v>1.0424264206804767E-2</v>
      </c>
      <c r="V5" s="101">
        <f t="shared" ref="V5:V19" si="10">M5/R5</f>
        <v>-8.8930797752887029E-3</v>
      </c>
      <c r="W5" s="102">
        <f t="shared" ref="W5:W19" si="11">R5/AE5</f>
        <v>145.73074255120022</v>
      </c>
      <c r="X5" s="102">
        <f t="shared" ref="X5:X19" si="12">M5/AE5</f>
        <v>-1.2959951192198835</v>
      </c>
      <c r="Y5" s="96">
        <v>145.47</v>
      </c>
      <c r="Z5" s="96">
        <v>147.08000000000001</v>
      </c>
      <c r="AA5" s="103">
        <v>302</v>
      </c>
      <c r="AB5" s="103">
        <v>2982219.82</v>
      </c>
      <c r="AC5" s="103">
        <v>290.52</v>
      </c>
      <c r="AD5" s="103">
        <v>1452.3</v>
      </c>
      <c r="AE5" s="96">
        <v>2981048.04</v>
      </c>
      <c r="AF5" s="5"/>
    </row>
    <row r="6" spans="1:241" s="19" customFormat="1" ht="15" x14ac:dyDescent="0.25">
      <c r="A6" s="35">
        <v>3</v>
      </c>
      <c r="B6" s="34" t="s">
        <v>35</v>
      </c>
      <c r="C6" s="105" t="s">
        <v>34</v>
      </c>
      <c r="D6" s="36">
        <v>1778543376.6600001</v>
      </c>
      <c r="E6" s="37"/>
      <c r="F6" s="96"/>
      <c r="G6" s="96">
        <v>25293007.84</v>
      </c>
      <c r="H6" s="96">
        <v>1070706</v>
      </c>
      <c r="I6" s="96"/>
      <c r="J6" s="97">
        <v>1804907090.5</v>
      </c>
      <c r="K6" s="97">
        <v>2646214.19</v>
      </c>
      <c r="L6" s="97">
        <v>-3189226.71</v>
      </c>
      <c r="M6" s="38">
        <v>100132724.18000001</v>
      </c>
      <c r="N6" s="98">
        <v>2346386056</v>
      </c>
      <c r="O6" s="98">
        <v>20852982</v>
      </c>
      <c r="P6" s="39">
        <v>2211651867</v>
      </c>
      <c r="Q6" s="99">
        <f t="shared" si="0"/>
        <v>0.1456785768860894</v>
      </c>
      <c r="R6" s="39">
        <v>2325533074</v>
      </c>
      <c r="S6" s="99">
        <f t="shared" si="7"/>
        <v>0.14406022905130811</v>
      </c>
      <c r="T6" s="100">
        <f t="shared" si="8"/>
        <v>5.1491470560633218E-2</v>
      </c>
      <c r="U6" s="40">
        <f t="shared" si="9"/>
        <v>-1.3713959804125323E-3</v>
      </c>
      <c r="V6" s="101">
        <f t="shared" si="10"/>
        <v>4.3057966063569306E-2</v>
      </c>
      <c r="W6" s="102">
        <f t="shared" si="11"/>
        <v>22.275182609838414</v>
      </c>
      <c r="X6" s="102">
        <f t="shared" si="12"/>
        <v>0.95912405687423152</v>
      </c>
      <c r="Y6" s="96">
        <v>22.163799999999998</v>
      </c>
      <c r="Z6" s="96">
        <v>22.832100000000001</v>
      </c>
      <c r="AA6" s="103">
        <v>727</v>
      </c>
      <c r="AB6" s="103">
        <v>104309626</v>
      </c>
      <c r="AC6" s="103">
        <v>330542</v>
      </c>
      <c r="AD6" s="103">
        <v>-239989</v>
      </c>
      <c r="AE6" s="96">
        <v>104400180</v>
      </c>
      <c r="AF6" s="26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</row>
    <row r="7" spans="1:241" s="19" customFormat="1" ht="15" x14ac:dyDescent="0.25">
      <c r="A7" s="35">
        <v>4</v>
      </c>
      <c r="B7" s="43" t="s">
        <v>42</v>
      </c>
      <c r="C7" s="44" t="s">
        <v>41</v>
      </c>
      <c r="D7" s="36">
        <v>180737234.78</v>
      </c>
      <c r="E7" s="37"/>
      <c r="F7" s="96"/>
      <c r="G7" s="96"/>
      <c r="H7" s="96"/>
      <c r="I7" s="96"/>
      <c r="J7" s="36">
        <v>180737234.78</v>
      </c>
      <c r="K7" s="97">
        <v>6493328.5</v>
      </c>
      <c r="L7" s="97">
        <v>524770.22</v>
      </c>
      <c r="M7" s="38">
        <v>5968558.2800000003</v>
      </c>
      <c r="N7" s="98">
        <v>242572302.59999999</v>
      </c>
      <c r="O7" s="98">
        <v>2103877.11</v>
      </c>
      <c r="P7" s="39">
        <v>249107927.81999999</v>
      </c>
      <c r="Q7" s="99">
        <f t="shared" si="0"/>
        <v>1.6408409007465315E-2</v>
      </c>
      <c r="R7" s="39">
        <v>240468425.49000001</v>
      </c>
      <c r="S7" s="99">
        <f t="shared" si="7"/>
        <v>1.4896342194829099E-2</v>
      </c>
      <c r="T7" s="100">
        <f t="shared" si="8"/>
        <v>-3.4681763866795522E-2</v>
      </c>
      <c r="U7" s="40">
        <f t="shared" si="9"/>
        <v>2.1822832620568841E-3</v>
      </c>
      <c r="V7" s="101">
        <f t="shared" si="10"/>
        <v>2.4820548759521884E-2</v>
      </c>
      <c r="W7" s="102">
        <f t="shared" si="11"/>
        <v>129.63793881303681</v>
      </c>
      <c r="X7" s="102">
        <f t="shared" si="12"/>
        <v>3.217684781392895</v>
      </c>
      <c r="Y7" s="96">
        <v>128.34</v>
      </c>
      <c r="Z7" s="96">
        <v>130.93</v>
      </c>
      <c r="AA7" s="103">
        <v>611</v>
      </c>
      <c r="AB7" s="103">
        <v>1751094.02</v>
      </c>
      <c r="AC7" s="103">
        <v>216913.52</v>
      </c>
      <c r="AD7" s="103">
        <v>113084.3</v>
      </c>
      <c r="AE7" s="96">
        <v>1854923.24</v>
      </c>
      <c r="AF7" s="26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</row>
    <row r="8" spans="1:241" ht="18" customHeight="1" x14ac:dyDescent="0.25">
      <c r="A8" s="35">
        <v>5</v>
      </c>
      <c r="B8" s="34" t="s">
        <v>37</v>
      </c>
      <c r="C8" s="34" t="s">
        <v>36</v>
      </c>
      <c r="D8" s="36">
        <v>297097414.55000001</v>
      </c>
      <c r="E8" s="36"/>
      <c r="F8" s="96">
        <v>77727450.019999996</v>
      </c>
      <c r="G8" s="96"/>
      <c r="H8" s="96"/>
      <c r="I8" s="96"/>
      <c r="J8" s="97">
        <v>360409637.19</v>
      </c>
      <c r="K8" s="97">
        <v>1051273.32</v>
      </c>
      <c r="L8" s="97">
        <v>-636290.46</v>
      </c>
      <c r="M8" s="38">
        <v>25921639.27</v>
      </c>
      <c r="N8" s="98">
        <v>376815386.08999997</v>
      </c>
      <c r="O8" s="98">
        <v>-16405748.9</v>
      </c>
      <c r="P8" s="39">
        <v>345441238.42000002</v>
      </c>
      <c r="Q8" s="99">
        <f t="shared" si="0"/>
        <v>2.275375648476502E-2</v>
      </c>
      <c r="R8" s="39">
        <v>360409637.19</v>
      </c>
      <c r="S8" s="99">
        <f t="shared" si="7"/>
        <v>2.2326362702115781E-2</v>
      </c>
      <c r="T8" s="100">
        <f t="shared" si="8"/>
        <v>4.3331244522117125E-2</v>
      </c>
      <c r="U8" s="40">
        <f t="shared" si="9"/>
        <v>-1.7654646112156033E-3</v>
      </c>
      <c r="V8" s="101">
        <f t="shared" si="10"/>
        <v>7.1922714032018747E-2</v>
      </c>
      <c r="W8" s="102">
        <f t="shared" si="11"/>
        <v>165.60203146078774</v>
      </c>
      <c r="X8" s="102">
        <f t="shared" si="12"/>
        <v>11.910547551875609</v>
      </c>
      <c r="Y8" s="96">
        <v>165.6</v>
      </c>
      <c r="Z8" s="96">
        <v>168.01</v>
      </c>
      <c r="AA8" s="103">
        <v>1444</v>
      </c>
      <c r="AB8" s="103">
        <v>2247599</v>
      </c>
      <c r="AC8" s="103">
        <v>2228.44</v>
      </c>
      <c r="AD8" s="103">
        <v>-73468</v>
      </c>
      <c r="AE8" s="96">
        <v>2176360</v>
      </c>
      <c r="AF8" s="5"/>
    </row>
    <row r="9" spans="1:241" ht="15" customHeight="1" x14ac:dyDescent="0.25">
      <c r="A9" s="35">
        <v>6</v>
      </c>
      <c r="B9" s="34" t="s">
        <v>27</v>
      </c>
      <c r="C9" s="105" t="s">
        <v>26</v>
      </c>
      <c r="D9" s="36">
        <v>143167300.75</v>
      </c>
      <c r="E9" s="37"/>
      <c r="F9" s="96">
        <v>110880503.06</v>
      </c>
      <c r="G9" s="96"/>
      <c r="H9" s="96"/>
      <c r="I9" s="96"/>
      <c r="J9" s="97">
        <v>254047803.81</v>
      </c>
      <c r="K9" s="97">
        <v>1485323.9</v>
      </c>
      <c r="L9" s="97">
        <v>880089.61</v>
      </c>
      <c r="M9" s="106">
        <v>605234.29</v>
      </c>
      <c r="N9" s="98">
        <v>258957115.63</v>
      </c>
      <c r="O9" s="98">
        <v>8741199.7899999991</v>
      </c>
      <c r="P9" s="39">
        <v>247620895.11000001</v>
      </c>
      <c r="Q9" s="99">
        <f t="shared" si="0"/>
        <v>1.6310460133952185E-2</v>
      </c>
      <c r="R9" s="39">
        <v>250215915.84</v>
      </c>
      <c r="S9" s="99">
        <f t="shared" si="7"/>
        <v>1.5500171789082556E-2</v>
      </c>
      <c r="T9" s="100">
        <f t="shared" si="8"/>
        <v>1.0479813219507222E-2</v>
      </c>
      <c r="U9" s="40">
        <f t="shared" si="9"/>
        <v>3.517320659021432E-3</v>
      </c>
      <c r="V9" s="101">
        <f t="shared" si="10"/>
        <v>2.4188480895316654E-3</v>
      </c>
      <c r="W9" s="102">
        <f t="shared" si="11"/>
        <v>125.71396207417858</v>
      </c>
      <c r="X9" s="102">
        <f t="shared" si="12"/>
        <v>0.30408297699058312</v>
      </c>
      <c r="Y9" s="96">
        <v>125.71</v>
      </c>
      <c r="Z9" s="96">
        <v>125.71</v>
      </c>
      <c r="AA9" s="103">
        <v>2470</v>
      </c>
      <c r="AB9" s="103">
        <v>1990416</v>
      </c>
      <c r="AC9" s="103">
        <v>0</v>
      </c>
      <c r="AD9" s="103">
        <v>57</v>
      </c>
      <c r="AE9" s="103">
        <v>1990359</v>
      </c>
      <c r="AF9" s="5"/>
    </row>
    <row r="10" spans="1:241" ht="16.5" customHeight="1" x14ac:dyDescent="0.25">
      <c r="A10" s="35">
        <v>7</v>
      </c>
      <c r="B10" s="34" t="s">
        <v>162</v>
      </c>
      <c r="C10" s="34" t="s">
        <v>161</v>
      </c>
      <c r="D10" s="36">
        <v>19528316.199999999</v>
      </c>
      <c r="E10" s="37"/>
      <c r="F10" s="96">
        <v>5782268.4900000002</v>
      </c>
      <c r="G10" s="96"/>
      <c r="H10" s="96"/>
      <c r="I10" s="96"/>
      <c r="J10" s="97">
        <v>25310584.690000001</v>
      </c>
      <c r="K10" s="97">
        <v>70663.009999999995</v>
      </c>
      <c r="L10" s="97">
        <v>85908.87</v>
      </c>
      <c r="M10" s="38">
        <v>15245.85</v>
      </c>
      <c r="N10" s="98">
        <v>25516230.969999999</v>
      </c>
      <c r="O10" s="98">
        <v>728784.56</v>
      </c>
      <c r="P10" s="39">
        <v>23988965.123740017</v>
      </c>
      <c r="Q10" s="99">
        <f t="shared" si="0"/>
        <v>1.5801213347997854E-3</v>
      </c>
      <c r="R10" s="39">
        <v>24787446.41</v>
      </c>
      <c r="S10" s="99">
        <f t="shared" si="7"/>
        <v>1.5355125443473375E-3</v>
      </c>
      <c r="T10" s="100">
        <f t="shared" si="8"/>
        <v>3.3285357752668859E-2</v>
      </c>
      <c r="U10" s="40">
        <f t="shared" si="9"/>
        <v>3.4658217139036064E-3</v>
      </c>
      <c r="V10" s="101">
        <f t="shared" si="10"/>
        <v>6.1506335698417757E-4</v>
      </c>
      <c r="W10" s="102">
        <f t="shared" si="11"/>
        <v>97.97409648221344</v>
      </c>
      <c r="X10" s="102">
        <f t="shared" si="12"/>
        <v>6.02602766798419E-2</v>
      </c>
      <c r="Y10" s="96">
        <v>96.68</v>
      </c>
      <c r="Z10" s="96">
        <v>99.8</v>
      </c>
      <c r="AA10" s="103">
        <v>2</v>
      </c>
      <c r="AB10" s="96">
        <v>253000</v>
      </c>
      <c r="AC10" s="103"/>
      <c r="AD10" s="103">
        <v>1000</v>
      </c>
      <c r="AE10" s="96">
        <v>253000</v>
      </c>
      <c r="AF10" s="5"/>
    </row>
    <row r="11" spans="1:241" ht="16.5" customHeight="1" x14ac:dyDescent="0.25">
      <c r="A11" s="35">
        <v>8</v>
      </c>
      <c r="B11" s="34" t="s">
        <v>25</v>
      </c>
      <c r="C11" s="105" t="s">
        <v>24</v>
      </c>
      <c r="D11" s="36">
        <v>818128222.25</v>
      </c>
      <c r="E11" s="37"/>
      <c r="F11" s="96">
        <v>56457859.719999999</v>
      </c>
      <c r="G11" s="96"/>
      <c r="H11" s="96"/>
      <c r="I11" s="96"/>
      <c r="J11" s="97">
        <v>988290106.57000005</v>
      </c>
      <c r="K11" s="107">
        <v>3553629.15</v>
      </c>
      <c r="L11" s="97">
        <v>1477458.75</v>
      </c>
      <c r="M11" s="38">
        <v>2076170.4</v>
      </c>
      <c r="N11" s="98">
        <v>988290106.57000005</v>
      </c>
      <c r="O11" s="98">
        <v>-5646944.8200000003</v>
      </c>
      <c r="P11" s="39">
        <v>926299035.62</v>
      </c>
      <c r="Q11" s="99">
        <f t="shared" si="0"/>
        <v>6.101408964654139E-2</v>
      </c>
      <c r="R11" s="39">
        <v>982643161.75</v>
      </c>
      <c r="S11" s="99">
        <f t="shared" si="7"/>
        <v>6.0871978360608175E-2</v>
      </c>
      <c r="T11" s="100">
        <f t="shared" si="8"/>
        <v>6.082714540697666E-2</v>
      </c>
      <c r="U11" s="40">
        <f t="shared" si="9"/>
        <v>1.5035557234925215E-3</v>
      </c>
      <c r="V11" s="101">
        <f t="shared" si="10"/>
        <v>2.1128426684438786E-3</v>
      </c>
      <c r="W11" s="102">
        <f t="shared" si="11"/>
        <v>2.0007680603263753</v>
      </c>
      <c r="X11" s="102">
        <f t="shared" si="12"/>
        <v>4.2273081275172623E-3</v>
      </c>
      <c r="Y11" s="96">
        <v>1.98</v>
      </c>
      <c r="Z11" s="96">
        <v>2.02</v>
      </c>
      <c r="AA11" s="108">
        <v>3676</v>
      </c>
      <c r="AB11" s="108">
        <v>491285994</v>
      </c>
      <c r="AC11" s="108">
        <v>5033</v>
      </c>
      <c r="AD11" s="108">
        <v>-158056</v>
      </c>
      <c r="AE11" s="96">
        <v>491132971</v>
      </c>
      <c r="AF11" s="5"/>
    </row>
    <row r="12" spans="1:241" ht="16.5" customHeight="1" x14ac:dyDescent="0.25">
      <c r="A12" s="35">
        <v>9</v>
      </c>
      <c r="B12" s="34" t="s">
        <v>39</v>
      </c>
      <c r="C12" s="34" t="s">
        <v>38</v>
      </c>
      <c r="D12" s="109">
        <v>207999971.75</v>
      </c>
      <c r="E12" s="36"/>
      <c r="F12" s="96">
        <v>65935118.229999997</v>
      </c>
      <c r="G12" s="96"/>
      <c r="H12" s="96"/>
      <c r="I12" s="96"/>
      <c r="J12" s="97">
        <v>273935089.98000002</v>
      </c>
      <c r="K12" s="97">
        <v>2078807.25</v>
      </c>
      <c r="L12" s="97">
        <v>534400.15</v>
      </c>
      <c r="M12" s="38">
        <v>11707997.060000001</v>
      </c>
      <c r="N12" s="98">
        <v>285450880.74000001</v>
      </c>
      <c r="O12" s="98">
        <v>2746805.9</v>
      </c>
      <c r="P12" s="39">
        <v>270177206.92000002</v>
      </c>
      <c r="Q12" s="99">
        <f t="shared" si="0"/>
        <v>1.7796214493989396E-2</v>
      </c>
      <c r="R12" s="39">
        <v>282704074.83999997</v>
      </c>
      <c r="S12" s="99">
        <f t="shared" si="7"/>
        <v>1.7512721805817047E-2</v>
      </c>
      <c r="T12" s="100">
        <f t="shared" si="8"/>
        <v>4.6365376497911559E-2</v>
      </c>
      <c r="U12" s="40">
        <f t="shared" si="9"/>
        <v>1.8903164034775612E-3</v>
      </c>
      <c r="V12" s="101">
        <f t="shared" si="10"/>
        <v>4.1414320138916612E-2</v>
      </c>
      <c r="W12" s="102">
        <f t="shared" si="11"/>
        <v>12.142006415674992</v>
      </c>
      <c r="X12" s="102">
        <f t="shared" si="12"/>
        <v>0.50285294082754362</v>
      </c>
      <c r="Y12" s="96">
        <v>12.37</v>
      </c>
      <c r="Z12" s="96">
        <v>12.4</v>
      </c>
      <c r="AA12" s="110">
        <v>189</v>
      </c>
      <c r="AB12" s="110">
        <v>23028909.25</v>
      </c>
      <c r="AC12" s="111">
        <v>462854.91</v>
      </c>
      <c r="AD12" s="111">
        <v>-208620.9</v>
      </c>
      <c r="AE12" s="96">
        <v>23283143.260000002</v>
      </c>
      <c r="AF12" s="5"/>
    </row>
    <row r="13" spans="1:241" ht="16.5" customHeight="1" x14ac:dyDescent="0.25">
      <c r="A13" s="35">
        <v>10</v>
      </c>
      <c r="B13" s="44" t="s">
        <v>46</v>
      </c>
      <c r="C13" s="44" t="s">
        <v>45</v>
      </c>
      <c r="D13" s="36">
        <v>219011833</v>
      </c>
      <c r="E13" s="37"/>
      <c r="F13" s="96">
        <v>67365858.900000006</v>
      </c>
      <c r="G13" s="96">
        <v>1518822.14</v>
      </c>
      <c r="H13" s="96"/>
      <c r="I13" s="96"/>
      <c r="J13" s="96">
        <v>287896514.04000002</v>
      </c>
      <c r="K13" s="97">
        <v>2795234.54</v>
      </c>
      <c r="L13" s="97">
        <v>583212.15</v>
      </c>
      <c r="M13" s="38">
        <v>2212022.39</v>
      </c>
      <c r="N13" s="98">
        <v>289035126.35000002</v>
      </c>
      <c r="O13" s="98">
        <v>583212.15</v>
      </c>
      <c r="P13" s="39">
        <v>271951663.02999997</v>
      </c>
      <c r="Q13" s="99">
        <f t="shared" si="0"/>
        <v>1.7913095565874487E-2</v>
      </c>
      <c r="R13" s="39">
        <v>288451914.19999999</v>
      </c>
      <c r="S13" s="99">
        <f t="shared" si="7"/>
        <v>1.7868784277690421E-2</v>
      </c>
      <c r="T13" s="100">
        <f t="shared" si="8"/>
        <v>6.0673470373960592E-2</v>
      </c>
      <c r="U13" s="40">
        <f t="shared" si="9"/>
        <v>2.0218695778722626E-3</v>
      </c>
      <c r="V13" s="101">
        <f t="shared" si="10"/>
        <v>7.6686001413264334E-3</v>
      </c>
      <c r="W13" s="102">
        <f t="shared" si="11"/>
        <v>1.4663365085395526</v>
      </c>
      <c r="X13" s="102">
        <f t="shared" si="12"/>
        <v>1.1244748356618522E-2</v>
      </c>
      <c r="Y13" s="96">
        <v>1.45</v>
      </c>
      <c r="Z13" s="96">
        <v>1.47</v>
      </c>
      <c r="AA13" s="103">
        <v>973</v>
      </c>
      <c r="AB13" s="103">
        <v>196716042</v>
      </c>
      <c r="AC13" s="103"/>
      <c r="AD13" s="103"/>
      <c r="AE13" s="103">
        <v>196716042</v>
      </c>
      <c r="AF13" s="5"/>
    </row>
    <row r="14" spans="1:241" ht="16.5" customHeight="1" x14ac:dyDescent="0.25">
      <c r="A14" s="35">
        <v>11</v>
      </c>
      <c r="B14" s="34" t="s">
        <v>29</v>
      </c>
      <c r="C14" s="34" t="s">
        <v>28</v>
      </c>
      <c r="D14" s="36">
        <v>586783704.70000005</v>
      </c>
      <c r="E14" s="37"/>
      <c r="F14" s="96">
        <v>78806622.530000001</v>
      </c>
      <c r="G14" s="96">
        <v>10200759.699999999</v>
      </c>
      <c r="H14" s="96"/>
      <c r="I14" s="96"/>
      <c r="J14" s="96">
        <v>715090467.84000003</v>
      </c>
      <c r="K14" s="97">
        <v>515705.68</v>
      </c>
      <c r="L14" s="97">
        <v>1220123.19</v>
      </c>
      <c r="M14" s="38">
        <v>-704417.51</v>
      </c>
      <c r="N14" s="98">
        <v>715090467.84000003</v>
      </c>
      <c r="O14" s="98">
        <v>13785703.470000001</v>
      </c>
      <c r="P14" s="39">
        <v>680968003.22000003</v>
      </c>
      <c r="Q14" s="99">
        <f t="shared" si="0"/>
        <v>4.4854459734033514E-2</v>
      </c>
      <c r="R14" s="39">
        <v>710665569.27999997</v>
      </c>
      <c r="S14" s="99">
        <f t="shared" si="7"/>
        <v>4.4023731949449398E-2</v>
      </c>
      <c r="T14" s="100">
        <f t="shared" si="8"/>
        <v>4.3610809787791985E-2</v>
      </c>
      <c r="U14" s="40">
        <f t="shared" si="9"/>
        <v>1.7168739316246167E-3</v>
      </c>
      <c r="V14" s="101">
        <f t="shared" si="10"/>
        <v>-9.9120815816878529E-4</v>
      </c>
      <c r="W14" s="102">
        <f t="shared" si="11"/>
        <v>18.809165470144727</v>
      </c>
      <c r="X14" s="102">
        <f t="shared" si="12"/>
        <v>-1.8643798262354065E-2</v>
      </c>
      <c r="Y14" s="96">
        <v>18.53</v>
      </c>
      <c r="Z14" s="96">
        <v>18.86</v>
      </c>
      <c r="AA14" s="103">
        <v>8835</v>
      </c>
      <c r="AB14" s="103">
        <v>37789157.549999997</v>
      </c>
      <c r="AC14" s="103">
        <v>0</v>
      </c>
      <c r="AD14" s="103">
        <v>6217.61</v>
      </c>
      <c r="AE14" s="96">
        <v>37782939.939999998</v>
      </c>
      <c r="AF14" s="5"/>
    </row>
    <row r="15" spans="1:241" ht="15.95" customHeight="1" x14ac:dyDescent="0.25">
      <c r="A15" s="35">
        <v>12</v>
      </c>
      <c r="B15" s="105" t="s">
        <v>40</v>
      </c>
      <c r="C15" s="34" t="s">
        <v>22</v>
      </c>
      <c r="D15" s="36">
        <v>229842418.75</v>
      </c>
      <c r="E15" s="36"/>
      <c r="F15" s="96">
        <v>110634843.58</v>
      </c>
      <c r="G15" s="96"/>
      <c r="H15" s="96"/>
      <c r="I15" s="96">
        <v>19571.650000000001</v>
      </c>
      <c r="J15" s="97">
        <v>340511890.88</v>
      </c>
      <c r="K15" s="37">
        <v>1610847.66</v>
      </c>
      <c r="L15" s="97">
        <v>-342827.92</v>
      </c>
      <c r="M15" s="38">
        <v>17702745.710000001</v>
      </c>
      <c r="N15" s="98">
        <v>341805602.81</v>
      </c>
      <c r="O15" s="98">
        <v>-5222733</v>
      </c>
      <c r="P15" s="46">
        <v>317538760.80000001</v>
      </c>
      <c r="Q15" s="99">
        <f t="shared" si="0"/>
        <v>2.0915857269283491E-2</v>
      </c>
      <c r="R15" s="39">
        <v>336582869.81</v>
      </c>
      <c r="S15" s="99">
        <f t="shared" si="7"/>
        <v>2.0850361519982073E-2</v>
      </c>
      <c r="T15" s="100">
        <f t="shared" si="8"/>
        <v>5.9974123984173427E-2</v>
      </c>
      <c r="U15" s="40">
        <f t="shared" si="9"/>
        <v>-1.0185542722168995E-3</v>
      </c>
      <c r="V15" s="101">
        <f t="shared" si="10"/>
        <v>5.2595504102728542E-2</v>
      </c>
      <c r="W15" s="102">
        <f t="shared" si="11"/>
        <v>3258.661741151112</v>
      </c>
      <c r="X15" s="102">
        <f t="shared" si="12"/>
        <v>171.39095697611782</v>
      </c>
      <c r="Y15" s="96">
        <v>3235.85</v>
      </c>
      <c r="Z15" s="96">
        <v>3274.29</v>
      </c>
      <c r="AA15" s="103">
        <v>19</v>
      </c>
      <c r="AB15" s="103">
        <v>103288.68</v>
      </c>
      <c r="AC15" s="103"/>
      <c r="AD15" s="103"/>
      <c r="AE15" s="103">
        <v>103288.68</v>
      </c>
      <c r="AF15" s="5"/>
    </row>
    <row r="16" spans="1:241" ht="15.95" customHeight="1" x14ac:dyDescent="0.25">
      <c r="A16" s="35">
        <v>13</v>
      </c>
      <c r="B16" s="34" t="s">
        <v>23</v>
      </c>
      <c r="C16" s="34" t="s">
        <v>22</v>
      </c>
      <c r="D16" s="36">
        <v>4832466649.1499996</v>
      </c>
      <c r="E16" s="37"/>
      <c r="F16" s="96">
        <v>2356834075.8000002</v>
      </c>
      <c r="G16" s="96">
        <v>105789596.01000001</v>
      </c>
      <c r="H16" s="96"/>
      <c r="I16" s="96"/>
      <c r="J16" s="97">
        <v>7296566226.7200003</v>
      </c>
      <c r="K16" s="37">
        <v>38692416.609999999</v>
      </c>
      <c r="L16" s="97">
        <v>-16828836.719999999</v>
      </c>
      <c r="M16" s="38">
        <v>355467154.20999998</v>
      </c>
      <c r="N16" s="98">
        <v>7316060727.9200001</v>
      </c>
      <c r="O16" s="98">
        <v>-64709321.68</v>
      </c>
      <c r="P16" s="47">
        <v>6798733797.9899998</v>
      </c>
      <c r="Q16" s="99">
        <f t="shared" si="0"/>
        <v>0.44782358340239664</v>
      </c>
      <c r="R16" s="39">
        <v>7251351406.2399998</v>
      </c>
      <c r="S16" s="99">
        <f t="shared" si="7"/>
        <v>0.44920081171653964</v>
      </c>
      <c r="T16" s="100">
        <f t="shared" si="8"/>
        <v>6.6573809432546593E-2</v>
      </c>
      <c r="U16" s="40">
        <f t="shared" si="9"/>
        <v>-2.3207862613744373E-3</v>
      </c>
      <c r="V16" s="101">
        <f t="shared" si="10"/>
        <v>4.9020814782760373E-2</v>
      </c>
      <c r="W16" s="102">
        <f t="shared" si="11"/>
        <v>12314.298109665984</v>
      </c>
      <c r="X16" s="102">
        <f t="shared" si="12"/>
        <v>603.65692681363237</v>
      </c>
      <c r="Y16" s="96">
        <v>12230.18</v>
      </c>
      <c r="Z16" s="96">
        <v>12371.95</v>
      </c>
      <c r="AA16" s="103">
        <v>16939</v>
      </c>
      <c r="AB16" s="96">
        <v>588321.46</v>
      </c>
      <c r="AC16" s="96">
        <v>2343.81</v>
      </c>
      <c r="AD16" s="96">
        <v>-18909.02</v>
      </c>
      <c r="AE16" s="96">
        <v>588856.25</v>
      </c>
      <c r="AF16" s="5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</row>
    <row r="17" spans="1:241" ht="16.5" customHeight="1" x14ac:dyDescent="0.25">
      <c r="A17" s="35">
        <v>14</v>
      </c>
      <c r="B17" s="81" t="s">
        <v>213</v>
      </c>
      <c r="C17" s="82" t="s">
        <v>214</v>
      </c>
      <c r="D17" s="36">
        <v>13481537.85</v>
      </c>
      <c r="E17" s="37"/>
      <c r="F17" s="96">
        <f>4556164.72+37220981.19</f>
        <v>41777145.909999996</v>
      </c>
      <c r="G17" s="96"/>
      <c r="H17" s="96"/>
      <c r="I17" s="96"/>
      <c r="J17" s="97">
        <f>D17+F17</f>
        <v>55258683.759999998</v>
      </c>
      <c r="K17" s="97">
        <v>540794.77</v>
      </c>
      <c r="L17" s="97">
        <v>36515.86</v>
      </c>
      <c r="M17" s="38">
        <v>535503.84</v>
      </c>
      <c r="N17" s="98">
        <v>55450369.109999999</v>
      </c>
      <c r="O17" s="98">
        <v>941253.85</v>
      </c>
      <c r="P17" s="39">
        <v>0</v>
      </c>
      <c r="Q17" s="99">
        <f t="shared" si="0"/>
        <v>0</v>
      </c>
      <c r="R17" s="39">
        <v>55469485.829999998</v>
      </c>
      <c r="S17" s="99">
        <f t="shared" si="7"/>
        <v>3.4361785361682151E-3</v>
      </c>
      <c r="T17" s="100" t="e">
        <f t="shared" si="8"/>
        <v>#DIV/0!</v>
      </c>
      <c r="U17" s="40">
        <f t="shared" si="9"/>
        <v>6.5830536291452046E-4</v>
      </c>
      <c r="V17" s="101">
        <f t="shared" si="10"/>
        <v>9.6540256681156983E-3</v>
      </c>
      <c r="W17" s="102">
        <f t="shared" si="11"/>
        <v>103.58373122030274</v>
      </c>
      <c r="X17" s="102">
        <f t="shared" si="12"/>
        <v>1</v>
      </c>
      <c r="Y17" s="96">
        <v>105.0399</v>
      </c>
      <c r="Z17" s="96">
        <v>105.251</v>
      </c>
      <c r="AA17" s="103">
        <v>11</v>
      </c>
      <c r="AB17" s="96">
        <f>AE17-AC17</f>
        <v>535303.84</v>
      </c>
      <c r="AC17" s="103">
        <v>200</v>
      </c>
      <c r="AD17" s="103">
        <v>0</v>
      </c>
      <c r="AE17" s="96">
        <v>535503.84</v>
      </c>
      <c r="AF17" s="5"/>
    </row>
    <row r="18" spans="1:241" ht="16.5" customHeight="1" x14ac:dyDescent="0.25">
      <c r="A18" s="35">
        <v>15</v>
      </c>
      <c r="B18" s="34" t="s">
        <v>33</v>
      </c>
      <c r="C18" s="34" t="s">
        <v>32</v>
      </c>
      <c r="D18" s="112">
        <v>1503495537</v>
      </c>
      <c r="E18" s="37"/>
      <c r="F18" s="96"/>
      <c r="G18" s="96"/>
      <c r="H18" s="96"/>
      <c r="I18" s="96"/>
      <c r="J18" s="112">
        <v>1503495537</v>
      </c>
      <c r="K18" s="37">
        <v>-5873978</v>
      </c>
      <c r="L18" s="112">
        <v>-3215562</v>
      </c>
      <c r="M18" s="38">
        <v>129735614</v>
      </c>
      <c r="N18" s="112">
        <v>1890594091</v>
      </c>
      <c r="O18" s="109">
        <v>-26160391.780000001</v>
      </c>
      <c r="P18" s="39">
        <v>1733461418</v>
      </c>
      <c r="Q18" s="99">
        <f t="shared" si="0"/>
        <v>0.11418080586241856</v>
      </c>
      <c r="R18" s="39">
        <v>1866653055</v>
      </c>
      <c r="S18" s="99">
        <f t="shared" si="7"/>
        <v>0.11563390332698577</v>
      </c>
      <c r="T18" s="100">
        <f t="shared" si="8"/>
        <v>7.683565126801109E-2</v>
      </c>
      <c r="U18" s="40">
        <f t="shared" si="9"/>
        <v>-1.722635061393345E-3</v>
      </c>
      <c r="V18" s="101">
        <f t="shared" si="10"/>
        <v>6.9501728589836956E-2</v>
      </c>
      <c r="W18" s="102">
        <f t="shared" si="11"/>
        <v>0.97741382283431855</v>
      </c>
      <c r="X18" s="102">
        <f t="shared" si="12"/>
        <v>6.7931950234585786E-2</v>
      </c>
      <c r="Y18" s="96">
        <v>0.98</v>
      </c>
      <c r="Z18" s="96">
        <v>1</v>
      </c>
      <c r="AA18" s="103">
        <v>2764</v>
      </c>
      <c r="AB18" s="103">
        <v>1907294648</v>
      </c>
      <c r="AC18" s="103">
        <v>3400063</v>
      </c>
      <c r="AD18" s="103">
        <v>906849</v>
      </c>
      <c r="AE18" s="96">
        <v>1909787862</v>
      </c>
      <c r="AF18" s="24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</row>
    <row r="19" spans="1:241" ht="16.5" customHeight="1" x14ac:dyDescent="0.25">
      <c r="A19" s="35">
        <v>16</v>
      </c>
      <c r="B19" s="113" t="s">
        <v>44</v>
      </c>
      <c r="C19" s="34" t="s">
        <v>43</v>
      </c>
      <c r="D19" s="36">
        <v>244585157.09999999</v>
      </c>
      <c r="E19" s="37"/>
      <c r="F19" s="96">
        <v>87423856.5</v>
      </c>
      <c r="G19" s="96"/>
      <c r="H19" s="96"/>
      <c r="I19" s="96"/>
      <c r="J19" s="97">
        <v>332009013.60000002</v>
      </c>
      <c r="K19" s="97">
        <v>1775166.94</v>
      </c>
      <c r="L19" s="97">
        <v>635692.68999999994</v>
      </c>
      <c r="M19" s="38">
        <v>-5221796.8</v>
      </c>
      <c r="N19" s="98">
        <v>335398612.06999999</v>
      </c>
      <c r="O19" s="98">
        <v>6667293.7400000002</v>
      </c>
      <c r="P19" s="39">
        <v>307064401.39999998</v>
      </c>
      <c r="Q19" s="99">
        <f t="shared" si="0"/>
        <v>2.0225925099599282E-2</v>
      </c>
      <c r="R19" s="39">
        <v>328731318.32999998</v>
      </c>
      <c r="S19" s="99">
        <f t="shared" si="7"/>
        <v>2.0363980002874076E-2</v>
      </c>
      <c r="T19" s="100">
        <f t="shared" si="8"/>
        <v>7.0561474502462501E-2</v>
      </c>
      <c r="U19" s="40">
        <f t="shared" si="9"/>
        <v>1.9337758666542807E-3</v>
      </c>
      <c r="V19" s="101">
        <f t="shared" si="10"/>
        <v>-1.5884695217137937E-2</v>
      </c>
      <c r="W19" s="102">
        <f t="shared" si="11"/>
        <v>1.2877819965699715</v>
      </c>
      <c r="X19" s="102">
        <f t="shared" si="12"/>
        <v>-2.045602452163137E-2</v>
      </c>
      <c r="Y19" s="96">
        <v>1.24</v>
      </c>
      <c r="Z19" s="96">
        <v>1.28</v>
      </c>
      <c r="AA19" s="103">
        <v>153</v>
      </c>
      <c r="AB19" s="103">
        <v>254986508.88999999</v>
      </c>
      <c r="AC19" s="103">
        <v>385000</v>
      </c>
      <c r="AD19" s="103">
        <v>102123.85</v>
      </c>
      <c r="AE19" s="96">
        <v>255269385.03999999</v>
      </c>
      <c r="AF19" s="5"/>
    </row>
    <row r="20" spans="1:241" ht="15.75" customHeight="1" x14ac:dyDescent="0.25">
      <c r="A20" s="48"/>
      <c r="B20" s="114"/>
      <c r="C20" s="49" t="s">
        <v>49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50">
        <f>SUM(P4:P19)</f>
        <v>15181723450.863741</v>
      </c>
      <c r="Q20" s="116">
        <f>(P20/$P$158)</f>
        <v>1.1081345179337787E-2</v>
      </c>
      <c r="R20" s="50">
        <f>SUM(R4:R19)</f>
        <v>16142783399.099998</v>
      </c>
      <c r="S20" s="116">
        <f>(R20/$R$158)</f>
        <v>1.1349895067638191E-2</v>
      </c>
      <c r="T20" s="117">
        <f t="shared" si="2"/>
        <v>6.3303744884219942E-2</v>
      </c>
      <c r="U20" s="51"/>
      <c r="V20" s="52"/>
      <c r="W20" s="53"/>
      <c r="X20" s="53"/>
      <c r="Y20" s="115"/>
      <c r="Z20" s="115"/>
      <c r="AA20" s="118">
        <f>SUM(AA4:AA19)</f>
        <v>40830</v>
      </c>
      <c r="AB20" s="118"/>
      <c r="AC20" s="118"/>
      <c r="AD20" s="118"/>
      <c r="AE20" s="115"/>
      <c r="AF20" s="5"/>
    </row>
    <row r="21" spans="1:241" ht="18" customHeight="1" x14ac:dyDescent="0.25">
      <c r="A21" s="157" t="s">
        <v>50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9"/>
      <c r="AF21" s="5"/>
    </row>
    <row r="22" spans="1:241" ht="18" customHeight="1" x14ac:dyDescent="0.25">
      <c r="A22" s="35">
        <v>17</v>
      </c>
      <c r="B22" s="54" t="s">
        <v>65</v>
      </c>
      <c r="C22" s="34" t="s">
        <v>43</v>
      </c>
      <c r="D22" s="96"/>
      <c r="E22" s="96"/>
      <c r="F22" s="96">
        <v>9918990464.5900002</v>
      </c>
      <c r="G22" s="96"/>
      <c r="H22" s="96"/>
      <c r="I22" s="96"/>
      <c r="J22" s="96">
        <v>9918990464.5900002</v>
      </c>
      <c r="K22" s="96">
        <v>151866291.74000001</v>
      </c>
      <c r="L22" s="96">
        <v>18343415.760000002</v>
      </c>
      <c r="M22" s="38">
        <v>133522875.98</v>
      </c>
      <c r="N22" s="111">
        <v>10127220087.41</v>
      </c>
      <c r="O22" s="111">
        <v>519748867.36000001</v>
      </c>
      <c r="P22" s="46">
        <v>12886056346.6</v>
      </c>
      <c r="Q22" s="99">
        <f t="shared" ref="Q22:Q50" si="13">(P22/$P$51)</f>
        <v>2.2102203127579524E-2</v>
      </c>
      <c r="R22" s="58">
        <v>10646968954.77</v>
      </c>
      <c r="S22" s="99">
        <f t="shared" ref="S22:S50" si="14">(R22/$R$51)</f>
        <v>1.7040820012804322E-2</v>
      </c>
      <c r="T22" s="104">
        <f t="shared" ref="T22:T30" si="15">((R22-P22)/P22)</f>
        <v>-0.1737604843254302</v>
      </c>
      <c r="U22" s="40">
        <f t="shared" ref="U22:U30" si="16">(L22/R22)</f>
        <v>1.7228767960088659E-3</v>
      </c>
      <c r="V22" s="41">
        <f t="shared" ref="V22:V30" si="17">M22/R22</f>
        <v>1.2540928460224332E-2</v>
      </c>
      <c r="W22" s="42">
        <f t="shared" ref="W22:W30" si="18">R22/AE22</f>
        <v>99.999999997839765</v>
      </c>
      <c r="X22" s="42">
        <f t="shared" ref="X22:X30" si="19">M22/AE22</f>
        <v>1.2540928459953418</v>
      </c>
      <c r="Y22" s="111">
        <v>100</v>
      </c>
      <c r="Z22" s="111">
        <v>100</v>
      </c>
      <c r="AA22" s="103">
        <v>6251</v>
      </c>
      <c r="AB22" s="103">
        <v>128860563.47</v>
      </c>
      <c r="AC22" s="103">
        <v>15100558.289999999</v>
      </c>
      <c r="AD22" s="103">
        <v>37491432.210000001</v>
      </c>
      <c r="AE22" s="96">
        <v>106469689.55</v>
      </c>
      <c r="AF22" s="5"/>
    </row>
    <row r="23" spans="1:241" ht="18" customHeight="1" x14ac:dyDescent="0.25">
      <c r="A23" s="35">
        <v>18</v>
      </c>
      <c r="B23" s="34" t="s">
        <v>72</v>
      </c>
      <c r="C23" s="34" t="s">
        <v>30</v>
      </c>
      <c r="D23" s="96"/>
      <c r="E23" s="96"/>
      <c r="F23" s="96">
        <v>644956239.71000004</v>
      </c>
      <c r="G23" s="96"/>
      <c r="H23" s="96"/>
      <c r="I23" s="96"/>
      <c r="J23" s="96">
        <v>644956239.71000004</v>
      </c>
      <c r="K23" s="96">
        <v>7285105.1100000003</v>
      </c>
      <c r="L23" s="96">
        <v>1409716.6</v>
      </c>
      <c r="M23" s="38">
        <v>5875388.5099999998</v>
      </c>
      <c r="N23" s="111">
        <v>676781147.33000004</v>
      </c>
      <c r="O23" s="111">
        <v>-36263941.280000001</v>
      </c>
      <c r="P23" s="46">
        <v>627391707.76999998</v>
      </c>
      <c r="Q23" s="99">
        <f t="shared" si="13"/>
        <v>1.0761041697097892E-3</v>
      </c>
      <c r="R23" s="58">
        <v>640517206.04999995</v>
      </c>
      <c r="S23" s="99">
        <f t="shared" ref="S23:S50" si="20">(R23/$R$51)</f>
        <v>1.0251686155722558E-3</v>
      </c>
      <c r="T23" s="104">
        <f t="shared" ref="T23:T50" si="21">((R23-P23)/P23)</f>
        <v>2.0920739176890336E-2</v>
      </c>
      <c r="U23" s="40">
        <f t="shared" ref="U23:U50" si="22">(L23/R23)</f>
        <v>2.2009035615039433E-3</v>
      </c>
      <c r="V23" s="41">
        <f t="shared" ref="V23:V50" si="23">M23/R23</f>
        <v>9.1728816251992404E-3</v>
      </c>
      <c r="W23" s="42">
        <f t="shared" ref="W23:W50" si="24">R23/AE23</f>
        <v>100.78837936482209</v>
      </c>
      <c r="X23" s="42">
        <f t="shared" ref="X23:X50" si="25">M23/AE23</f>
        <v>0.92451987310918682</v>
      </c>
      <c r="Y23" s="111">
        <v>100</v>
      </c>
      <c r="Z23" s="111">
        <v>100</v>
      </c>
      <c r="AA23" s="103">
        <v>671</v>
      </c>
      <c r="AB23" s="103">
        <v>6233120</v>
      </c>
      <c r="AC23" s="103">
        <v>168650</v>
      </c>
      <c r="AD23" s="103">
        <v>-36700</v>
      </c>
      <c r="AE23" s="96">
        <v>6355070</v>
      </c>
      <c r="AF23" s="5"/>
    </row>
    <row r="24" spans="1:241" ht="18" customHeight="1" x14ac:dyDescent="0.25">
      <c r="A24" s="35">
        <v>19</v>
      </c>
      <c r="B24" s="34" t="s">
        <v>56</v>
      </c>
      <c r="C24" s="34" t="s">
        <v>55</v>
      </c>
      <c r="D24" s="96"/>
      <c r="E24" s="96"/>
      <c r="F24" s="96">
        <v>1319824448.3699999</v>
      </c>
      <c r="G24" s="96"/>
      <c r="H24" s="96"/>
      <c r="I24" s="96"/>
      <c r="J24" s="96">
        <v>1334936999.03</v>
      </c>
      <c r="K24" s="96">
        <v>14323857.66</v>
      </c>
      <c r="L24" s="96">
        <v>2232799.54</v>
      </c>
      <c r="M24" s="38">
        <v>12086997.02</v>
      </c>
      <c r="N24" s="111">
        <v>1334936999.03</v>
      </c>
      <c r="O24" s="111">
        <v>23888598.850000001</v>
      </c>
      <c r="P24" s="46">
        <v>1120840139.1600001</v>
      </c>
      <c r="Q24" s="99">
        <f t="shared" si="13"/>
        <v>1.9224684234595338E-3</v>
      </c>
      <c r="R24" s="58">
        <v>1311048400.1800001</v>
      </c>
      <c r="S24" s="99">
        <f t="shared" si="20"/>
        <v>2.0983755950122487E-3</v>
      </c>
      <c r="T24" s="104">
        <f t="shared" si="21"/>
        <v>0.16970150726628083</v>
      </c>
      <c r="U24" s="40">
        <f t="shared" si="22"/>
        <v>1.7030641581908404E-3</v>
      </c>
      <c r="V24" s="41">
        <f t="shared" si="23"/>
        <v>9.2193369965140257E-3</v>
      </c>
      <c r="W24" s="42">
        <f t="shared" si="24"/>
        <v>102.67243982062821</v>
      </c>
      <c r="X24" s="42">
        <f t="shared" si="25"/>
        <v>0.94657182296067743</v>
      </c>
      <c r="Y24" s="111">
        <v>100</v>
      </c>
      <c r="Z24" s="111">
        <v>100</v>
      </c>
      <c r="AA24" s="103">
        <v>828</v>
      </c>
      <c r="AB24" s="103">
        <v>10984623.766000001</v>
      </c>
      <c r="AC24" s="103">
        <v>2305537.33</v>
      </c>
      <c r="AD24" s="103">
        <v>520927.18</v>
      </c>
      <c r="AE24" s="96">
        <v>12769233.91</v>
      </c>
      <c r="AF24" s="5"/>
    </row>
    <row r="25" spans="1:241" ht="18" customHeight="1" x14ac:dyDescent="0.25">
      <c r="A25" s="35">
        <v>20</v>
      </c>
      <c r="B25" s="34" t="s">
        <v>80</v>
      </c>
      <c r="C25" s="34" t="s">
        <v>47</v>
      </c>
      <c r="D25" s="96"/>
      <c r="E25" s="96"/>
      <c r="F25" s="96">
        <v>365916178.91000003</v>
      </c>
      <c r="G25" s="96"/>
      <c r="H25" s="96"/>
      <c r="I25" s="96"/>
      <c r="J25" s="96">
        <v>365916178.91000003</v>
      </c>
      <c r="K25" s="96">
        <v>3990504.7</v>
      </c>
      <c r="L25" s="96">
        <v>635144.77</v>
      </c>
      <c r="M25" s="38">
        <v>3355359.93</v>
      </c>
      <c r="N25" s="111">
        <v>402582096.74000001</v>
      </c>
      <c r="O25" s="111">
        <v>635144.77</v>
      </c>
      <c r="P25" s="46">
        <v>486868967.42000002</v>
      </c>
      <c r="Q25" s="99">
        <f t="shared" si="13"/>
        <v>8.350791370915437E-4</v>
      </c>
      <c r="R25" s="58">
        <v>401946951.97000003</v>
      </c>
      <c r="S25" s="99">
        <f t="shared" si="20"/>
        <v>6.433291664805122E-4</v>
      </c>
      <c r="T25" s="104">
        <f t="shared" si="21"/>
        <v>-0.17442478599532835</v>
      </c>
      <c r="U25" s="40">
        <f t="shared" si="22"/>
        <v>1.5801706341771317E-3</v>
      </c>
      <c r="V25" s="41">
        <f t="shared" si="23"/>
        <v>8.3477680662955561E-3</v>
      </c>
      <c r="W25" s="42">
        <f t="shared" si="24"/>
        <v>102.61860723290228</v>
      </c>
      <c r="X25" s="42">
        <f t="shared" si="25"/>
        <v>0.85663633246654791</v>
      </c>
      <c r="Y25" s="111">
        <v>100</v>
      </c>
      <c r="Z25" s="111">
        <v>100</v>
      </c>
      <c r="AA25" s="103">
        <v>1085</v>
      </c>
      <c r="AB25" s="103">
        <v>4813716.22</v>
      </c>
      <c r="AC25" s="103">
        <v>362771.5</v>
      </c>
      <c r="AD25" s="103">
        <v>1259586.46</v>
      </c>
      <c r="AE25" s="96">
        <v>3916901.26</v>
      </c>
      <c r="AF25" s="5"/>
    </row>
    <row r="26" spans="1:241" ht="18" customHeight="1" x14ac:dyDescent="0.25">
      <c r="A26" s="35">
        <v>21</v>
      </c>
      <c r="B26" s="34" t="s">
        <v>57</v>
      </c>
      <c r="C26" s="105" t="s">
        <v>34</v>
      </c>
      <c r="D26" s="96">
        <v>17539314708.619999</v>
      </c>
      <c r="E26" s="96"/>
      <c r="F26" s="96"/>
      <c r="G26" s="96"/>
      <c r="H26" s="96"/>
      <c r="I26" s="119"/>
      <c r="J26" s="96">
        <v>17539314708.619999</v>
      </c>
      <c r="K26" s="96">
        <v>786744416.84000003</v>
      </c>
      <c r="L26" s="96">
        <v>298911548.29000002</v>
      </c>
      <c r="M26" s="38">
        <v>487752868.55000001</v>
      </c>
      <c r="N26" s="111">
        <v>70783399406</v>
      </c>
      <c r="O26" s="111">
        <v>-2757498191</v>
      </c>
      <c r="P26" s="46">
        <v>65935310762</v>
      </c>
      <c r="Q26" s="99">
        <f t="shared" si="13"/>
        <v>0.11309244601637324</v>
      </c>
      <c r="R26" s="58">
        <v>68025901215</v>
      </c>
      <c r="S26" s="99">
        <f t="shared" si="20"/>
        <v>0.10887766684942529</v>
      </c>
      <c r="T26" s="104">
        <f t="shared" si="21"/>
        <v>3.1706689918338173E-2</v>
      </c>
      <c r="U26" s="40">
        <f t="shared" si="22"/>
        <v>4.394084355387985E-3</v>
      </c>
      <c r="V26" s="41">
        <f t="shared" si="23"/>
        <v>7.1701052075506854E-3</v>
      </c>
      <c r="W26" s="42">
        <f t="shared" si="24"/>
        <v>1</v>
      </c>
      <c r="X26" s="42">
        <f t="shared" si="25"/>
        <v>7.1701052075506854E-3</v>
      </c>
      <c r="Y26" s="111">
        <v>1</v>
      </c>
      <c r="Z26" s="111">
        <v>1</v>
      </c>
      <c r="AA26" s="103">
        <v>29093</v>
      </c>
      <c r="AB26" s="103">
        <v>65935310762</v>
      </c>
      <c r="AC26" s="103">
        <v>6697906663</v>
      </c>
      <c r="AD26" s="103">
        <v>4607316210</v>
      </c>
      <c r="AE26" s="96">
        <v>68025901215</v>
      </c>
      <c r="AF26" s="5"/>
    </row>
    <row r="27" spans="1:241" ht="18" customHeight="1" x14ac:dyDescent="0.25">
      <c r="A27" s="35">
        <v>22</v>
      </c>
      <c r="B27" s="54" t="s">
        <v>59</v>
      </c>
      <c r="C27" s="34" t="s">
        <v>181</v>
      </c>
      <c r="D27" s="96"/>
      <c r="E27" s="96"/>
      <c r="F27" s="96">
        <v>11527035556.540001</v>
      </c>
      <c r="G27" s="96"/>
      <c r="H27" s="96"/>
      <c r="I27" s="96"/>
      <c r="J27" s="96">
        <v>11527035556.540001</v>
      </c>
      <c r="K27" s="96">
        <v>363848469.67000002</v>
      </c>
      <c r="L27" s="96">
        <v>42300994.490000002</v>
      </c>
      <c r="M27" s="38">
        <v>321547475.18000001</v>
      </c>
      <c r="N27" s="111">
        <v>32684420873.41</v>
      </c>
      <c r="O27" s="111">
        <v>132670984.05</v>
      </c>
      <c r="P27" s="46">
        <v>31522159222.77</v>
      </c>
      <c r="Q27" s="99">
        <f t="shared" si="13"/>
        <v>5.4066903591135883E-2</v>
      </c>
      <c r="R27" s="58">
        <v>32551749889.360001</v>
      </c>
      <c r="S27" s="99">
        <f t="shared" si="20"/>
        <v>5.2100134162398316E-2</v>
      </c>
      <c r="T27" s="104">
        <f t="shared" si="21"/>
        <v>3.2662441024860898E-2</v>
      </c>
      <c r="U27" s="40">
        <f t="shared" si="22"/>
        <v>1.2994998620282064E-3</v>
      </c>
      <c r="V27" s="41">
        <f t="shared" si="23"/>
        <v>9.8780396222294137E-3</v>
      </c>
      <c r="W27" s="42">
        <f t="shared" si="24"/>
        <v>1.0278948884869601</v>
      </c>
      <c r="X27" s="42">
        <f t="shared" si="25"/>
        <v>1.0153586435961277E-2</v>
      </c>
      <c r="Y27" s="111">
        <v>1</v>
      </c>
      <c r="Z27" s="111">
        <v>1</v>
      </c>
      <c r="AA27" s="110">
        <v>21607</v>
      </c>
      <c r="AB27" s="111">
        <v>30949512361.310001</v>
      </c>
      <c r="AC27" s="111">
        <v>6577939869.6999998</v>
      </c>
      <c r="AD27" s="111">
        <v>5859087835.04</v>
      </c>
      <c r="AE27" s="96">
        <v>31668364395.970001</v>
      </c>
      <c r="AF27" s="5"/>
    </row>
    <row r="28" spans="1:241" ht="16.5" customHeight="1" x14ac:dyDescent="0.25">
      <c r="A28" s="35">
        <v>23</v>
      </c>
      <c r="B28" s="105" t="s">
        <v>206</v>
      </c>
      <c r="C28" s="105" t="s">
        <v>28</v>
      </c>
      <c r="D28" s="96"/>
      <c r="E28" s="96"/>
      <c r="F28" s="96">
        <v>4259264410.27</v>
      </c>
      <c r="G28" s="96"/>
      <c r="H28" s="96"/>
      <c r="I28" s="96"/>
      <c r="J28" s="96">
        <v>4271365511.3600001</v>
      </c>
      <c r="K28" s="96">
        <v>50465589.810000002</v>
      </c>
      <c r="L28" s="96">
        <v>7161310.7400000002</v>
      </c>
      <c r="M28" s="38">
        <v>43304279.07</v>
      </c>
      <c r="N28" s="111">
        <v>4271365511.3600001</v>
      </c>
      <c r="O28" s="111">
        <v>129374517.08</v>
      </c>
      <c r="P28" s="46">
        <v>4396436624.0799999</v>
      </c>
      <c r="Q28" s="99">
        <f t="shared" si="13"/>
        <v>7.5407814997320568E-3</v>
      </c>
      <c r="R28" s="58">
        <v>4141990994.2800002</v>
      </c>
      <c r="S28" s="99">
        <f t="shared" si="20"/>
        <v>6.6293912688230117E-3</v>
      </c>
      <c r="T28" s="104">
        <f t="shared" si="21"/>
        <v>-5.7875423111153138E-2</v>
      </c>
      <c r="U28" s="40">
        <f t="shared" si="22"/>
        <v>1.7289537205391356E-3</v>
      </c>
      <c r="V28" s="41">
        <f t="shared" si="23"/>
        <v>1.0454942835414725E-2</v>
      </c>
      <c r="W28" s="42">
        <f t="shared" si="24"/>
        <v>100.00000000676005</v>
      </c>
      <c r="X28" s="42">
        <f t="shared" si="25"/>
        <v>1.0454942836121484</v>
      </c>
      <c r="Y28" s="111">
        <v>100</v>
      </c>
      <c r="Z28" s="111">
        <v>100</v>
      </c>
      <c r="AA28" s="103">
        <v>1719</v>
      </c>
      <c r="AB28" s="103">
        <v>43964366.240000002</v>
      </c>
      <c r="AC28" s="103">
        <v>3373166.63</v>
      </c>
      <c r="AD28" s="103">
        <v>5917622.9299999997</v>
      </c>
      <c r="AE28" s="96">
        <v>41419909.939999998</v>
      </c>
      <c r="AF28" s="5"/>
    </row>
    <row r="29" spans="1:241" ht="18" customHeight="1" x14ac:dyDescent="0.25">
      <c r="A29" s="35">
        <v>24</v>
      </c>
      <c r="B29" s="34" t="s">
        <v>207</v>
      </c>
      <c r="C29" s="34" t="s">
        <v>78</v>
      </c>
      <c r="D29" s="96"/>
      <c r="E29" s="96"/>
      <c r="F29" s="96">
        <v>7857160509.4300003</v>
      </c>
      <c r="G29" s="96"/>
      <c r="H29" s="96"/>
      <c r="I29" s="96"/>
      <c r="J29" s="96">
        <v>7858822783.2200003</v>
      </c>
      <c r="K29" s="96">
        <v>101614882.88</v>
      </c>
      <c r="L29" s="96">
        <v>13087423.960000001</v>
      </c>
      <c r="M29" s="38">
        <v>89816175.409999996</v>
      </c>
      <c r="N29" s="111">
        <v>7861556944.6800003</v>
      </c>
      <c r="O29" s="111">
        <v>303830069.85000002</v>
      </c>
      <c r="P29" s="46">
        <v>7088354403.6800003</v>
      </c>
      <c r="Q29" s="99">
        <f t="shared" si="13"/>
        <v>1.2157967081351874E-2</v>
      </c>
      <c r="R29" s="58">
        <v>7557726874.8299999</v>
      </c>
      <c r="S29" s="99">
        <f t="shared" si="20"/>
        <v>1.2096387612947098E-2</v>
      </c>
      <c r="T29" s="104">
        <f t="shared" si="21"/>
        <v>6.621741019415163E-2</v>
      </c>
      <c r="U29" s="40">
        <f t="shared" si="22"/>
        <v>1.7316614078216981E-3</v>
      </c>
      <c r="V29" s="41">
        <f t="shared" si="23"/>
        <v>1.1884019745291508E-2</v>
      </c>
      <c r="W29" s="42">
        <f t="shared" si="24"/>
        <v>99.999999997750649</v>
      </c>
      <c r="X29" s="42">
        <f t="shared" si="25"/>
        <v>1.1884019745024195</v>
      </c>
      <c r="Y29" s="111">
        <v>100</v>
      </c>
      <c r="Z29" s="111">
        <v>100</v>
      </c>
      <c r="AA29" s="103">
        <v>1292</v>
      </c>
      <c r="AB29" s="103">
        <v>70883544.040000007</v>
      </c>
      <c r="AC29" s="103">
        <v>9904738.9700000007</v>
      </c>
      <c r="AD29" s="103">
        <v>5211014.26</v>
      </c>
      <c r="AE29" s="96">
        <v>75577268.75</v>
      </c>
      <c r="AF29" s="5"/>
    </row>
    <row r="30" spans="1:241" ht="18" customHeight="1" x14ac:dyDescent="0.25">
      <c r="A30" s="35">
        <v>25</v>
      </c>
      <c r="B30" s="34" t="s">
        <v>63</v>
      </c>
      <c r="C30" s="34" t="s">
        <v>62</v>
      </c>
      <c r="D30" s="96"/>
      <c r="E30" s="96"/>
      <c r="F30" s="96">
        <v>2134017363.3099999</v>
      </c>
      <c r="G30" s="96"/>
      <c r="H30" s="96"/>
      <c r="I30" s="96"/>
      <c r="J30" s="96">
        <v>2134017363.3099999</v>
      </c>
      <c r="K30" s="96">
        <v>50024978.310000002</v>
      </c>
      <c r="L30" s="96">
        <v>5804768.3899999997</v>
      </c>
      <c r="M30" s="38">
        <v>44220209.920000002</v>
      </c>
      <c r="N30" s="111">
        <v>4750870033.1700001</v>
      </c>
      <c r="O30" s="111">
        <v>141063718.31</v>
      </c>
      <c r="P30" s="46">
        <v>4292010000</v>
      </c>
      <c r="Q30" s="99">
        <f t="shared" si="13"/>
        <v>7.3616686357756205E-3</v>
      </c>
      <c r="R30" s="58">
        <v>4609806314.8599997</v>
      </c>
      <c r="S30" s="99">
        <f t="shared" si="20"/>
        <v>7.3781449010635351E-3</v>
      </c>
      <c r="T30" s="104">
        <f t="shared" si="21"/>
        <v>7.4043703267233682E-2</v>
      </c>
      <c r="U30" s="40">
        <f t="shared" si="22"/>
        <v>1.2592217532628139E-3</v>
      </c>
      <c r="V30" s="41">
        <f t="shared" si="23"/>
        <v>9.5926394515651082E-3</v>
      </c>
      <c r="W30" s="42">
        <f t="shared" si="24"/>
        <v>100.00000032235627</v>
      </c>
      <c r="X30" s="42">
        <f t="shared" si="25"/>
        <v>0.95926394824875838</v>
      </c>
      <c r="Y30" s="111">
        <v>100</v>
      </c>
      <c r="Z30" s="111">
        <v>100</v>
      </c>
      <c r="AA30" s="103">
        <v>5276</v>
      </c>
      <c r="AB30" s="103">
        <v>42920100</v>
      </c>
      <c r="AC30" s="103">
        <v>7846183</v>
      </c>
      <c r="AD30" s="103">
        <v>4668220</v>
      </c>
      <c r="AE30" s="96">
        <v>46098063</v>
      </c>
      <c r="AF30" s="5"/>
    </row>
    <row r="31" spans="1:241" ht="18" customHeight="1" x14ac:dyDescent="0.25">
      <c r="A31" s="35">
        <v>26</v>
      </c>
      <c r="B31" s="34" t="s">
        <v>148</v>
      </c>
      <c r="C31" s="105" t="s">
        <v>147</v>
      </c>
      <c r="D31" s="96"/>
      <c r="E31" s="96"/>
      <c r="F31" s="111">
        <v>39263942.280000001</v>
      </c>
      <c r="G31" s="111"/>
      <c r="H31" s="120"/>
      <c r="I31" s="80"/>
      <c r="J31" s="111">
        <v>39263942.280000001</v>
      </c>
      <c r="K31" s="109">
        <v>275433.01</v>
      </c>
      <c r="L31" s="109">
        <v>41437.480000000003</v>
      </c>
      <c r="M31" s="38">
        <v>233995.53</v>
      </c>
      <c r="N31" s="109">
        <v>39587756.090000004</v>
      </c>
      <c r="O31" s="121">
        <v>384507.53</v>
      </c>
      <c r="P31" s="46">
        <v>26657123.550000001</v>
      </c>
      <c r="Q31" s="99">
        <f t="shared" si="13"/>
        <v>4.5722379574612051E-5</v>
      </c>
      <c r="R31" s="58">
        <v>39203248.560000002</v>
      </c>
      <c r="S31" s="99">
        <f t="shared" si="20"/>
        <v>6.2746074067295129E-5</v>
      </c>
      <c r="T31" s="104">
        <f t="shared" si="21"/>
        <v>0.47064811724594346</v>
      </c>
      <c r="U31" s="40">
        <f t="shared" si="22"/>
        <v>1.056990977076314E-3</v>
      </c>
      <c r="V31" s="41">
        <f t="shared" si="23"/>
        <v>5.9687790832403404E-3</v>
      </c>
      <c r="W31" s="42">
        <f t="shared" si="24"/>
        <v>101.87107246798604</v>
      </c>
      <c r="X31" s="42">
        <f t="shared" si="25"/>
        <v>0.608045926534176</v>
      </c>
      <c r="Y31" s="111">
        <v>100</v>
      </c>
      <c r="Z31" s="111">
        <v>100</v>
      </c>
      <c r="AA31" s="103">
        <v>86</v>
      </c>
      <c r="AB31" s="96">
        <v>333972.73</v>
      </c>
      <c r="AC31" s="103">
        <v>50859.46</v>
      </c>
      <c r="AD31" s="103">
        <v>0</v>
      </c>
      <c r="AE31" s="96">
        <v>384832</v>
      </c>
      <c r="AF31" s="5"/>
    </row>
    <row r="32" spans="1:241" ht="16.5" customHeight="1" x14ac:dyDescent="0.25">
      <c r="A32" s="35">
        <v>27</v>
      </c>
      <c r="B32" s="34" t="s">
        <v>69</v>
      </c>
      <c r="C32" s="34" t="s">
        <v>68</v>
      </c>
      <c r="D32" s="96"/>
      <c r="E32" s="96"/>
      <c r="F32" s="96">
        <v>1985270515.4300001</v>
      </c>
      <c r="G32" s="96"/>
      <c r="H32" s="96"/>
      <c r="I32" s="96"/>
      <c r="J32" s="96">
        <v>1985270515.4300001</v>
      </c>
      <c r="K32" s="96">
        <v>46558113.350000001</v>
      </c>
      <c r="L32" s="96">
        <v>5461821.71</v>
      </c>
      <c r="M32" s="38">
        <v>41096291.640000001</v>
      </c>
      <c r="N32" s="111">
        <v>4083189625.4299998</v>
      </c>
      <c r="O32" s="111">
        <v>34343950.600000001</v>
      </c>
      <c r="P32" s="46">
        <v>4303563715.1499996</v>
      </c>
      <c r="Q32" s="99">
        <f t="shared" si="13"/>
        <v>7.3814856032212777E-3</v>
      </c>
      <c r="R32" s="58">
        <v>4048845674.8299999</v>
      </c>
      <c r="S32" s="99">
        <f t="shared" si="20"/>
        <v>6.4803091562963761E-3</v>
      </c>
      <c r="T32" s="104">
        <f t="shared" si="21"/>
        <v>-5.9187700515111706E-2</v>
      </c>
      <c r="U32" s="40">
        <f t="shared" si="22"/>
        <v>1.3489824381190639E-3</v>
      </c>
      <c r="V32" s="41">
        <f t="shared" si="23"/>
        <v>1.0150125477856235E-2</v>
      </c>
      <c r="W32" s="42">
        <f t="shared" si="24"/>
        <v>1.0238340022763424</v>
      </c>
      <c r="X32" s="42">
        <f t="shared" si="25"/>
        <v>1.0392043591600621E-2</v>
      </c>
      <c r="Y32" s="111">
        <v>1</v>
      </c>
      <c r="Z32" s="111">
        <v>1</v>
      </c>
      <c r="AA32" s="103">
        <v>1777</v>
      </c>
      <c r="AB32" s="103">
        <v>4239131205.23</v>
      </c>
      <c r="AC32" s="103">
        <v>730964751.37</v>
      </c>
      <c r="AD32" s="103">
        <v>1015504034.64</v>
      </c>
      <c r="AE32" s="96">
        <v>3954591921.96</v>
      </c>
      <c r="AF32" s="5"/>
    </row>
    <row r="33" spans="1:241" ht="16.5" customHeight="1" x14ac:dyDescent="0.25">
      <c r="A33" s="35">
        <v>28</v>
      </c>
      <c r="B33" s="34" t="s">
        <v>159</v>
      </c>
      <c r="C33" s="34" t="s">
        <v>66</v>
      </c>
      <c r="D33" s="96"/>
      <c r="E33" s="96"/>
      <c r="F33" s="96">
        <v>1768417812.4000001</v>
      </c>
      <c r="G33" s="96">
        <v>189852999.78999999</v>
      </c>
      <c r="H33" s="96"/>
      <c r="I33" s="96"/>
      <c r="J33" s="96">
        <v>11152519079.25</v>
      </c>
      <c r="K33" s="96">
        <v>118975666.89</v>
      </c>
      <c r="L33" s="96">
        <v>17155099.539999999</v>
      </c>
      <c r="M33" s="38">
        <v>101820567.34999999</v>
      </c>
      <c r="N33" s="111">
        <v>11152519079.25</v>
      </c>
      <c r="O33" s="111">
        <v>168984372.41</v>
      </c>
      <c r="P33" s="46">
        <v>10754424856.719999</v>
      </c>
      <c r="Q33" s="99">
        <f t="shared" si="13"/>
        <v>1.8446022298065787E-2</v>
      </c>
      <c r="R33" s="58">
        <v>10983534706.84</v>
      </c>
      <c r="S33" s="99">
        <f t="shared" si="20"/>
        <v>1.7579504442886133E-2</v>
      </c>
      <c r="T33" s="104">
        <f t="shared" si="21"/>
        <v>2.1303775252736037E-2</v>
      </c>
      <c r="U33" s="40">
        <f t="shared" si="22"/>
        <v>1.5618924142258735E-3</v>
      </c>
      <c r="V33" s="41">
        <f t="shared" si="23"/>
        <v>9.2702914014184522E-3</v>
      </c>
      <c r="W33" s="42">
        <f t="shared" si="24"/>
        <v>100.00000006227503</v>
      </c>
      <c r="X33" s="42">
        <f t="shared" si="25"/>
        <v>0.92702914071915299</v>
      </c>
      <c r="Y33" s="111">
        <v>100</v>
      </c>
      <c r="Z33" s="111">
        <v>100</v>
      </c>
      <c r="AA33" s="103">
        <v>2230</v>
      </c>
      <c r="AB33" s="103">
        <v>107544249</v>
      </c>
      <c r="AC33" s="103">
        <v>23793969</v>
      </c>
      <c r="AD33" s="103">
        <v>21502871</v>
      </c>
      <c r="AE33" s="96">
        <v>109835347</v>
      </c>
      <c r="AF33" s="5"/>
    </row>
    <row r="34" spans="1:241" ht="16.5" customHeight="1" x14ac:dyDescent="0.25">
      <c r="A34" s="35">
        <v>29</v>
      </c>
      <c r="B34" s="34" t="s">
        <v>67</v>
      </c>
      <c r="C34" s="34" t="s">
        <v>66</v>
      </c>
      <c r="D34" s="96"/>
      <c r="E34" s="96"/>
      <c r="F34" s="96">
        <v>78605935.989999995</v>
      </c>
      <c r="G34" s="96"/>
      <c r="H34" s="96"/>
      <c r="I34" s="96"/>
      <c r="J34" s="96">
        <v>434656972.13999999</v>
      </c>
      <c r="K34" s="96">
        <v>4631112.53</v>
      </c>
      <c r="L34" s="96">
        <v>391768.78</v>
      </c>
      <c r="M34" s="38">
        <v>4239343.75</v>
      </c>
      <c r="N34" s="111">
        <v>434656972.13999999</v>
      </c>
      <c r="O34" s="111">
        <v>3507273.41</v>
      </c>
      <c r="P34" s="46">
        <v>396928734.60000002</v>
      </c>
      <c r="Q34" s="99">
        <f t="shared" si="13"/>
        <v>6.8081337558461544E-4</v>
      </c>
      <c r="R34" s="58">
        <v>431149698.73000002</v>
      </c>
      <c r="S34" s="99">
        <f t="shared" si="20"/>
        <v>6.9006911223697229E-4</v>
      </c>
      <c r="T34" s="104">
        <f t="shared" si="21"/>
        <v>8.6214378418548468E-2</v>
      </c>
      <c r="U34" s="40">
        <f t="shared" si="22"/>
        <v>9.0866068364189769E-4</v>
      </c>
      <c r="V34" s="41">
        <f t="shared" si="23"/>
        <v>9.832649222503145E-3</v>
      </c>
      <c r="W34" s="42">
        <f t="shared" si="24"/>
        <v>1000347.3288399072</v>
      </c>
      <c r="X34" s="42">
        <f t="shared" si="25"/>
        <v>9836.0643851508121</v>
      </c>
      <c r="Y34" s="111">
        <v>1000000</v>
      </c>
      <c r="Z34" s="111">
        <v>1000000</v>
      </c>
      <c r="AA34" s="103">
        <v>8</v>
      </c>
      <c r="AB34" s="103">
        <v>397</v>
      </c>
      <c r="AC34" s="103">
        <v>35</v>
      </c>
      <c r="AD34" s="103">
        <v>1</v>
      </c>
      <c r="AE34" s="96">
        <v>431</v>
      </c>
      <c r="AF34" s="5"/>
    </row>
    <row r="35" spans="1:241" ht="16.5" customHeight="1" x14ac:dyDescent="0.25">
      <c r="A35" s="35">
        <v>30</v>
      </c>
      <c r="B35" s="105" t="s">
        <v>152</v>
      </c>
      <c r="C35" s="105" t="s">
        <v>151</v>
      </c>
      <c r="D35" s="96"/>
      <c r="E35" s="96"/>
      <c r="F35" s="96">
        <v>410820227.97000003</v>
      </c>
      <c r="G35" s="96"/>
      <c r="H35" s="96"/>
      <c r="I35" s="96">
        <v>894043.8</v>
      </c>
      <c r="J35" s="96">
        <v>411714271.76999998</v>
      </c>
      <c r="K35" s="96">
        <v>12877857.02</v>
      </c>
      <c r="L35" s="96">
        <v>1962478.05</v>
      </c>
      <c r="M35" s="38">
        <v>10915378.970000001</v>
      </c>
      <c r="N35" s="111">
        <v>1079852722.05</v>
      </c>
      <c r="O35" s="111">
        <v>1024478978.41</v>
      </c>
      <c r="P35" s="46">
        <v>1019959025.2</v>
      </c>
      <c r="Q35" s="99">
        <f t="shared" si="13"/>
        <v>1.7494368292690641E-3</v>
      </c>
      <c r="R35" s="58">
        <v>1025267907.79</v>
      </c>
      <c r="S35" s="99">
        <f t="shared" si="20"/>
        <v>1.6409746244001584E-3</v>
      </c>
      <c r="T35" s="104">
        <f t="shared" si="21"/>
        <v>5.204995944772306E-3</v>
      </c>
      <c r="U35" s="40">
        <f t="shared" si="22"/>
        <v>1.9141124335298747E-3</v>
      </c>
      <c r="V35" s="41">
        <f t="shared" si="23"/>
        <v>1.064636753678214E-2</v>
      </c>
      <c r="W35" s="42">
        <f t="shared" si="24"/>
        <v>1.0008335491832954</v>
      </c>
      <c r="X35" s="42">
        <f t="shared" si="25"/>
        <v>1.0655241807747488E-2</v>
      </c>
      <c r="Y35" s="111">
        <v>1</v>
      </c>
      <c r="Z35" s="111">
        <v>1</v>
      </c>
      <c r="AA35" s="103">
        <v>309</v>
      </c>
      <c r="AB35" s="103">
        <v>1019959023.89</v>
      </c>
      <c r="AC35" s="103">
        <v>46845786.43</v>
      </c>
      <c r="AD35" s="103">
        <v>42391801.990000002</v>
      </c>
      <c r="AE35" s="96">
        <v>1024414008.33</v>
      </c>
      <c r="AF35" s="5"/>
    </row>
    <row r="36" spans="1:241" s="22" customFormat="1" ht="16.5" customHeight="1" x14ac:dyDescent="0.3">
      <c r="A36" s="35">
        <v>31</v>
      </c>
      <c r="B36" s="34" t="s">
        <v>79</v>
      </c>
      <c r="C36" s="34" t="s">
        <v>163</v>
      </c>
      <c r="D36" s="96"/>
      <c r="E36" s="96"/>
      <c r="F36" s="96">
        <v>157961443.44</v>
      </c>
      <c r="G36" s="96"/>
      <c r="H36" s="96"/>
      <c r="I36" s="96"/>
      <c r="J36" s="96">
        <v>157961443.44</v>
      </c>
      <c r="K36" s="96">
        <v>2342307.17</v>
      </c>
      <c r="L36" s="96">
        <v>676628.17</v>
      </c>
      <c r="M36" s="38">
        <v>1665679</v>
      </c>
      <c r="N36" s="111">
        <v>274178234.13999999</v>
      </c>
      <c r="O36" s="111">
        <v>4447526.45</v>
      </c>
      <c r="P36" s="46">
        <v>271377646.29000002</v>
      </c>
      <c r="Q36" s="99">
        <f t="shared" si="13"/>
        <v>4.6546776618500499E-4</v>
      </c>
      <c r="R36" s="58">
        <v>269730707.69</v>
      </c>
      <c r="S36" s="99">
        <f t="shared" si="20"/>
        <v>4.317127683191332E-4</v>
      </c>
      <c r="T36" s="104">
        <f t="shared" si="21"/>
        <v>-6.068807149429211E-3</v>
      </c>
      <c r="U36" s="40">
        <f t="shared" si="22"/>
        <v>2.5085322164269297E-3</v>
      </c>
      <c r="V36" s="41">
        <f t="shared" si="23"/>
        <v>6.1753406360923338E-3</v>
      </c>
      <c r="W36" s="42">
        <f t="shared" si="24"/>
        <v>1.0063792655432571</v>
      </c>
      <c r="X36" s="42">
        <f t="shared" si="25"/>
        <v>6.2147347738300334E-3</v>
      </c>
      <c r="Y36" s="111">
        <v>1</v>
      </c>
      <c r="Z36" s="111">
        <v>1</v>
      </c>
      <c r="AA36" s="103">
        <v>262</v>
      </c>
      <c r="AB36" s="103">
        <v>268931035</v>
      </c>
      <c r="AC36" s="103">
        <v>25000</v>
      </c>
      <c r="AD36" s="103">
        <v>935104</v>
      </c>
      <c r="AE36" s="96">
        <v>268020931</v>
      </c>
      <c r="AF36" s="20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</row>
    <row r="37" spans="1:241" ht="16.5" customHeight="1" x14ac:dyDescent="0.25">
      <c r="A37" s="35">
        <v>32</v>
      </c>
      <c r="B37" s="34" t="s">
        <v>53</v>
      </c>
      <c r="C37" s="34" t="s">
        <v>52</v>
      </c>
      <c r="D37" s="96"/>
      <c r="E37" s="96"/>
      <c r="F37" s="96">
        <v>150150765472.34</v>
      </c>
      <c r="G37" s="96"/>
      <c r="H37" s="96"/>
      <c r="I37" s="96"/>
      <c r="J37" s="96">
        <v>149672330043.28</v>
      </c>
      <c r="K37" s="96">
        <v>1623821272.3199999</v>
      </c>
      <c r="L37" s="96">
        <v>207077540.74000001</v>
      </c>
      <c r="M37" s="38">
        <v>1416743731.5799999</v>
      </c>
      <c r="N37" s="111">
        <v>154400127559.69</v>
      </c>
      <c r="O37" s="111">
        <v>-4727797516.4099998</v>
      </c>
      <c r="P37" s="46">
        <v>145977848399.56</v>
      </c>
      <c r="Q37" s="99">
        <f t="shared" si="13"/>
        <v>0.25038165057421796</v>
      </c>
      <c r="R37" s="58">
        <v>149672330043.28</v>
      </c>
      <c r="S37" s="99">
        <f t="shared" si="20"/>
        <v>0.23955543103390942</v>
      </c>
      <c r="T37" s="104">
        <f t="shared" si="21"/>
        <v>2.5308508682822434E-2</v>
      </c>
      <c r="U37" s="40">
        <f t="shared" si="22"/>
        <v>1.3835392332044302E-3</v>
      </c>
      <c r="V37" s="41">
        <f t="shared" si="23"/>
        <v>9.4656355731906304E-3</v>
      </c>
      <c r="W37" s="42">
        <f t="shared" si="24"/>
        <v>100.04098279606684</v>
      </c>
      <c r="X37" s="42">
        <f t="shared" si="25"/>
        <v>0.94695148553140218</v>
      </c>
      <c r="Y37" s="111">
        <v>100</v>
      </c>
      <c r="Z37" s="111">
        <v>100</v>
      </c>
      <c r="AA37" s="103">
        <v>23746</v>
      </c>
      <c r="AB37" s="103">
        <v>1459249569</v>
      </c>
      <c r="AC37" s="103">
        <v>106715166</v>
      </c>
      <c r="AD37" s="103">
        <v>69854482.680000007</v>
      </c>
      <c r="AE37" s="96">
        <v>1496110152.6600001</v>
      </c>
      <c r="AF37" s="5"/>
    </row>
    <row r="38" spans="1:241" ht="16.5" customHeight="1" x14ac:dyDescent="0.25">
      <c r="A38" s="35">
        <v>33</v>
      </c>
      <c r="B38" s="34" t="s">
        <v>75</v>
      </c>
      <c r="C38" s="34" t="s">
        <v>74</v>
      </c>
      <c r="D38" s="96"/>
      <c r="E38" s="96"/>
      <c r="F38" s="96">
        <v>208796714.52000001</v>
      </c>
      <c r="G38" s="96"/>
      <c r="H38" s="96"/>
      <c r="I38" s="96">
        <v>15153911.779999999</v>
      </c>
      <c r="J38" s="96">
        <v>577216240.59000003</v>
      </c>
      <c r="K38" s="96">
        <v>5763691.1299999999</v>
      </c>
      <c r="L38" s="96">
        <v>1579659.7</v>
      </c>
      <c r="M38" s="38">
        <v>4184031.43</v>
      </c>
      <c r="N38" s="111">
        <v>583516178.25999999</v>
      </c>
      <c r="O38" s="111">
        <v>15964447.6</v>
      </c>
      <c r="P38" s="46">
        <v>611862132.76999998</v>
      </c>
      <c r="Q38" s="99">
        <f t="shared" si="13"/>
        <v>1.0494677953293882E-3</v>
      </c>
      <c r="R38" s="58">
        <v>567551730.65999997</v>
      </c>
      <c r="S38" s="99">
        <f t="shared" si="20"/>
        <v>9.0838499963876199E-4</v>
      </c>
      <c r="T38" s="104">
        <f t="shared" si="21"/>
        <v>-7.2418931875060766E-2</v>
      </c>
      <c r="U38" s="40">
        <f t="shared" si="22"/>
        <v>2.7832876100351771E-3</v>
      </c>
      <c r="V38" s="41">
        <f t="shared" si="23"/>
        <v>7.3720706042679739E-3</v>
      </c>
      <c r="W38" s="42">
        <f t="shared" si="24"/>
        <v>9.9626824149651085</v>
      </c>
      <c r="X38" s="42">
        <f t="shared" si="25"/>
        <v>7.3445598171021739E-2</v>
      </c>
      <c r="Y38" s="111">
        <v>10</v>
      </c>
      <c r="Z38" s="111">
        <v>10</v>
      </c>
      <c r="AA38" s="103">
        <v>272</v>
      </c>
      <c r="AB38" s="103">
        <v>61395584</v>
      </c>
      <c r="AC38" s="103">
        <v>583500</v>
      </c>
      <c r="AD38" s="103">
        <v>5011321</v>
      </c>
      <c r="AE38" s="96">
        <v>56967763</v>
      </c>
      <c r="AF38" s="5"/>
    </row>
    <row r="39" spans="1:241" ht="16.5" customHeight="1" x14ac:dyDescent="0.25">
      <c r="A39" s="35">
        <v>34</v>
      </c>
      <c r="B39" s="34" t="s">
        <v>61</v>
      </c>
      <c r="C39" s="34" t="s">
        <v>60</v>
      </c>
      <c r="D39" s="96"/>
      <c r="E39" s="96"/>
      <c r="F39" s="36">
        <v>641203331.50999999</v>
      </c>
      <c r="G39" s="36"/>
      <c r="H39" s="36"/>
      <c r="I39" s="36"/>
      <c r="J39" s="36">
        <v>641203331.50999999</v>
      </c>
      <c r="K39" s="96">
        <v>22262861.039999999</v>
      </c>
      <c r="L39" s="96">
        <v>3983882.75</v>
      </c>
      <c r="M39" s="38">
        <v>18278978.289999999</v>
      </c>
      <c r="N39" s="111">
        <v>2040271699.0599999</v>
      </c>
      <c r="O39" s="111">
        <v>44485723.689999998</v>
      </c>
      <c r="P39" s="46">
        <v>2052001442.8699999</v>
      </c>
      <c r="Q39" s="99">
        <f t="shared" si="13"/>
        <v>3.51959913013772E-3</v>
      </c>
      <c r="R39" s="58">
        <v>2040137266.3099999</v>
      </c>
      <c r="S39" s="99">
        <f t="shared" si="20"/>
        <v>3.2653060325706913E-3</v>
      </c>
      <c r="T39" s="104">
        <f t="shared" si="21"/>
        <v>-5.7817583906794416E-3</v>
      </c>
      <c r="U39" s="40">
        <f t="shared" si="22"/>
        <v>1.9527523053415206E-3</v>
      </c>
      <c r="V39" s="41">
        <f t="shared" si="23"/>
        <v>8.9596806018161813E-3</v>
      </c>
      <c r="W39" s="42">
        <f t="shared" si="24"/>
        <v>99.999998348640545</v>
      </c>
      <c r="X39" s="42">
        <f t="shared" si="25"/>
        <v>0.89596804538596486</v>
      </c>
      <c r="Y39" s="111">
        <v>100</v>
      </c>
      <c r="Z39" s="111">
        <v>100</v>
      </c>
      <c r="AA39" s="103">
        <v>539</v>
      </c>
      <c r="AB39" s="103">
        <v>20520.013999999999</v>
      </c>
      <c r="AC39" s="103">
        <v>745939</v>
      </c>
      <c r="AD39" s="103">
        <v>864580</v>
      </c>
      <c r="AE39" s="96">
        <v>20401373</v>
      </c>
      <c r="AF39" s="5"/>
    </row>
    <row r="40" spans="1:241" ht="16.5" customHeight="1" x14ac:dyDescent="0.25">
      <c r="A40" s="35">
        <v>35</v>
      </c>
      <c r="B40" s="34" t="s">
        <v>73</v>
      </c>
      <c r="C40" s="34" t="s">
        <v>24</v>
      </c>
      <c r="D40" s="96"/>
      <c r="E40" s="96"/>
      <c r="F40" s="96">
        <v>3457806517.6799998</v>
      </c>
      <c r="G40" s="96"/>
      <c r="H40" s="96"/>
      <c r="I40" s="96">
        <v>1620840.56</v>
      </c>
      <c r="J40" s="96">
        <f>3457806517.68+1620840.56-90889058</f>
        <v>3368538300.2399998</v>
      </c>
      <c r="K40" s="122">
        <v>40794795.530000001</v>
      </c>
      <c r="L40" s="96">
        <v>3931060.03</v>
      </c>
      <c r="M40" s="38">
        <v>36863735.5</v>
      </c>
      <c r="N40" s="111">
        <v>3399570012.98</v>
      </c>
      <c r="O40" s="111">
        <v>-18271115.98</v>
      </c>
      <c r="P40" s="46">
        <v>3414553182.73</v>
      </c>
      <c r="Q40" s="99">
        <f t="shared" si="13"/>
        <v>5.8566520279522321E-3</v>
      </c>
      <c r="R40" s="58">
        <v>3381298897</v>
      </c>
      <c r="S40" s="99">
        <f t="shared" si="20"/>
        <v>5.4118788321868942E-3</v>
      </c>
      <c r="T40" s="104">
        <f t="shared" si="21"/>
        <v>-9.7389860255193295E-3</v>
      </c>
      <c r="U40" s="40">
        <f t="shared" si="22"/>
        <v>1.1625887417074444E-3</v>
      </c>
      <c r="V40" s="41">
        <f t="shared" si="23"/>
        <v>1.0902241009425911E-2</v>
      </c>
      <c r="W40" s="42">
        <f t="shared" si="24"/>
        <v>0.9853414398618805</v>
      </c>
      <c r="X40" s="42">
        <f t="shared" si="25"/>
        <v>1.0742429853948968E-2</v>
      </c>
      <c r="Y40" s="111">
        <v>0.98</v>
      </c>
      <c r="Z40" s="111">
        <v>0.98</v>
      </c>
      <c r="AA40" s="108">
        <v>800</v>
      </c>
      <c r="AB40" s="108">
        <v>3464847449</v>
      </c>
      <c r="AC40" s="108">
        <v>50161055</v>
      </c>
      <c r="AD40" s="108">
        <v>-83407274</v>
      </c>
      <c r="AE40" s="96">
        <v>3431601230</v>
      </c>
      <c r="AF40" s="5"/>
    </row>
    <row r="41" spans="1:241" ht="16.5" customHeight="1" x14ac:dyDescent="0.25">
      <c r="A41" s="35">
        <v>36</v>
      </c>
      <c r="B41" s="34" t="s">
        <v>58</v>
      </c>
      <c r="C41" s="34" t="s">
        <v>38</v>
      </c>
      <c r="D41" s="96"/>
      <c r="E41" s="96"/>
      <c r="F41" s="55">
        <v>1596821913.71</v>
      </c>
      <c r="G41" s="96"/>
      <c r="H41" s="96"/>
      <c r="I41" s="96"/>
      <c r="J41" s="96">
        <v>1965022611.1199999</v>
      </c>
      <c r="K41" s="96">
        <v>21018814.5</v>
      </c>
      <c r="L41" s="96">
        <v>3133356.26</v>
      </c>
      <c r="M41" s="38">
        <v>17885458.239999998</v>
      </c>
      <c r="N41" s="111">
        <v>2005124092.24</v>
      </c>
      <c r="O41" s="111">
        <v>11112477.949999999</v>
      </c>
      <c r="P41" s="46">
        <v>1952076254.53</v>
      </c>
      <c r="Q41" s="99">
        <f t="shared" si="13"/>
        <v>3.3482071424847208E-3</v>
      </c>
      <c r="R41" s="58">
        <v>1994011614.29</v>
      </c>
      <c r="S41" s="99">
        <f t="shared" si="20"/>
        <v>3.1914804266742905E-3</v>
      </c>
      <c r="T41" s="104">
        <f t="shared" si="21"/>
        <v>2.148243935793212E-2</v>
      </c>
      <c r="U41" s="40">
        <f t="shared" si="22"/>
        <v>1.5713831542128113E-3</v>
      </c>
      <c r="V41" s="41">
        <f t="shared" si="23"/>
        <v>8.9695857896837806E-3</v>
      </c>
      <c r="W41" s="42">
        <f t="shared" si="24"/>
        <v>9.9323578841960476</v>
      </c>
      <c r="X41" s="42">
        <f t="shared" si="25"/>
        <v>8.9089136136138516E-2</v>
      </c>
      <c r="Y41" s="111">
        <v>10</v>
      </c>
      <c r="Z41" s="111">
        <v>10</v>
      </c>
      <c r="AA41" s="103">
        <v>1618</v>
      </c>
      <c r="AB41" s="103">
        <v>196097997.93000001</v>
      </c>
      <c r="AC41" s="103">
        <v>29334440.23</v>
      </c>
      <c r="AD41" s="103">
        <v>24673299.440000001</v>
      </c>
      <c r="AE41" s="96">
        <v>200759138.72</v>
      </c>
      <c r="AF41" s="5"/>
    </row>
    <row r="42" spans="1:241" ht="16.5" customHeight="1" x14ac:dyDescent="0.25">
      <c r="A42" s="35">
        <v>37</v>
      </c>
      <c r="B42" s="34" t="s">
        <v>160</v>
      </c>
      <c r="C42" s="34" t="s">
        <v>215</v>
      </c>
      <c r="D42" s="96"/>
      <c r="E42" s="96"/>
      <c r="F42" s="96">
        <v>1261110017.23</v>
      </c>
      <c r="G42" s="96"/>
      <c r="H42" s="96"/>
      <c r="I42" s="96"/>
      <c r="J42" s="96">
        <v>1261110017.23</v>
      </c>
      <c r="K42" s="96">
        <v>16737529.689999999</v>
      </c>
      <c r="L42" s="96">
        <v>1432199.95</v>
      </c>
      <c r="M42" s="38">
        <v>15305329.74</v>
      </c>
      <c r="N42" s="111">
        <v>2753777942.5100002</v>
      </c>
      <c r="O42" s="111">
        <v>108569737.93000001</v>
      </c>
      <c r="P42" s="46">
        <v>2245781373.8200002</v>
      </c>
      <c r="Q42" s="99">
        <f t="shared" si="13"/>
        <v>3.8519710584224592E-3</v>
      </c>
      <c r="R42" s="58">
        <v>2645208204.5799999</v>
      </c>
      <c r="S42" s="99">
        <f t="shared" si="20"/>
        <v>4.2337417439773884E-3</v>
      </c>
      <c r="T42" s="104">
        <f t="shared" si="21"/>
        <v>0.17785650705642281</v>
      </c>
      <c r="U42" s="40">
        <f t="shared" si="22"/>
        <v>5.4143184174321028E-4</v>
      </c>
      <c r="V42" s="41">
        <f t="shared" si="23"/>
        <v>5.786058622342034E-3</v>
      </c>
      <c r="W42" s="42">
        <f t="shared" si="24"/>
        <v>99.924448880900258</v>
      </c>
      <c r="X42" s="42">
        <f t="shared" si="25"/>
        <v>0.5781687190301088</v>
      </c>
      <c r="Y42" s="111">
        <v>100</v>
      </c>
      <c r="Z42" s="111">
        <v>100</v>
      </c>
      <c r="AA42" s="103">
        <v>1098</v>
      </c>
      <c r="AB42" s="103">
        <v>22497623</v>
      </c>
      <c r="AC42" s="103">
        <v>6269944</v>
      </c>
      <c r="AD42" s="103">
        <v>2295485</v>
      </c>
      <c r="AE42" s="96">
        <v>26472082</v>
      </c>
      <c r="AF42" s="5"/>
    </row>
    <row r="43" spans="1:241" ht="16.5" customHeight="1" x14ac:dyDescent="0.25">
      <c r="A43" s="35">
        <v>38</v>
      </c>
      <c r="B43" s="34" t="s">
        <v>86</v>
      </c>
      <c r="C43" s="105" t="s">
        <v>85</v>
      </c>
      <c r="D43" s="96"/>
      <c r="E43" s="96"/>
      <c r="F43" s="96">
        <v>78745841.109999999</v>
      </c>
      <c r="G43" s="96"/>
      <c r="H43" s="96"/>
      <c r="I43" s="96">
        <v>7211412.6299999999</v>
      </c>
      <c r="J43" s="96">
        <v>85957253.700000003</v>
      </c>
      <c r="K43" s="96">
        <v>1049541.1599999999</v>
      </c>
      <c r="L43" s="96">
        <v>55553.91</v>
      </c>
      <c r="M43" s="38">
        <v>993387.25</v>
      </c>
      <c r="N43" s="111">
        <v>144825645.46000001</v>
      </c>
      <c r="O43" s="111">
        <v>5878987.6699999999</v>
      </c>
      <c r="P43" s="46">
        <v>141458938.33000001</v>
      </c>
      <c r="Q43" s="99">
        <f t="shared" si="13"/>
        <v>2.4263080224745022E-4</v>
      </c>
      <c r="R43" s="58">
        <v>135352313.25999999</v>
      </c>
      <c r="S43" s="99">
        <f t="shared" si="20"/>
        <v>2.1663577853742262E-4</v>
      </c>
      <c r="T43" s="104">
        <f t="shared" si="21"/>
        <v>-4.316888803275399E-2</v>
      </c>
      <c r="U43" s="40">
        <f t="shared" si="22"/>
        <v>4.1043930954682531E-4</v>
      </c>
      <c r="V43" s="41">
        <f t="shared" si="23"/>
        <v>7.3392705752415898E-3</v>
      </c>
      <c r="W43" s="42">
        <f t="shared" si="24"/>
        <v>1.0013648385021432</v>
      </c>
      <c r="X43" s="42">
        <f t="shared" si="25"/>
        <v>7.3492874943003267E-3</v>
      </c>
      <c r="Y43" s="111">
        <v>1</v>
      </c>
      <c r="Z43" s="111">
        <v>1</v>
      </c>
      <c r="AA43" s="103">
        <v>41</v>
      </c>
      <c r="AB43" s="103">
        <v>141274502</v>
      </c>
      <c r="AC43" s="96">
        <v>415000</v>
      </c>
      <c r="AD43" s="103">
        <v>6481909.2999999998</v>
      </c>
      <c r="AE43" s="96">
        <v>135167831</v>
      </c>
      <c r="AF43" s="5"/>
    </row>
    <row r="44" spans="1:241" ht="16.5" customHeight="1" x14ac:dyDescent="0.25">
      <c r="A44" s="35">
        <v>39</v>
      </c>
      <c r="B44" s="105" t="s">
        <v>64</v>
      </c>
      <c r="C44" s="105" t="s">
        <v>45</v>
      </c>
      <c r="D44" s="96"/>
      <c r="E44" s="96"/>
      <c r="F44" s="96">
        <v>635956697.37</v>
      </c>
      <c r="G44" s="96"/>
      <c r="H44" s="96"/>
      <c r="I44" s="96"/>
      <c r="J44" s="96">
        <v>635956697.37</v>
      </c>
      <c r="K44" s="96">
        <v>6058034.1900000004</v>
      </c>
      <c r="L44" s="96">
        <v>881199.97</v>
      </c>
      <c r="M44" s="38">
        <v>5176834.22</v>
      </c>
      <c r="N44" s="111">
        <v>653590252.70000005</v>
      </c>
      <c r="O44" s="111">
        <v>881199.97</v>
      </c>
      <c r="P44" s="46">
        <v>672528316.12</v>
      </c>
      <c r="Q44" s="99">
        <f t="shared" si="13"/>
        <v>1.1535226179462759E-3</v>
      </c>
      <c r="R44" s="58">
        <v>652709052.73000002</v>
      </c>
      <c r="S44" s="99">
        <f t="shared" si="20"/>
        <v>1.044682062618094E-3</v>
      </c>
      <c r="T44" s="104">
        <f t="shared" si="21"/>
        <v>-2.9469782780809504E-2</v>
      </c>
      <c r="U44" s="40">
        <f t="shared" si="22"/>
        <v>1.3500654944409321E-3</v>
      </c>
      <c r="V44" s="41">
        <f t="shared" si="23"/>
        <v>7.9313044584681924E-3</v>
      </c>
      <c r="W44" s="42">
        <f t="shared" si="24"/>
        <v>10.257670664913045</v>
      </c>
      <c r="X44" s="42">
        <f t="shared" si="25"/>
        <v>8.1356709078123216E-2</v>
      </c>
      <c r="Y44" s="111">
        <v>10</v>
      </c>
      <c r="Z44" s="111">
        <v>10</v>
      </c>
      <c r="AA44" s="103">
        <v>973</v>
      </c>
      <c r="AB44" s="103">
        <v>64911880</v>
      </c>
      <c r="AC44" s="103">
        <v>5405535</v>
      </c>
      <c r="AD44" s="103">
        <v>6686102</v>
      </c>
      <c r="AE44" s="96">
        <v>63631313</v>
      </c>
      <c r="AF44" s="5"/>
    </row>
    <row r="45" spans="1:241" ht="16.5" customHeight="1" x14ac:dyDescent="0.25">
      <c r="A45" s="35">
        <v>40</v>
      </c>
      <c r="B45" s="34" t="s">
        <v>51</v>
      </c>
      <c r="C45" s="34" t="s">
        <v>22</v>
      </c>
      <c r="D45" s="96"/>
      <c r="E45" s="96"/>
      <c r="F45" s="96">
        <v>235184547390.76999</v>
      </c>
      <c r="G45" s="96">
        <v>15258073528.09</v>
      </c>
      <c r="H45" s="96"/>
      <c r="I45" s="96"/>
      <c r="J45" s="96">
        <v>250442620918.85999</v>
      </c>
      <c r="K45" s="96">
        <v>2942433914.5</v>
      </c>
      <c r="L45" s="96">
        <v>402760251.94</v>
      </c>
      <c r="M45" s="38">
        <v>2539673662.5599999</v>
      </c>
      <c r="N45" s="111">
        <v>254315789009.64999</v>
      </c>
      <c r="O45" s="111">
        <v>691506334.10000002</v>
      </c>
      <c r="P45" s="46">
        <v>236292027171.59</v>
      </c>
      <c r="Q45" s="99">
        <f t="shared" si="13"/>
        <v>0.40528880531800593</v>
      </c>
      <c r="R45" s="58">
        <v>253624282675.54999</v>
      </c>
      <c r="S45" s="99">
        <f t="shared" si="20"/>
        <v>0.40593391136116236</v>
      </c>
      <c r="T45" s="104">
        <f t="shared" si="21"/>
        <v>7.3350995847920403E-2</v>
      </c>
      <c r="U45" s="40">
        <f t="shared" si="22"/>
        <v>1.5880192846330604E-3</v>
      </c>
      <c r="V45" s="41">
        <f t="shared" si="23"/>
        <v>1.0013527237093811E-2</v>
      </c>
      <c r="W45" s="42">
        <f t="shared" si="24"/>
        <v>0.99999999998777722</v>
      </c>
      <c r="X45" s="42">
        <f t="shared" si="25"/>
        <v>1.0013527236971418E-2</v>
      </c>
      <c r="Y45" s="111">
        <v>100</v>
      </c>
      <c r="Z45" s="111">
        <v>100</v>
      </c>
      <c r="AA45" s="103">
        <v>97620</v>
      </c>
      <c r="AB45" s="103">
        <v>2362920271.7199998</v>
      </c>
      <c r="AC45" s="103">
        <v>320301644.32999998</v>
      </c>
      <c r="AD45" s="103">
        <v>221567295.44</v>
      </c>
      <c r="AE45" s="96">
        <v>253624282678.64999</v>
      </c>
      <c r="AF45" s="5"/>
    </row>
    <row r="46" spans="1:241" ht="16.5" customHeight="1" x14ac:dyDescent="0.25">
      <c r="A46" s="35">
        <v>41</v>
      </c>
      <c r="B46" s="34" t="s">
        <v>82</v>
      </c>
      <c r="C46" s="34" t="s">
        <v>81</v>
      </c>
      <c r="D46" s="96"/>
      <c r="E46" s="96"/>
      <c r="F46" s="96">
        <v>569714998.70000005</v>
      </c>
      <c r="G46" s="96"/>
      <c r="H46" s="96"/>
      <c r="I46" s="96"/>
      <c r="J46" s="96">
        <v>569714998.70000005</v>
      </c>
      <c r="K46" s="96">
        <v>6407116.21</v>
      </c>
      <c r="L46" s="96">
        <v>779619.54</v>
      </c>
      <c r="M46" s="38">
        <v>5627496.6699999999</v>
      </c>
      <c r="N46" s="111">
        <v>572819904.60000002</v>
      </c>
      <c r="O46" s="111">
        <v>5729809.8799999999</v>
      </c>
      <c r="P46" s="46">
        <v>485076158.44999999</v>
      </c>
      <c r="Q46" s="99">
        <f t="shared" si="13"/>
        <v>8.3200410568099565E-4</v>
      </c>
      <c r="R46" s="58">
        <v>567090094.72000003</v>
      </c>
      <c r="S46" s="99">
        <f t="shared" si="20"/>
        <v>9.0764613630607083E-4</v>
      </c>
      <c r="T46" s="104">
        <f t="shared" si="21"/>
        <v>0.16907435016403463</v>
      </c>
      <c r="U46" s="40">
        <f t="shared" si="22"/>
        <v>1.3747719229427488E-3</v>
      </c>
      <c r="V46" s="41">
        <f t="shared" si="23"/>
        <v>9.9234614083297795E-3</v>
      </c>
      <c r="W46" s="42">
        <f t="shared" si="24"/>
        <v>0.99153898836025101</v>
      </c>
      <c r="X46" s="42">
        <f t="shared" si="25"/>
        <v>9.8394988858473021E-3</v>
      </c>
      <c r="Y46" s="111">
        <v>1</v>
      </c>
      <c r="Z46" s="111">
        <v>1</v>
      </c>
      <c r="AA46" s="103">
        <v>121</v>
      </c>
      <c r="AB46" s="103">
        <v>482576680.29000002</v>
      </c>
      <c r="AC46" s="103">
        <v>146700351</v>
      </c>
      <c r="AD46" s="103">
        <v>57347837</v>
      </c>
      <c r="AE46" s="103">
        <v>571929194.28999996</v>
      </c>
      <c r="AF46" s="5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</row>
    <row r="47" spans="1:241" ht="16.5" customHeight="1" x14ac:dyDescent="0.25">
      <c r="A47" s="35">
        <v>42</v>
      </c>
      <c r="B47" s="34" t="s">
        <v>54</v>
      </c>
      <c r="C47" s="34" t="s">
        <v>32</v>
      </c>
      <c r="D47" s="96"/>
      <c r="E47" s="96"/>
      <c r="F47" s="96">
        <v>12332777612</v>
      </c>
      <c r="G47" s="96"/>
      <c r="H47" s="96"/>
      <c r="I47" s="96"/>
      <c r="J47" s="96">
        <v>12332777612</v>
      </c>
      <c r="K47" s="96">
        <v>395878764</v>
      </c>
      <c r="L47" s="96">
        <v>35032338</v>
      </c>
      <c r="M47" s="38">
        <v>360846427</v>
      </c>
      <c r="N47" s="121">
        <v>44438666427.199997</v>
      </c>
      <c r="O47" s="111">
        <v>-980987478.16999996</v>
      </c>
      <c r="P47" s="46">
        <v>25609530965</v>
      </c>
      <c r="Q47" s="99">
        <f t="shared" si="13"/>
        <v>4.3925545579335798E-2</v>
      </c>
      <c r="R47" s="58">
        <v>43457678949</v>
      </c>
      <c r="S47" s="99">
        <f t="shared" si="20"/>
        <v>6.9555428243487552E-2</v>
      </c>
      <c r="T47" s="104">
        <f t="shared" si="21"/>
        <v>0.69693380985355347</v>
      </c>
      <c r="U47" s="40">
        <f t="shared" si="22"/>
        <v>8.0612538099681752E-4</v>
      </c>
      <c r="V47" s="41">
        <f t="shared" si="23"/>
        <v>8.3033985184407418E-3</v>
      </c>
      <c r="W47" s="42">
        <f t="shared" si="24"/>
        <v>1.0045913590377697</v>
      </c>
      <c r="X47" s="42">
        <f t="shared" si="25"/>
        <v>8.341522402272589E-3</v>
      </c>
      <c r="Y47" s="111">
        <v>1</v>
      </c>
      <c r="Z47" s="111">
        <v>1</v>
      </c>
      <c r="AA47" s="103">
        <v>4026</v>
      </c>
      <c r="AB47" s="103">
        <v>25256349247</v>
      </c>
      <c r="AC47" s="103">
        <v>19768097672</v>
      </c>
      <c r="AD47" s="103">
        <v>1765385852</v>
      </c>
      <c r="AE47" s="96">
        <v>43259061068</v>
      </c>
      <c r="AF47" s="5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</row>
    <row r="48" spans="1:241" ht="16.5" customHeight="1" x14ac:dyDescent="0.25">
      <c r="A48" s="35">
        <v>43</v>
      </c>
      <c r="B48" s="56" t="s">
        <v>84</v>
      </c>
      <c r="C48" s="34" t="s">
        <v>83</v>
      </c>
      <c r="D48" s="96"/>
      <c r="E48" s="96"/>
      <c r="F48" s="96">
        <v>421048402.10000002</v>
      </c>
      <c r="G48" s="96"/>
      <c r="H48" s="96"/>
      <c r="I48" s="96">
        <v>171401061.06999999</v>
      </c>
      <c r="J48" s="96">
        <v>592449463.15999997</v>
      </c>
      <c r="K48" s="96">
        <v>14720706.65</v>
      </c>
      <c r="L48" s="96">
        <v>3424436.07</v>
      </c>
      <c r="M48" s="38">
        <v>11296270.58</v>
      </c>
      <c r="N48" s="111">
        <v>1605208230.8599999</v>
      </c>
      <c r="O48" s="111">
        <v>8290892.8899999997</v>
      </c>
      <c r="P48" s="46">
        <v>1610595052.3900001</v>
      </c>
      <c r="Q48" s="99">
        <f t="shared" si="13"/>
        <v>2.7624975436019153E-3</v>
      </c>
      <c r="R48" s="58">
        <v>1596917337.97</v>
      </c>
      <c r="S48" s="99">
        <f t="shared" si="20"/>
        <v>2.5559181253629608E-3</v>
      </c>
      <c r="T48" s="104">
        <f t="shared" si="21"/>
        <v>-8.4923360466700754E-3</v>
      </c>
      <c r="U48" s="40">
        <f t="shared" si="22"/>
        <v>2.1444040894146345E-3</v>
      </c>
      <c r="V48" s="41">
        <f t="shared" si="23"/>
        <v>7.0737979427036657E-3</v>
      </c>
      <c r="W48" s="42">
        <f t="shared" si="24"/>
        <v>1.0224675425991905</v>
      </c>
      <c r="X48" s="42">
        <f t="shared" si="25"/>
        <v>7.2327287993194257E-3</v>
      </c>
      <c r="Y48" s="111">
        <v>1</v>
      </c>
      <c r="Z48" s="111">
        <v>1.01</v>
      </c>
      <c r="AA48" s="103">
        <v>47</v>
      </c>
      <c r="AB48" s="103">
        <v>1596917337.97</v>
      </c>
      <c r="AC48" s="103">
        <v>313801000</v>
      </c>
      <c r="AD48" s="103">
        <v>-338774985</v>
      </c>
      <c r="AE48" s="96">
        <v>1561826925</v>
      </c>
      <c r="AF48" s="5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</row>
    <row r="49" spans="1:241" ht="16.5" customHeight="1" x14ac:dyDescent="0.25">
      <c r="A49" s="35">
        <v>44</v>
      </c>
      <c r="B49" s="34" t="s">
        <v>77</v>
      </c>
      <c r="C49" s="34" t="s">
        <v>76</v>
      </c>
      <c r="D49" s="96"/>
      <c r="E49" s="96"/>
      <c r="F49" s="96">
        <v>427247275.94999999</v>
      </c>
      <c r="G49" s="96"/>
      <c r="H49" s="96"/>
      <c r="I49" s="96">
        <v>18440584.719999999</v>
      </c>
      <c r="J49" s="96">
        <v>445687860.67000002</v>
      </c>
      <c r="K49" s="96">
        <v>7776944.2000000002</v>
      </c>
      <c r="L49" s="96">
        <v>1205082.94</v>
      </c>
      <c r="M49" s="38">
        <v>6571861.2699999996</v>
      </c>
      <c r="N49" s="111">
        <v>611366143.26999998</v>
      </c>
      <c r="O49" s="111">
        <v>-2605535.61</v>
      </c>
      <c r="P49" s="58">
        <v>597425746.39999998</v>
      </c>
      <c r="Q49" s="99">
        <f t="shared" si="13"/>
        <v>1.0247064614196423E-3</v>
      </c>
      <c r="R49" s="58">
        <v>608760607.66999996</v>
      </c>
      <c r="S49" s="99">
        <f t="shared" si="20"/>
        <v>9.7434114725602247E-4</v>
      </c>
      <c r="T49" s="104">
        <f t="shared" si="21"/>
        <v>1.8972836939656842E-2</v>
      </c>
      <c r="U49" s="40">
        <f t="shared" si="22"/>
        <v>1.9795678708784937E-3</v>
      </c>
      <c r="V49" s="41">
        <f t="shared" si="23"/>
        <v>1.079547721583606E-2</v>
      </c>
      <c r="W49" s="42">
        <f t="shared" si="24"/>
        <v>1.0280557701043072</v>
      </c>
      <c r="X49" s="42">
        <f t="shared" si="25"/>
        <v>1.1098352642769843E-2</v>
      </c>
      <c r="Y49" s="111">
        <v>1</v>
      </c>
      <c r="Z49" s="111">
        <v>1</v>
      </c>
      <c r="AA49" s="103">
        <v>141</v>
      </c>
      <c r="AB49" s="103">
        <v>587384454.80999994</v>
      </c>
      <c r="AC49" s="103">
        <v>13433000</v>
      </c>
      <c r="AD49" s="103">
        <v>-8670000</v>
      </c>
      <c r="AE49" s="96">
        <v>592147454.80999994</v>
      </c>
      <c r="AF49" s="5"/>
    </row>
    <row r="50" spans="1:241" ht="16.5" customHeight="1" x14ac:dyDescent="0.25">
      <c r="A50" s="35">
        <v>45</v>
      </c>
      <c r="B50" s="34" t="s">
        <v>71</v>
      </c>
      <c r="C50" s="34" t="s">
        <v>70</v>
      </c>
      <c r="D50" s="96"/>
      <c r="E50" s="96"/>
      <c r="F50" s="96">
        <v>17142625001.52</v>
      </c>
      <c r="G50" s="96"/>
      <c r="H50" s="96"/>
      <c r="I50" s="96"/>
      <c r="J50" s="96">
        <v>17142625001.52</v>
      </c>
      <c r="K50" s="109">
        <v>171385428.11000001</v>
      </c>
      <c r="L50" s="109">
        <v>19909167.030000001</v>
      </c>
      <c r="M50" s="38">
        <v>151476261.08000001</v>
      </c>
      <c r="N50" s="109">
        <v>17221385685.689999</v>
      </c>
      <c r="O50" s="109">
        <v>58048213.469999999</v>
      </c>
      <c r="P50" s="46">
        <v>16230247453.809999</v>
      </c>
      <c r="Q50" s="99">
        <f t="shared" si="13"/>
        <v>2.7838169909107899E-2</v>
      </c>
      <c r="R50" s="58">
        <v>17163337472.219999</v>
      </c>
      <c r="S50" s="99">
        <f t="shared" si="20"/>
        <v>2.7470479713579583E-2</v>
      </c>
      <c r="T50" s="104">
        <f t="shared" si="21"/>
        <v>5.7490806659941586E-2</v>
      </c>
      <c r="U50" s="40">
        <f t="shared" si="22"/>
        <v>1.1599822623207352E-3</v>
      </c>
      <c r="V50" s="41">
        <f t="shared" si="23"/>
        <v>8.8255714440839024E-3</v>
      </c>
      <c r="W50" s="42">
        <f t="shared" si="24"/>
        <v>1.0253371191127996</v>
      </c>
      <c r="X50" s="42">
        <f t="shared" si="25"/>
        <v>9.0491859990011799E-3</v>
      </c>
      <c r="Y50" s="111">
        <v>1</v>
      </c>
      <c r="Z50" s="111">
        <v>1</v>
      </c>
      <c r="AA50" s="103">
        <v>2701</v>
      </c>
      <c r="AB50" s="109">
        <v>15937727909.530001</v>
      </c>
      <c r="AC50" s="109">
        <v>1464377653.98</v>
      </c>
      <c r="AD50" s="109">
        <v>-662891550.59000003</v>
      </c>
      <c r="AE50" s="96">
        <v>16739214012.92</v>
      </c>
      <c r="AF50" s="5"/>
    </row>
    <row r="51" spans="1:241" ht="16.5" customHeight="1" x14ac:dyDescent="0.25">
      <c r="A51" s="123" t="s">
        <v>87</v>
      </c>
      <c r="B51" s="114"/>
      <c r="C51" s="49" t="s">
        <v>49</v>
      </c>
      <c r="D51" s="115"/>
      <c r="E51" s="115"/>
      <c r="F51" s="115">
        <f>SUM(F22:F50)</f>
        <v>466576672235.14996</v>
      </c>
      <c r="G51" s="115"/>
      <c r="H51" s="115"/>
      <c r="I51" s="115">
        <f t="shared" ref="I51:O51" si="26">SUM(I22:I50)</f>
        <v>214721854.56</v>
      </c>
      <c r="J51" s="115">
        <f t="shared" si="26"/>
        <v>509509952379.54999</v>
      </c>
      <c r="K51" s="115">
        <f t="shared" si="26"/>
        <v>6991933999.9199991</v>
      </c>
      <c r="L51" s="115">
        <f t="shared" si="26"/>
        <v>1100761705.0999999</v>
      </c>
      <c r="M51" s="115">
        <f t="shared" si="26"/>
        <v>5892376351.2199993</v>
      </c>
      <c r="N51" s="115">
        <f t="shared" si="26"/>
        <v>634703156272.3999</v>
      </c>
      <c r="O51" s="115">
        <f t="shared" si="26"/>
        <v>-5085597444.2199974</v>
      </c>
      <c r="P51" s="61">
        <f>SUM(P22:P50)</f>
        <v>583021351863.36011</v>
      </c>
      <c r="Q51" s="116">
        <f>(P51/$P$158)</f>
        <v>0.42555516623868395</v>
      </c>
      <c r="R51" s="60">
        <f>SUM(R22:R50)</f>
        <v>624792055004.97986</v>
      </c>
      <c r="S51" s="116">
        <f>(R51/$R$158)</f>
        <v>0.43928758059133161</v>
      </c>
      <c r="T51" s="117">
        <f t="shared" ref="T32:T51" si="27">((R51-P51)/P51)</f>
        <v>7.1645237362437705E-2</v>
      </c>
      <c r="U51" s="51"/>
      <c r="V51" s="52"/>
      <c r="W51" s="53"/>
      <c r="X51" s="53"/>
      <c r="Y51" s="115"/>
      <c r="Z51" s="115"/>
      <c r="AA51" s="118">
        <f>SUM(AA22:AA50)</f>
        <v>206237</v>
      </c>
      <c r="AB51" s="118"/>
      <c r="AC51" s="118"/>
      <c r="AD51" s="118"/>
      <c r="AE51" s="115"/>
      <c r="AF51" s="5"/>
    </row>
    <row r="52" spans="1:241" ht="16.5" customHeight="1" x14ac:dyDescent="0.25">
      <c r="A52" s="160" t="s">
        <v>173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2"/>
      <c r="AF52" s="5"/>
    </row>
    <row r="53" spans="1:241" ht="16.5" customHeight="1" x14ac:dyDescent="0.25">
      <c r="A53" s="35">
        <v>46</v>
      </c>
      <c r="B53" s="34" t="s">
        <v>113</v>
      </c>
      <c r="C53" s="34" t="s">
        <v>47</v>
      </c>
      <c r="D53" s="111"/>
      <c r="E53" s="111"/>
      <c r="F53" s="111">
        <v>63245637.960000001</v>
      </c>
      <c r="G53" s="111">
        <v>368739877.13</v>
      </c>
      <c r="H53" s="111"/>
      <c r="I53" s="111"/>
      <c r="J53" s="111">
        <v>431985515.08999997</v>
      </c>
      <c r="K53" s="111">
        <v>-551310.46</v>
      </c>
      <c r="L53" s="111">
        <v>621181.21</v>
      </c>
      <c r="M53" s="38">
        <v>1172491.67</v>
      </c>
      <c r="N53" s="111">
        <v>433736672.79000002</v>
      </c>
      <c r="O53" s="111">
        <v>621181.21</v>
      </c>
      <c r="P53" s="46">
        <v>407540583.13</v>
      </c>
      <c r="Q53" s="99">
        <f t="shared" ref="Q53:Q83" si="28">(P53/$P$84)</f>
        <v>1.186091560451234E-3</v>
      </c>
      <c r="R53" s="58">
        <v>433115491.57999998</v>
      </c>
      <c r="S53" s="99">
        <f t="shared" ref="S53:S83" si="29">(R53/$R$84)</f>
        <v>1.2241050950276993E-3</v>
      </c>
      <c r="T53" s="104">
        <f t="shared" ref="T53:T84" si="30">((R53-P53)/P53)</f>
        <v>6.2754261805239492E-2</v>
      </c>
      <c r="U53" s="40">
        <f t="shared" ref="U53:U69" si="31">(L53/R53)</f>
        <v>1.4342160972675869E-3</v>
      </c>
      <c r="V53" s="41">
        <f t="shared" ref="V53:V83" si="32">M53/R53</f>
        <v>2.7071109041211265E-3</v>
      </c>
      <c r="W53" s="42">
        <f>R53/AE53</f>
        <v>1.2370230102379667</v>
      </c>
      <c r="X53" s="42">
        <f>M53/AE53</f>
        <v>3.3487584796639395E-3</v>
      </c>
      <c r="Y53" s="124">
        <v>1.23</v>
      </c>
      <c r="Z53" s="124">
        <v>1.23</v>
      </c>
      <c r="AA53" s="103">
        <v>338</v>
      </c>
      <c r="AB53" s="103">
        <v>350551134.87</v>
      </c>
      <c r="AC53" s="103">
        <v>2643900.85</v>
      </c>
      <c r="AD53" s="103">
        <v>3067764.04</v>
      </c>
      <c r="AE53" s="96">
        <v>350127271.68000001</v>
      </c>
      <c r="AF53" s="5"/>
    </row>
    <row r="54" spans="1:241" ht="16.5" customHeight="1" x14ac:dyDescent="0.25">
      <c r="A54" s="35">
        <v>47</v>
      </c>
      <c r="B54" s="34" t="s">
        <v>115</v>
      </c>
      <c r="C54" s="105" t="s">
        <v>34</v>
      </c>
      <c r="D54" s="111"/>
      <c r="E54" s="111"/>
      <c r="F54" s="111"/>
      <c r="G54" s="111">
        <v>897057495.19000006</v>
      </c>
      <c r="H54" s="111"/>
      <c r="I54" s="111"/>
      <c r="J54" s="111">
        <v>897057495.19000006</v>
      </c>
      <c r="K54" s="111">
        <v>6569912.5700000003</v>
      </c>
      <c r="L54" s="111">
        <v>23031988.210000001</v>
      </c>
      <c r="M54" s="38">
        <v>29601900.780000001</v>
      </c>
      <c r="N54" s="111">
        <v>1036020082</v>
      </c>
      <c r="O54" s="111">
        <v>-9583412</v>
      </c>
      <c r="P54" s="46">
        <v>952546447</v>
      </c>
      <c r="Q54" s="99">
        <f t="shared" si="28"/>
        <v>2.7722571652799427E-3</v>
      </c>
      <c r="R54" s="58">
        <v>1026436670</v>
      </c>
      <c r="S54" s="99">
        <f t="shared" ref="S54:S83" si="33">(R54/$R$84)</f>
        <v>2.9009961128074442E-3</v>
      </c>
      <c r="T54" s="104">
        <f t="shared" ref="T54:T83" si="34">((R54-P54)/P54)</f>
        <v>7.7571254643501911E-2</v>
      </c>
      <c r="U54" s="40">
        <f t="shared" ref="U54:U83" si="35">(L54/R54)</f>
        <v>2.2438781547038846E-2</v>
      </c>
      <c r="V54" s="41">
        <f t="shared" ref="V54:V83" si="36">M54/R54</f>
        <v>2.8839480939432924E-2</v>
      </c>
      <c r="W54" s="42">
        <f t="shared" ref="W54:W83" si="37">R54/AE54</f>
        <v>1.1075968169538475</v>
      </c>
      <c r="X54" s="42">
        <f t="shared" ref="X54:X83" si="38">M54/AE54</f>
        <v>3.1942517291117065E-2</v>
      </c>
      <c r="Y54" s="124">
        <v>1.1075999999999999</v>
      </c>
      <c r="Z54" s="124">
        <v>1.1075999999999999</v>
      </c>
      <c r="AA54" s="103">
        <v>255</v>
      </c>
      <c r="AB54" s="103">
        <v>900068398</v>
      </c>
      <c r="AC54" s="103">
        <v>37540572</v>
      </c>
      <c r="AD54" s="103">
        <v>-10884864</v>
      </c>
      <c r="AE54" s="96">
        <v>926724106</v>
      </c>
      <c r="AF54" s="5"/>
    </row>
    <row r="55" spans="1:241" ht="16.5" customHeight="1" x14ac:dyDescent="0.25">
      <c r="A55" s="35">
        <v>48</v>
      </c>
      <c r="B55" s="34" t="s">
        <v>197</v>
      </c>
      <c r="C55" s="34" t="s">
        <v>196</v>
      </c>
      <c r="D55" s="111"/>
      <c r="E55" s="111"/>
      <c r="F55" s="111">
        <v>60567835.75</v>
      </c>
      <c r="G55" s="111">
        <v>659266173.25</v>
      </c>
      <c r="H55" s="111"/>
      <c r="I55" s="125"/>
      <c r="J55" s="111">
        <v>719834009</v>
      </c>
      <c r="K55" s="111">
        <v>7074546.9299999997</v>
      </c>
      <c r="L55" s="111">
        <v>2527306.27</v>
      </c>
      <c r="M55" s="126">
        <v>9601853.1999999993</v>
      </c>
      <c r="N55" s="111">
        <v>894639506</v>
      </c>
      <c r="O55" s="111">
        <v>-7874363</v>
      </c>
      <c r="P55" s="46">
        <v>902822239</v>
      </c>
      <c r="Q55" s="99">
        <f t="shared" si="28"/>
        <v>2.6275416058969677E-3</v>
      </c>
      <c r="R55" s="58">
        <v>886765143</v>
      </c>
      <c r="S55" s="99">
        <f t="shared" si="33"/>
        <v>2.5062454489434183E-3</v>
      </c>
      <c r="T55" s="104">
        <f t="shared" si="34"/>
        <v>-1.7785445801363341E-2</v>
      </c>
      <c r="U55" s="40">
        <f t="shared" si="35"/>
        <v>2.850028883013955E-3</v>
      </c>
      <c r="V55" s="41">
        <f t="shared" si="36"/>
        <v>1.0827955153397363E-2</v>
      </c>
      <c r="W55" s="42">
        <f t="shared" si="37"/>
        <v>1.0354428275086049</v>
      </c>
      <c r="X55" s="42">
        <f t="shared" si="38"/>
        <v>1.1211728500170135E-2</v>
      </c>
      <c r="Y55" s="124">
        <v>1.0354000000000001</v>
      </c>
      <c r="Z55" s="124">
        <v>1.0354000000000001</v>
      </c>
      <c r="AA55" s="127">
        <v>34</v>
      </c>
      <c r="AB55" s="103">
        <v>881387869</v>
      </c>
      <c r="AC55" s="103">
        <v>292540</v>
      </c>
      <c r="AD55" s="103">
        <v>-25268911</v>
      </c>
      <c r="AE55" s="96">
        <v>856411498</v>
      </c>
      <c r="AF55" s="5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</row>
    <row r="56" spans="1:241" ht="16.5" customHeight="1" x14ac:dyDescent="0.25">
      <c r="A56" s="35">
        <v>49</v>
      </c>
      <c r="B56" s="34" t="s">
        <v>145</v>
      </c>
      <c r="C56" s="105" t="s">
        <v>116</v>
      </c>
      <c r="D56" s="111"/>
      <c r="E56" s="111"/>
      <c r="F56" s="111"/>
      <c r="G56" s="111">
        <v>240623441.24000001</v>
      </c>
      <c r="H56" s="111"/>
      <c r="I56" s="111"/>
      <c r="J56" s="111">
        <v>240623441.24000001</v>
      </c>
      <c r="K56" s="111">
        <v>2780754.01</v>
      </c>
      <c r="L56" s="111">
        <v>393742.9</v>
      </c>
      <c r="M56" s="38">
        <v>2387011.11</v>
      </c>
      <c r="N56" s="111">
        <v>258486853.38</v>
      </c>
      <c r="O56" s="96">
        <v>11154178.65</v>
      </c>
      <c r="P56" s="46">
        <v>241116701.41</v>
      </c>
      <c r="Q56" s="99">
        <f t="shared" si="28"/>
        <v>7.0173743785171769E-4</v>
      </c>
      <c r="R56" s="58">
        <v>247332674.72999999</v>
      </c>
      <c r="S56" s="99">
        <f t="shared" si="33"/>
        <v>6.9903107413533656E-4</v>
      </c>
      <c r="T56" s="104">
        <f t="shared" si="34"/>
        <v>2.5779936784346674E-2</v>
      </c>
      <c r="U56" s="40">
        <f t="shared" si="35"/>
        <v>1.5919566649648226E-3</v>
      </c>
      <c r="V56" s="41">
        <f t="shared" si="36"/>
        <v>9.6510140142452815E-3</v>
      </c>
      <c r="W56" s="42">
        <f t="shared" si="37"/>
        <v>1126.0821104079403</v>
      </c>
      <c r="X56" s="42">
        <f t="shared" si="38"/>
        <v>10.867834228737934</v>
      </c>
      <c r="Y56" s="37">
        <v>1126.08</v>
      </c>
      <c r="Z56" s="37">
        <v>1126.08</v>
      </c>
      <c r="AA56" s="103">
        <v>110</v>
      </c>
      <c r="AB56" s="103">
        <v>221350</v>
      </c>
      <c r="AC56" s="103">
        <v>200</v>
      </c>
      <c r="AD56" s="103">
        <v>1910</v>
      </c>
      <c r="AE56" s="96">
        <v>219640</v>
      </c>
      <c r="AF56" s="5"/>
    </row>
    <row r="57" spans="1:241" ht="16.5" customHeight="1" x14ac:dyDescent="0.25">
      <c r="A57" s="35">
        <v>50</v>
      </c>
      <c r="B57" s="34" t="s">
        <v>143</v>
      </c>
      <c r="C57" s="105" t="s">
        <v>142</v>
      </c>
      <c r="D57" s="111"/>
      <c r="E57" s="111"/>
      <c r="F57" s="111">
        <v>145253193.06999999</v>
      </c>
      <c r="G57" s="111">
        <v>1003866085.1799999</v>
      </c>
      <c r="H57" s="111"/>
      <c r="I57" s="111"/>
      <c r="J57" s="111">
        <v>1149119278.25</v>
      </c>
      <c r="K57" s="111">
        <v>23576719.23</v>
      </c>
      <c r="L57" s="111">
        <v>3731990.35</v>
      </c>
      <c r="M57" s="38">
        <v>9844728.8800000008</v>
      </c>
      <c r="N57" s="111">
        <v>1290881316.24</v>
      </c>
      <c r="O57" s="111">
        <v>7481058.8600000003</v>
      </c>
      <c r="P57" s="46">
        <v>1376784341.79</v>
      </c>
      <c r="Q57" s="99">
        <f t="shared" si="28"/>
        <v>4.0069439853493644E-3</v>
      </c>
      <c r="R57" s="58">
        <v>7481058.8600000003</v>
      </c>
      <c r="S57" s="99">
        <f t="shared" si="33"/>
        <v>2.1143557422343154E-5</v>
      </c>
      <c r="T57" s="104">
        <f t="shared" si="34"/>
        <v>-0.99456628127374436</v>
      </c>
      <c r="U57" s="40">
        <f t="shared" si="35"/>
        <v>0.49885857334372047</v>
      </c>
      <c r="V57" s="41">
        <f t="shared" si="36"/>
        <v>1.3159539397074067</v>
      </c>
      <c r="W57" s="42">
        <f t="shared" si="37"/>
        <v>6.0812241041470075E-3</v>
      </c>
      <c r="X57" s="42">
        <f t="shared" si="38"/>
        <v>8.0026108180958986E-3</v>
      </c>
      <c r="Y57" s="124">
        <v>1.0427999999999999</v>
      </c>
      <c r="Z57" s="124">
        <v>1.0427999999999999</v>
      </c>
      <c r="AA57" s="103">
        <v>684</v>
      </c>
      <c r="AB57" s="103">
        <v>1329565596.3900001</v>
      </c>
      <c r="AC57" s="103">
        <v>24571248.780000001</v>
      </c>
      <c r="AD57" s="103">
        <v>123947210.33</v>
      </c>
      <c r="AE57" s="96">
        <v>1230189634.8299999</v>
      </c>
      <c r="AF57" s="5"/>
    </row>
    <row r="58" spans="1:241" ht="16.5" customHeight="1" x14ac:dyDescent="0.25">
      <c r="A58" s="35">
        <v>51</v>
      </c>
      <c r="B58" s="34" t="s">
        <v>208</v>
      </c>
      <c r="C58" s="34" t="s">
        <v>97</v>
      </c>
      <c r="D58" s="111"/>
      <c r="E58" s="111"/>
      <c r="F58" s="111">
        <v>55068922.539999999</v>
      </c>
      <c r="G58" s="111">
        <v>381490200.94999999</v>
      </c>
      <c r="H58" s="111"/>
      <c r="I58" s="111"/>
      <c r="J58" s="111">
        <v>436559123.49000001</v>
      </c>
      <c r="K58" s="111">
        <v>3124621.18</v>
      </c>
      <c r="L58" s="111">
        <v>816958.05</v>
      </c>
      <c r="M58" s="38">
        <v>2307663.13</v>
      </c>
      <c r="N58" s="111">
        <v>443598772.45999998</v>
      </c>
      <c r="O58" s="111">
        <v>22738755.280000001</v>
      </c>
      <c r="P58" s="46">
        <v>416624558.04000002</v>
      </c>
      <c r="Q58" s="99">
        <f t="shared" si="28"/>
        <v>1.2125292366535691E-3</v>
      </c>
      <c r="R58" s="58">
        <v>420860017.18000001</v>
      </c>
      <c r="S58" s="99">
        <f t="shared" si="33"/>
        <v>1.189467708587666E-3</v>
      </c>
      <c r="T58" s="104">
        <f t="shared" si="34"/>
        <v>1.016612933218723E-2</v>
      </c>
      <c r="U58" s="40">
        <f t="shared" si="35"/>
        <v>1.9411633717882747E-3</v>
      </c>
      <c r="V58" s="41">
        <f t="shared" si="36"/>
        <v>5.4832082778084913E-3</v>
      </c>
      <c r="W58" s="42">
        <f t="shared" si="37"/>
        <v>2.1288887132064063</v>
      </c>
      <c r="X58" s="42">
        <f t="shared" si="38"/>
        <v>1.1673140214786434E-2</v>
      </c>
      <c r="Y58" s="124">
        <v>2.0880999999999998</v>
      </c>
      <c r="Z58" s="124">
        <v>2.0880999999999998</v>
      </c>
      <c r="AA58" s="103">
        <v>1406</v>
      </c>
      <c r="AB58" s="103">
        <v>196746515.7225</v>
      </c>
      <c r="AC58" s="103">
        <v>1043487.7846</v>
      </c>
      <c r="AD58" s="103">
        <v>100000</v>
      </c>
      <c r="AE58" s="103">
        <v>197690003.50709999</v>
      </c>
      <c r="AF58" s="5"/>
    </row>
    <row r="59" spans="1:241" ht="16.5" customHeight="1" x14ac:dyDescent="0.25">
      <c r="A59" s="35">
        <v>52</v>
      </c>
      <c r="B59" s="34" t="s">
        <v>179</v>
      </c>
      <c r="C59" s="34" t="s">
        <v>28</v>
      </c>
      <c r="D59" s="111"/>
      <c r="E59" s="111"/>
      <c r="F59" s="111">
        <v>759705318.91999996</v>
      </c>
      <c r="G59" s="111">
        <v>1817066640.0999999</v>
      </c>
      <c r="H59" s="111"/>
      <c r="I59" s="125"/>
      <c r="J59" s="111">
        <v>2067315501.8099999</v>
      </c>
      <c r="K59" s="111">
        <v>5655836.6100000003</v>
      </c>
      <c r="L59" s="111">
        <v>5222118.54</v>
      </c>
      <c r="M59" s="38">
        <v>10877955.15</v>
      </c>
      <c r="N59" s="111">
        <v>2067315501.8099999</v>
      </c>
      <c r="O59" s="111">
        <v>16650352.529999999</v>
      </c>
      <c r="P59" s="46">
        <v>3449570831.3099999</v>
      </c>
      <c r="Q59" s="99">
        <f t="shared" si="28"/>
        <v>1.0039507768212625E-2</v>
      </c>
      <c r="R59" s="58">
        <v>2050652619.3499999</v>
      </c>
      <c r="S59" s="99">
        <f t="shared" si="33"/>
        <v>5.7957158501096354E-3</v>
      </c>
      <c r="T59" s="104">
        <f t="shared" si="34"/>
        <v>-0.4055339867970621</v>
      </c>
      <c r="U59" s="40">
        <f t="shared" si="35"/>
        <v>2.5465641965508848E-3</v>
      </c>
      <c r="V59" s="41">
        <f t="shared" si="36"/>
        <v>5.3046308513472222E-3</v>
      </c>
      <c r="W59" s="42">
        <f t="shared" si="37"/>
        <v>108.44197920569098</v>
      </c>
      <c r="X59" s="42">
        <f t="shared" si="38"/>
        <v>0.57524466847566225</v>
      </c>
      <c r="Y59" s="124">
        <v>108.44</v>
      </c>
      <c r="Z59" s="124">
        <v>108.44</v>
      </c>
      <c r="AA59" s="103">
        <v>117</v>
      </c>
      <c r="AB59" s="103">
        <v>31646707.789999999</v>
      </c>
      <c r="AC59" s="103">
        <v>2067274.3</v>
      </c>
      <c r="AD59" s="103">
        <v>14803845.689999999</v>
      </c>
      <c r="AE59" s="96">
        <v>18910136.41</v>
      </c>
      <c r="AF59" s="5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</row>
    <row r="60" spans="1:241" ht="16.5" customHeight="1" x14ac:dyDescent="0.25">
      <c r="A60" s="35">
        <v>53</v>
      </c>
      <c r="B60" s="105" t="s">
        <v>94</v>
      </c>
      <c r="C60" s="34" t="s">
        <v>78</v>
      </c>
      <c r="D60" s="111"/>
      <c r="E60" s="111"/>
      <c r="F60" s="111">
        <v>755764173.44000006</v>
      </c>
      <c r="G60" s="111">
        <v>1966165435.71</v>
      </c>
      <c r="H60" s="111"/>
      <c r="I60" s="111"/>
      <c r="J60" s="111">
        <v>2721929609.1500001</v>
      </c>
      <c r="K60" s="111">
        <v>26271753.41</v>
      </c>
      <c r="L60" s="111">
        <v>4954895.0999999996</v>
      </c>
      <c r="M60" s="38">
        <v>21316858.309999999</v>
      </c>
      <c r="N60" s="111">
        <v>2817441945.6999998</v>
      </c>
      <c r="O60" s="111">
        <v>37629102.909999996</v>
      </c>
      <c r="P60" s="46">
        <v>2776664740.6999998</v>
      </c>
      <c r="Q60" s="99">
        <f t="shared" si="28"/>
        <v>8.0811059106136677E-3</v>
      </c>
      <c r="R60" s="58">
        <v>2779812842.8000002</v>
      </c>
      <c r="S60" s="99">
        <f t="shared" si="33"/>
        <v>7.8565258695356341E-3</v>
      </c>
      <c r="T60" s="104">
        <f t="shared" si="34"/>
        <v>1.133771050518235E-3</v>
      </c>
      <c r="U60" s="40">
        <f t="shared" si="35"/>
        <v>1.7824563667419859E-3</v>
      </c>
      <c r="V60" s="41">
        <f t="shared" si="36"/>
        <v>7.6684509049639235E-3</v>
      </c>
      <c r="W60" s="42">
        <f t="shared" si="37"/>
        <v>3712.1079336799826</v>
      </c>
      <c r="X60" s="42">
        <f t="shared" si="38"/>
        <v>28.466117443352022</v>
      </c>
      <c r="Y60" s="37">
        <v>3712.11</v>
      </c>
      <c r="Z60" s="37">
        <v>3712.11</v>
      </c>
      <c r="AA60" s="103">
        <v>1018</v>
      </c>
      <c r="AB60" s="103">
        <v>753780.7</v>
      </c>
      <c r="AC60" s="103">
        <v>1335.18</v>
      </c>
      <c r="AD60" s="103">
        <v>6265.66</v>
      </c>
      <c r="AE60" s="121">
        <v>748850.22</v>
      </c>
      <c r="AF60" s="5"/>
    </row>
    <row r="61" spans="1:241" ht="18" customHeight="1" x14ac:dyDescent="0.25">
      <c r="A61" s="35">
        <v>54</v>
      </c>
      <c r="B61" s="34" t="s">
        <v>193</v>
      </c>
      <c r="C61" s="34" t="s">
        <v>62</v>
      </c>
      <c r="D61" s="111"/>
      <c r="E61" s="111" t="s">
        <v>216</v>
      </c>
      <c r="F61" s="111">
        <v>23464701.260000002</v>
      </c>
      <c r="G61" s="111">
        <v>279175916.30000001</v>
      </c>
      <c r="H61" s="111"/>
      <c r="I61" s="125"/>
      <c r="J61" s="111">
        <v>302640617.56</v>
      </c>
      <c r="K61" s="111">
        <v>3397946.01</v>
      </c>
      <c r="L61" s="111">
        <v>772381.27</v>
      </c>
      <c r="M61" s="126">
        <v>2625564.7400000002</v>
      </c>
      <c r="N61" s="111">
        <v>368272257.35000002</v>
      </c>
      <c r="O61" s="111">
        <v>6333536.6100000003</v>
      </c>
      <c r="P61" s="46">
        <v>365713128.47000003</v>
      </c>
      <c r="Q61" s="99">
        <f t="shared" si="28"/>
        <v>1.0643584300072475E-3</v>
      </c>
      <c r="R61" s="58">
        <v>361938720.74000001</v>
      </c>
      <c r="S61" s="99">
        <f t="shared" si="33"/>
        <v>1.0229397025938668E-3</v>
      </c>
      <c r="T61" s="104">
        <f t="shared" si="34"/>
        <v>-1.0320678794853927E-2</v>
      </c>
      <c r="U61" s="40">
        <f t="shared" si="35"/>
        <v>2.1340111619470603E-3</v>
      </c>
      <c r="V61" s="41">
        <f t="shared" si="36"/>
        <v>7.2541692544857176E-3</v>
      </c>
      <c r="W61" s="42">
        <f t="shared" si="37"/>
        <v>105.41012083443033</v>
      </c>
      <c r="X61" s="42">
        <f t="shared" si="38"/>
        <v>0.76466285766874886</v>
      </c>
      <c r="Y61" s="124">
        <v>105.64</v>
      </c>
      <c r="Z61" s="124">
        <v>105.64</v>
      </c>
      <c r="AA61" s="128">
        <v>127</v>
      </c>
      <c r="AB61" s="103">
        <v>3501575</v>
      </c>
      <c r="AC61" s="103">
        <v>1807</v>
      </c>
      <c r="AD61" s="103">
        <v>69758</v>
      </c>
      <c r="AE61" s="96">
        <v>3433624</v>
      </c>
      <c r="AF61" s="5"/>
    </row>
    <row r="62" spans="1:241" ht="18" customHeight="1" x14ac:dyDescent="0.25">
      <c r="A62" s="35">
        <v>55</v>
      </c>
      <c r="B62" s="105" t="s">
        <v>111</v>
      </c>
      <c r="C62" s="105" t="s">
        <v>68</v>
      </c>
      <c r="D62" s="111"/>
      <c r="E62" s="111"/>
      <c r="F62" s="111">
        <v>46768000</v>
      </c>
      <c r="G62" s="111">
        <v>249357645.25999999</v>
      </c>
      <c r="H62" s="111"/>
      <c r="I62" s="111"/>
      <c r="J62" s="111">
        <v>296125645.25999999</v>
      </c>
      <c r="K62" s="111">
        <v>2888590.75</v>
      </c>
      <c r="L62" s="111">
        <v>693698.1</v>
      </c>
      <c r="M62" s="38">
        <v>8690106.3499999996</v>
      </c>
      <c r="N62" s="111">
        <v>334350092.33999997</v>
      </c>
      <c r="O62" s="111">
        <v>5214059.37</v>
      </c>
      <c r="P62" s="46">
        <v>319475561.19999999</v>
      </c>
      <c r="Q62" s="99">
        <f t="shared" si="28"/>
        <v>9.2979026530191954E-4</v>
      </c>
      <c r="R62" s="58">
        <v>329136032.98000002</v>
      </c>
      <c r="S62" s="99">
        <f t="shared" si="33"/>
        <v>9.3023016438008083E-4</v>
      </c>
      <c r="T62" s="104">
        <f t="shared" si="34"/>
        <v>3.0238531372208232E-2</v>
      </c>
      <c r="U62" s="40">
        <f t="shared" si="35"/>
        <v>2.1076334113869343E-3</v>
      </c>
      <c r="V62" s="41">
        <f t="shared" si="36"/>
        <v>2.6402780246573776E-2</v>
      </c>
      <c r="W62" s="42">
        <f t="shared" si="37"/>
        <v>1.3943161087146647</v>
      </c>
      <c r="X62" s="42">
        <f t="shared" si="38"/>
        <v>3.6813821812651165E-2</v>
      </c>
      <c r="Y62" s="124">
        <v>1.3944000000000001</v>
      </c>
      <c r="Z62" s="124">
        <v>1.3944000000000001</v>
      </c>
      <c r="AA62" s="103">
        <v>264</v>
      </c>
      <c r="AB62" s="103">
        <v>235426974.91999999</v>
      </c>
      <c r="AC62" s="103">
        <v>809502.36</v>
      </c>
      <c r="AD62" s="103">
        <v>180943.73</v>
      </c>
      <c r="AE62" s="96">
        <v>236055533.55000001</v>
      </c>
      <c r="AF62" s="5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</row>
    <row r="63" spans="1:241" ht="16.5" customHeight="1" x14ac:dyDescent="0.25">
      <c r="A63" s="35">
        <v>56</v>
      </c>
      <c r="B63" s="34" t="s">
        <v>199</v>
      </c>
      <c r="C63" s="34" t="s">
        <v>200</v>
      </c>
      <c r="D63" s="111"/>
      <c r="E63" s="111">
        <v>0</v>
      </c>
      <c r="F63" s="111">
        <f>260023561.64+118910920.84</f>
        <v>378934482.48000002</v>
      </c>
      <c r="G63" s="111">
        <v>16487973.48</v>
      </c>
      <c r="H63" s="111"/>
      <c r="I63" s="125"/>
      <c r="J63" s="111">
        <f>F63+G63</f>
        <v>395422455.96000004</v>
      </c>
      <c r="K63" s="111">
        <v>14061332.57</v>
      </c>
      <c r="L63" s="111">
        <v>3545174.7</v>
      </c>
      <c r="M63" s="126">
        <v>10516157.869999999</v>
      </c>
      <c r="N63" s="111">
        <v>379792000</v>
      </c>
      <c r="O63" s="111">
        <v>3545174.7</v>
      </c>
      <c r="P63" s="46">
        <v>396903942.54000002</v>
      </c>
      <c r="Q63" s="99">
        <f t="shared" si="28"/>
        <v>1.1551350614972939E-3</v>
      </c>
      <c r="R63" s="58">
        <v>376246825.30000001</v>
      </c>
      <c r="S63" s="99">
        <f t="shared" si="33"/>
        <v>1.0633783939650574E-3</v>
      </c>
      <c r="T63" s="104">
        <f t="shared" si="34"/>
        <v>-5.2045633781826653E-2</v>
      </c>
      <c r="U63" s="40">
        <f t="shared" si="35"/>
        <v>9.4224707336022281E-3</v>
      </c>
      <c r="V63" s="41">
        <f t="shared" si="36"/>
        <v>2.795015708535202E-2</v>
      </c>
      <c r="W63" s="42">
        <f t="shared" si="37"/>
        <v>1002.1169824638037</v>
      </c>
      <c r="X63" s="42">
        <f t="shared" si="38"/>
        <v>28.009327077762268</v>
      </c>
      <c r="Y63" s="129">
        <v>1000</v>
      </c>
      <c r="Z63" s="129">
        <v>1000</v>
      </c>
      <c r="AA63" s="128">
        <v>134</v>
      </c>
      <c r="AB63" s="103">
        <v>379012</v>
      </c>
      <c r="AC63" s="103">
        <v>5930</v>
      </c>
      <c r="AD63" s="103">
        <v>9490</v>
      </c>
      <c r="AE63" s="96">
        <v>375452</v>
      </c>
      <c r="AF63" s="5"/>
      <c r="AG63" s="32"/>
    </row>
    <row r="64" spans="1:241" ht="15.75" customHeight="1" x14ac:dyDescent="0.25">
      <c r="A64" s="35">
        <v>57</v>
      </c>
      <c r="B64" s="34" t="s">
        <v>182</v>
      </c>
      <c r="C64" s="34" t="s">
        <v>66</v>
      </c>
      <c r="D64" s="111"/>
      <c r="E64" s="111"/>
      <c r="F64" s="111">
        <v>6172062.9000000004</v>
      </c>
      <c r="G64" s="111">
        <v>255441205.06999999</v>
      </c>
      <c r="H64" s="111"/>
      <c r="I64" s="111"/>
      <c r="J64" s="111">
        <v>405527666.85000002</v>
      </c>
      <c r="K64" s="111">
        <v>4726129.84</v>
      </c>
      <c r="L64" s="111">
        <v>809437.75</v>
      </c>
      <c r="M64" s="38">
        <v>3916692.09</v>
      </c>
      <c r="N64" s="111">
        <v>405527666.85000002</v>
      </c>
      <c r="O64" s="111">
        <v>4789038.72</v>
      </c>
      <c r="P64" s="46">
        <v>393686331.54000002</v>
      </c>
      <c r="Q64" s="99">
        <f t="shared" si="28"/>
        <v>1.1457706413391727E-3</v>
      </c>
      <c r="R64" s="58">
        <v>400738628.13</v>
      </c>
      <c r="S64" s="99">
        <f t="shared" si="33"/>
        <v>1.1325990549976336E-3</v>
      </c>
      <c r="T64" s="104">
        <f t="shared" si="34"/>
        <v>1.7913491084166414E-2</v>
      </c>
      <c r="U64" s="40">
        <f t="shared" si="35"/>
        <v>2.0198645530558079E-3</v>
      </c>
      <c r="V64" s="41">
        <f t="shared" si="36"/>
        <v>9.7736824330531494E-3</v>
      </c>
      <c r="W64" s="42">
        <f t="shared" si="37"/>
        <v>1108.9703319672017</v>
      </c>
      <c r="X64" s="42">
        <f t="shared" si="38"/>
        <v>10.838723852324961</v>
      </c>
      <c r="Y64" s="37">
        <v>1134.9000000000001</v>
      </c>
      <c r="Z64" s="37">
        <v>1108.97</v>
      </c>
      <c r="AA64" s="103">
        <v>93</v>
      </c>
      <c r="AB64" s="103">
        <v>355002</v>
      </c>
      <c r="AC64" s="103">
        <v>8800</v>
      </c>
      <c r="AD64" s="103">
        <v>2441</v>
      </c>
      <c r="AE64" s="103">
        <v>361361</v>
      </c>
      <c r="AF64" s="5"/>
    </row>
    <row r="65" spans="1:241" ht="16.5" customHeight="1" x14ac:dyDescent="0.25">
      <c r="A65" s="35">
        <v>58</v>
      </c>
      <c r="B65" s="34" t="s">
        <v>153</v>
      </c>
      <c r="C65" s="105" t="s">
        <v>151</v>
      </c>
      <c r="D65" s="111"/>
      <c r="E65" s="111"/>
      <c r="F65" s="111">
        <v>18115533.710000001</v>
      </c>
      <c r="G65" s="111">
        <v>521443554.76999998</v>
      </c>
      <c r="H65" s="130"/>
      <c r="I65" s="57">
        <v>1455700.14</v>
      </c>
      <c r="J65" s="57">
        <v>19571233.850000001</v>
      </c>
      <c r="K65" s="57">
        <v>6829997.3700000001</v>
      </c>
      <c r="L65" s="111">
        <v>1440451.76</v>
      </c>
      <c r="M65" s="38">
        <v>5389545.6100000003</v>
      </c>
      <c r="N65" s="111">
        <v>680995543.59000003</v>
      </c>
      <c r="O65" s="111">
        <v>634951411.25</v>
      </c>
      <c r="P65" s="46">
        <v>670102283.37</v>
      </c>
      <c r="Q65" s="99">
        <f t="shared" si="28"/>
        <v>1.950241757127601E-3</v>
      </c>
      <c r="R65" s="58">
        <v>676408170.40999997</v>
      </c>
      <c r="S65" s="99">
        <f t="shared" si="33"/>
        <v>1.9117180147418206E-3</v>
      </c>
      <c r="T65" s="104">
        <f t="shared" si="34"/>
        <v>9.4103351033026361E-3</v>
      </c>
      <c r="U65" s="40">
        <f t="shared" si="35"/>
        <v>2.1295599654375559E-3</v>
      </c>
      <c r="V65" s="41">
        <f t="shared" si="36"/>
        <v>7.9678895758062262E-3</v>
      </c>
      <c r="W65" s="42">
        <f t="shared" si="37"/>
        <v>1.068466613663491</v>
      </c>
      <c r="X65" s="42">
        <f t="shared" si="38"/>
        <v>8.5134239931063081E-3</v>
      </c>
      <c r="Y65" s="124">
        <v>1.07</v>
      </c>
      <c r="Z65" s="124">
        <v>1.07</v>
      </c>
      <c r="AA65" s="103">
        <v>38</v>
      </c>
      <c r="AB65" s="103">
        <v>632228415.95000005</v>
      </c>
      <c r="AC65" s="103">
        <v>1384324.4</v>
      </c>
      <c r="AD65" s="103">
        <v>548345.30000000005</v>
      </c>
      <c r="AE65" s="96">
        <v>633064395.04999995</v>
      </c>
      <c r="AF65" s="5"/>
    </row>
    <row r="66" spans="1:241" ht="16.5" customHeight="1" x14ac:dyDescent="0.25">
      <c r="A66" s="35">
        <v>59</v>
      </c>
      <c r="B66" s="34" t="s">
        <v>209</v>
      </c>
      <c r="C66" s="34" t="s">
        <v>36</v>
      </c>
      <c r="D66" s="111"/>
      <c r="E66" s="111"/>
      <c r="F66" s="111">
        <v>14281913370.790001</v>
      </c>
      <c r="G66" s="111">
        <v>45769111500.330002</v>
      </c>
      <c r="H66" s="111"/>
      <c r="I66" s="111"/>
      <c r="J66" s="111">
        <v>62909816646.599998</v>
      </c>
      <c r="K66" s="111">
        <v>645891799.30999994</v>
      </c>
      <c r="L66" s="111">
        <v>69363425</v>
      </c>
      <c r="M66" s="38">
        <v>576528374.30999994</v>
      </c>
      <c r="N66" s="111">
        <v>63477304807.93</v>
      </c>
      <c r="O66" s="111">
        <v>567488161.30999994</v>
      </c>
      <c r="P66" s="46">
        <v>59297479576.190002</v>
      </c>
      <c r="Q66" s="99">
        <f t="shared" si="28"/>
        <v>0.17257726713050645</v>
      </c>
      <c r="R66" s="58">
        <v>62909816646.620003</v>
      </c>
      <c r="S66" s="99">
        <f t="shared" si="33"/>
        <v>0.17780067575847</v>
      </c>
      <c r="T66" s="104">
        <f t="shared" si="34"/>
        <v>6.0918897333378047E-2</v>
      </c>
      <c r="U66" s="40">
        <f t="shared" si="35"/>
        <v>1.1025850765013592E-3</v>
      </c>
      <c r="V66" s="41">
        <f t="shared" si="36"/>
        <v>9.1643626550130062E-3</v>
      </c>
      <c r="W66" s="42">
        <f t="shared" si="37"/>
        <v>1468.1628197223827</v>
      </c>
      <c r="X66" s="42">
        <f t="shared" si="38"/>
        <v>13.454776516542399</v>
      </c>
      <c r="Y66" s="124">
        <v>1468.16</v>
      </c>
      <c r="Z66" s="124">
        <v>1468.16</v>
      </c>
      <c r="AA66" s="103">
        <v>2473</v>
      </c>
      <c r="AB66" s="103">
        <v>40742989</v>
      </c>
      <c r="AC66" s="103">
        <v>5315926</v>
      </c>
      <c r="AD66" s="103">
        <v>3209570</v>
      </c>
      <c r="AE66" s="96">
        <v>42849346</v>
      </c>
      <c r="AF66" s="5"/>
    </row>
    <row r="67" spans="1:241" ht="16.5" customHeight="1" x14ac:dyDescent="0.25">
      <c r="A67" s="35">
        <v>60</v>
      </c>
      <c r="B67" s="34" t="s">
        <v>144</v>
      </c>
      <c r="C67" s="34" t="s">
        <v>74</v>
      </c>
      <c r="D67" s="111"/>
      <c r="E67" s="111"/>
      <c r="F67" s="111">
        <v>7454188.2699999996</v>
      </c>
      <c r="G67" s="111">
        <v>15690411.960000001</v>
      </c>
      <c r="H67" s="111"/>
      <c r="I67" s="111"/>
      <c r="J67" s="111">
        <v>23144600.23</v>
      </c>
      <c r="K67" s="111">
        <v>204917.34</v>
      </c>
      <c r="L67" s="111">
        <v>247695</v>
      </c>
      <c r="M67" s="38">
        <v>42777.66</v>
      </c>
      <c r="N67" s="111">
        <v>25937557.870000001</v>
      </c>
      <c r="O67" s="111">
        <v>4488136.53</v>
      </c>
      <c r="P67" s="46">
        <v>23139244.870000001</v>
      </c>
      <c r="Q67" s="99">
        <f t="shared" si="28"/>
        <v>6.7343632000366546E-5</v>
      </c>
      <c r="R67" s="58">
        <v>21449421.34</v>
      </c>
      <c r="S67" s="99">
        <f t="shared" si="33"/>
        <v>6.0622042984209674E-5</v>
      </c>
      <c r="T67" s="104">
        <f t="shared" si="34"/>
        <v>-7.3028464822153943E-2</v>
      </c>
      <c r="U67" s="40">
        <f t="shared" si="35"/>
        <v>1.1547863976082443E-2</v>
      </c>
      <c r="V67" s="41">
        <f t="shared" si="36"/>
        <v>1.9943503053961643E-3</v>
      </c>
      <c r="W67" s="42">
        <f t="shared" si="37"/>
        <v>0.63522363220233735</v>
      </c>
      <c r="X67" s="42">
        <f t="shared" si="38"/>
        <v>1.2668584448775923E-3</v>
      </c>
      <c r="Y67" s="37">
        <v>0.68330000000000002</v>
      </c>
      <c r="Z67" s="37">
        <v>0.68330000000000002</v>
      </c>
      <c r="AA67" s="103">
        <v>751</v>
      </c>
      <c r="AB67" s="103">
        <v>33791724.43</v>
      </c>
      <c r="AC67" s="103">
        <v>0</v>
      </c>
      <c r="AD67" s="103">
        <v>25000</v>
      </c>
      <c r="AE67" s="96">
        <v>33766724.43</v>
      </c>
      <c r="AF67" s="5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</row>
    <row r="68" spans="1:241" ht="16.5" customHeight="1" x14ac:dyDescent="0.25">
      <c r="A68" s="35">
        <v>61</v>
      </c>
      <c r="B68" s="54" t="s">
        <v>106</v>
      </c>
      <c r="C68" s="34" t="s">
        <v>43</v>
      </c>
      <c r="D68" s="111"/>
      <c r="E68" s="111"/>
      <c r="F68" s="111">
        <v>8422562.6799999997</v>
      </c>
      <c r="G68" s="111">
        <v>161445456.93000001</v>
      </c>
      <c r="H68" s="111"/>
      <c r="I68" s="111"/>
      <c r="J68" s="111">
        <v>169868019.61000001</v>
      </c>
      <c r="K68" s="111">
        <v>1417221.81</v>
      </c>
      <c r="L68" s="111">
        <v>614784.41</v>
      </c>
      <c r="M68" s="38">
        <v>2032006.21</v>
      </c>
      <c r="N68" s="111">
        <v>180428178.50999999</v>
      </c>
      <c r="O68" s="111">
        <v>7904697295.8999996</v>
      </c>
      <c r="P68" s="46">
        <v>171611150.05000001</v>
      </c>
      <c r="Q68" s="99">
        <f t="shared" si="28"/>
        <v>4.9945096311722836E-4</v>
      </c>
      <c r="R68" s="58">
        <v>7724269117.3900003</v>
      </c>
      <c r="S68" s="99">
        <f t="shared" si="33"/>
        <v>2.1830937396095738E-2</v>
      </c>
      <c r="T68" s="104">
        <f t="shared" si="34"/>
        <v>44.010298661476746</v>
      </c>
      <c r="U68" s="40">
        <f t="shared" si="35"/>
        <v>7.9591272734906115E-5</v>
      </c>
      <c r="V68" s="41">
        <f t="shared" si="36"/>
        <v>2.6306776461545745E-4</v>
      </c>
      <c r="W68" s="42">
        <f t="shared" si="37"/>
        <v>6696.5364649728426</v>
      </c>
      <c r="X68" s="42">
        <f t="shared" si="38"/>
        <v>1.7616428785063034</v>
      </c>
      <c r="Y68" s="124">
        <v>145.19</v>
      </c>
      <c r="Z68" s="124">
        <v>145.19</v>
      </c>
      <c r="AA68" s="103">
        <v>15</v>
      </c>
      <c r="AB68" s="103">
        <v>1153472.27</v>
      </c>
      <c r="AC68" s="103"/>
      <c r="AD68" s="103"/>
      <c r="AE68" s="103">
        <v>1153472.27</v>
      </c>
      <c r="AF68" s="5"/>
    </row>
    <row r="69" spans="1:241" ht="18.75" customHeight="1" x14ac:dyDescent="0.25">
      <c r="A69" s="35">
        <v>62</v>
      </c>
      <c r="B69" s="105" t="s">
        <v>110</v>
      </c>
      <c r="C69" s="105" t="s">
        <v>109</v>
      </c>
      <c r="D69" s="111"/>
      <c r="E69" s="111"/>
      <c r="F69" s="111">
        <v>227999395.93000001</v>
      </c>
      <c r="G69" s="111">
        <v>639708900.27999997</v>
      </c>
      <c r="H69" s="111"/>
      <c r="I69" s="111"/>
      <c r="J69" s="111">
        <v>868870835.55999994</v>
      </c>
      <c r="K69" s="111">
        <v>34875571.479999997</v>
      </c>
      <c r="L69" s="111">
        <v>17193605.370000001</v>
      </c>
      <c r="M69" s="38">
        <v>17681966.109999999</v>
      </c>
      <c r="N69" s="111">
        <v>868870835.55999994</v>
      </c>
      <c r="O69" s="111">
        <v>8412327.8100000005</v>
      </c>
      <c r="P69" s="46">
        <v>755756221.24000001</v>
      </c>
      <c r="Q69" s="99">
        <f t="shared" si="28"/>
        <v>2.1995259193250487E-3</v>
      </c>
      <c r="R69" s="58">
        <v>860458507.75</v>
      </c>
      <c r="S69" s="99">
        <f t="shared" si="33"/>
        <v>2.4318955656707432E-3</v>
      </c>
      <c r="T69" s="104">
        <f t="shared" si="34"/>
        <v>0.13853976132437346</v>
      </c>
      <c r="U69" s="40">
        <f t="shared" si="35"/>
        <v>1.9981911056884429E-2</v>
      </c>
      <c r="V69" s="41">
        <f t="shared" si="36"/>
        <v>2.0549469789352546E-2</v>
      </c>
      <c r="W69" s="42">
        <f t="shared" si="37"/>
        <v>197.41493718349551</v>
      </c>
      <c r="X69" s="42">
        <f t="shared" si="38"/>
        <v>4.0567722876191716</v>
      </c>
      <c r="Y69" s="124">
        <v>197.41489999999999</v>
      </c>
      <c r="Z69" s="124">
        <v>199.345</v>
      </c>
      <c r="AA69" s="103">
        <v>462</v>
      </c>
      <c r="AB69" s="103">
        <v>3864544.58</v>
      </c>
      <c r="AC69" s="103">
        <v>673349.98</v>
      </c>
      <c r="AD69" s="103">
        <v>178925.19</v>
      </c>
      <c r="AE69" s="96">
        <v>4358629.1900000004</v>
      </c>
      <c r="AF69" s="5"/>
    </row>
    <row r="70" spans="1:241" ht="16.5" customHeight="1" x14ac:dyDescent="0.25">
      <c r="A70" s="35">
        <v>63</v>
      </c>
      <c r="B70" s="34" t="s">
        <v>174</v>
      </c>
      <c r="C70" s="105" t="s">
        <v>24</v>
      </c>
      <c r="D70" s="111"/>
      <c r="E70" s="111"/>
      <c r="F70" s="111">
        <v>58513817.649999999</v>
      </c>
      <c r="G70" s="111">
        <v>1615955885.46</v>
      </c>
      <c r="H70" s="111"/>
      <c r="I70" s="111">
        <v>57090.85</v>
      </c>
      <c r="J70" s="111">
        <v>1677028377.45</v>
      </c>
      <c r="K70" s="122">
        <v>17330297.52</v>
      </c>
      <c r="L70" s="122">
        <v>2070948.04</v>
      </c>
      <c r="M70" s="38">
        <v>15259349.48</v>
      </c>
      <c r="N70" s="111">
        <v>1681130836.47</v>
      </c>
      <c r="O70" s="111">
        <v>-13325879</v>
      </c>
      <c r="P70" s="46">
        <v>1717482479.95</v>
      </c>
      <c r="Q70" s="99">
        <f t="shared" si="28"/>
        <v>4.9984996808078519E-3</v>
      </c>
      <c r="R70" s="58">
        <v>1667804957.21</v>
      </c>
      <c r="S70" s="99">
        <f t="shared" si="33"/>
        <v>4.7136816514819135E-3</v>
      </c>
      <c r="T70" s="104">
        <f t="shared" si="34"/>
        <v>-2.8924616885434684E-2</v>
      </c>
      <c r="U70" s="40">
        <f t="shared" si="35"/>
        <v>1.2417207606004487E-3</v>
      </c>
      <c r="V70" s="41">
        <f t="shared" si="36"/>
        <v>9.1493609093995718E-3</v>
      </c>
      <c r="W70" s="42">
        <f t="shared" si="37"/>
        <v>-57.316680634143715</v>
      </c>
      <c r="X70" s="42">
        <f t="shared" si="38"/>
        <v>-0.52441099725057394</v>
      </c>
      <c r="Y70" s="131">
        <v>3.57</v>
      </c>
      <c r="Z70" s="131">
        <v>3.57</v>
      </c>
      <c r="AA70" s="122">
        <v>820</v>
      </c>
      <c r="AB70" s="122">
        <v>-13325879</v>
      </c>
      <c r="AC70" s="122">
        <v>4773806</v>
      </c>
      <c r="AD70" s="122">
        <v>-20545999</v>
      </c>
      <c r="AE70" s="96">
        <v>-29098073</v>
      </c>
      <c r="AF70" s="5"/>
    </row>
    <row r="71" spans="1:241" ht="16.5" customHeight="1" x14ac:dyDescent="0.25">
      <c r="A71" s="35">
        <v>64</v>
      </c>
      <c r="B71" s="113" t="s">
        <v>198</v>
      </c>
      <c r="C71" s="34" t="s">
        <v>103</v>
      </c>
      <c r="D71" s="111"/>
      <c r="E71" s="111"/>
      <c r="F71" s="111">
        <v>2827576849.3099999</v>
      </c>
      <c r="G71" s="111">
        <v>6344269354.0699997</v>
      </c>
      <c r="H71" s="111"/>
      <c r="I71" s="111">
        <v>6470237267.0900002</v>
      </c>
      <c r="J71" s="132">
        <v>12804506621.16</v>
      </c>
      <c r="K71" s="111">
        <v>168369078.72</v>
      </c>
      <c r="L71" s="111">
        <v>26196787.920000002</v>
      </c>
      <c r="M71" s="38">
        <v>112138127.43000001</v>
      </c>
      <c r="N71" s="111">
        <v>15849475268.41</v>
      </c>
      <c r="O71" s="111">
        <v>317803752.00999999</v>
      </c>
      <c r="P71" s="46">
        <v>14927171562.1</v>
      </c>
      <c r="Q71" s="99">
        <f t="shared" si="28"/>
        <v>4.3443507086426331E-2</v>
      </c>
      <c r="R71" s="58">
        <v>15531571516.4</v>
      </c>
      <c r="S71" s="99">
        <f t="shared" si="33"/>
        <v>4.3896549988678035E-2</v>
      </c>
      <c r="T71" s="104">
        <f t="shared" si="34"/>
        <v>4.0489918119154408E-2</v>
      </c>
      <c r="U71" s="40">
        <f t="shared" si="35"/>
        <v>1.6866797987787941E-3</v>
      </c>
      <c r="V71" s="41">
        <f t="shared" si="36"/>
        <v>7.2200116589355955E-3</v>
      </c>
      <c r="W71" s="42">
        <f t="shared" si="37"/>
        <v>1182.9083174502134</v>
      </c>
      <c r="X71" s="42">
        <f t="shared" si="38"/>
        <v>8.540611843442429</v>
      </c>
      <c r="Y71" s="37">
        <v>1182.92</v>
      </c>
      <c r="Z71" s="37">
        <v>1182.92</v>
      </c>
      <c r="AA71" s="103">
        <v>7123</v>
      </c>
      <c r="AB71" s="103">
        <v>13196525.82</v>
      </c>
      <c r="AC71" s="103">
        <v>632710</v>
      </c>
      <c r="AD71" s="103">
        <v>-699249</v>
      </c>
      <c r="AE71" s="96">
        <v>13129987.58</v>
      </c>
      <c r="AF71" s="5"/>
    </row>
    <row r="72" spans="1:241" ht="16.5" customHeight="1" x14ac:dyDescent="0.25">
      <c r="A72" s="35">
        <v>65</v>
      </c>
      <c r="B72" s="34" t="s">
        <v>89</v>
      </c>
      <c r="C72" s="34" t="s">
        <v>30</v>
      </c>
      <c r="D72" s="111"/>
      <c r="E72" s="111"/>
      <c r="F72" s="111">
        <v>265429726.03</v>
      </c>
      <c r="G72" s="111">
        <v>1199019594.96</v>
      </c>
      <c r="H72" s="111"/>
      <c r="I72" s="111"/>
      <c r="J72" s="111">
        <v>1464449320.99</v>
      </c>
      <c r="K72" s="111">
        <v>15695754.15</v>
      </c>
      <c r="L72" s="111">
        <v>1941453.28</v>
      </c>
      <c r="M72" s="38">
        <v>13754300.869999999</v>
      </c>
      <c r="N72" s="111">
        <v>1469935681.4000001</v>
      </c>
      <c r="O72" s="111">
        <v>-37059485.969999999</v>
      </c>
      <c r="P72" s="46">
        <v>1419098800.27</v>
      </c>
      <c r="Q72" s="99">
        <f t="shared" si="28"/>
        <v>4.1300944743208707E-3</v>
      </c>
      <c r="R72" s="58">
        <v>1432876195.4300001</v>
      </c>
      <c r="S72" s="99">
        <f t="shared" si="33"/>
        <v>4.0497074925009745E-3</v>
      </c>
      <c r="T72" s="104">
        <f t="shared" si="34"/>
        <v>9.708552468213472E-3</v>
      </c>
      <c r="U72" s="40">
        <f t="shared" si="35"/>
        <v>1.354934422242515E-3</v>
      </c>
      <c r="V72" s="41">
        <f t="shared" si="36"/>
        <v>9.599085331913405E-3</v>
      </c>
      <c r="W72" s="42">
        <f t="shared" si="37"/>
        <v>323.37433558171705</v>
      </c>
      <c r="X72" s="42">
        <f t="shared" si="38"/>
        <v>3.1040978413997031</v>
      </c>
      <c r="Y72" s="124">
        <v>323.37430000000001</v>
      </c>
      <c r="Z72" s="124">
        <v>323.37430000000001</v>
      </c>
      <c r="AA72" s="103">
        <v>97</v>
      </c>
      <c r="AB72" s="96">
        <v>4430941.2514000004</v>
      </c>
      <c r="AC72" s="96">
        <v>312.23630000000003</v>
      </c>
      <c r="AD72" s="103">
        <v>239.52719999999999</v>
      </c>
      <c r="AE72" s="96">
        <v>4431013.9605</v>
      </c>
      <c r="AF72" s="5"/>
    </row>
    <row r="73" spans="1:241" ht="16.5" customHeight="1" x14ac:dyDescent="0.25">
      <c r="A73" s="35">
        <v>66</v>
      </c>
      <c r="B73" s="105" t="s">
        <v>104</v>
      </c>
      <c r="C73" s="105" t="s">
        <v>45</v>
      </c>
      <c r="D73" s="111"/>
      <c r="E73" s="111"/>
      <c r="F73" s="111">
        <v>10551027</v>
      </c>
      <c r="G73" s="111">
        <v>43653243.32</v>
      </c>
      <c r="H73" s="111"/>
      <c r="I73" s="111"/>
      <c r="J73" s="111">
        <v>54204270.719999999</v>
      </c>
      <c r="K73" s="111">
        <v>344243.5</v>
      </c>
      <c r="L73" s="111">
        <v>162605.6</v>
      </c>
      <c r="M73" s="38">
        <v>181637.9</v>
      </c>
      <c r="N73" s="111">
        <v>54559975.880000003</v>
      </c>
      <c r="O73" s="111">
        <v>162605.6</v>
      </c>
      <c r="P73" s="46">
        <v>54261466.009999998</v>
      </c>
      <c r="Q73" s="99">
        <f t="shared" si="28"/>
        <v>1.5792063307629614E-4</v>
      </c>
      <c r="R73" s="58">
        <v>54397370.280000001</v>
      </c>
      <c r="S73" s="99">
        <f t="shared" si="33"/>
        <v>1.537421297791584E-4</v>
      </c>
      <c r="T73" s="104">
        <f t="shared" si="34"/>
        <v>2.5046184704069201E-3</v>
      </c>
      <c r="U73" s="40">
        <f t="shared" si="35"/>
        <v>2.9892180295300851E-3</v>
      </c>
      <c r="V73" s="41">
        <f t="shared" si="36"/>
        <v>3.3390933985421325E-3</v>
      </c>
      <c r="W73" s="42">
        <f t="shared" si="37"/>
        <v>11.589169286961065</v>
      </c>
      <c r="X73" s="42">
        <f t="shared" si="38"/>
        <v>3.8697318660678923E-2</v>
      </c>
      <c r="Y73" s="37">
        <v>11.45</v>
      </c>
      <c r="Z73" s="37">
        <v>11.62</v>
      </c>
      <c r="AA73" s="103">
        <v>973</v>
      </c>
      <c r="AB73" s="103">
        <v>4746783</v>
      </c>
      <c r="AC73" s="103">
        <v>2395</v>
      </c>
      <c r="AD73" s="103">
        <v>55367</v>
      </c>
      <c r="AE73" s="96">
        <v>4693811</v>
      </c>
      <c r="AF73" s="5"/>
    </row>
    <row r="74" spans="1:241" ht="16.5" customHeight="1" x14ac:dyDescent="0.25">
      <c r="A74" s="35">
        <v>67</v>
      </c>
      <c r="B74" s="34" t="s">
        <v>100</v>
      </c>
      <c r="C74" s="34" t="s">
        <v>99</v>
      </c>
      <c r="D74" s="111"/>
      <c r="E74" s="111"/>
      <c r="F74" s="111">
        <v>352569731.54000002</v>
      </c>
      <c r="G74" s="111">
        <v>5068045095.5600004</v>
      </c>
      <c r="H74" s="111"/>
      <c r="I74" s="111">
        <v>8234052.2800000003</v>
      </c>
      <c r="J74" s="111">
        <v>5428848879.3800001</v>
      </c>
      <c r="K74" s="111">
        <v>66227432.310000002</v>
      </c>
      <c r="L74" s="111">
        <v>9090248.2400000002</v>
      </c>
      <c r="M74" s="38">
        <v>57137184.07</v>
      </c>
      <c r="N74" s="111">
        <v>6682831752</v>
      </c>
      <c r="O74" s="111">
        <v>96561129</v>
      </c>
      <c r="P74" s="46">
        <v>6882055022</v>
      </c>
      <c r="Q74" s="99">
        <f t="shared" si="28"/>
        <v>2.0029287187704258E-2</v>
      </c>
      <c r="R74" s="58">
        <v>6586270623</v>
      </c>
      <c r="S74" s="99">
        <f t="shared" si="33"/>
        <v>1.861463647359838E-2</v>
      </c>
      <c r="T74" s="104">
        <f t="shared" si="34"/>
        <v>-4.2979080820257934E-2</v>
      </c>
      <c r="U74" s="40">
        <f t="shared" si="35"/>
        <v>1.380181404671686E-3</v>
      </c>
      <c r="V74" s="41">
        <f t="shared" si="36"/>
        <v>8.6751953177372498E-3</v>
      </c>
      <c r="W74" s="42">
        <f t="shared" si="37"/>
        <v>1.0999999998496872</v>
      </c>
      <c r="X74" s="42">
        <f t="shared" si="38"/>
        <v>9.5427148482069828E-3</v>
      </c>
      <c r="Y74" s="96">
        <v>1.1000000000000001</v>
      </c>
      <c r="Z74" s="124">
        <v>1.1000000000000001</v>
      </c>
      <c r="AA74" s="103">
        <v>2869</v>
      </c>
      <c r="AB74" s="110">
        <v>6313811947</v>
      </c>
      <c r="AC74" s="108"/>
      <c r="AD74" s="108"/>
      <c r="AE74" s="108">
        <v>5987518749</v>
      </c>
      <c r="AF74" s="5"/>
    </row>
    <row r="75" spans="1:241" ht="16.5" customHeight="1" x14ac:dyDescent="0.25">
      <c r="A75" s="35">
        <v>68</v>
      </c>
      <c r="B75" s="105" t="s">
        <v>101</v>
      </c>
      <c r="C75" s="34" t="s">
        <v>22</v>
      </c>
      <c r="D75" s="111"/>
      <c r="E75" s="111"/>
      <c r="F75" s="111">
        <v>15101991790.15</v>
      </c>
      <c r="G75" s="111">
        <v>31014001349.66</v>
      </c>
      <c r="H75" s="111"/>
      <c r="I75" s="111">
        <v>273972.68</v>
      </c>
      <c r="J75" s="111">
        <v>47116267112.489998</v>
      </c>
      <c r="K75" s="111">
        <v>393108840.66000003</v>
      </c>
      <c r="L75" s="111">
        <v>41181361.710000001</v>
      </c>
      <c r="M75" s="38">
        <v>351927478.94999999</v>
      </c>
      <c r="N75" s="111">
        <v>47359173400.459999</v>
      </c>
      <c r="O75" s="111">
        <v>-299834520.31</v>
      </c>
      <c r="P75" s="46">
        <v>40638037066.099998</v>
      </c>
      <c r="Q75" s="99">
        <f t="shared" si="28"/>
        <v>0.11827149195109814</v>
      </c>
      <c r="R75" s="58">
        <v>47059338880.150002</v>
      </c>
      <c r="S75" s="99">
        <f t="shared" si="33"/>
        <v>0.13300280782311039</v>
      </c>
      <c r="T75" s="104">
        <f t="shared" si="34"/>
        <v>0.1580121058407768</v>
      </c>
      <c r="U75" s="40">
        <f t="shared" si="35"/>
        <v>8.7509435300143199E-4</v>
      </c>
      <c r="V75" s="41">
        <f t="shared" si="36"/>
        <v>7.4783770304611263E-3</v>
      </c>
      <c r="W75" s="42">
        <f t="shared" si="37"/>
        <v>4571.8614762655025</v>
      </c>
      <c r="X75" s="42">
        <f t="shared" si="38"/>
        <v>34.190103850554031</v>
      </c>
      <c r="Y75" s="37">
        <v>4571.8599999999997</v>
      </c>
      <c r="Z75" s="37">
        <v>4571.8599999999997</v>
      </c>
      <c r="AA75" s="103">
        <v>538</v>
      </c>
      <c r="AB75" s="103">
        <v>8922123.5299999993</v>
      </c>
      <c r="AC75" s="103">
        <v>3394975.81</v>
      </c>
      <c r="AD75" s="103">
        <v>-2023843.72</v>
      </c>
      <c r="AE75" s="96">
        <v>10293255.630000001</v>
      </c>
      <c r="AF75" s="5"/>
    </row>
    <row r="76" spans="1:241" ht="16.5" customHeight="1" x14ac:dyDescent="0.25">
      <c r="A76" s="35">
        <v>69</v>
      </c>
      <c r="B76" s="34" t="s">
        <v>88</v>
      </c>
      <c r="C76" s="34" t="s">
        <v>22</v>
      </c>
      <c r="D76" s="111"/>
      <c r="E76" s="111"/>
      <c r="F76" s="111">
        <v>4677447823.96</v>
      </c>
      <c r="G76" s="111">
        <v>42333368160.029999</v>
      </c>
      <c r="H76" s="111"/>
      <c r="I76" s="111"/>
      <c r="J76" s="111">
        <v>47169999746.18</v>
      </c>
      <c r="K76" s="111">
        <v>338693166.81</v>
      </c>
      <c r="L76" s="111">
        <v>80987212.400000006</v>
      </c>
      <c r="M76" s="38">
        <v>257705954.41</v>
      </c>
      <c r="N76" s="111">
        <v>47271998840.139999</v>
      </c>
      <c r="O76" s="111">
        <v>-522436155.94</v>
      </c>
      <c r="P76" s="46">
        <v>50021377485.480003</v>
      </c>
      <c r="Q76" s="99">
        <f t="shared" si="28"/>
        <v>0.14558043084201935</v>
      </c>
      <c r="R76" s="58">
        <v>46749562684.199997</v>
      </c>
      <c r="S76" s="99">
        <f t="shared" si="33"/>
        <v>0.13212729395405576</v>
      </c>
      <c r="T76" s="104">
        <f t="shared" si="34"/>
        <v>-6.5408330712798446E-2</v>
      </c>
      <c r="U76" s="40">
        <f t="shared" si="35"/>
        <v>1.732362994432274E-3</v>
      </c>
      <c r="V76" s="41">
        <f t="shared" si="36"/>
        <v>5.5124783979443974E-3</v>
      </c>
      <c r="W76" s="42">
        <f t="shared" si="37"/>
        <v>245.06759527787372</v>
      </c>
      <c r="X76" s="42">
        <f t="shared" si="38"/>
        <v>1.3509298250054593</v>
      </c>
      <c r="Y76" s="124">
        <v>245.07</v>
      </c>
      <c r="Z76" s="124">
        <v>245.07</v>
      </c>
      <c r="AA76" s="103">
        <v>6680</v>
      </c>
      <c r="AB76" s="103">
        <v>204787910.94</v>
      </c>
      <c r="AC76" s="103">
        <v>2087022.52</v>
      </c>
      <c r="AD76" s="103">
        <v>-16113022.92</v>
      </c>
      <c r="AE76" s="96">
        <v>190761910.53</v>
      </c>
      <c r="AF76" s="5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</row>
    <row r="77" spans="1:241" ht="16.5" customHeight="1" x14ac:dyDescent="0.25">
      <c r="A77" s="35">
        <v>70</v>
      </c>
      <c r="B77" s="105" t="s">
        <v>102</v>
      </c>
      <c r="C77" s="34" t="s">
        <v>22</v>
      </c>
      <c r="D77" s="96">
        <v>46834105.5</v>
      </c>
      <c r="E77" s="111"/>
      <c r="F77" s="111">
        <v>162005915.78999999</v>
      </c>
      <c r="G77" s="111">
        <v>30618560.170000002</v>
      </c>
      <c r="H77" s="111"/>
      <c r="I77" s="111"/>
      <c r="J77" s="111">
        <v>239462082.41999999</v>
      </c>
      <c r="K77" s="111">
        <v>2392350.6800000002</v>
      </c>
      <c r="L77" s="111"/>
      <c r="M77" s="38"/>
      <c r="N77" s="111">
        <v>241281804.31</v>
      </c>
      <c r="O77" s="111">
        <v>-1697757.91</v>
      </c>
      <c r="P77" s="46">
        <v>232947478.05000001</v>
      </c>
      <c r="Q77" s="99">
        <f t="shared" si="28"/>
        <v>6.7796202189603538E-4</v>
      </c>
      <c r="R77" s="58">
        <v>239584046.40000001</v>
      </c>
      <c r="S77" s="99">
        <f t="shared" si="33"/>
        <v>6.7713129081512489E-4</v>
      </c>
      <c r="T77" s="104">
        <f t="shared" si="34"/>
        <v>2.8489547968300031E-2</v>
      </c>
      <c r="U77" s="40">
        <f t="shared" si="35"/>
        <v>0</v>
      </c>
      <c r="V77" s="41">
        <f t="shared" si="36"/>
        <v>0</v>
      </c>
      <c r="W77" s="42">
        <f t="shared" si="37"/>
        <v>4253.0628423002718</v>
      </c>
      <c r="X77" s="42">
        <f t="shared" si="38"/>
        <v>0</v>
      </c>
      <c r="Y77" s="37">
        <v>4244.54</v>
      </c>
      <c r="Z77" s="37">
        <v>4258.8999999999996</v>
      </c>
      <c r="AA77" s="103">
        <v>14</v>
      </c>
      <c r="AB77" s="103">
        <v>56332.12</v>
      </c>
      <c r="AC77" s="103"/>
      <c r="AD77" s="103"/>
      <c r="AE77" s="96">
        <v>56332.12</v>
      </c>
      <c r="AF77" s="5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</row>
    <row r="78" spans="1:241" ht="16.5" customHeight="1" x14ac:dyDescent="0.25">
      <c r="A78" s="35">
        <v>71</v>
      </c>
      <c r="B78" s="34" t="s">
        <v>155</v>
      </c>
      <c r="C78" s="34" t="s">
        <v>22</v>
      </c>
      <c r="D78" s="111"/>
      <c r="E78" s="111"/>
      <c r="F78" s="111">
        <v>4712987827.5799999</v>
      </c>
      <c r="G78" s="111">
        <v>19028516628</v>
      </c>
      <c r="H78" s="111"/>
      <c r="I78" s="111"/>
      <c r="J78" s="111">
        <v>23741504455.580002</v>
      </c>
      <c r="K78" s="111">
        <v>245195875.97</v>
      </c>
      <c r="L78" s="111">
        <v>-35647728.170000002</v>
      </c>
      <c r="M78" s="38">
        <v>209548147.80000001</v>
      </c>
      <c r="N78" s="111">
        <v>23801559139.220001</v>
      </c>
      <c r="O78" s="111">
        <v>-127867983.48</v>
      </c>
      <c r="P78" s="46">
        <v>25310706647.299999</v>
      </c>
      <c r="Q78" s="99">
        <f t="shared" si="28"/>
        <v>7.3663376817231577E-2</v>
      </c>
      <c r="R78" s="58">
        <v>23673691155.740002</v>
      </c>
      <c r="S78" s="99">
        <f t="shared" si="33"/>
        <v>6.6908449421049732E-2</v>
      </c>
      <c r="T78" s="104">
        <f t="shared" si="34"/>
        <v>-6.4676799204838681E-2</v>
      </c>
      <c r="U78" s="40">
        <f t="shared" si="35"/>
        <v>-1.5057951012154155E-3</v>
      </c>
      <c r="V78" s="41">
        <f t="shared" si="36"/>
        <v>8.8515198758598434E-3</v>
      </c>
      <c r="W78" s="42">
        <f t="shared" si="37"/>
        <v>115.00153544155543</v>
      </c>
      <c r="X78" s="42">
        <f t="shared" si="38"/>
        <v>1.0179383767153283</v>
      </c>
      <c r="Y78" s="124">
        <v>115</v>
      </c>
      <c r="Z78" s="124">
        <v>115</v>
      </c>
      <c r="AA78" s="112">
        <v>3904</v>
      </c>
      <c r="AB78" s="110">
        <v>221524424.75999999</v>
      </c>
      <c r="AC78" s="110">
        <v>14689781.609999999</v>
      </c>
      <c r="AD78" s="103">
        <v>-30358770.920000002</v>
      </c>
      <c r="AE78" s="96">
        <v>205855435.44999999</v>
      </c>
      <c r="AF78" s="5"/>
    </row>
    <row r="79" spans="1:241" ht="16.5" customHeight="1" x14ac:dyDescent="0.25">
      <c r="A79" s="35">
        <v>72</v>
      </c>
      <c r="B79" s="34" t="s">
        <v>98</v>
      </c>
      <c r="C79" s="34" t="s">
        <v>22</v>
      </c>
      <c r="D79" s="111">
        <v>9209110137.5900002</v>
      </c>
      <c r="E79" s="111"/>
      <c r="F79" s="111">
        <v>1907711950.5699999</v>
      </c>
      <c r="G79" s="111">
        <v>13418803827.4</v>
      </c>
      <c r="H79" s="111"/>
      <c r="I79" s="111"/>
      <c r="J79" s="111">
        <v>15431327333.43</v>
      </c>
      <c r="K79" s="111">
        <v>117119556.8</v>
      </c>
      <c r="L79" s="111">
        <v>26001764.559999999</v>
      </c>
      <c r="M79" s="38">
        <v>92591490.200000003</v>
      </c>
      <c r="N79" s="111">
        <v>15564818596.719999</v>
      </c>
      <c r="O79" s="111">
        <v>-187727631.90000001</v>
      </c>
      <c r="P79" s="46">
        <v>15593660595.389999</v>
      </c>
      <c r="Q79" s="99">
        <f t="shared" si="28"/>
        <v>4.5383232969545079E-2</v>
      </c>
      <c r="R79" s="58">
        <v>15377090964.82</v>
      </c>
      <c r="S79" s="99">
        <f t="shared" si="33"/>
        <v>4.3459944893852333E-2</v>
      </c>
      <c r="T79" s="104">
        <f t="shared" si="34"/>
        <v>-1.3888312448843783E-2</v>
      </c>
      <c r="U79" s="40">
        <f t="shared" si="35"/>
        <v>1.6909417144951103E-3</v>
      </c>
      <c r="V79" s="41">
        <f t="shared" si="36"/>
        <v>6.0213918492016839E-3</v>
      </c>
      <c r="W79" s="42">
        <f t="shared" si="37"/>
        <v>332.52305801452849</v>
      </c>
      <c r="X79" s="42">
        <f t="shared" si="38"/>
        <v>2.0022516312003007</v>
      </c>
      <c r="Y79" s="124">
        <v>332.52</v>
      </c>
      <c r="Z79" s="124">
        <v>332.52</v>
      </c>
      <c r="AA79" s="103">
        <v>9915</v>
      </c>
      <c r="AB79" s="103">
        <v>47117399.039999999</v>
      </c>
      <c r="AC79" s="103">
        <v>1076833.8899999999</v>
      </c>
      <c r="AD79" s="103">
        <v>-1950549.7</v>
      </c>
      <c r="AE79" s="96">
        <v>46243683.240000002</v>
      </c>
      <c r="AF79" s="5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</row>
    <row r="80" spans="1:241" ht="16.5" customHeight="1" x14ac:dyDescent="0.25">
      <c r="A80" s="35">
        <v>73</v>
      </c>
      <c r="B80" s="34" t="s">
        <v>217</v>
      </c>
      <c r="C80" s="34" t="s">
        <v>214</v>
      </c>
      <c r="D80" s="111"/>
      <c r="E80" s="111">
        <v>0</v>
      </c>
      <c r="F80" s="111">
        <f>12757260.3+40047187.83</f>
        <v>52804448.129999995</v>
      </c>
      <c r="G80" s="111">
        <v>0</v>
      </c>
      <c r="H80" s="111"/>
      <c r="I80" s="125"/>
      <c r="J80" s="111">
        <f>12757260.3+40047187.83</f>
        <v>52804448.129999995</v>
      </c>
      <c r="K80" s="111">
        <v>534056.34</v>
      </c>
      <c r="L80" s="111">
        <v>534056.34</v>
      </c>
      <c r="M80" s="126">
        <v>517012.24</v>
      </c>
      <c r="N80" s="111">
        <v>52997572.090000004</v>
      </c>
      <c r="O80" s="111">
        <v>114253.85</v>
      </c>
      <c r="P80" s="58">
        <v>0</v>
      </c>
      <c r="Q80" s="99">
        <f t="shared" si="28"/>
        <v>0</v>
      </c>
      <c r="R80" s="58">
        <v>52686146</v>
      </c>
      <c r="S80" s="99">
        <f t="shared" si="33"/>
        <v>1.4890573301985156E-4</v>
      </c>
      <c r="T80" s="104" t="e">
        <f t="shared" si="34"/>
        <v>#DIV/0!</v>
      </c>
      <c r="U80" s="40">
        <f t="shared" si="35"/>
        <v>1.0136561136963785E-2</v>
      </c>
      <c r="V80" s="41">
        <f t="shared" si="36"/>
        <v>9.8130586359457764E-3</v>
      </c>
      <c r="W80" s="42">
        <f t="shared" si="37"/>
        <v>101.90502646513747</v>
      </c>
      <c r="X80" s="42">
        <f t="shared" si="38"/>
        <v>1</v>
      </c>
      <c r="Y80" s="129">
        <v>101.905</v>
      </c>
      <c r="Z80" s="129">
        <v>101.905</v>
      </c>
      <c r="AA80" s="128">
        <v>18</v>
      </c>
      <c r="AB80" s="103">
        <v>517012.24</v>
      </c>
      <c r="AC80" s="103">
        <v>0</v>
      </c>
      <c r="AD80" s="103">
        <v>0</v>
      </c>
      <c r="AE80" s="103">
        <v>517012.24</v>
      </c>
      <c r="AF80" s="5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</row>
    <row r="81" spans="1:241" ht="16.5" customHeight="1" x14ac:dyDescent="0.25">
      <c r="A81" s="35">
        <v>74</v>
      </c>
      <c r="B81" s="34" t="s">
        <v>95</v>
      </c>
      <c r="C81" s="34" t="s">
        <v>32</v>
      </c>
      <c r="D81" s="111"/>
      <c r="E81" s="111"/>
      <c r="F81" s="111">
        <v>1413452055</v>
      </c>
      <c r="G81" s="111">
        <v>89011669926</v>
      </c>
      <c r="H81" s="111"/>
      <c r="I81" s="111"/>
      <c r="J81" s="111">
        <v>90425121981</v>
      </c>
      <c r="K81" s="111">
        <v>767625835</v>
      </c>
      <c r="L81" s="111">
        <v>165347695</v>
      </c>
      <c r="M81" s="38">
        <v>602278140</v>
      </c>
      <c r="N81" s="111">
        <v>101591245991.58</v>
      </c>
      <c r="O81" s="111">
        <v>-691613687.33000004</v>
      </c>
      <c r="P81" s="46">
        <v>100731718111</v>
      </c>
      <c r="Q81" s="99">
        <f t="shared" si="28"/>
        <v>0.2931659954049245</v>
      </c>
      <c r="R81" s="58">
        <v>100899632304</v>
      </c>
      <c r="S81" s="99">
        <f t="shared" si="33"/>
        <v>0.28517048314106358</v>
      </c>
      <c r="T81" s="104">
        <f t="shared" si="34"/>
        <v>1.6669445945016955E-3</v>
      </c>
      <c r="U81" s="40">
        <f t="shared" si="35"/>
        <v>1.6387343662643363E-3</v>
      </c>
      <c r="V81" s="41">
        <f t="shared" si="36"/>
        <v>5.9690816135523584E-3</v>
      </c>
      <c r="W81" s="42">
        <f t="shared" si="37"/>
        <v>1.9590327281451856</v>
      </c>
      <c r="X81" s="42">
        <f t="shared" si="38"/>
        <v>1.1693626237918744E-2</v>
      </c>
      <c r="Y81" s="124">
        <v>1.96</v>
      </c>
      <c r="Z81" s="124">
        <v>1.96</v>
      </c>
      <c r="AA81" s="103">
        <v>2526</v>
      </c>
      <c r="AB81" s="103">
        <v>51714295353</v>
      </c>
      <c r="AC81" s="103">
        <v>41999067</v>
      </c>
      <c r="AD81" s="103">
        <v>251472242</v>
      </c>
      <c r="AE81" s="96">
        <v>51504822178</v>
      </c>
      <c r="AF81" s="5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</row>
    <row r="82" spans="1:241" ht="16.5" customHeight="1" x14ac:dyDescent="0.25">
      <c r="A82" s="35">
        <v>75</v>
      </c>
      <c r="B82" s="54" t="s">
        <v>96</v>
      </c>
      <c r="C82" s="34" t="s">
        <v>43</v>
      </c>
      <c r="D82" s="111">
        <v>57362672.75</v>
      </c>
      <c r="E82" s="111"/>
      <c r="F82" s="111">
        <v>483220896.30000001</v>
      </c>
      <c r="G82" s="111">
        <v>9729497066.4599991</v>
      </c>
      <c r="H82" s="111"/>
      <c r="I82" s="111"/>
      <c r="J82" s="111">
        <v>10212717962.76</v>
      </c>
      <c r="K82" s="111">
        <v>106297685.78</v>
      </c>
      <c r="L82" s="111">
        <v>2424101.23</v>
      </c>
      <c r="M82" s="38">
        <v>103897933.3</v>
      </c>
      <c r="N82" s="111">
        <v>10214223652.07</v>
      </c>
      <c r="O82" s="111">
        <v>694099724.22000003</v>
      </c>
      <c r="P82" s="46">
        <v>9553937225.0200005</v>
      </c>
      <c r="Q82" s="99">
        <f t="shared" si="28"/>
        <v>2.7805437742288351E-2</v>
      </c>
      <c r="R82" s="58">
        <v>9520123927.8400002</v>
      </c>
      <c r="S82" s="99">
        <f t="shared" si="33"/>
        <v>2.6906523622260082E-2</v>
      </c>
      <c r="T82" s="104">
        <f t="shared" si="34"/>
        <v>-3.5392002672416053E-3</v>
      </c>
      <c r="U82" s="40">
        <f t="shared" si="35"/>
        <v>2.5462916747450353E-4</v>
      </c>
      <c r="V82" s="41">
        <f t="shared" si="36"/>
        <v>1.0913506387891441E-2</v>
      </c>
      <c r="W82" s="42">
        <f t="shared" si="37"/>
        <v>1</v>
      </c>
      <c r="X82" s="42">
        <f t="shared" si="38"/>
        <v>1.0913506387891441E-2</v>
      </c>
      <c r="Y82" s="124">
        <v>1</v>
      </c>
      <c r="Z82" s="124">
        <v>1</v>
      </c>
      <c r="AA82" s="103">
        <v>4427</v>
      </c>
      <c r="AB82" s="103">
        <v>9553937225.0200005</v>
      </c>
      <c r="AC82" s="103">
        <v>18611232</v>
      </c>
      <c r="AD82" s="103">
        <v>52424529.18</v>
      </c>
      <c r="AE82" s="96">
        <v>9520123927.8400002</v>
      </c>
      <c r="AF82" s="5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</row>
    <row r="83" spans="1:241" ht="16.5" customHeight="1" x14ac:dyDescent="0.25">
      <c r="A83" s="35">
        <v>76</v>
      </c>
      <c r="B83" s="105" t="s">
        <v>107</v>
      </c>
      <c r="C83" s="105" t="s">
        <v>70</v>
      </c>
      <c r="D83" s="111"/>
      <c r="E83" s="111"/>
      <c r="F83" s="111">
        <v>757364525.16999996</v>
      </c>
      <c r="G83" s="111">
        <v>2684619929.98</v>
      </c>
      <c r="H83" s="111"/>
      <c r="I83" s="111"/>
      <c r="J83" s="111">
        <v>3441984445.1500001</v>
      </c>
      <c r="K83" s="111">
        <v>31686081.379999999</v>
      </c>
      <c r="L83" s="111">
        <v>16876452.52</v>
      </c>
      <c r="M83" s="38">
        <v>25507431.91</v>
      </c>
      <c r="N83" s="111">
        <v>3481473033.8800001</v>
      </c>
      <c r="O83" s="111">
        <v>-16876452.52</v>
      </c>
      <c r="P83" s="46">
        <v>3599605983.6799998</v>
      </c>
      <c r="Q83" s="99">
        <f t="shared" si="28"/>
        <v>1.0476164718129946E-2</v>
      </c>
      <c r="R83" s="58">
        <v>3464596581.3600001</v>
      </c>
      <c r="S83" s="99">
        <f t="shared" si="33"/>
        <v>9.7919155742665753E-3</v>
      </c>
      <c r="T83" s="104">
        <f t="shared" si="34"/>
        <v>-3.7506716827372028E-2</v>
      </c>
      <c r="U83" s="40">
        <f t="shared" si="35"/>
        <v>4.8711161959801045E-3</v>
      </c>
      <c r="V83" s="41">
        <f t="shared" si="36"/>
        <v>7.3623093803282741E-3</v>
      </c>
      <c r="W83" s="42">
        <f t="shared" si="37"/>
        <v>23.557343774529549</v>
      </c>
      <c r="X83" s="42">
        <f t="shared" si="38"/>
        <v>0.1734364530468368</v>
      </c>
      <c r="Y83" s="124">
        <v>23.557500000000001</v>
      </c>
      <c r="Z83" s="124">
        <v>23.557500000000001</v>
      </c>
      <c r="AA83" s="103">
        <v>1350</v>
      </c>
      <c r="AB83" s="103">
        <v>153714556.28</v>
      </c>
      <c r="AC83" s="103">
        <v>58168.98</v>
      </c>
      <c r="AD83" s="103">
        <v>-6701959.79</v>
      </c>
      <c r="AE83" s="96">
        <v>147070765.47</v>
      </c>
      <c r="AF83" s="5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</row>
    <row r="84" spans="1:241" ht="16.5" customHeight="1" x14ac:dyDescent="0.25">
      <c r="A84" s="59" t="s">
        <v>87</v>
      </c>
      <c r="B84" s="133"/>
      <c r="C84" s="88" t="s">
        <v>49</v>
      </c>
      <c r="D84" s="115">
        <f>SUM(D53:D83)</f>
        <v>9313306915.8400002</v>
      </c>
      <c r="E84" s="115"/>
      <c r="F84" s="115">
        <f>SUM(F53:F83)</f>
        <v>49622477763.880005</v>
      </c>
      <c r="G84" s="115">
        <f>SUM(G53:G83)</f>
        <v>276764176534.20001</v>
      </c>
      <c r="H84" s="115"/>
      <c r="I84" s="115">
        <f>SUM(I53:I79)</f>
        <v>6480258083.04</v>
      </c>
      <c r="J84" s="115">
        <f t="shared" ref="J84:P84" si="39">SUM(J53:J83)</f>
        <v>333315638731.54004</v>
      </c>
      <c r="K84" s="115">
        <f t="shared" si="39"/>
        <v>3059416595.5800004</v>
      </c>
      <c r="L84" s="115">
        <f t="shared" si="39"/>
        <v>473147792.65999997</v>
      </c>
      <c r="M84" s="115">
        <f t="shared" si="39"/>
        <v>2556977841.7399998</v>
      </c>
      <c r="N84" s="115">
        <f t="shared" si="39"/>
        <v>351280305135.01001</v>
      </c>
      <c r="O84" s="115">
        <f t="shared" si="39"/>
        <v>8429037906.9600019</v>
      </c>
      <c r="P84" s="60">
        <f t="shared" si="39"/>
        <v>343599597804.20001</v>
      </c>
      <c r="Q84" s="116">
        <f>(P84/$P$158)</f>
        <v>0.25079799135277686</v>
      </c>
      <c r="R84" s="60">
        <f>SUM(R53:R83)</f>
        <v>353822145940.98993</v>
      </c>
      <c r="S84" s="116">
        <f>(R84/$R$158)</f>
        <v>0.24877024796483954</v>
      </c>
      <c r="T84" s="117">
        <f t="shared" si="30"/>
        <v>2.9751339064765812E-2</v>
      </c>
      <c r="U84" s="51"/>
      <c r="V84" s="52"/>
      <c r="W84" s="53"/>
      <c r="X84" s="53"/>
      <c r="Y84" s="115"/>
      <c r="Z84" s="115"/>
      <c r="AA84" s="118">
        <f>SUM(AA53:AA83)</f>
        <v>49573</v>
      </c>
      <c r="AB84" s="118"/>
      <c r="AC84" s="118"/>
      <c r="AD84" s="118"/>
      <c r="AE84" s="111">
        <v>0</v>
      </c>
      <c r="AF84" s="5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</row>
    <row r="85" spans="1:241" ht="16.5" customHeight="1" x14ac:dyDescent="0.25">
      <c r="A85" s="160" t="s">
        <v>218</v>
      </c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2"/>
      <c r="AF85" s="5"/>
    </row>
    <row r="86" spans="1:241" ht="16.5" customHeight="1" x14ac:dyDescent="0.25">
      <c r="A86" s="166" t="s">
        <v>203</v>
      </c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8"/>
      <c r="AF86" s="5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</row>
    <row r="87" spans="1:241" ht="16.5" customHeight="1" x14ac:dyDescent="0.25">
      <c r="A87" s="62">
        <v>77</v>
      </c>
      <c r="B87" s="34" t="s">
        <v>92</v>
      </c>
      <c r="C87" s="34" t="s">
        <v>30</v>
      </c>
      <c r="D87" s="130"/>
      <c r="E87" s="130"/>
      <c r="F87" s="130"/>
      <c r="G87" s="98">
        <v>777980254.08000004</v>
      </c>
      <c r="H87" s="134"/>
      <c r="I87" s="130"/>
      <c r="J87" s="98">
        <v>777980254.08000004</v>
      </c>
      <c r="K87" s="98">
        <v>5232326.7850000001</v>
      </c>
      <c r="L87" s="98">
        <v>1562187.51</v>
      </c>
      <c r="M87" s="63">
        <v>3670139.27</v>
      </c>
      <c r="N87" s="111">
        <v>801857306.20000005</v>
      </c>
      <c r="O87" s="57">
        <v>18263861.539999999</v>
      </c>
      <c r="P87" s="39">
        <v>775730064.55999994</v>
      </c>
      <c r="Q87" s="99">
        <f>(P87/$P$106)</f>
        <v>2.3678407785573566E-3</v>
      </c>
      <c r="R87" s="39">
        <v>783593444.65999997</v>
      </c>
      <c r="S87" s="99">
        <f>(R87/$R$106)</f>
        <v>2.4038935486871398E-3</v>
      </c>
      <c r="T87" s="104">
        <f>((R87-P87)/P87)</f>
        <v>1.0136747896267491E-2</v>
      </c>
      <c r="U87" s="40">
        <f>(L87/R87)</f>
        <v>1.9936199321803042E-3</v>
      </c>
      <c r="V87" s="41">
        <f>M87/R87</f>
        <v>4.6837289094378122E-3</v>
      </c>
      <c r="W87" s="42">
        <f>R87/AE87</f>
        <v>48121.334074311453</v>
      </c>
      <c r="X87" s="42">
        <f>M87/AE87</f>
        <v>225.38728356456741</v>
      </c>
      <c r="Y87" s="64">
        <f>107.282*449.05</f>
        <v>48174.982100000001</v>
      </c>
      <c r="Z87" s="64">
        <f>107.282*449.05</f>
        <v>48174.982100000001</v>
      </c>
      <c r="AA87" s="110">
        <v>210</v>
      </c>
      <c r="AB87" s="111">
        <v>16380.641100000001</v>
      </c>
      <c r="AC87" s="111">
        <v>708.37540000000001</v>
      </c>
      <c r="AD87" s="111">
        <v>805.31</v>
      </c>
      <c r="AE87" s="96">
        <v>16283.7016</v>
      </c>
      <c r="AF87" s="5"/>
    </row>
    <row r="88" spans="1:241" ht="16.5" customHeight="1" x14ac:dyDescent="0.25">
      <c r="A88" s="62">
        <v>78</v>
      </c>
      <c r="B88" s="34" t="s">
        <v>93</v>
      </c>
      <c r="C88" s="105" t="s">
        <v>34</v>
      </c>
      <c r="D88" s="98"/>
      <c r="E88" s="130"/>
      <c r="F88" s="98"/>
      <c r="G88" s="98">
        <f>9896221.56*449.05</f>
        <v>4443898291.5180006</v>
      </c>
      <c r="H88" s="135"/>
      <c r="I88" s="130"/>
      <c r="J88" s="98">
        <f>9896221.56*449.05</f>
        <v>4443898291.5180006</v>
      </c>
      <c r="K88" s="65">
        <f>75208.91*449.05</f>
        <v>33772561.035500005</v>
      </c>
      <c r="L88" s="65">
        <f>161654.01*449.05</f>
        <v>72590733.190500006</v>
      </c>
      <c r="M88" s="66">
        <f>236862.92*449.05</f>
        <v>106363294.22600001</v>
      </c>
      <c r="N88" s="65">
        <f>11060110*449.05</f>
        <v>4966542395.5</v>
      </c>
      <c r="O88" s="65">
        <f>72031*449.05</f>
        <v>32345520.550000001</v>
      </c>
      <c r="P88" s="39">
        <f>10545947*444.08</f>
        <v>4683244143.7600002</v>
      </c>
      <c r="Q88" s="136">
        <f>(P88/$P$106)</f>
        <v>1.4295148488056506E-2</v>
      </c>
      <c r="R88" s="39">
        <f>10988079*449.05</f>
        <v>4934196874.9499998</v>
      </c>
      <c r="S88" s="99">
        <f t="shared" ref="S88:S95" si="40">(R88/$R$106)</f>
        <v>1.5137038366612605E-2</v>
      </c>
      <c r="T88" s="104">
        <f t="shared" ref="T88:T95" si="41">((R88-P88)/P88)</f>
        <v>5.3585233544651188E-2</v>
      </c>
      <c r="U88" s="40">
        <f t="shared" ref="U88:U95" si="42">(L88/R88)</f>
        <v>1.4711762629300355E-2</v>
      </c>
      <c r="V88" s="41">
        <f t="shared" ref="V88:V95" si="43">M88/R88</f>
        <v>2.1556353935933664E-2</v>
      </c>
      <c r="W88" s="42">
        <f t="shared" ref="W88:W95" si="44">R88/AE88</f>
        <v>505.32369893556489</v>
      </c>
      <c r="X88" s="42">
        <f t="shared" ref="X88:X95" si="45">M88/AE88</f>
        <v>10.892936506470221</v>
      </c>
      <c r="Y88" s="64">
        <f>1.1253*449.05</f>
        <v>505.31596500000001</v>
      </c>
      <c r="Z88" s="64">
        <f>1.1253*449.05</f>
        <v>505.31596500000001</v>
      </c>
      <c r="AA88" s="110">
        <v>322</v>
      </c>
      <c r="AB88" s="110">
        <v>9668203</v>
      </c>
      <c r="AC88" s="110">
        <v>193224</v>
      </c>
      <c r="AD88" s="110">
        <v>-96999</v>
      </c>
      <c r="AE88" s="96">
        <v>9764428</v>
      </c>
      <c r="AF88" s="5"/>
    </row>
    <row r="89" spans="1:241" ht="16.5" customHeight="1" x14ac:dyDescent="0.25">
      <c r="A89" s="62">
        <v>79</v>
      </c>
      <c r="B89" s="34" t="s">
        <v>154</v>
      </c>
      <c r="C89" s="105" t="s">
        <v>151</v>
      </c>
      <c r="D89" s="130"/>
      <c r="E89" s="111"/>
      <c r="F89" s="57"/>
      <c r="G89" s="111">
        <v>905756378.84000003</v>
      </c>
      <c r="H89" s="111"/>
      <c r="I89" s="57">
        <v>7380311.8799999999</v>
      </c>
      <c r="J89" s="57">
        <v>913136690.72000003</v>
      </c>
      <c r="K89" s="57">
        <v>4157551.88</v>
      </c>
      <c r="L89" s="57">
        <v>1814637.99</v>
      </c>
      <c r="M89" s="63">
        <v>2342913.88</v>
      </c>
      <c r="N89" s="111">
        <v>972920109.26999998</v>
      </c>
      <c r="O89" s="57">
        <v>931887083.30999994</v>
      </c>
      <c r="P89" s="39">
        <v>916526618.05999994</v>
      </c>
      <c r="Q89" s="99">
        <f>(P89/$P$106)</f>
        <v>2.7976086012686373E-3</v>
      </c>
      <c r="R89" s="39">
        <v>966923441.69000006</v>
      </c>
      <c r="S89" s="99">
        <f t="shared" si="40"/>
        <v>2.9663099396671222E-3</v>
      </c>
      <c r="T89" s="104">
        <f t="shared" si="41"/>
        <v>5.4986753943572768E-2</v>
      </c>
      <c r="U89" s="40">
        <f t="shared" si="42"/>
        <v>1.8767132037137858E-3</v>
      </c>
      <c r="V89" s="41">
        <f t="shared" si="43"/>
        <v>2.4230603778775161E-3</v>
      </c>
      <c r="W89" s="42">
        <f t="shared" si="44"/>
        <v>47061.098206328883</v>
      </c>
      <c r="X89" s="42">
        <f t="shared" si="45"/>
        <v>114.03188240315815</v>
      </c>
      <c r="Y89" s="57">
        <v>104.8</v>
      </c>
      <c r="Z89" s="57">
        <v>104.8</v>
      </c>
      <c r="AA89" s="110">
        <v>38</v>
      </c>
      <c r="AB89" s="111">
        <v>20102.990000000002</v>
      </c>
      <c r="AC89" s="110">
        <v>578.03</v>
      </c>
      <c r="AD89" s="110">
        <v>134.88999999999999</v>
      </c>
      <c r="AE89" s="96">
        <v>20546.13</v>
      </c>
      <c r="AF89" s="5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</row>
    <row r="90" spans="1:241" ht="16.5" customHeight="1" x14ac:dyDescent="0.25">
      <c r="A90" s="62">
        <v>80</v>
      </c>
      <c r="B90" s="34" t="s">
        <v>180</v>
      </c>
      <c r="C90" s="34" t="s">
        <v>167</v>
      </c>
      <c r="D90" s="130"/>
      <c r="E90" s="111"/>
      <c r="F90" s="98">
        <v>2539793826.8699999</v>
      </c>
      <c r="G90" s="111">
        <v>9715209852.0699997</v>
      </c>
      <c r="H90" s="119"/>
      <c r="I90" s="137"/>
      <c r="J90" s="57">
        <v>12663368540.139999</v>
      </c>
      <c r="K90" s="57">
        <v>76084437.719999999</v>
      </c>
      <c r="L90" s="57">
        <v>20028018.780000001</v>
      </c>
      <c r="M90" s="63">
        <v>56056418.93</v>
      </c>
      <c r="N90" s="111">
        <v>12746212025.889999</v>
      </c>
      <c r="O90" s="65">
        <v>82843485.75</v>
      </c>
      <c r="P90" s="39">
        <v>12851835396.77</v>
      </c>
      <c r="Q90" s="99">
        <f>(P90/$P$106)</f>
        <v>3.922898095878187E-2</v>
      </c>
      <c r="R90" s="39">
        <v>12663368540.139999</v>
      </c>
      <c r="S90" s="99">
        <f t="shared" si="40"/>
        <v>3.8848448957480367E-2</v>
      </c>
      <c r="T90" s="104">
        <f t="shared" si="41"/>
        <v>-1.466458687117699E-2</v>
      </c>
      <c r="U90" s="40">
        <f t="shared" si="42"/>
        <v>1.5815711843587064E-3</v>
      </c>
      <c r="V90" s="41">
        <f t="shared" si="43"/>
        <v>4.4266593641584303E-3</v>
      </c>
      <c r="W90" s="42">
        <f t="shared" si="44"/>
        <v>4672812.4767583879</v>
      </c>
      <c r="X90" s="42">
        <f t="shared" si="45"/>
        <v>20684.949107198863</v>
      </c>
      <c r="Y90" s="111">
        <v>120.2</v>
      </c>
      <c r="Z90" s="111">
        <v>120.2</v>
      </c>
      <c r="AA90" s="110">
        <v>1901</v>
      </c>
      <c r="AB90" s="110">
        <v>241067.48</v>
      </c>
      <c r="AC90" s="110">
        <v>2710.01</v>
      </c>
      <c r="AD90" s="111">
        <v>7473.1</v>
      </c>
      <c r="AE90" s="96">
        <v>2710.01</v>
      </c>
      <c r="AF90" s="5"/>
    </row>
    <row r="91" spans="1:241" ht="16.5" customHeight="1" x14ac:dyDescent="0.25">
      <c r="A91" s="62">
        <v>81</v>
      </c>
      <c r="B91" s="34" t="s">
        <v>219</v>
      </c>
      <c r="C91" s="34" t="s">
        <v>167</v>
      </c>
      <c r="D91" s="130"/>
      <c r="E91" s="111"/>
      <c r="F91" s="98">
        <v>896581266.60000002</v>
      </c>
      <c r="G91" s="111">
        <v>3137720843.4099998</v>
      </c>
      <c r="H91" s="119"/>
      <c r="I91" s="137"/>
      <c r="J91" s="57">
        <v>4134212158.71</v>
      </c>
      <c r="K91" s="57">
        <v>21746933.460000001</v>
      </c>
      <c r="L91" s="57">
        <v>9887.36</v>
      </c>
      <c r="M91" s="63">
        <v>21737046.09</v>
      </c>
      <c r="N91" s="111">
        <v>4139794949.4400001</v>
      </c>
      <c r="O91" s="65">
        <v>5582790.7300000004</v>
      </c>
      <c r="P91" s="39">
        <v>3447804363.27</v>
      </c>
      <c r="Q91" s="99"/>
      <c r="R91" s="39">
        <v>4134212158.71</v>
      </c>
      <c r="S91" s="99">
        <f t="shared" si="40"/>
        <v>1.2682859976628666E-2</v>
      </c>
      <c r="T91" s="104">
        <f t="shared" si="41"/>
        <v>0.19908548256171663</v>
      </c>
      <c r="U91" s="40">
        <f t="shared" si="42"/>
        <v>2.3915947272249225E-6</v>
      </c>
      <c r="V91" s="41">
        <f t="shared" si="43"/>
        <v>5.2578448457716838E-3</v>
      </c>
      <c r="W91" s="42">
        <f t="shared" si="44"/>
        <v>45873.287689979072</v>
      </c>
      <c r="X91" s="42">
        <f t="shared" si="45"/>
        <v>241.19462923935808</v>
      </c>
      <c r="Y91" s="111">
        <v>103.86</v>
      </c>
      <c r="Z91" s="111">
        <v>103.86</v>
      </c>
      <c r="AA91" s="110">
        <v>55</v>
      </c>
      <c r="AB91" s="110">
        <v>75915.210000000006</v>
      </c>
      <c r="AC91" s="110">
        <v>19126.419999999998</v>
      </c>
      <c r="AD91" s="111">
        <v>4919.2</v>
      </c>
      <c r="AE91" s="96">
        <v>90122.43</v>
      </c>
      <c r="AF91" s="5"/>
    </row>
    <row r="92" spans="1:241" ht="16.5" customHeight="1" x14ac:dyDescent="0.25">
      <c r="A92" s="62">
        <v>82</v>
      </c>
      <c r="B92" s="81" t="s">
        <v>220</v>
      </c>
      <c r="C92" s="82" t="s">
        <v>221</v>
      </c>
      <c r="D92" s="130"/>
      <c r="E92" s="111"/>
      <c r="F92" s="57"/>
      <c r="G92" s="111">
        <f>62385.03*449.05</f>
        <v>28013997.721500002</v>
      </c>
      <c r="H92" s="111"/>
      <c r="I92" s="57"/>
      <c r="J92" s="111">
        <f>62385.03*449.05</f>
        <v>28013997.721500002</v>
      </c>
      <c r="K92" s="57">
        <f>745.78*449.05</f>
        <v>334892.50900000002</v>
      </c>
      <c r="L92" s="57">
        <f>289.62*449.05</f>
        <v>130053.861</v>
      </c>
      <c r="M92" s="63">
        <f>456.16*449.05</f>
        <v>204838.64800000002</v>
      </c>
      <c r="N92" s="111">
        <f>80410.03*449.05</f>
        <v>36108123.971500002</v>
      </c>
      <c r="O92" s="57">
        <f>2914.16*449.05</f>
        <v>1308603.548</v>
      </c>
      <c r="P92" s="39">
        <v>0</v>
      </c>
      <c r="Q92" s="99">
        <f>(P92/$P$106)</f>
        <v>0</v>
      </c>
      <c r="R92" s="39">
        <f>77495.88*449.05</f>
        <v>34799524.914000005</v>
      </c>
      <c r="S92" s="99">
        <f t="shared" si="40"/>
        <v>1.0675734209905176E-4</v>
      </c>
      <c r="T92" s="104" t="e">
        <f t="shared" si="41"/>
        <v>#DIV/0!</v>
      </c>
      <c r="U92" s="40">
        <f t="shared" si="42"/>
        <v>3.7372309340832051E-3</v>
      </c>
      <c r="V92" s="41">
        <f t="shared" si="43"/>
        <v>5.8862484044313063E-3</v>
      </c>
      <c r="W92" s="42">
        <f t="shared" si="44"/>
        <v>44036.096063271121</v>
      </c>
      <c r="X92" s="42">
        <f t="shared" si="45"/>
        <v>259.20740018981337</v>
      </c>
      <c r="Y92" s="57">
        <f>98.07*449.05</f>
        <v>44038.333500000001</v>
      </c>
      <c r="Z92" s="57">
        <f>98.07*449.05</f>
        <v>44038.333500000001</v>
      </c>
      <c r="AA92" s="110">
        <v>2</v>
      </c>
      <c r="AB92" s="111">
        <v>239.75</v>
      </c>
      <c r="AC92" s="110">
        <v>550.5</v>
      </c>
      <c r="AD92" s="110">
        <v>0</v>
      </c>
      <c r="AE92" s="96">
        <v>790.25</v>
      </c>
      <c r="AF92" s="5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</row>
    <row r="93" spans="1:241" ht="14.25" customHeight="1" x14ac:dyDescent="0.25">
      <c r="A93" s="62">
        <v>83</v>
      </c>
      <c r="B93" s="34" t="s">
        <v>90</v>
      </c>
      <c r="C93" s="34" t="s">
        <v>168</v>
      </c>
      <c r="D93" s="130"/>
      <c r="E93" s="111"/>
      <c r="F93" s="111">
        <f>1961128.08*449.05</f>
        <v>880644564.324</v>
      </c>
      <c r="G93" s="111">
        <f>11747426.1*449.05</f>
        <v>5275181690.2049999</v>
      </c>
      <c r="H93" s="111"/>
      <c r="I93" s="111"/>
      <c r="J93" s="57">
        <f>13775193.35*449.05</f>
        <v>6185750573.8175001</v>
      </c>
      <c r="K93" s="57">
        <f>76245.6*449.05</f>
        <v>34238086.680000007</v>
      </c>
      <c r="L93" s="57">
        <f>21677.36*449.05</f>
        <v>9734218.5080000013</v>
      </c>
      <c r="M93" s="63">
        <f>54568.24*449.05</f>
        <v>24503868.171999998</v>
      </c>
      <c r="N93" s="111">
        <f>13775193.35*449.05</f>
        <v>6185750573.8175001</v>
      </c>
      <c r="O93" s="111">
        <f>87676*449.05</f>
        <v>39370907.800000004</v>
      </c>
      <c r="P93" s="39">
        <f>13605863.88*444.08</f>
        <v>6042092031.8304005</v>
      </c>
      <c r="Q93" s="99">
        <f>(P93/$P$106)</f>
        <v>1.8442899862182564E-2</v>
      </c>
      <c r="R93" s="39">
        <f>13687517.34*449.05</f>
        <v>6146379661.5270004</v>
      </c>
      <c r="S93" s="99">
        <f t="shared" si="40"/>
        <v>1.8855750410900332E-2</v>
      </c>
      <c r="T93" s="104">
        <f t="shared" si="41"/>
        <v>1.7260185569369244E-2</v>
      </c>
      <c r="U93" s="40">
        <f t="shared" si="42"/>
        <v>1.5837320575770684E-3</v>
      </c>
      <c r="V93" s="41">
        <f t="shared" si="43"/>
        <v>3.9867156800255784E-3</v>
      </c>
      <c r="W93" s="42">
        <f t="shared" si="44"/>
        <v>555.28223747094239</v>
      </c>
      <c r="X93" s="42">
        <f t="shared" si="45"/>
        <v>2.2137524029650923</v>
      </c>
      <c r="Y93" s="111">
        <f>1.28*449.05</f>
        <v>574.78399999999999</v>
      </c>
      <c r="Z93" s="111">
        <f>1.28*449.05</f>
        <v>574.78399999999999</v>
      </c>
      <c r="AA93" s="108">
        <v>128</v>
      </c>
      <c r="AB93" s="110">
        <v>11047485</v>
      </c>
      <c r="AC93" s="108">
        <v>39621</v>
      </c>
      <c r="AD93" s="108">
        <v>-18177</v>
      </c>
      <c r="AE93" s="103">
        <v>11068929</v>
      </c>
      <c r="AF93" s="5"/>
    </row>
    <row r="94" spans="1:241" ht="16.5" customHeight="1" x14ac:dyDescent="0.25">
      <c r="A94" s="62">
        <v>84</v>
      </c>
      <c r="B94" s="34" t="s">
        <v>178</v>
      </c>
      <c r="C94" s="34" t="s">
        <v>32</v>
      </c>
      <c r="D94" s="130"/>
      <c r="E94" s="111"/>
      <c r="F94" s="119"/>
      <c r="G94" s="111">
        <f>151975148.52*449.05</f>
        <v>68244440442.906006</v>
      </c>
      <c r="H94" s="111"/>
      <c r="I94" s="57"/>
      <c r="J94" s="111">
        <f>151975148.52*449.05</f>
        <v>68244440442.906006</v>
      </c>
      <c r="K94" s="57">
        <f>1079585*449.05</f>
        <v>484787644.25</v>
      </c>
      <c r="L94" s="57">
        <f>285473*449.05</f>
        <v>128191650.65000001</v>
      </c>
      <c r="M94" s="63">
        <f>794112*449.05</f>
        <v>356595993.60000002</v>
      </c>
      <c r="N94" s="111">
        <f>166638747*449.05</f>
        <v>74829129340.350006</v>
      </c>
      <c r="O94" s="111">
        <f>902048*449.05</f>
        <v>405064654.40000004</v>
      </c>
      <c r="P94" s="39">
        <f>164149254*444.08</f>
        <v>72895400716.319992</v>
      </c>
      <c r="Q94" s="136">
        <f>(P94/$P$106)</f>
        <v>0.22250614004922489</v>
      </c>
      <c r="R94" s="39">
        <f>165736700*449.05</f>
        <v>74424065135</v>
      </c>
      <c r="S94" s="99">
        <f t="shared" si="40"/>
        <v>0.22831677735987913</v>
      </c>
      <c r="T94" s="104">
        <f t="shared" si="41"/>
        <v>2.0970656634826168E-2</v>
      </c>
      <c r="U94" s="40">
        <f t="shared" si="42"/>
        <v>1.7224489204865309E-3</v>
      </c>
      <c r="V94" s="41">
        <f t="shared" si="43"/>
        <v>4.7914070932991914E-3</v>
      </c>
      <c r="W94" s="42">
        <f t="shared" si="44"/>
        <v>56381.354968742708</v>
      </c>
      <c r="X94" s="42">
        <f t="shared" si="45"/>
        <v>270.14602412705341</v>
      </c>
      <c r="Y94" s="111">
        <f>125.56*449.05</f>
        <v>56382.718000000001</v>
      </c>
      <c r="Z94" s="111">
        <f>125.56*449.05</f>
        <v>56382.718000000001</v>
      </c>
      <c r="AA94" s="110">
        <v>1341</v>
      </c>
      <c r="AB94" s="110">
        <v>1311652</v>
      </c>
      <c r="AC94" s="110">
        <v>58675</v>
      </c>
      <c r="AD94" s="110">
        <v>50315</v>
      </c>
      <c r="AE94" s="96">
        <v>1320012</v>
      </c>
      <c r="AF94" s="5"/>
    </row>
    <row r="95" spans="1:241" ht="16.5" customHeight="1" x14ac:dyDescent="0.25">
      <c r="A95" s="62">
        <v>85</v>
      </c>
      <c r="B95" s="34" t="s">
        <v>91</v>
      </c>
      <c r="C95" s="34" t="s">
        <v>45</v>
      </c>
      <c r="D95" s="130"/>
      <c r="E95" s="111"/>
      <c r="F95" s="57"/>
      <c r="G95" s="111">
        <v>774969453.99000001</v>
      </c>
      <c r="H95" s="111"/>
      <c r="I95" s="57"/>
      <c r="J95" s="111">
        <v>774969453.99000001</v>
      </c>
      <c r="K95" s="57">
        <v>3655366.64</v>
      </c>
      <c r="L95" s="57">
        <v>1068162.72</v>
      </c>
      <c r="M95" s="63">
        <v>2587203.92</v>
      </c>
      <c r="N95" s="111">
        <v>808522171.10000002</v>
      </c>
      <c r="O95" s="57">
        <v>1068162.72</v>
      </c>
      <c r="P95" s="39">
        <v>729218044.64999998</v>
      </c>
      <c r="Q95" s="99">
        <f>(P95/$P$106)</f>
        <v>2.2258673493098539E-3</v>
      </c>
      <c r="R95" s="39">
        <v>807454008.38</v>
      </c>
      <c r="S95" s="99">
        <f t="shared" si="40"/>
        <v>2.4770925469501156E-3</v>
      </c>
      <c r="T95" s="104">
        <f t="shared" si="41"/>
        <v>0.10728747636456341</v>
      </c>
      <c r="U95" s="40">
        <f t="shared" si="42"/>
        <v>1.3228774752670576E-3</v>
      </c>
      <c r="V95" s="41">
        <f t="shared" si="43"/>
        <v>3.2041501969762008E-3</v>
      </c>
      <c r="W95" s="42">
        <f t="shared" si="44"/>
        <v>57449.591489149767</v>
      </c>
      <c r="X95" s="42">
        <f t="shared" si="45"/>
        <v>184.07711988616151</v>
      </c>
      <c r="Y95" s="57">
        <v>56328.89</v>
      </c>
      <c r="Z95" s="57">
        <v>57523.8</v>
      </c>
      <c r="AA95" s="110">
        <v>973</v>
      </c>
      <c r="AB95" s="110">
        <v>14634</v>
      </c>
      <c r="AC95" s="110">
        <v>10</v>
      </c>
      <c r="AD95" s="110">
        <v>589</v>
      </c>
      <c r="AE95" s="96">
        <v>14055</v>
      </c>
      <c r="AF95" s="5"/>
    </row>
    <row r="96" spans="1:241" ht="6.75" customHeight="1" x14ac:dyDescent="0.25">
      <c r="A96" s="68"/>
      <c r="B96" s="69"/>
      <c r="C96" s="138"/>
      <c r="D96" s="37"/>
      <c r="E96" s="37"/>
      <c r="F96" s="37"/>
      <c r="G96" s="37"/>
      <c r="H96" s="37"/>
      <c r="I96" s="96"/>
      <c r="J96" s="70"/>
      <c r="K96" s="70"/>
      <c r="L96" s="70"/>
      <c r="M96" s="63"/>
      <c r="N96" s="111"/>
      <c r="O96" s="111"/>
      <c r="P96" s="58"/>
      <c r="Q96" s="99"/>
      <c r="R96" s="58"/>
      <c r="S96" s="99"/>
      <c r="T96" s="104"/>
      <c r="U96" s="40"/>
      <c r="V96" s="41"/>
      <c r="W96" s="42"/>
      <c r="X96" s="42"/>
      <c r="Y96" s="111"/>
      <c r="Z96" s="111"/>
      <c r="AA96" s="110"/>
      <c r="AB96" s="110"/>
      <c r="AC96" s="110"/>
      <c r="AD96" s="110"/>
      <c r="AE96" s="98"/>
      <c r="AF96" s="5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</row>
    <row r="97" spans="1:241" ht="16.5" customHeight="1" x14ac:dyDescent="0.25">
      <c r="A97" s="166" t="s">
        <v>204</v>
      </c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8"/>
      <c r="AF97" s="5"/>
    </row>
    <row r="98" spans="1:241" ht="16.5" customHeight="1" x14ac:dyDescent="0.25">
      <c r="A98" s="35">
        <v>86</v>
      </c>
      <c r="B98" s="34" t="s">
        <v>117</v>
      </c>
      <c r="C98" s="105" t="s">
        <v>116</v>
      </c>
      <c r="D98" s="96"/>
      <c r="E98" s="96"/>
      <c r="F98" s="96"/>
      <c r="G98" s="96">
        <f>664360.53*449.05</f>
        <v>298331095.99650002</v>
      </c>
      <c r="H98" s="96"/>
      <c r="I98" s="96"/>
      <c r="J98" s="96">
        <f>664360.53*449.05</f>
        <v>298331095.99650002</v>
      </c>
      <c r="K98" s="96">
        <f>6241.73*449.05</f>
        <v>2802848.8564999998</v>
      </c>
      <c r="L98" s="96">
        <f>1303.74*449.05</f>
        <v>585444.44700000004</v>
      </c>
      <c r="M98" s="66">
        <f xml:space="preserve"> 4937.99*449.05</f>
        <v>2217404.4095000001</v>
      </c>
      <c r="N98" s="96">
        <f>845454*449.05</f>
        <v>379651118.69999999</v>
      </c>
      <c r="O98" s="96">
        <f>17352.83*449.05</f>
        <v>7792288.3115000008</v>
      </c>
      <c r="P98" s="46">
        <f>806632.87*444.08</f>
        <v>358209524.90959996</v>
      </c>
      <c r="Q98" s="99">
        <f t="shared" ref="Q98:Q105" si="46">(P98/$P$106)</f>
        <v>1.0933998295266588E-3</v>
      </c>
      <c r="R98" s="58">
        <f>828101.17*449.05</f>
        <v>371858830.38850003</v>
      </c>
      <c r="S98" s="99">
        <f t="shared" ref="S98:S105" si="47">(R98/$R$106)</f>
        <v>1.1407816763718925E-3</v>
      </c>
      <c r="T98" s="104">
        <f t="shared" ref="T98:T106" si="48">((R98-P98)/P98)</f>
        <v>3.8104250528638792E-2</v>
      </c>
      <c r="U98" s="40">
        <f>(L98/R98)</f>
        <v>1.5743728510853329E-3</v>
      </c>
      <c r="V98" s="41">
        <f t="shared" ref="V98" si="49">M98/R98</f>
        <v>5.9630274402341444E-3</v>
      </c>
      <c r="W98" s="42">
        <f t="shared" ref="W98:W105" si="50">R98/AE98</f>
        <v>95.291539994134538</v>
      </c>
      <c r="X98" s="42">
        <f t="shared" ref="X98" si="51">M98/AE98</f>
        <v>0.56822606780719365</v>
      </c>
      <c r="Y98" s="111">
        <f>95.09*449.05</f>
        <v>42700.164500000006</v>
      </c>
      <c r="Z98" s="111">
        <f>95.09*449.05</f>
        <v>42700.164500000006</v>
      </c>
      <c r="AA98" s="139">
        <v>29</v>
      </c>
      <c r="AB98" s="139">
        <v>3785827.08</v>
      </c>
      <c r="AC98" s="139">
        <v>94096.778999999995</v>
      </c>
      <c r="AD98" s="139"/>
      <c r="AE98" s="96">
        <v>3902327.85</v>
      </c>
      <c r="AF98" s="5"/>
    </row>
    <row r="99" spans="1:241" ht="16.5" customHeight="1" x14ac:dyDescent="0.25">
      <c r="A99" s="35">
        <v>87</v>
      </c>
      <c r="B99" s="34" t="s">
        <v>185</v>
      </c>
      <c r="C99" s="105" t="s">
        <v>41</v>
      </c>
      <c r="D99" s="130"/>
      <c r="E99" s="111"/>
      <c r="F99" s="111"/>
      <c r="G99" s="111">
        <v>2172119642</v>
      </c>
      <c r="H99" s="111"/>
      <c r="I99" s="111"/>
      <c r="J99" s="111">
        <v>2172119642</v>
      </c>
      <c r="K99" s="111">
        <v>43353984.170000002</v>
      </c>
      <c r="L99" s="111">
        <v>36427798.07</v>
      </c>
      <c r="M99" s="63">
        <v>6926186.0930000003</v>
      </c>
      <c r="N99" s="67">
        <v>2821543784</v>
      </c>
      <c r="O99" s="67">
        <v>36427798.07</v>
      </c>
      <c r="P99" s="46">
        <f>6108844.24*444.08</f>
        <v>2712815550.0991998</v>
      </c>
      <c r="Q99" s="99">
        <f t="shared" si="46"/>
        <v>8.2806063316275616E-3</v>
      </c>
      <c r="R99" s="39">
        <v>2785115985</v>
      </c>
      <c r="S99" s="99">
        <f t="shared" ref="S99:S105" si="52">(R99/$R$106)</f>
        <v>8.5441275629761452E-3</v>
      </c>
      <c r="T99" s="104">
        <f t="shared" ref="T99:T105" si="53">((R99-P99)/P99)</f>
        <v>2.665143780164354E-2</v>
      </c>
      <c r="U99" s="40">
        <f t="shared" ref="U99:U105" si="54">(L99/R99)</f>
        <v>1.3079454595855907E-2</v>
      </c>
      <c r="V99" s="41">
        <f t="shared" ref="V99:V105" si="55">M99/R99</f>
        <v>2.4868573266976527E-3</v>
      </c>
      <c r="W99" s="42">
        <f t="shared" ref="W99:W105" si="56">R99/AE99</f>
        <v>55709.773667716741</v>
      </c>
      <c r="X99" s="42">
        <f t="shared" ref="X99:X105" si="57">M99/AE99</f>
        <v>138.54225881422937</v>
      </c>
      <c r="Y99" s="57">
        <v>55512.61881</v>
      </c>
      <c r="Z99" s="57">
        <v>55906.929120000001</v>
      </c>
      <c r="AA99" s="110">
        <v>336</v>
      </c>
      <c r="AB99" s="111">
        <v>49304.63</v>
      </c>
      <c r="AC99" s="111">
        <v>4443.83</v>
      </c>
      <c r="AD99" s="111">
        <v>3755.15</v>
      </c>
      <c r="AE99" s="96">
        <v>49993.31</v>
      </c>
      <c r="AF99" s="5"/>
    </row>
    <row r="100" spans="1:241" ht="15.75" customHeight="1" x14ac:dyDescent="0.25">
      <c r="A100" s="35">
        <v>88</v>
      </c>
      <c r="B100" s="34" t="s">
        <v>114</v>
      </c>
      <c r="C100" s="34" t="s">
        <v>62</v>
      </c>
      <c r="D100" s="96"/>
      <c r="E100" s="96"/>
      <c r="F100" s="96"/>
      <c r="G100" s="96">
        <f>11161960.39*449.05</f>
        <v>5012278313.1295004</v>
      </c>
      <c r="H100" s="96"/>
      <c r="I100" s="96"/>
      <c r="J100" s="96">
        <f>11161960.39*449.05</f>
        <v>5012278313.1295004</v>
      </c>
      <c r="K100" s="96">
        <f>118374.34*449.05</f>
        <v>53155997.376999997</v>
      </c>
      <c r="L100" s="96">
        <f>23360.4*449.05</f>
        <v>10489987.620000001</v>
      </c>
      <c r="M100" s="66">
        <f>95013.94*449.05</f>
        <v>42666009.756999999</v>
      </c>
      <c r="N100" s="96">
        <f>13361799.41*449.05</f>
        <v>6000116025.0605001</v>
      </c>
      <c r="O100" s="96">
        <f>231869.2*449.05</f>
        <v>104120864.26000001</v>
      </c>
      <c r="P100" s="46">
        <f>13437800.4*444.08</f>
        <v>5967458401.632</v>
      </c>
      <c r="Q100" s="99">
        <f t="shared" si="46"/>
        <v>1.8215087945242386E-2</v>
      </c>
      <c r="R100" s="58">
        <f>13129930.21*449.05</f>
        <v>5895995160.8005009</v>
      </c>
      <c r="S100" s="99">
        <f t="shared" si="52"/>
        <v>1.8087625447515979E-2</v>
      </c>
      <c r="T100" s="104">
        <f t="shared" si="53"/>
        <v>-1.1975490405086879E-2</v>
      </c>
      <c r="U100" s="40">
        <f t="shared" si="54"/>
        <v>1.7791716807609749E-3</v>
      </c>
      <c r="V100" s="41">
        <f t="shared" si="55"/>
        <v>7.2364390731974792E-3</v>
      </c>
      <c r="W100" s="42">
        <f t="shared" si="56"/>
        <v>51156.977786265874</v>
      </c>
      <c r="X100" s="42">
        <f t="shared" si="57"/>
        <v>370.19435291922986</v>
      </c>
      <c r="Y100" s="111">
        <f>113.15*449.05</f>
        <v>50810.007500000007</v>
      </c>
      <c r="Z100" s="111">
        <f>113.15*449.05</f>
        <v>50810.007500000007</v>
      </c>
      <c r="AA100" s="139">
        <v>512</v>
      </c>
      <c r="AB100" s="139">
        <v>119959</v>
      </c>
      <c r="AC100" s="139">
        <v>6626</v>
      </c>
      <c r="AD100" s="139">
        <v>1920</v>
      </c>
      <c r="AE100" s="96">
        <v>115253</v>
      </c>
      <c r="AF100" s="5"/>
    </row>
    <row r="101" spans="1:241" ht="16.5" customHeight="1" x14ac:dyDescent="0.25">
      <c r="A101" s="35">
        <v>89</v>
      </c>
      <c r="B101" s="34" t="s">
        <v>118</v>
      </c>
      <c r="C101" s="105" t="s">
        <v>78</v>
      </c>
      <c r="D101" s="96"/>
      <c r="E101" s="96"/>
      <c r="F101" s="96">
        <f>504114.93*449.05</f>
        <v>226372809.31650001</v>
      </c>
      <c r="G101" s="96">
        <f>3423305.2*449.05</f>
        <v>1537235200.0600002</v>
      </c>
      <c r="H101" s="96"/>
      <c r="I101" s="96"/>
      <c r="J101" s="96">
        <f>3927420.13*449.05</f>
        <v>1763608009.3764999</v>
      </c>
      <c r="K101" s="96">
        <f>23071.26*449.05</f>
        <v>10360149.302999999</v>
      </c>
      <c r="L101" s="96">
        <f>6003.01*449.05</f>
        <v>2695651.6405000002</v>
      </c>
      <c r="M101" s="66">
        <f>17765.83*449.05</f>
        <v>7977745.9615000011</v>
      </c>
      <c r="N101" s="96">
        <f>4016283.1*449.05</f>
        <v>1803511926.0550001</v>
      </c>
      <c r="O101" s="96">
        <f>28281.89*449.05</f>
        <v>12699982.704500001</v>
      </c>
      <c r="P101" s="46">
        <f>4001431.79*444.08</f>
        <v>1776955829.3032</v>
      </c>
      <c r="Q101" s="99">
        <f t="shared" si="46"/>
        <v>5.4239853095108233E-3</v>
      </c>
      <c r="R101" s="58">
        <f>3988001.2*449.05</f>
        <v>1790811938.8600001</v>
      </c>
      <c r="S101" s="99">
        <f t="shared" si="52"/>
        <v>5.4938199088755291E-3</v>
      </c>
      <c r="T101" s="104">
        <f t="shared" si="53"/>
        <v>7.7976668459077796E-3</v>
      </c>
      <c r="U101" s="40">
        <f t="shared" si="54"/>
        <v>1.5052678519755711E-3</v>
      </c>
      <c r="V101" s="41">
        <f t="shared" si="55"/>
        <v>4.4548206254301026E-3</v>
      </c>
      <c r="W101" s="42">
        <f t="shared" si="56"/>
        <v>507.91407957740427</v>
      </c>
      <c r="X101" s="42">
        <f t="shared" si="57"/>
        <v>2.2626661176477674</v>
      </c>
      <c r="Y101" s="111">
        <f>1.13*449.05</f>
        <v>507.42649999999998</v>
      </c>
      <c r="Z101" s="111">
        <f>1.13*449.05</f>
        <v>507.42649999999998</v>
      </c>
      <c r="AA101" s="139">
        <v>129</v>
      </c>
      <c r="AB101" s="139">
        <v>3553697.25</v>
      </c>
      <c r="AC101" s="98">
        <v>81305.38</v>
      </c>
      <c r="AD101" s="98">
        <v>109185.94</v>
      </c>
      <c r="AE101" s="96">
        <v>3525816.69</v>
      </c>
      <c r="AF101" s="5"/>
    </row>
    <row r="102" spans="1:241" ht="16.5" customHeight="1" x14ac:dyDescent="0.25">
      <c r="A102" s="35">
        <v>90</v>
      </c>
      <c r="B102" s="105" t="s">
        <v>169</v>
      </c>
      <c r="C102" s="105" t="s">
        <v>28</v>
      </c>
      <c r="D102" s="96"/>
      <c r="E102" s="96"/>
      <c r="F102" s="96">
        <f>453388.9*449.05</f>
        <v>203594285.54500002</v>
      </c>
      <c r="G102" s="96">
        <f>7884225.8*449.05</f>
        <v>3540411595.4899998</v>
      </c>
      <c r="H102" s="119"/>
      <c r="I102" s="96"/>
      <c r="J102" s="96">
        <f>8337614.7*449.05</f>
        <v>3744005881.0350003</v>
      </c>
      <c r="K102" s="96">
        <f>66655*449.05</f>
        <v>29931427.75</v>
      </c>
      <c r="L102" s="96">
        <f>14760.8*449.05</f>
        <v>6628337.2400000002</v>
      </c>
      <c r="M102" s="66">
        <f>51894.2*449.05</f>
        <v>23303090.509999998</v>
      </c>
      <c r="N102" s="96">
        <f>8503683.5*449.05</f>
        <v>3818579075.6750002</v>
      </c>
      <c r="O102" s="96">
        <f>57335.99*449.05</f>
        <v>25746726.309500001</v>
      </c>
      <c r="P102" s="46">
        <f>8175138.8*444.08</f>
        <v>3630415638.3039999</v>
      </c>
      <c r="Q102" s="136">
        <f t="shared" si="46"/>
        <v>1.1081491596389785E-2</v>
      </c>
      <c r="R102" s="58">
        <f>8446265.2*449.05</f>
        <v>3792795388.0599999</v>
      </c>
      <c r="S102" s="99">
        <f t="shared" si="52"/>
        <v>1.1635467890882918E-2</v>
      </c>
      <c r="T102" s="104">
        <f t="shared" si="53"/>
        <v>4.4727592081400917E-2</v>
      </c>
      <c r="U102" s="40">
        <f t="shared" si="54"/>
        <v>1.7476126608006578E-3</v>
      </c>
      <c r="V102" s="41">
        <f t="shared" si="55"/>
        <v>6.1440410372148859E-3</v>
      </c>
      <c r="W102" s="42">
        <f t="shared" si="56"/>
        <v>472.34788080892986</v>
      </c>
      <c r="X102" s="42">
        <f t="shared" si="57"/>
        <v>2.9021247635315506</v>
      </c>
      <c r="Y102" s="111">
        <f>1.0519*449.05</f>
        <v>472.35569500000003</v>
      </c>
      <c r="Z102" s="111">
        <f>1.0519*449.05</f>
        <v>472.35569500000003</v>
      </c>
      <c r="AA102" s="139">
        <v>284</v>
      </c>
      <c r="AB102" s="110">
        <v>7821111.5999999996</v>
      </c>
      <c r="AC102" s="139">
        <v>452179.96</v>
      </c>
      <c r="AD102" s="140">
        <v>243626.3</v>
      </c>
      <c r="AE102" s="96">
        <v>8029665.2999999998</v>
      </c>
      <c r="AF102" s="5"/>
    </row>
    <row r="103" spans="1:241" ht="16.5" customHeight="1" x14ac:dyDescent="0.25">
      <c r="A103" s="35">
        <v>91</v>
      </c>
      <c r="B103" s="34" t="s">
        <v>119</v>
      </c>
      <c r="C103" s="105" t="s">
        <v>85</v>
      </c>
      <c r="D103" s="96"/>
      <c r="E103" s="96">
        <v>0</v>
      </c>
      <c r="F103" s="96">
        <v>61303657.200000003</v>
      </c>
      <c r="G103" s="96">
        <v>72663844.400000006</v>
      </c>
      <c r="H103" s="96"/>
      <c r="I103" s="96"/>
      <c r="J103" s="96">
        <v>72663844.400000006</v>
      </c>
      <c r="K103" s="96">
        <v>555990.13399999996</v>
      </c>
      <c r="L103" s="96">
        <v>66035.018400000001</v>
      </c>
      <c r="M103" s="66">
        <v>489955.11599999998</v>
      </c>
      <c r="N103" s="96">
        <v>91618124.5</v>
      </c>
      <c r="O103" s="96">
        <v>1372309.6</v>
      </c>
      <c r="P103" s="46">
        <f>222336.53*444.08</f>
        <v>98735206.242399991</v>
      </c>
      <c r="Q103" s="99">
        <f t="shared" si="46"/>
        <v>3.0137964003320227E-4</v>
      </c>
      <c r="R103" s="58">
        <v>90424628</v>
      </c>
      <c r="S103" s="99">
        <f t="shared" si="52"/>
        <v>2.7740300965119934E-4</v>
      </c>
      <c r="T103" s="104">
        <f t="shared" si="53"/>
        <v>-8.4170363932770803E-2</v>
      </c>
      <c r="U103" s="40">
        <f t="shared" si="54"/>
        <v>7.3027691526693372E-4</v>
      </c>
      <c r="V103" s="41">
        <f t="shared" si="55"/>
        <v>5.4183813285911446E-3</v>
      </c>
      <c r="W103" s="42">
        <f t="shared" si="56"/>
        <v>36.381079749022824</v>
      </c>
      <c r="X103" s="42">
        <f t="shared" si="57"/>
        <v>0.19712656322609068</v>
      </c>
      <c r="Y103" s="111">
        <v>353.93060000000003</v>
      </c>
      <c r="Z103" s="111">
        <v>353.93060000000003</v>
      </c>
      <c r="AA103" s="139">
        <v>5</v>
      </c>
      <c r="AB103" s="139">
        <v>255485</v>
      </c>
      <c r="AC103" s="139"/>
      <c r="AD103" s="139"/>
      <c r="AE103" s="139">
        <v>2485485</v>
      </c>
      <c r="AF103" s="5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</row>
    <row r="104" spans="1:241" s="22" customFormat="1" ht="16.5" customHeight="1" x14ac:dyDescent="0.3">
      <c r="A104" s="35">
        <v>92</v>
      </c>
      <c r="B104" s="34" t="s">
        <v>105</v>
      </c>
      <c r="C104" s="34" t="s">
        <v>22</v>
      </c>
      <c r="D104" s="96"/>
      <c r="E104" s="96"/>
      <c r="F104" s="96">
        <f>102022921.41*449.05</f>
        <v>45813392859.1605</v>
      </c>
      <c r="G104" s="96">
        <f>321974291.82*449.05</f>
        <v>144582555741.771</v>
      </c>
      <c r="H104" s="141"/>
      <c r="I104" s="96"/>
      <c r="J104" s="96">
        <f>424147250.6*449.05</f>
        <v>190463322881.93002</v>
      </c>
      <c r="K104" s="96">
        <f>3079426.4*449.05</f>
        <v>1382816424.9200001</v>
      </c>
      <c r="L104" s="96">
        <f>685990.54*449.05</f>
        <v>308044051.98700005</v>
      </c>
      <c r="M104" s="66">
        <f>2393435.86*449.05</f>
        <v>1074772372.9330001</v>
      </c>
      <c r="N104" s="96">
        <f>428222002.46*449.05</f>
        <v>192293090204.66299</v>
      </c>
      <c r="O104" s="96">
        <f>2158340.22*449.05</f>
        <v>969202675.79100013</v>
      </c>
      <c r="P104" s="46">
        <f>416285677.16*444.08</f>
        <v>184864143513.2128</v>
      </c>
      <c r="Q104" s="99">
        <f t="shared" si="46"/>
        <v>0.5642798668012794</v>
      </c>
      <c r="R104" s="58">
        <f>426063662.24*449.05</f>
        <v>191323887528.87201</v>
      </c>
      <c r="S104" s="99">
        <f t="shared" si="52"/>
        <v>0.58693990113707362</v>
      </c>
      <c r="T104" s="104">
        <f t="shared" si="53"/>
        <v>3.4943196083871794E-2</v>
      </c>
      <c r="U104" s="40">
        <f t="shared" si="54"/>
        <v>1.6100658206650448E-3</v>
      </c>
      <c r="V104" s="41">
        <f t="shared" si="55"/>
        <v>5.6175545396588804E-3</v>
      </c>
      <c r="W104" s="42">
        <f t="shared" si="56"/>
        <v>612.86979788246822</v>
      </c>
      <c r="X104" s="42">
        <f t="shared" si="57"/>
        <v>3.4428295153144801</v>
      </c>
      <c r="Y104" s="111">
        <f>1.3648*449.05</f>
        <v>612.86343999999997</v>
      </c>
      <c r="Z104" s="111">
        <f>1.3648*449.05</f>
        <v>612.86343999999997</v>
      </c>
      <c r="AA104" s="139">
        <v>4455</v>
      </c>
      <c r="AB104" s="110">
        <v>306736963.39999998</v>
      </c>
      <c r="AC104" s="110">
        <v>14660814.710000001</v>
      </c>
      <c r="AD104" s="110">
        <v>9220724.8599999994</v>
      </c>
      <c r="AE104" s="96">
        <v>312177053.25</v>
      </c>
      <c r="AF104" s="20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</row>
    <row r="105" spans="1:241" ht="16.5" customHeight="1" x14ac:dyDescent="0.25">
      <c r="A105" s="35">
        <v>93</v>
      </c>
      <c r="B105" s="105" t="s">
        <v>108</v>
      </c>
      <c r="C105" s="105" t="s">
        <v>43</v>
      </c>
      <c r="D105" s="96"/>
      <c r="E105" s="96"/>
      <c r="F105" s="96">
        <f>4774038.28*449.05</f>
        <v>2143781889.6340001</v>
      </c>
      <c r="G105" s="96">
        <f>28944442.89*449.05</f>
        <v>12997502079.754501</v>
      </c>
      <c r="H105" s="96"/>
      <c r="I105" s="96"/>
      <c r="J105" s="96">
        <f>33718481.17*449.05</f>
        <v>15141283969.388502</v>
      </c>
      <c r="K105" s="96">
        <f>-554687.3*449.05</f>
        <v>-249082332.06500003</v>
      </c>
      <c r="L105" s="96">
        <f>105556.99*449.05</f>
        <v>47400366.359500006</v>
      </c>
      <c r="M105" s="66">
        <f>-660244.29*449.05</f>
        <v>-296482698.42450005</v>
      </c>
      <c r="N105" s="96">
        <f>33740488.48*449.05</f>
        <v>15151166351.943998</v>
      </c>
      <c r="O105" s="96">
        <f>286387.94*449.05</f>
        <v>128602504.457</v>
      </c>
      <c r="P105" s="46">
        <f>58233094.94*444.08</f>
        <v>25860152800.955196</v>
      </c>
      <c r="Q105" s="99">
        <f t="shared" si="46"/>
        <v>7.8935608066908719E-2</v>
      </c>
      <c r="R105" s="58">
        <f>33454100.55*449.05</f>
        <v>15022563851.977501</v>
      </c>
      <c r="S105" s="99">
        <f t="shared" si="52"/>
        <v>4.6085944917748214E-2</v>
      </c>
      <c r="T105" s="104">
        <f t="shared" si="53"/>
        <v>-0.41908449004127257</v>
      </c>
      <c r="U105" s="40">
        <f t="shared" si="54"/>
        <v>3.1552780754704824E-3</v>
      </c>
      <c r="V105" s="41">
        <f t="shared" si="55"/>
        <v>-1.9735825478649733E-2</v>
      </c>
      <c r="W105" s="42">
        <f t="shared" si="56"/>
        <v>457.33439574472828</v>
      </c>
      <c r="X105" s="42">
        <f t="shared" si="57"/>
        <v>-9.0258718198016883</v>
      </c>
      <c r="Y105" s="111">
        <f>1.05*449.05</f>
        <v>471.50250000000005</v>
      </c>
      <c r="Z105" s="111">
        <f>1.05*449.05</f>
        <v>471.50250000000005</v>
      </c>
      <c r="AA105" s="139">
        <v>342</v>
      </c>
      <c r="AB105" s="139">
        <v>57832057.630000003</v>
      </c>
      <c r="AC105" s="139">
        <v>266260</v>
      </c>
      <c r="AD105" s="139">
        <v>25250222.25</v>
      </c>
      <c r="AE105" s="96">
        <v>32848095.379999999</v>
      </c>
      <c r="AF105" s="5"/>
    </row>
    <row r="106" spans="1:241" ht="16.5" customHeight="1" x14ac:dyDescent="0.25">
      <c r="A106" s="71"/>
      <c r="B106" s="142"/>
      <c r="C106" s="88" t="s">
        <v>49</v>
      </c>
      <c r="D106" s="72">
        <f>SUM(D86:D105)</f>
        <v>0</v>
      </c>
      <c r="E106" s="72"/>
      <c r="F106" s="72">
        <f>SUM(F86:F105)</f>
        <v>52765465158.650002</v>
      </c>
      <c r="G106" s="72">
        <f>SUM(G86:G105)</f>
        <v>263516268717.34204</v>
      </c>
      <c r="H106" s="72"/>
      <c r="I106" s="72"/>
      <c r="J106" s="72">
        <f t="shared" ref="J106:O106" si="58">SUM(J86:J105)</f>
        <v>316833384040.85901</v>
      </c>
      <c r="K106" s="72">
        <f t="shared" si="58"/>
        <v>1937904291.4049997</v>
      </c>
      <c r="L106" s="72">
        <f t="shared" si="58"/>
        <v>647467222.95190012</v>
      </c>
      <c r="M106" s="72">
        <f t="shared" si="58"/>
        <v>1435931783.0915003</v>
      </c>
      <c r="N106" s="72">
        <f t="shared" si="58"/>
        <v>327846113606.13647</v>
      </c>
      <c r="O106" s="72">
        <f t="shared" si="58"/>
        <v>2803700219.8514996</v>
      </c>
      <c r="P106" s="61">
        <f>SUM(P87:P105)</f>
        <v>327610737843.87878</v>
      </c>
      <c r="Q106" s="116">
        <f>(P106/$P$158)</f>
        <v>0.23912750632399496</v>
      </c>
      <c r="R106" s="60">
        <f>SUM(R87:R105)</f>
        <v>325968446101.9295</v>
      </c>
      <c r="S106" s="116">
        <f>(R106/$R$158)</f>
        <v>0.22918647714893103</v>
      </c>
      <c r="T106" s="117">
        <f t="shared" si="48"/>
        <v>-5.0129362448794509E-3</v>
      </c>
      <c r="U106" s="51"/>
      <c r="V106" s="52"/>
      <c r="W106" s="53"/>
      <c r="X106" s="53"/>
      <c r="Y106" s="115"/>
      <c r="Z106" s="115"/>
      <c r="AA106" s="73">
        <f>SUM(AA87:AA105)</f>
        <v>11062</v>
      </c>
      <c r="AB106" s="73"/>
      <c r="AC106" s="73"/>
      <c r="AD106" s="73"/>
      <c r="AE106" s="115"/>
      <c r="AF106" s="5"/>
    </row>
    <row r="107" spans="1:241" ht="16.5" customHeight="1" x14ac:dyDescent="0.25">
      <c r="A107" s="160" t="s">
        <v>120</v>
      </c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2"/>
      <c r="AF107" s="5"/>
    </row>
    <row r="108" spans="1:241" ht="16.5" customHeight="1" x14ac:dyDescent="0.25">
      <c r="A108" s="35">
        <v>94</v>
      </c>
      <c r="B108" s="34" t="s">
        <v>124</v>
      </c>
      <c r="C108" s="34" t="s">
        <v>28</v>
      </c>
      <c r="D108" s="111"/>
      <c r="E108" s="74"/>
      <c r="F108" s="111">
        <v>6877486508</v>
      </c>
      <c r="G108" s="78"/>
      <c r="H108" s="111">
        <v>785675349</v>
      </c>
      <c r="I108" s="75"/>
      <c r="J108" s="111">
        <v>7663579376</v>
      </c>
      <c r="K108" s="111">
        <v>87672164</v>
      </c>
      <c r="L108" s="75">
        <v>21836010</v>
      </c>
      <c r="M108" s="76">
        <v>104708846</v>
      </c>
      <c r="N108" s="111">
        <v>7891125223</v>
      </c>
      <c r="O108" s="111">
        <v>373329589</v>
      </c>
      <c r="P108" s="46">
        <v>7622504185</v>
      </c>
      <c r="Q108" s="99">
        <f>(P108/$P$112)</f>
        <v>0.16679304025212227</v>
      </c>
      <c r="R108" s="58">
        <v>7517795634</v>
      </c>
      <c r="S108" s="99">
        <f>(R108/$R$112)</f>
        <v>0.16454553248446757</v>
      </c>
      <c r="T108" s="104">
        <f>((R108-P108)/P108)</f>
        <v>-1.3736765301625086E-2</v>
      </c>
      <c r="U108" s="40">
        <f>(L108/R108)</f>
        <v>2.9045761634227474E-3</v>
      </c>
      <c r="V108" s="41">
        <f>M108/R108</f>
        <v>1.3928131475993246E-2</v>
      </c>
      <c r="W108" s="42">
        <f>R108/AE108</f>
        <v>101.38632008091706</v>
      </c>
      <c r="X108" s="42">
        <f>M108/AE108</f>
        <v>1.4121219959541469</v>
      </c>
      <c r="Y108" s="77">
        <v>101.39</v>
      </c>
      <c r="Z108" s="77">
        <v>101.39</v>
      </c>
      <c r="AA108" s="110">
        <v>55</v>
      </c>
      <c r="AB108" s="110">
        <v>74150000</v>
      </c>
      <c r="AC108" s="110">
        <v>0</v>
      </c>
      <c r="AD108" s="110">
        <v>0</v>
      </c>
      <c r="AE108" s="110">
        <v>74150000</v>
      </c>
      <c r="AF108" s="5"/>
    </row>
    <row r="109" spans="1:241" ht="16.5" customHeight="1" x14ac:dyDescent="0.25">
      <c r="A109" s="35">
        <v>95</v>
      </c>
      <c r="B109" s="34" t="s">
        <v>121</v>
      </c>
      <c r="C109" s="34" t="s">
        <v>99</v>
      </c>
      <c r="D109" s="111"/>
      <c r="E109" s="74"/>
      <c r="F109" s="74"/>
      <c r="G109" s="111">
        <v>320677680.35000002</v>
      </c>
      <c r="H109" s="111">
        <v>1820390000</v>
      </c>
      <c r="I109" s="75">
        <v>1839310.49</v>
      </c>
      <c r="J109" s="111">
        <v>2142906990.8399999</v>
      </c>
      <c r="K109" s="111">
        <v>23031907.57</v>
      </c>
      <c r="L109" s="98">
        <v>5854508.6299999999</v>
      </c>
      <c r="M109" s="76">
        <v>17177398.940000001</v>
      </c>
      <c r="N109" s="111">
        <v>2568392748.0900002</v>
      </c>
      <c r="O109" s="111">
        <v>291438152.05000001</v>
      </c>
      <c r="P109" s="46">
        <v>2275777197.0999999</v>
      </c>
      <c r="Q109" s="99">
        <f>(P109/$P$112)</f>
        <v>4.9797781467634875E-2</v>
      </c>
      <c r="R109" s="58">
        <v>2276954596.04</v>
      </c>
      <c r="S109" s="99">
        <f t="shared" ref="S109:S111" si="59">(R109/$R$112)</f>
        <v>4.9836777253415503E-2</v>
      </c>
      <c r="T109" s="104">
        <f t="shared" ref="T109:T111" si="60">((R109-P109)/P109)</f>
        <v>5.1736125201553337E-4</v>
      </c>
      <c r="U109" s="40">
        <f t="shared" ref="U109:U111" si="61">(L109/R109)</f>
        <v>2.5712013055429199E-3</v>
      </c>
      <c r="V109" s="41">
        <f t="shared" ref="V109:V111" si="62">M109/R109</f>
        <v>7.544023482011602E-3</v>
      </c>
      <c r="W109" s="42">
        <f t="shared" ref="W109:W111" si="63">R109/AE109</f>
        <v>113.847729802</v>
      </c>
      <c r="X109" s="42">
        <f t="shared" ref="X109:X111" si="64">M109/AE109</f>
        <v>0.85886994700000008</v>
      </c>
      <c r="Y109" s="45">
        <v>68.599999999999994</v>
      </c>
      <c r="Z109" s="45">
        <v>68.599999999999994</v>
      </c>
      <c r="AA109" s="111">
        <v>2702</v>
      </c>
      <c r="AB109" s="111">
        <v>20000000</v>
      </c>
      <c r="AC109" s="111">
        <v>0</v>
      </c>
      <c r="AD109" s="111">
        <v>0</v>
      </c>
      <c r="AE109" s="111">
        <v>20000000</v>
      </c>
      <c r="AF109" s="5"/>
    </row>
    <row r="110" spans="1:241" ht="16.5" customHeight="1" x14ac:dyDescent="0.25">
      <c r="A110" s="35">
        <v>96</v>
      </c>
      <c r="B110" s="34" t="s">
        <v>122</v>
      </c>
      <c r="C110" s="34" t="s">
        <v>99</v>
      </c>
      <c r="D110" s="111"/>
      <c r="E110" s="74"/>
      <c r="F110" s="64">
        <v>85629746.390000001</v>
      </c>
      <c r="G110" s="111">
        <v>396073488.50999999</v>
      </c>
      <c r="H110" s="111">
        <v>9820058627.3999996</v>
      </c>
      <c r="I110" s="75">
        <v>176164432.63999999</v>
      </c>
      <c r="J110" s="111">
        <v>10477926294.940001</v>
      </c>
      <c r="K110" s="111">
        <v>65643093.789999999</v>
      </c>
      <c r="L110" s="98">
        <v>23911554.77</v>
      </c>
      <c r="M110" s="76">
        <v>41731539.020000003</v>
      </c>
      <c r="N110" s="111">
        <v>11206406690.32</v>
      </c>
      <c r="O110" s="111">
        <v>1251280576.73</v>
      </c>
      <c r="P110" s="46">
        <v>9913394574.4899998</v>
      </c>
      <c r="Q110" s="99">
        <f>(P110/$P$112)</f>
        <v>0.21692152344788526</v>
      </c>
      <c r="R110" s="58">
        <v>9995126113.5100002</v>
      </c>
      <c r="S110" s="99">
        <f t="shared" si="59"/>
        <v>0.2187680310380874</v>
      </c>
      <c r="T110" s="104">
        <f t="shared" si="60"/>
        <v>8.2445562320619305E-3</v>
      </c>
      <c r="U110" s="40">
        <f t="shared" si="61"/>
        <v>2.3923214673279344E-3</v>
      </c>
      <c r="V110" s="41">
        <f t="shared" si="62"/>
        <v>4.1751888416488511E-3</v>
      </c>
      <c r="W110" s="42">
        <f t="shared" si="63"/>
        <v>53.129655004081123</v>
      </c>
      <c r="X110" s="42">
        <f t="shared" si="64"/>
        <v>0.22182634273369256</v>
      </c>
      <c r="Y110" s="77">
        <v>36.6</v>
      </c>
      <c r="Z110" s="77">
        <v>36.6</v>
      </c>
      <c r="AA110" s="110">
        <v>5252</v>
      </c>
      <c r="AB110" s="110">
        <v>188127066</v>
      </c>
      <c r="AC110" s="110">
        <v>0</v>
      </c>
      <c r="AD110" s="110">
        <v>0</v>
      </c>
      <c r="AE110" s="110">
        <v>188127066</v>
      </c>
      <c r="AF110" s="5"/>
    </row>
    <row r="111" spans="1:241" s="30" customFormat="1" ht="16.5" customHeight="1" x14ac:dyDescent="0.25">
      <c r="A111" s="35">
        <v>97</v>
      </c>
      <c r="B111" s="34" t="s">
        <v>123</v>
      </c>
      <c r="C111" s="105" t="s">
        <v>177</v>
      </c>
      <c r="D111" s="111"/>
      <c r="E111" s="64">
        <f>917280477.56+12516407.84</f>
        <v>929796885.39999998</v>
      </c>
      <c r="F111" s="111">
        <v>2025490439.8800001</v>
      </c>
      <c r="G111" s="111">
        <v>1574721460.1900001</v>
      </c>
      <c r="H111" s="111">
        <v>21480000000</v>
      </c>
      <c r="I111" s="75"/>
      <c r="J111" s="111">
        <v>26010008785.470001</v>
      </c>
      <c r="K111" s="111">
        <v>144069537.56</v>
      </c>
      <c r="L111" s="64">
        <v>81566577.159999996</v>
      </c>
      <c r="M111" s="76">
        <v>62502960.399999999</v>
      </c>
      <c r="N111" s="111">
        <v>26046046636.610001</v>
      </c>
      <c r="O111" s="111">
        <v>-147683861.84999999</v>
      </c>
      <c r="P111" s="46">
        <v>25888697233.310001</v>
      </c>
      <c r="Q111" s="99">
        <f>(P111/$P$112)</f>
        <v>0.56648765483235763</v>
      </c>
      <c r="R111" s="58">
        <v>25898362774.759998</v>
      </c>
      <c r="S111" s="99">
        <f t="shared" si="59"/>
        <v>0.56684965922402952</v>
      </c>
      <c r="T111" s="104">
        <f t="shared" si="60"/>
        <v>3.7334985854601692E-4</v>
      </c>
      <c r="U111" s="40">
        <f t="shared" si="61"/>
        <v>3.1494877830460029E-3</v>
      </c>
      <c r="V111" s="41">
        <f t="shared" si="62"/>
        <v>2.4133942729736599E-3</v>
      </c>
      <c r="W111" s="42">
        <f t="shared" si="63"/>
        <v>9.7060520965966894</v>
      </c>
      <c r="X111" s="42">
        <f t="shared" si="64"/>
        <v>2.3424530543110431E-2</v>
      </c>
      <c r="Y111" s="77">
        <v>9.7100000000000009</v>
      </c>
      <c r="Z111" s="77">
        <v>9.7100000000000009</v>
      </c>
      <c r="AA111" s="110">
        <v>28836</v>
      </c>
      <c r="AB111" s="110">
        <v>2668269500</v>
      </c>
      <c r="AC111" s="110">
        <v>0</v>
      </c>
      <c r="AD111" s="110">
        <v>0</v>
      </c>
      <c r="AE111" s="96">
        <v>2668269500</v>
      </c>
      <c r="AF111" s="29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</row>
    <row r="112" spans="1:241" ht="16.5" customHeight="1" x14ac:dyDescent="0.25">
      <c r="A112" s="79"/>
      <c r="B112" s="133"/>
      <c r="C112" s="88" t="s">
        <v>49</v>
      </c>
      <c r="D112" s="115"/>
      <c r="E112" s="115"/>
      <c r="F112" s="115">
        <f t="shared" ref="F112:O112" si="65">SUM(F108:F111)</f>
        <v>8988606694.2700005</v>
      </c>
      <c r="G112" s="115">
        <f t="shared" si="65"/>
        <v>2291472629.0500002</v>
      </c>
      <c r="H112" s="115">
        <f t="shared" si="65"/>
        <v>33906123976.400002</v>
      </c>
      <c r="I112" s="115">
        <f t="shared" si="65"/>
        <v>178003743.13</v>
      </c>
      <c r="J112" s="115">
        <f t="shared" si="65"/>
        <v>46294421447.25</v>
      </c>
      <c r="K112" s="115">
        <f t="shared" si="65"/>
        <v>320416702.91999996</v>
      </c>
      <c r="L112" s="115">
        <f t="shared" si="65"/>
        <v>133168650.56</v>
      </c>
      <c r="M112" s="115">
        <f t="shared" si="65"/>
        <v>226120744.36000001</v>
      </c>
      <c r="N112" s="115">
        <f t="shared" si="65"/>
        <v>47711971298.020004</v>
      </c>
      <c r="O112" s="115">
        <f t="shared" si="65"/>
        <v>1768364455.9300001</v>
      </c>
      <c r="P112" s="61">
        <f>SUM(P108:P111)</f>
        <v>45700373189.900002</v>
      </c>
      <c r="Q112" s="116">
        <f>(P112/$P$158)</f>
        <v>3.3357320187058483E-2</v>
      </c>
      <c r="R112" s="60">
        <f>SUM(R108:R111)</f>
        <v>45688239118.309998</v>
      </c>
      <c r="S112" s="116">
        <f>(R112/$R$158)</f>
        <v>3.2123129388386129E-2</v>
      </c>
      <c r="T112" s="117">
        <f>((R112-P112)/P112)</f>
        <v>-2.6551362150989291E-4</v>
      </c>
      <c r="U112" s="51"/>
      <c r="V112" s="52"/>
      <c r="W112" s="53"/>
      <c r="X112" s="53"/>
      <c r="Y112" s="115"/>
      <c r="Z112" s="115"/>
      <c r="AA112" s="118">
        <f>SUM(AA108:AA111)</f>
        <v>36845</v>
      </c>
      <c r="AB112" s="118"/>
      <c r="AC112" s="118"/>
      <c r="AD112" s="118"/>
      <c r="AE112" s="115"/>
      <c r="AF112" s="5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</row>
    <row r="113" spans="1:241" s="30" customFormat="1" ht="18" customHeight="1" x14ac:dyDescent="0.25">
      <c r="A113" s="160" t="s">
        <v>170</v>
      </c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2"/>
      <c r="AF113" s="29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</row>
    <row r="114" spans="1:241" s="30" customFormat="1" ht="16.5" customHeight="1" x14ac:dyDescent="0.25">
      <c r="A114" s="35">
        <v>98</v>
      </c>
      <c r="B114" s="34" t="s">
        <v>128</v>
      </c>
      <c r="C114" s="34" t="s">
        <v>55</v>
      </c>
      <c r="D114" s="111">
        <v>76618081.280000001</v>
      </c>
      <c r="E114" s="111"/>
      <c r="F114" s="111">
        <v>67165561.090000004</v>
      </c>
      <c r="G114" s="111">
        <v>34136278.57</v>
      </c>
      <c r="H114" s="130"/>
      <c r="I114" s="57"/>
      <c r="J114" s="57">
        <v>178476011.53</v>
      </c>
      <c r="K114" s="57">
        <v>1461381.86</v>
      </c>
      <c r="L114" s="111">
        <v>437997.79</v>
      </c>
      <c r="M114" s="38">
        <v>1023384.07</v>
      </c>
      <c r="N114" s="111">
        <v>178476011.53</v>
      </c>
      <c r="O114" s="111">
        <v>11928542.5</v>
      </c>
      <c r="P114" s="58">
        <v>160782438.66999999</v>
      </c>
      <c r="Q114" s="99">
        <f t="shared" ref="Q114:Q138" si="66">(P114/$P$158)</f>
        <v>1.1735727550593814E-4</v>
      </c>
      <c r="R114" s="58">
        <v>166547469.03</v>
      </c>
      <c r="S114" s="99">
        <f>(R114/$R$138)</f>
        <v>5.5011907534968946E-3</v>
      </c>
      <c r="T114" s="104">
        <f>((R114-P114)/P114)</f>
        <v>3.585609478055328E-2</v>
      </c>
      <c r="U114" s="40">
        <f>(L114/R114)</f>
        <v>2.6298675840045575E-3</v>
      </c>
      <c r="V114" s="41">
        <f>M114/R114</f>
        <v>6.1446990216084216E-3</v>
      </c>
      <c r="W114" s="42">
        <f>R114/AE114</f>
        <v>3.7922734942753973</v>
      </c>
      <c r="X114" s="42">
        <f>M114/AE114</f>
        <v>2.3302379229945585E-2</v>
      </c>
      <c r="Y114" s="111">
        <v>3.7566999999999999</v>
      </c>
      <c r="Z114" s="111">
        <v>3.8169</v>
      </c>
      <c r="AA114" s="110">
        <v>11818</v>
      </c>
      <c r="AB114" s="110">
        <v>43917578.539999999</v>
      </c>
      <c r="AC114" s="110"/>
      <c r="AD114" s="110"/>
      <c r="AE114" s="111">
        <v>43917578.539999999</v>
      </c>
      <c r="AF114" s="29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</row>
    <row r="115" spans="1:241" s="30" customFormat="1" ht="16.5" customHeight="1" x14ac:dyDescent="0.25">
      <c r="A115" s="35">
        <v>99</v>
      </c>
      <c r="B115" s="34" t="s">
        <v>158</v>
      </c>
      <c r="C115" s="105" t="s">
        <v>34</v>
      </c>
      <c r="D115" s="111">
        <v>2758321166.8499999</v>
      </c>
      <c r="E115" s="111"/>
      <c r="F115" s="111">
        <v>517475305.89999998</v>
      </c>
      <c r="G115" s="111">
        <v>461863358.86000001</v>
      </c>
      <c r="H115" s="65">
        <v>3493134</v>
      </c>
      <c r="I115" s="57"/>
      <c r="J115" s="57">
        <v>3741152965.6100001</v>
      </c>
      <c r="K115" s="57">
        <v>270078326.43000001</v>
      </c>
      <c r="L115" s="111">
        <v>-15244167.289999999</v>
      </c>
      <c r="M115" s="38">
        <v>402443213.49000001</v>
      </c>
      <c r="N115" s="111">
        <v>4852635477</v>
      </c>
      <c r="O115" s="111">
        <v>-45886081</v>
      </c>
      <c r="P115" s="58">
        <v>4520633488</v>
      </c>
      <c r="Q115" s="99">
        <f t="shared" si="66"/>
        <v>3.2996714946056873E-3</v>
      </c>
      <c r="R115" s="58">
        <v>4806749396</v>
      </c>
      <c r="S115" s="99">
        <f t="shared" ref="S115:S137" si="67">(R115/$R$138)</f>
        <v>0.1587706224877477</v>
      </c>
      <c r="T115" s="104">
        <f t="shared" ref="T115:T137" si="68">((R115-P115)/P115)</f>
        <v>6.3291109257030742E-2</v>
      </c>
      <c r="U115" s="40">
        <f t="shared" ref="U115:U137" si="69">(L115/R115)</f>
        <v>-3.1714087908734402E-3</v>
      </c>
      <c r="V115" s="41">
        <f t="shared" ref="V115:V137" si="70">M115/R115</f>
        <v>8.3724608947763832E-2</v>
      </c>
      <c r="W115" s="42">
        <f t="shared" ref="W115:W137" si="71">R115/AE115</f>
        <v>529.0891350884408</v>
      </c>
      <c r="X115" s="42">
        <f t="shared" ref="X115:X137" si="72">M115/AE115</f>
        <v>44.297780933790293</v>
      </c>
      <c r="Y115" s="111">
        <v>526.44370000000004</v>
      </c>
      <c r="Z115" s="111">
        <v>542.31629999999996</v>
      </c>
      <c r="AA115" s="110">
        <v>1880</v>
      </c>
      <c r="AB115" s="110">
        <v>9105219</v>
      </c>
      <c r="AC115" s="110">
        <v>26533</v>
      </c>
      <c r="AD115" s="110">
        <v>-46800</v>
      </c>
      <c r="AE115" s="111">
        <v>9084952</v>
      </c>
      <c r="AF115" s="29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</row>
    <row r="116" spans="1:241" ht="16.5" customHeight="1" x14ac:dyDescent="0.25">
      <c r="A116" s="35">
        <v>100</v>
      </c>
      <c r="B116" s="34" t="s">
        <v>127</v>
      </c>
      <c r="C116" s="34" t="s">
        <v>97</v>
      </c>
      <c r="D116" s="111">
        <v>459268582.23000002</v>
      </c>
      <c r="E116" s="111"/>
      <c r="F116" s="111">
        <v>218474703.34999999</v>
      </c>
      <c r="G116" s="111">
        <v>358508485.83999997</v>
      </c>
      <c r="H116" s="98">
        <v>21789626.609999999</v>
      </c>
      <c r="I116" s="57"/>
      <c r="J116" s="57">
        <v>1058041398.03</v>
      </c>
      <c r="K116" s="57">
        <v>4625674.88</v>
      </c>
      <c r="L116" s="111">
        <v>1789531.87</v>
      </c>
      <c r="M116" s="38">
        <v>27785916.48</v>
      </c>
      <c r="N116" s="111">
        <v>1079018912.74</v>
      </c>
      <c r="O116" s="111">
        <v>70064015.200000003</v>
      </c>
      <c r="P116" s="58">
        <v>983224116.05999994</v>
      </c>
      <c r="Q116" s="99">
        <f t="shared" si="66"/>
        <v>7.1766857392533117E-4</v>
      </c>
      <c r="R116" s="58">
        <v>1008954897.54</v>
      </c>
      <c r="S116" s="99">
        <f t="shared" si="67"/>
        <v>3.3326554797675476E-2</v>
      </c>
      <c r="T116" s="104">
        <f t="shared" si="68"/>
        <v>2.6169803058847911E-2</v>
      </c>
      <c r="U116" s="40">
        <f t="shared" si="69"/>
        <v>1.7736490247117851E-3</v>
      </c>
      <c r="V116" s="41">
        <f t="shared" si="70"/>
        <v>2.753930482695182E-2</v>
      </c>
      <c r="W116" s="42">
        <f t="shared" si="71"/>
        <v>2.3177020202163896</v>
      </c>
      <c r="X116" s="42">
        <f t="shared" si="72"/>
        <v>6.3827902432781206E-2</v>
      </c>
      <c r="Y116" s="111">
        <v>2.3186</v>
      </c>
      <c r="Z116" s="111">
        <v>2.3654000000000002</v>
      </c>
      <c r="AA116" s="110">
        <v>2767</v>
      </c>
      <c r="AB116" s="111">
        <v>436233209.0535</v>
      </c>
      <c r="AC116" s="110">
        <v>42337</v>
      </c>
      <c r="AD116" s="110">
        <v>950000</v>
      </c>
      <c r="AE116" s="111">
        <v>435325546.0535</v>
      </c>
      <c r="AF116" s="5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</row>
    <row r="117" spans="1:241" s="30" customFormat="1" ht="16.5" customHeight="1" x14ac:dyDescent="0.25">
      <c r="A117" s="35">
        <v>101</v>
      </c>
      <c r="B117" s="34" t="s">
        <v>164</v>
      </c>
      <c r="C117" s="34" t="s">
        <v>78</v>
      </c>
      <c r="D117" s="111">
        <v>967198969.75999999</v>
      </c>
      <c r="E117" s="111"/>
      <c r="F117" s="111">
        <v>829088703.26999998</v>
      </c>
      <c r="G117" s="111">
        <v>468177063.35000002</v>
      </c>
      <c r="H117" s="130"/>
      <c r="I117" s="57"/>
      <c r="J117" s="57">
        <v>2264464736.3800001</v>
      </c>
      <c r="K117" s="57">
        <v>18937936.010000002</v>
      </c>
      <c r="L117" s="111">
        <v>5719824.4100000001</v>
      </c>
      <c r="M117" s="38">
        <v>13572292.199999999</v>
      </c>
      <c r="N117" s="111">
        <v>2271071633.1399999</v>
      </c>
      <c r="O117" s="111">
        <v>34908786.640000001</v>
      </c>
      <c r="P117" s="58">
        <v>2145067885.53</v>
      </c>
      <c r="Q117" s="99">
        <f t="shared" si="66"/>
        <v>1.5657140475258621E-3</v>
      </c>
      <c r="R117" s="58">
        <v>2236162846.5</v>
      </c>
      <c r="S117" s="99">
        <f t="shared" si="67"/>
        <v>7.3862175427374582E-2</v>
      </c>
      <c r="T117" s="104">
        <f t="shared" si="68"/>
        <v>4.2467169260469548E-2</v>
      </c>
      <c r="U117" s="40">
        <f t="shared" si="69"/>
        <v>2.5578747178241342E-3</v>
      </c>
      <c r="V117" s="41">
        <f t="shared" si="70"/>
        <v>6.0694560869048939E-3</v>
      </c>
      <c r="W117" s="42">
        <f t="shared" si="71"/>
        <v>4207.9377651809773</v>
      </c>
      <c r="X117" s="42">
        <f t="shared" si="72"/>
        <v>25.53989348219466</v>
      </c>
      <c r="Y117" s="111">
        <v>4207.9399999999996</v>
      </c>
      <c r="Z117" s="111">
        <v>4237.76</v>
      </c>
      <c r="AA117" s="110">
        <v>825</v>
      </c>
      <c r="AB117" s="110">
        <v>531759.62</v>
      </c>
      <c r="AC117" s="110">
        <v>145.91999999999999</v>
      </c>
      <c r="AD117" s="110">
        <v>490.15</v>
      </c>
      <c r="AE117" s="111">
        <v>531415.38</v>
      </c>
      <c r="AF117" s="29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</row>
    <row r="118" spans="1:241" s="30" customFormat="1" ht="16.5" customHeight="1" x14ac:dyDescent="0.25">
      <c r="A118" s="35">
        <v>102</v>
      </c>
      <c r="B118" s="34" t="s">
        <v>133</v>
      </c>
      <c r="C118" s="105" t="s">
        <v>62</v>
      </c>
      <c r="D118" s="111">
        <v>155930623.80000001</v>
      </c>
      <c r="E118" s="111"/>
      <c r="F118" s="111"/>
      <c r="G118" s="111">
        <v>79456626.290000007</v>
      </c>
      <c r="H118" s="130"/>
      <c r="I118" s="57"/>
      <c r="J118" s="57">
        <v>235387250.09</v>
      </c>
      <c r="K118" s="57">
        <v>1517763.68</v>
      </c>
      <c r="L118" s="57">
        <v>666134.51</v>
      </c>
      <c r="M118" s="38">
        <v>9228940.0399999991</v>
      </c>
      <c r="N118" s="111">
        <v>327701682.33999997</v>
      </c>
      <c r="O118" s="111">
        <v>8085402.8300000001</v>
      </c>
      <c r="P118" s="58">
        <v>314510887.26999998</v>
      </c>
      <c r="Q118" s="99">
        <f t="shared" si="66"/>
        <v>2.2956574830115085E-4</v>
      </c>
      <c r="R118" s="58">
        <v>319616279.50999999</v>
      </c>
      <c r="S118" s="99">
        <f t="shared" si="67"/>
        <v>1.0557171068092159E-2</v>
      </c>
      <c r="T118" s="104">
        <f t="shared" si="68"/>
        <v>1.623279971105469E-2</v>
      </c>
      <c r="U118" s="40">
        <f t="shared" si="69"/>
        <v>2.0841695267251191E-3</v>
      </c>
      <c r="V118" s="41">
        <f t="shared" si="70"/>
        <v>2.8875062478509479E-2</v>
      </c>
      <c r="W118" s="42">
        <f t="shared" si="71"/>
        <v>131.77199967429732</v>
      </c>
      <c r="X118" s="42">
        <f t="shared" si="72"/>
        <v>3.8049247235134658</v>
      </c>
      <c r="Y118" s="111">
        <v>137.63</v>
      </c>
      <c r="Z118" s="111">
        <v>138.63</v>
      </c>
      <c r="AA118" s="110">
        <v>568</v>
      </c>
      <c r="AB118" s="110">
        <v>2481580</v>
      </c>
      <c r="AC118" s="110">
        <v>87772</v>
      </c>
      <c r="AD118" s="110">
        <v>31717</v>
      </c>
      <c r="AE118" s="111">
        <v>2425525</v>
      </c>
      <c r="AF118" s="29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</row>
    <row r="119" spans="1:241" s="30" customFormat="1" ht="16.5" customHeight="1" x14ac:dyDescent="0.25">
      <c r="A119" s="35">
        <v>103</v>
      </c>
      <c r="B119" s="34" t="s">
        <v>149</v>
      </c>
      <c r="C119" s="105" t="s">
        <v>147</v>
      </c>
      <c r="D119" s="111">
        <v>551021.19999999995</v>
      </c>
      <c r="E119" s="111"/>
      <c r="F119" s="111">
        <v>2464246.58</v>
      </c>
      <c r="G119" s="111">
        <v>794742.62</v>
      </c>
      <c r="H119" s="111"/>
      <c r="I119" s="111"/>
      <c r="J119" s="111">
        <v>3810010.4</v>
      </c>
      <c r="K119" s="111">
        <v>48625.77</v>
      </c>
      <c r="L119" s="111">
        <v>8413.9699999999993</v>
      </c>
      <c r="M119" s="38">
        <v>40238.800000000003</v>
      </c>
      <c r="N119" s="111">
        <v>3843632.87</v>
      </c>
      <c r="O119" s="111">
        <v>282222.93</v>
      </c>
      <c r="P119" s="58">
        <v>3687726.17</v>
      </c>
      <c r="Q119" s="99">
        <f t="shared" si="66"/>
        <v>2.691721183626379E-6</v>
      </c>
      <c r="R119" s="58">
        <v>3561409.94</v>
      </c>
      <c r="S119" s="99">
        <f t="shared" si="67"/>
        <v>1.1763610426172761E-4</v>
      </c>
      <c r="T119" s="104">
        <f t="shared" si="68"/>
        <v>-3.4253147922856754E-2</v>
      </c>
      <c r="U119" s="40">
        <f t="shared" si="69"/>
        <v>2.3625390341893635E-3</v>
      </c>
      <c r="V119" s="41">
        <f t="shared" si="70"/>
        <v>1.1298558907262442E-2</v>
      </c>
      <c r="W119" s="42">
        <f t="shared" si="71"/>
        <v>103.76463900705087</v>
      </c>
      <c r="X119" s="42">
        <f t="shared" si="72"/>
        <v>1.1723908863119865</v>
      </c>
      <c r="Y119" s="111">
        <v>97.94</v>
      </c>
      <c r="Z119" s="111">
        <v>97.7</v>
      </c>
      <c r="AA119" s="110">
        <v>87</v>
      </c>
      <c r="AB119" s="111">
        <v>34322</v>
      </c>
      <c r="AC119" s="110"/>
      <c r="AD119" s="110">
        <v>0</v>
      </c>
      <c r="AE119" s="111">
        <v>34322</v>
      </c>
      <c r="AF119" s="29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</row>
    <row r="120" spans="1:241" s="30" customFormat="1" ht="16.5" customHeight="1" x14ac:dyDescent="0.25">
      <c r="A120" s="35">
        <v>104</v>
      </c>
      <c r="B120" s="34" t="s">
        <v>132</v>
      </c>
      <c r="C120" s="105" t="s">
        <v>68</v>
      </c>
      <c r="D120" s="111">
        <v>56374055.149999999</v>
      </c>
      <c r="E120" s="111"/>
      <c r="F120" s="111">
        <v>20710218.899999999</v>
      </c>
      <c r="G120" s="111">
        <v>36100751.090000004</v>
      </c>
      <c r="H120" s="130"/>
      <c r="I120" s="57"/>
      <c r="J120" s="57">
        <v>113185025.14</v>
      </c>
      <c r="K120" s="57">
        <v>1368724.77</v>
      </c>
      <c r="L120" s="111">
        <v>372592.71</v>
      </c>
      <c r="M120" s="38">
        <v>2981684.27</v>
      </c>
      <c r="N120" s="111">
        <v>125006123.63</v>
      </c>
      <c r="O120" s="111">
        <v>2465532.2799999998</v>
      </c>
      <c r="P120" s="58">
        <v>119398306.94</v>
      </c>
      <c r="Q120" s="99">
        <f t="shared" si="66"/>
        <v>8.7150438309122738E-5</v>
      </c>
      <c r="R120" s="58">
        <v>122540591.34</v>
      </c>
      <c r="S120" s="99">
        <f t="shared" si="67"/>
        <v>4.0476098011805956E-3</v>
      </c>
      <c r="T120" s="104">
        <f t="shared" si="68"/>
        <v>2.6317662959652065E-2</v>
      </c>
      <c r="U120" s="40">
        <f t="shared" si="69"/>
        <v>3.0405656274842653E-3</v>
      </c>
      <c r="V120" s="41">
        <f t="shared" si="70"/>
        <v>2.4332217083293209E-2</v>
      </c>
      <c r="W120" s="42">
        <f t="shared" si="71"/>
        <v>1.2010904688715012</v>
      </c>
      <c r="X120" s="42">
        <f t="shared" si="72"/>
        <v>2.9225194025255793E-2</v>
      </c>
      <c r="Y120" s="111">
        <v>1.1941999999999999</v>
      </c>
      <c r="Z120" s="111">
        <v>1.2061999999999999</v>
      </c>
      <c r="AA120" s="110">
        <v>207</v>
      </c>
      <c r="AB120" s="110">
        <v>101890946.45</v>
      </c>
      <c r="AC120" s="111">
        <v>141352.28</v>
      </c>
      <c r="AD120" s="111">
        <v>7851.35</v>
      </c>
      <c r="AE120" s="96">
        <v>102024447.38</v>
      </c>
      <c r="AF120" s="29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</row>
    <row r="121" spans="1:241" s="30" customFormat="1" ht="16.5" customHeight="1" x14ac:dyDescent="0.25">
      <c r="A121" s="35">
        <v>105</v>
      </c>
      <c r="B121" s="81" t="s">
        <v>201</v>
      </c>
      <c r="C121" s="82" t="s">
        <v>202</v>
      </c>
      <c r="D121" s="111"/>
      <c r="E121" s="111">
        <v>0</v>
      </c>
      <c r="F121" s="111">
        <f>128376439.64+21432318.47</f>
        <v>149808758.11000001</v>
      </c>
      <c r="G121" s="111"/>
      <c r="H121" s="130"/>
      <c r="I121" s="57"/>
      <c r="J121" s="57">
        <v>165517288.15000001</v>
      </c>
      <c r="K121" s="57">
        <v>1588018.13</v>
      </c>
      <c r="L121" s="111">
        <v>361279.91</v>
      </c>
      <c r="M121" s="38">
        <v>1226738.22</v>
      </c>
      <c r="N121" s="111">
        <v>165517288.15000001</v>
      </c>
      <c r="O121" s="111">
        <v>2269392.6</v>
      </c>
      <c r="P121" s="58">
        <v>161345828.36000001</v>
      </c>
      <c r="Q121" s="99">
        <f t="shared" si="66"/>
        <v>1.1776850125679418E-4</v>
      </c>
      <c r="R121" s="58">
        <v>163247895.56</v>
      </c>
      <c r="S121" s="99">
        <f t="shared" si="67"/>
        <v>5.3922033088400316E-3</v>
      </c>
      <c r="T121" s="104">
        <f t="shared" si="68"/>
        <v>1.178875970537047E-2</v>
      </c>
      <c r="U121" s="40">
        <f t="shared" si="69"/>
        <v>2.213075450441047E-3</v>
      </c>
      <c r="V121" s="41">
        <f t="shared" si="70"/>
        <v>7.514572949267365E-3</v>
      </c>
      <c r="W121" s="42">
        <f t="shared" si="71"/>
        <v>103.25917061418018</v>
      </c>
      <c r="X121" s="42">
        <f t="shared" si="72"/>
        <v>0.77594857026110198</v>
      </c>
      <c r="Y121" s="111">
        <v>100</v>
      </c>
      <c r="Z121" s="111">
        <v>103.26</v>
      </c>
      <c r="AA121" s="110">
        <v>37</v>
      </c>
      <c r="AB121" s="110">
        <v>1562533</v>
      </c>
      <c r="AC121" s="110">
        <v>41814</v>
      </c>
      <c r="AD121" s="110">
        <v>23394</v>
      </c>
      <c r="AE121" s="111">
        <v>1580953</v>
      </c>
      <c r="AF121" s="29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</row>
    <row r="122" spans="1:241" s="30" customFormat="1" ht="16.5" customHeight="1" x14ac:dyDescent="0.25">
      <c r="A122" s="35">
        <v>106</v>
      </c>
      <c r="B122" s="34" t="s">
        <v>210</v>
      </c>
      <c r="C122" s="105" t="s">
        <v>151</v>
      </c>
      <c r="D122" s="111">
        <v>103602197.84999999</v>
      </c>
      <c r="E122" s="111"/>
      <c r="F122" s="111"/>
      <c r="G122" s="111">
        <v>72399032.299999997</v>
      </c>
      <c r="H122" s="130"/>
      <c r="I122" s="57">
        <v>883562.78</v>
      </c>
      <c r="J122" s="57">
        <v>176884792.93000001</v>
      </c>
      <c r="K122" s="57">
        <v>4027690.89</v>
      </c>
      <c r="L122" s="111">
        <v>589751.01</v>
      </c>
      <c r="M122" s="38">
        <v>3629217.06</v>
      </c>
      <c r="N122" s="111">
        <v>218145853.27000001</v>
      </c>
      <c r="O122" s="111">
        <v>201676461.88</v>
      </c>
      <c r="P122" s="58">
        <v>206704067.99000001</v>
      </c>
      <c r="Q122" s="99">
        <f t="shared" si="66"/>
        <v>1.5087609353338466E-4</v>
      </c>
      <c r="R122" s="58">
        <v>216475350.62</v>
      </c>
      <c r="S122" s="99">
        <f t="shared" si="67"/>
        <v>7.1503470099340376E-3</v>
      </c>
      <c r="T122" s="104">
        <f t="shared" si="68"/>
        <v>4.7271844840870346E-2</v>
      </c>
      <c r="U122" s="40">
        <f t="shared" si="69"/>
        <v>2.7243333169846514E-3</v>
      </c>
      <c r="V122" s="41">
        <f t="shared" si="70"/>
        <v>1.6765036063485648E-2</v>
      </c>
      <c r="W122" s="42">
        <f t="shared" si="71"/>
        <v>1.0803015651472705</v>
      </c>
      <c r="X122" s="42">
        <f t="shared" si="72"/>
        <v>1.811129469913398E-2</v>
      </c>
      <c r="Y122" s="111">
        <v>1.08</v>
      </c>
      <c r="Z122" s="111">
        <v>1.08</v>
      </c>
      <c r="AA122" s="110">
        <v>78</v>
      </c>
      <c r="AB122" s="110">
        <v>200243473.84</v>
      </c>
      <c r="AC122" s="110">
        <v>9801615.2799999993</v>
      </c>
      <c r="AD122" s="110">
        <v>9660902.3300000001</v>
      </c>
      <c r="AE122" s="111">
        <v>200384186.78999999</v>
      </c>
      <c r="AF122" s="29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</row>
    <row r="123" spans="1:241" s="30" customFormat="1" ht="16.5" customHeight="1" x14ac:dyDescent="0.25">
      <c r="A123" s="35">
        <v>107</v>
      </c>
      <c r="B123" s="105" t="s">
        <v>129</v>
      </c>
      <c r="C123" s="105" t="s">
        <v>52</v>
      </c>
      <c r="D123" s="111">
        <v>2003288345.4000001</v>
      </c>
      <c r="E123" s="111"/>
      <c r="F123" s="143">
        <v>1674133975.25</v>
      </c>
      <c r="G123" s="111">
        <v>1250309136.5</v>
      </c>
      <c r="H123" s="120"/>
      <c r="I123" s="80"/>
      <c r="J123" s="57">
        <v>4888654200.6400003</v>
      </c>
      <c r="K123" s="57">
        <v>31531891.16</v>
      </c>
      <c r="L123" s="111">
        <v>-7668734.54</v>
      </c>
      <c r="M123" s="38">
        <v>140826466.13</v>
      </c>
      <c r="N123" s="111">
        <v>4921061097.1000004</v>
      </c>
      <c r="O123" s="111">
        <v>-32406896.460000001</v>
      </c>
      <c r="P123" s="58">
        <v>4744880870.3699999</v>
      </c>
      <c r="Q123" s="99">
        <f t="shared" si="66"/>
        <v>3.4633526904625078E-3</v>
      </c>
      <c r="R123" s="58">
        <v>4888654200.6400003</v>
      </c>
      <c r="S123" s="99">
        <f t="shared" si="67"/>
        <v>0.16147600105985543</v>
      </c>
      <c r="T123" s="104">
        <f t="shared" si="68"/>
        <v>3.0300724970317158E-2</v>
      </c>
      <c r="U123" s="40">
        <f t="shared" si="69"/>
        <v>-1.5686800958423371E-3</v>
      </c>
      <c r="V123" s="41">
        <f t="shared" si="70"/>
        <v>2.8806796379986059E-2</v>
      </c>
      <c r="W123" s="42">
        <f t="shared" si="71"/>
        <v>199.65894388857808</v>
      </c>
      <c r="X123" s="42">
        <f t="shared" si="72"/>
        <v>5.7515345420413304</v>
      </c>
      <c r="Y123" s="111">
        <v>199.66</v>
      </c>
      <c r="Z123" s="111">
        <v>201.01</v>
      </c>
      <c r="AA123" s="110">
        <v>5451</v>
      </c>
      <c r="AB123" s="110">
        <v>24495674.539999999</v>
      </c>
      <c r="AC123" s="110">
        <v>1067.47</v>
      </c>
      <c r="AD123" s="110">
        <v>-11717.17</v>
      </c>
      <c r="AE123" s="111">
        <v>24485024.84</v>
      </c>
      <c r="AF123" s="29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</row>
    <row r="124" spans="1:241" s="30" customFormat="1" ht="16.5" customHeight="1" x14ac:dyDescent="0.25">
      <c r="A124" s="35">
        <v>108</v>
      </c>
      <c r="B124" s="144" t="s">
        <v>166</v>
      </c>
      <c r="C124" s="34" t="s">
        <v>74</v>
      </c>
      <c r="D124" s="111">
        <v>854598572.73000002</v>
      </c>
      <c r="E124" s="111"/>
      <c r="F124" s="111">
        <f>94677722.07+24928935.85</f>
        <v>119606657.91999999</v>
      </c>
      <c r="G124" s="111">
        <v>948957589.83000004</v>
      </c>
      <c r="H124" s="130"/>
      <c r="I124" s="57"/>
      <c r="J124" s="57">
        <v>1926314934.2</v>
      </c>
      <c r="K124" s="57">
        <v>15541972.43</v>
      </c>
      <c r="L124" s="111">
        <v>6640299.7999999998</v>
      </c>
      <c r="M124" s="38">
        <v>8901672.6300000008</v>
      </c>
      <c r="N124" s="111">
        <v>2051415523.53</v>
      </c>
      <c r="O124" s="111">
        <v>187985078.16999999</v>
      </c>
      <c r="P124" s="58">
        <v>1836764470.22</v>
      </c>
      <c r="Q124" s="99">
        <f t="shared" si="66"/>
        <v>1.3406792169233805E-3</v>
      </c>
      <c r="R124" s="58">
        <v>1863430445.3499999</v>
      </c>
      <c r="S124" s="99">
        <f t="shared" si="67"/>
        <v>6.1550538086516962E-2</v>
      </c>
      <c r="T124" s="104">
        <f t="shared" si="68"/>
        <v>1.4517906657246008E-2</v>
      </c>
      <c r="U124" s="40">
        <f t="shared" si="69"/>
        <v>3.5634814363853444E-3</v>
      </c>
      <c r="V124" s="41">
        <f t="shared" si="70"/>
        <v>4.7770350925698431E-3</v>
      </c>
      <c r="W124" s="42">
        <f t="shared" si="71"/>
        <v>1.2940349106208209</v>
      </c>
      <c r="X124" s="42">
        <f t="shared" si="72"/>
        <v>6.1816501790461411E-3</v>
      </c>
      <c r="Y124" s="111">
        <v>1.2859</v>
      </c>
      <c r="Z124" s="111">
        <v>1.3096000000000001</v>
      </c>
      <c r="AA124" s="110">
        <v>10327</v>
      </c>
      <c r="AB124" s="110">
        <v>1449031416.6300001</v>
      </c>
      <c r="AC124" s="111">
        <v>0</v>
      </c>
      <c r="AD124" s="111">
        <v>9015826.5899999999</v>
      </c>
      <c r="AE124" s="96">
        <v>1440015590.04</v>
      </c>
      <c r="AF124" s="29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</row>
    <row r="125" spans="1:241" s="30" customFormat="1" ht="16.5" customHeight="1" x14ac:dyDescent="0.25">
      <c r="A125" s="35">
        <v>109</v>
      </c>
      <c r="B125" s="105" t="s">
        <v>136</v>
      </c>
      <c r="C125" s="105" t="s">
        <v>109</v>
      </c>
      <c r="D125" s="111">
        <v>68132792.040000007</v>
      </c>
      <c r="E125" s="111"/>
      <c r="F125" s="111">
        <v>24544487.68</v>
      </c>
      <c r="G125" s="111">
        <v>70854238.689999998</v>
      </c>
      <c r="H125" s="130"/>
      <c r="I125" s="80"/>
      <c r="J125" s="57">
        <v>163730358.83000001</v>
      </c>
      <c r="K125" s="57">
        <v>4113352.26</v>
      </c>
      <c r="L125" s="111">
        <v>4837745.96</v>
      </c>
      <c r="M125" s="38">
        <v>724393.7</v>
      </c>
      <c r="N125" s="111">
        <v>163730358.83000001</v>
      </c>
      <c r="O125" s="111">
        <v>6226844.4699999997</v>
      </c>
      <c r="P125" s="58">
        <v>149764208.53</v>
      </c>
      <c r="Q125" s="99">
        <f t="shared" si="66"/>
        <v>1.0931492037795189E-4</v>
      </c>
      <c r="R125" s="58">
        <v>157503514.36000001</v>
      </c>
      <c r="S125" s="99">
        <f t="shared" si="67"/>
        <v>5.2024619880859527E-3</v>
      </c>
      <c r="T125" s="104">
        <f t="shared" si="68"/>
        <v>5.1676604884201789E-2</v>
      </c>
      <c r="U125" s="40">
        <f t="shared" si="69"/>
        <v>3.0715162005480977E-2</v>
      </c>
      <c r="V125" s="41">
        <f t="shared" si="70"/>
        <v>4.5992224550893499E-3</v>
      </c>
      <c r="W125" s="42">
        <f t="shared" si="71"/>
        <v>144.87790611926152</v>
      </c>
      <c r="X125" s="42">
        <f t="shared" si="72"/>
        <v>0.66632571907003446</v>
      </c>
      <c r="Y125" s="111">
        <v>144.87790000000001</v>
      </c>
      <c r="Z125" s="111">
        <v>150.60560000000001</v>
      </c>
      <c r="AA125" s="110">
        <v>131</v>
      </c>
      <c r="AB125" s="110">
        <v>1086806.3600000001</v>
      </c>
      <c r="AC125" s="111">
        <v>340.18</v>
      </c>
      <c r="AD125" s="111"/>
      <c r="AE125" s="111">
        <v>1087146.54</v>
      </c>
      <c r="AF125" s="29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</row>
    <row r="126" spans="1:241" s="30" customFormat="1" ht="16.5" customHeight="1" x14ac:dyDescent="0.25">
      <c r="A126" s="35">
        <v>110</v>
      </c>
      <c r="B126" s="34" t="s">
        <v>131</v>
      </c>
      <c r="C126" s="105" t="s">
        <v>26</v>
      </c>
      <c r="D126" s="111">
        <v>303897278.27999997</v>
      </c>
      <c r="E126" s="111"/>
      <c r="F126" s="111">
        <v>867620343.88</v>
      </c>
      <c r="G126" s="111"/>
      <c r="H126" s="130"/>
      <c r="I126" s="57"/>
      <c r="J126" s="57">
        <v>1171157622.1600001</v>
      </c>
      <c r="K126" s="57">
        <v>12409445.18</v>
      </c>
      <c r="L126" s="111">
        <v>2087884.86</v>
      </c>
      <c r="M126" s="38">
        <v>10321560.32</v>
      </c>
      <c r="N126" s="111">
        <v>1173046852.52</v>
      </c>
      <c r="O126" s="111">
        <v>22126875.359999999</v>
      </c>
      <c r="P126" s="58">
        <v>1105678495.54</v>
      </c>
      <c r="Q126" s="99">
        <f t="shared" si="66"/>
        <v>8.0704968089459928E-4</v>
      </c>
      <c r="R126" s="58">
        <v>1150919977.1600001</v>
      </c>
      <c r="S126" s="99">
        <f t="shared" si="67"/>
        <v>3.8015770358101185E-2</v>
      </c>
      <c r="T126" s="104">
        <f t="shared" si="68"/>
        <v>4.0917393078088886E-2</v>
      </c>
      <c r="U126" s="40">
        <f t="shared" si="69"/>
        <v>1.8141008075574865E-3</v>
      </c>
      <c r="V126" s="41">
        <f t="shared" si="70"/>
        <v>8.9680955451563113E-3</v>
      </c>
      <c r="W126" s="42">
        <f t="shared" si="71"/>
        <v>1542.8915841008111</v>
      </c>
      <c r="X126" s="42">
        <f t="shared" si="72"/>
        <v>13.836799142033648</v>
      </c>
      <c r="Y126" s="111"/>
      <c r="Z126" s="111"/>
      <c r="AA126" s="110">
        <v>830</v>
      </c>
      <c r="AB126" s="110">
        <v>745950</v>
      </c>
      <c r="AC126" s="110"/>
      <c r="AD126" s="110"/>
      <c r="AE126" s="110">
        <v>745950</v>
      </c>
      <c r="AF126" s="29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</row>
    <row r="127" spans="1:241" s="30" customFormat="1" ht="16.5" customHeight="1" x14ac:dyDescent="0.25">
      <c r="A127" s="35">
        <v>111</v>
      </c>
      <c r="B127" s="34" t="s">
        <v>194</v>
      </c>
      <c r="C127" s="105" t="s">
        <v>60</v>
      </c>
      <c r="D127" s="111">
        <v>52510391.450000003</v>
      </c>
      <c r="E127" s="111"/>
      <c r="F127" s="111"/>
      <c r="G127" s="111"/>
      <c r="H127" s="130"/>
      <c r="I127" s="57"/>
      <c r="J127" s="111">
        <v>52510391.450000003</v>
      </c>
      <c r="K127" s="111">
        <v>905771.99</v>
      </c>
      <c r="L127" s="111">
        <v>277511.05</v>
      </c>
      <c r="M127" s="38">
        <v>628260.84</v>
      </c>
      <c r="N127" s="111">
        <v>170058770.53</v>
      </c>
      <c r="O127" s="111">
        <v>3789717.85</v>
      </c>
      <c r="P127" s="58">
        <v>163877727.75999999</v>
      </c>
      <c r="Q127" s="99">
        <f t="shared" si="66"/>
        <v>1.1961656885607336E-4</v>
      </c>
      <c r="R127" s="58">
        <v>164684317.59</v>
      </c>
      <c r="S127" s="99">
        <f t="shared" si="67"/>
        <v>5.4396494311712684E-3</v>
      </c>
      <c r="T127" s="104">
        <f t="shared" si="68"/>
        <v>4.9219002546903095E-3</v>
      </c>
      <c r="U127" s="40">
        <f t="shared" si="69"/>
        <v>1.6851091473742796E-3</v>
      </c>
      <c r="V127" s="41">
        <f t="shared" si="70"/>
        <v>3.8149403002909208E-3</v>
      </c>
      <c r="W127" s="42">
        <f t="shared" si="71"/>
        <v>157.53265033030482</v>
      </c>
      <c r="X127" s="42">
        <f t="shared" si="72"/>
        <v>0.60097765635671774</v>
      </c>
      <c r="Y127" s="111">
        <v>107.58</v>
      </c>
      <c r="Z127" s="111">
        <v>111.09</v>
      </c>
      <c r="AA127" s="110">
        <v>38</v>
      </c>
      <c r="AB127" s="110">
        <v>1045398</v>
      </c>
      <c r="AC127" s="110"/>
      <c r="AD127" s="110"/>
      <c r="AE127" s="110">
        <v>1045398</v>
      </c>
      <c r="AF127" s="29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</row>
    <row r="128" spans="1:241" ht="16.5" customHeight="1" x14ac:dyDescent="0.25">
      <c r="A128" s="35">
        <v>112</v>
      </c>
      <c r="B128" s="34" t="s">
        <v>175</v>
      </c>
      <c r="C128" s="105" t="s">
        <v>85</v>
      </c>
      <c r="D128" s="111">
        <v>6833196.1500000004</v>
      </c>
      <c r="E128" s="111"/>
      <c r="F128" s="111">
        <v>6366618.71</v>
      </c>
      <c r="G128" s="111">
        <v>20959.43</v>
      </c>
      <c r="H128" s="130"/>
      <c r="I128" s="80"/>
      <c r="J128" s="57">
        <v>13270774.289999999</v>
      </c>
      <c r="K128" s="57">
        <v>93377.04</v>
      </c>
      <c r="L128" s="111"/>
      <c r="M128" s="38">
        <v>930062.84</v>
      </c>
      <c r="N128" s="111">
        <v>20011773.02</v>
      </c>
      <c r="O128" s="111">
        <v>417911.01</v>
      </c>
      <c r="P128" s="58">
        <v>18788003.530000001</v>
      </c>
      <c r="Q128" s="99">
        <f t="shared" si="66"/>
        <v>1.3713617760222199E-5</v>
      </c>
      <c r="R128" s="58">
        <v>19277034.41</v>
      </c>
      <c r="S128" s="99">
        <f t="shared" si="67"/>
        <v>6.3673524472492233E-4</v>
      </c>
      <c r="T128" s="104">
        <f t="shared" si="68"/>
        <v>2.6028890148925735E-2</v>
      </c>
      <c r="U128" s="40">
        <f t="shared" si="69"/>
        <v>0</v>
      </c>
      <c r="V128" s="41">
        <f t="shared" si="70"/>
        <v>4.8247195093324521E-2</v>
      </c>
      <c r="W128" s="42">
        <f t="shared" si="71"/>
        <v>1.2104796081880984</v>
      </c>
      <c r="X128" s="42">
        <f t="shared" si="72"/>
        <v>5.8402245812742212E-2</v>
      </c>
      <c r="Y128" s="111">
        <v>1.2104999999999999</v>
      </c>
      <c r="Z128" s="111">
        <v>1.2104999999999999</v>
      </c>
      <c r="AA128" s="110">
        <v>9</v>
      </c>
      <c r="AB128" s="110">
        <v>15835121.15</v>
      </c>
      <c r="AC128" s="110">
        <v>107856</v>
      </c>
      <c r="AD128" s="110"/>
      <c r="AE128" s="111">
        <v>15925121.15</v>
      </c>
      <c r="AF128" s="5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</row>
    <row r="129" spans="1:241" ht="16.5" customHeight="1" x14ac:dyDescent="0.25">
      <c r="A129" s="35">
        <v>113</v>
      </c>
      <c r="B129" s="105" t="s">
        <v>135</v>
      </c>
      <c r="C129" s="105" t="s">
        <v>45</v>
      </c>
      <c r="D129" s="111">
        <v>72427229</v>
      </c>
      <c r="E129" s="111"/>
      <c r="F129" s="111">
        <v>38567089.039999999</v>
      </c>
      <c r="G129" s="111">
        <v>47497169.299999997</v>
      </c>
      <c r="H129" s="65">
        <v>924000</v>
      </c>
      <c r="I129" s="57"/>
      <c r="J129" s="57">
        <v>159415487.34</v>
      </c>
      <c r="K129" s="57">
        <v>637074.81000000006</v>
      </c>
      <c r="L129" s="111">
        <v>362408.23</v>
      </c>
      <c r="M129" s="38">
        <v>274666.58</v>
      </c>
      <c r="N129" s="111">
        <v>159815612.56</v>
      </c>
      <c r="O129" s="111">
        <v>362408.23</v>
      </c>
      <c r="P129" s="58">
        <v>151554330.55000001</v>
      </c>
      <c r="Q129" s="99">
        <f t="shared" si="66"/>
        <v>1.1062155463992857E-4</v>
      </c>
      <c r="R129" s="58">
        <v>159453204.33000001</v>
      </c>
      <c r="S129" s="99">
        <f t="shared" si="67"/>
        <v>5.2668617444894417E-3</v>
      </c>
      <c r="T129" s="104">
        <f t="shared" si="68"/>
        <v>5.2119089908777276E-2</v>
      </c>
      <c r="U129" s="40">
        <f t="shared" si="69"/>
        <v>2.2728187340153401E-3</v>
      </c>
      <c r="V129" s="41">
        <f t="shared" si="70"/>
        <v>1.7225529029291724E-3</v>
      </c>
      <c r="W129" s="42">
        <f t="shared" si="71"/>
        <v>1.6195964976017962</v>
      </c>
      <c r="X129" s="42">
        <f t="shared" si="72"/>
        <v>2.7898406485178944E-3</v>
      </c>
      <c r="Y129" s="111">
        <v>1.6</v>
      </c>
      <c r="Z129" s="111">
        <v>1.63</v>
      </c>
      <c r="AA129" s="110">
        <v>973</v>
      </c>
      <c r="AB129" s="110">
        <v>98408545</v>
      </c>
      <c r="AC129" s="110">
        <v>43881</v>
      </c>
      <c r="AD129" s="110"/>
      <c r="AE129" s="111">
        <v>98452426</v>
      </c>
      <c r="AF129" s="5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</row>
    <row r="130" spans="1:241" s="30" customFormat="1" ht="17.25" customHeight="1" x14ac:dyDescent="0.25">
      <c r="A130" s="35">
        <v>114</v>
      </c>
      <c r="B130" s="34" t="s">
        <v>125</v>
      </c>
      <c r="C130" s="34" t="s">
        <v>22</v>
      </c>
      <c r="D130" s="111">
        <v>703493388.75</v>
      </c>
      <c r="E130" s="111"/>
      <c r="F130" s="111">
        <v>639401009.40999997</v>
      </c>
      <c r="G130" s="111">
        <v>192329715.06</v>
      </c>
      <c r="H130" s="130"/>
      <c r="I130" s="57"/>
      <c r="J130" s="57">
        <v>1536973250.4300001</v>
      </c>
      <c r="K130" s="57">
        <v>10535654.970000001</v>
      </c>
      <c r="L130" s="111">
        <v>1850233.56</v>
      </c>
      <c r="M130" s="38">
        <v>45090851.310000002</v>
      </c>
      <c r="N130" s="111">
        <v>1548748542.6800001</v>
      </c>
      <c r="O130" s="111">
        <v>-10828885.43</v>
      </c>
      <c r="P130" s="58">
        <v>1478826174.95</v>
      </c>
      <c r="Q130" s="99">
        <f t="shared" si="66"/>
        <v>1.0794152164541233E-3</v>
      </c>
      <c r="R130" s="58">
        <v>1537919657.25</v>
      </c>
      <c r="S130" s="99">
        <f t="shared" si="67"/>
        <v>5.0798666874732591E-2</v>
      </c>
      <c r="T130" s="104">
        <f t="shared" si="68"/>
        <v>3.9959721636654108E-2</v>
      </c>
      <c r="U130" s="40">
        <f t="shared" si="69"/>
        <v>1.2030755646289467E-3</v>
      </c>
      <c r="V130" s="41">
        <f t="shared" si="70"/>
        <v>2.9319380305358928E-2</v>
      </c>
      <c r="W130" s="42">
        <f t="shared" si="71"/>
        <v>3665.3321997617932</v>
      </c>
      <c r="X130" s="42">
        <f t="shared" si="72"/>
        <v>107.46526871029383</v>
      </c>
      <c r="Y130" s="111">
        <v>3648.15</v>
      </c>
      <c r="Z130" s="111">
        <v>3677.11</v>
      </c>
      <c r="AA130" s="110">
        <v>1423</v>
      </c>
      <c r="AB130" s="110">
        <v>417337.04</v>
      </c>
      <c r="AC130" s="110">
        <v>5094.96</v>
      </c>
      <c r="AD130" s="110">
        <v>-2846.66</v>
      </c>
      <c r="AE130" s="96">
        <v>419585.34</v>
      </c>
      <c r="AF130" s="29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</row>
    <row r="131" spans="1:241" ht="15.75" customHeight="1" x14ac:dyDescent="0.25">
      <c r="A131" s="35">
        <v>115</v>
      </c>
      <c r="B131" s="81" t="s">
        <v>222</v>
      </c>
      <c r="C131" s="82" t="s">
        <v>214</v>
      </c>
      <c r="D131" s="111">
        <v>5668964.7999999998</v>
      </c>
      <c r="E131" s="111"/>
      <c r="F131" s="111">
        <f>7967342.47+41622342.41</f>
        <v>49589684.879999995</v>
      </c>
      <c r="G131" s="111">
        <v>0</v>
      </c>
      <c r="H131" s="111"/>
      <c r="I131" s="111"/>
      <c r="J131" s="111">
        <v>55456120.030000001</v>
      </c>
      <c r="K131" s="111">
        <v>540336.89</v>
      </c>
      <c r="L131" s="111">
        <v>36515.86</v>
      </c>
      <c r="M131" s="38">
        <v>503821.03</v>
      </c>
      <c r="N131" s="111">
        <v>56319095.270000003</v>
      </c>
      <c r="O131" s="111">
        <v>941253.85</v>
      </c>
      <c r="P131" s="58">
        <v>0</v>
      </c>
      <c r="Q131" s="99">
        <f t="shared" si="66"/>
        <v>0</v>
      </c>
      <c r="R131" s="58">
        <v>55469485.829999998</v>
      </c>
      <c r="S131" s="99">
        <f t="shared" si="67"/>
        <v>1.8321996985391415E-3</v>
      </c>
      <c r="T131" s="104" t="e">
        <f t="shared" si="68"/>
        <v>#DIV/0!</v>
      </c>
      <c r="U131" s="40">
        <f t="shared" si="69"/>
        <v>6.5830536291452046E-4</v>
      </c>
      <c r="V131" s="41">
        <f t="shared" si="70"/>
        <v>9.0828501916185873E-3</v>
      </c>
      <c r="W131" s="42">
        <f t="shared" si="71"/>
        <v>103.58373122030274</v>
      </c>
      <c r="X131" s="42">
        <f t="shared" si="72"/>
        <v>0.94083551296289503</v>
      </c>
      <c r="Y131" s="111">
        <v>103.5583</v>
      </c>
      <c r="Z131" s="111">
        <v>103.6451</v>
      </c>
      <c r="AA131" s="110">
        <v>15</v>
      </c>
      <c r="AB131" s="111">
        <v>521732.95</v>
      </c>
      <c r="AC131" s="110">
        <v>290.47000000000003</v>
      </c>
      <c r="AD131" s="110">
        <v>0</v>
      </c>
      <c r="AE131" s="111">
        <v>535503.84</v>
      </c>
      <c r="AF131" s="33"/>
    </row>
    <row r="132" spans="1:241" ht="15.75" customHeight="1" x14ac:dyDescent="0.25">
      <c r="A132" s="35">
        <v>116</v>
      </c>
      <c r="B132" s="34" t="s">
        <v>126</v>
      </c>
      <c r="C132" s="34" t="s">
        <v>32</v>
      </c>
      <c r="D132" s="111">
        <v>666928064.29999995</v>
      </c>
      <c r="E132" s="145"/>
      <c r="F132" s="146"/>
      <c r="G132" s="111">
        <v>300855863</v>
      </c>
      <c r="H132" s="145"/>
      <c r="I132" s="145"/>
      <c r="J132" s="146">
        <v>967783927</v>
      </c>
      <c r="K132" s="146">
        <v>6034433</v>
      </c>
      <c r="L132" s="146">
        <v>-2041361</v>
      </c>
      <c r="M132" s="38">
        <v>51814241</v>
      </c>
      <c r="N132" s="146">
        <v>1158348757</v>
      </c>
      <c r="O132" s="146">
        <v>-16675223</v>
      </c>
      <c r="P132" s="58">
        <v>1010830913.67</v>
      </c>
      <c r="Q132" s="99">
        <f t="shared" si="66"/>
        <v>7.3781914870049757E-4</v>
      </c>
      <c r="R132" s="58">
        <v>1141673534.23</v>
      </c>
      <c r="S132" s="99">
        <f t="shared" si="67"/>
        <v>3.7710353250020784E-2</v>
      </c>
      <c r="T132" s="104">
        <f t="shared" si="68"/>
        <v>0.12944065994672921</v>
      </c>
      <c r="U132" s="40">
        <f t="shared" si="69"/>
        <v>-1.7880426748937408E-3</v>
      </c>
      <c r="V132" s="41">
        <f t="shared" si="70"/>
        <v>4.5384463637362003E-2</v>
      </c>
      <c r="W132" s="42">
        <f t="shared" si="71"/>
        <v>1.4585507759433658</v>
      </c>
      <c r="X132" s="42">
        <f t="shared" si="72"/>
        <v>6.6195544654047811E-2</v>
      </c>
      <c r="Y132" s="145">
        <v>1.46</v>
      </c>
      <c r="Z132" s="145">
        <v>1.48</v>
      </c>
      <c r="AA132" s="146">
        <v>1325</v>
      </c>
      <c r="AB132" s="110">
        <v>782634910</v>
      </c>
      <c r="AC132" s="110">
        <v>202854</v>
      </c>
      <c r="AD132" s="110">
        <v>92622</v>
      </c>
      <c r="AE132" s="146">
        <v>782745142</v>
      </c>
      <c r="AF132" s="33"/>
    </row>
    <row r="133" spans="1:241" ht="15.75" customHeight="1" x14ac:dyDescent="0.25">
      <c r="A133" s="35">
        <v>117</v>
      </c>
      <c r="B133" s="56" t="s">
        <v>130</v>
      </c>
      <c r="C133" s="34" t="s">
        <v>83</v>
      </c>
      <c r="D133" s="111">
        <v>2758074930.25</v>
      </c>
      <c r="E133" s="111"/>
      <c r="F133" s="111">
        <v>190145994.52000001</v>
      </c>
      <c r="G133" s="111">
        <v>1063010080.37</v>
      </c>
      <c r="H133" s="130"/>
      <c r="I133" s="57"/>
      <c r="J133" s="57">
        <v>4011231005.1399999</v>
      </c>
      <c r="K133" s="57">
        <v>20766157.219999999</v>
      </c>
      <c r="L133" s="111">
        <v>8082571.8300000001</v>
      </c>
      <c r="M133" s="66">
        <v>206162839.69999999</v>
      </c>
      <c r="N133" s="111">
        <v>4651233326.5299997</v>
      </c>
      <c r="O133" s="111">
        <v>23994012.739999998</v>
      </c>
      <c r="P133" s="58">
        <v>4694629579.0799999</v>
      </c>
      <c r="Q133" s="99">
        <f t="shared" si="66"/>
        <v>3.4266735936330727E-3</v>
      </c>
      <c r="R133" s="58">
        <v>4627239313.7799997</v>
      </c>
      <c r="S133" s="99">
        <f t="shared" si="67"/>
        <v>0.15284126666973613</v>
      </c>
      <c r="T133" s="104">
        <f t="shared" si="68"/>
        <v>-1.4354756677779586E-2</v>
      </c>
      <c r="U133" s="40">
        <f t="shared" si="69"/>
        <v>1.7467373701485374E-3</v>
      </c>
      <c r="V133" s="41">
        <f t="shared" si="70"/>
        <v>4.4554177063209903E-2</v>
      </c>
      <c r="W133" s="42">
        <f t="shared" si="71"/>
        <v>186.59907698037736</v>
      </c>
      <c r="X133" s="42">
        <f t="shared" si="72"/>
        <v>8.3137683156152686</v>
      </c>
      <c r="Y133" s="111">
        <v>184.32419999999999</v>
      </c>
      <c r="Z133" s="111">
        <v>188.16139999999999</v>
      </c>
      <c r="AA133" s="110">
        <v>27</v>
      </c>
      <c r="AB133" s="110">
        <v>24797761</v>
      </c>
      <c r="AC133" s="110"/>
      <c r="AD133" s="110"/>
      <c r="AE133" s="111">
        <v>24797761</v>
      </c>
      <c r="AF133" s="33"/>
    </row>
    <row r="134" spans="1:241" ht="15.75" customHeight="1" x14ac:dyDescent="0.25">
      <c r="A134" s="35">
        <v>118</v>
      </c>
      <c r="B134" s="54" t="s">
        <v>134</v>
      </c>
      <c r="C134" s="105" t="s">
        <v>43</v>
      </c>
      <c r="D134" s="111">
        <v>962722877.20000005</v>
      </c>
      <c r="E134" s="111"/>
      <c r="F134" s="111">
        <v>689625992.33000004</v>
      </c>
      <c r="G134" s="111">
        <v>508411974.85000002</v>
      </c>
      <c r="H134" s="130"/>
      <c r="I134" s="57"/>
      <c r="J134" s="57">
        <f>D134+F134+G134</f>
        <v>2160760844.3800001</v>
      </c>
      <c r="K134" s="57">
        <v>15732073.65</v>
      </c>
      <c r="L134" s="111">
        <v>6095100.0700000003</v>
      </c>
      <c r="M134" s="38">
        <v>97968768.129999995</v>
      </c>
      <c r="N134" s="111">
        <v>2162040131.7199998</v>
      </c>
      <c r="O134" s="111">
        <v>69854839.560000002</v>
      </c>
      <c r="P134" s="58">
        <v>2020190261.3099999</v>
      </c>
      <c r="Q134" s="99">
        <f t="shared" si="66"/>
        <v>1.4745641814624855E-3</v>
      </c>
      <c r="R134" s="58">
        <v>2092185292.1600001</v>
      </c>
      <c r="S134" s="99">
        <f t="shared" si="67"/>
        <v>6.9106486282055693E-2</v>
      </c>
      <c r="T134" s="104">
        <f t="shared" si="68"/>
        <v>3.5637747705661492E-2</v>
      </c>
      <c r="U134" s="40">
        <f t="shared" si="69"/>
        <v>2.9132697246462991E-3</v>
      </c>
      <c r="V134" s="41">
        <f t="shared" si="70"/>
        <v>4.6826047624517871E-2</v>
      </c>
      <c r="W134" s="42">
        <f t="shared" si="71"/>
        <v>2.6728362695250882</v>
      </c>
      <c r="X134" s="42">
        <f t="shared" si="72"/>
        <v>0.12515835844932047</v>
      </c>
      <c r="Y134" s="111">
        <v>3.09</v>
      </c>
      <c r="Z134" s="111">
        <v>3.14</v>
      </c>
      <c r="AA134" s="110">
        <v>2177</v>
      </c>
      <c r="AB134" s="110">
        <v>792902343.01999998</v>
      </c>
      <c r="AC134" s="110">
        <v>373919.79</v>
      </c>
      <c r="AD134" s="110">
        <v>10517769.140000001</v>
      </c>
      <c r="AE134" s="111">
        <v>782758493.66999996</v>
      </c>
      <c r="AF134" s="33"/>
    </row>
    <row r="135" spans="1:241" ht="15.75" customHeight="1" x14ac:dyDescent="0.25">
      <c r="A135" s="35">
        <v>119</v>
      </c>
      <c r="B135" s="34" t="s">
        <v>195</v>
      </c>
      <c r="C135" s="34" t="s">
        <v>32</v>
      </c>
      <c r="D135" s="111">
        <v>225507588</v>
      </c>
      <c r="E135" s="111"/>
      <c r="F135" s="111">
        <v>422573087</v>
      </c>
      <c r="G135" s="111"/>
      <c r="H135" s="130"/>
      <c r="I135" s="57"/>
      <c r="J135" s="57">
        <f>225507587.5+422573087</f>
        <v>648080674.5</v>
      </c>
      <c r="K135" s="57">
        <v>7922753.7999999998</v>
      </c>
      <c r="L135" s="111">
        <v>1209174</v>
      </c>
      <c r="M135" s="38">
        <v>14894340</v>
      </c>
      <c r="N135" s="111">
        <v>658227960</v>
      </c>
      <c r="O135" s="111">
        <v>12386013</v>
      </c>
      <c r="P135" s="58">
        <v>632375245</v>
      </c>
      <c r="Q135" s="99">
        <f t="shared" si="66"/>
        <v>4.6157924002459796E-4</v>
      </c>
      <c r="R135" s="58">
        <v>645841947</v>
      </c>
      <c r="S135" s="99">
        <f t="shared" si="67"/>
        <v>2.1332655294910855E-2</v>
      </c>
      <c r="T135" s="104">
        <f t="shared" si="68"/>
        <v>2.1295428792441107E-2</v>
      </c>
      <c r="U135" s="40">
        <f t="shared" si="69"/>
        <v>1.8722444486870718E-3</v>
      </c>
      <c r="V135" s="41">
        <f t="shared" si="70"/>
        <v>2.3061896287761563E-2</v>
      </c>
      <c r="W135" s="42">
        <f t="shared" si="71"/>
        <v>1.1663185395225</v>
      </c>
      <c r="X135" s="42">
        <f t="shared" si="72"/>
        <v>2.6897517196961429E-2</v>
      </c>
      <c r="Y135" s="111">
        <v>1.17</v>
      </c>
      <c r="Z135" s="111">
        <v>1.18</v>
      </c>
      <c r="AA135" s="110">
        <v>97</v>
      </c>
      <c r="AB135" s="110">
        <v>553761556</v>
      </c>
      <c r="AC135" s="110">
        <v>0</v>
      </c>
      <c r="AD135" s="110">
        <v>17510</v>
      </c>
      <c r="AE135" s="111">
        <v>553744046</v>
      </c>
      <c r="AF135" s="33"/>
    </row>
    <row r="136" spans="1:241" ht="15.75" customHeight="1" x14ac:dyDescent="0.25">
      <c r="A136" s="35">
        <v>120</v>
      </c>
      <c r="B136" s="34" t="s">
        <v>165</v>
      </c>
      <c r="C136" s="34" t="s">
        <v>28</v>
      </c>
      <c r="D136" s="111">
        <v>108668294.7</v>
      </c>
      <c r="E136" s="115"/>
      <c r="F136" s="111">
        <v>16051362.189999999</v>
      </c>
      <c r="G136" s="111">
        <v>52452284.729999997</v>
      </c>
      <c r="H136" s="130"/>
      <c r="I136" s="57"/>
      <c r="J136" s="57">
        <v>195748408.22999999</v>
      </c>
      <c r="K136" s="57">
        <v>515113.75</v>
      </c>
      <c r="L136" s="111">
        <v>374874.03</v>
      </c>
      <c r="M136" s="38">
        <v>140239.72</v>
      </c>
      <c r="N136" s="111">
        <v>195748408.22999999</v>
      </c>
      <c r="O136" s="111">
        <v>3170180.23</v>
      </c>
      <c r="P136" s="58">
        <v>189189912.16999999</v>
      </c>
      <c r="Q136" s="99">
        <f t="shared" si="66"/>
        <v>1.3809227443706946E-4</v>
      </c>
      <c r="R136" s="58">
        <v>193975881.11000001</v>
      </c>
      <c r="S136" s="99">
        <f t="shared" si="67"/>
        <v>6.4071722601292116E-3</v>
      </c>
      <c r="T136" s="104">
        <f t="shared" si="68"/>
        <v>2.5297167724775457E-2</v>
      </c>
      <c r="U136" s="40">
        <f t="shared" si="69"/>
        <v>1.9325806273173525E-3</v>
      </c>
      <c r="V136" s="41">
        <f t="shared" si="70"/>
        <v>7.2297503791449581E-4</v>
      </c>
      <c r="W136" s="42">
        <f t="shared" si="71"/>
        <v>150.07784214304382</v>
      </c>
      <c r="X136" s="42">
        <f t="shared" si="72"/>
        <v>0.10850253361349284</v>
      </c>
      <c r="Y136" s="111">
        <v>148.68</v>
      </c>
      <c r="Z136" s="111">
        <v>150.49</v>
      </c>
      <c r="AA136" s="110">
        <v>725</v>
      </c>
      <c r="AB136" s="110">
        <v>1300515.33</v>
      </c>
      <c r="AC136" s="110">
        <v>0</v>
      </c>
      <c r="AD136" s="110">
        <v>8013.53</v>
      </c>
      <c r="AE136" s="111">
        <v>1292501.8</v>
      </c>
      <c r="AF136" s="33"/>
    </row>
    <row r="137" spans="1:241" ht="15.75" customHeight="1" x14ac:dyDescent="0.25">
      <c r="A137" s="35">
        <v>121</v>
      </c>
      <c r="B137" s="34" t="s">
        <v>192</v>
      </c>
      <c r="C137" s="34" t="s">
        <v>70</v>
      </c>
      <c r="D137" s="111">
        <v>1093641188</v>
      </c>
      <c r="E137" s="111"/>
      <c r="F137" s="111">
        <v>438106937.58999997</v>
      </c>
      <c r="G137" s="111">
        <v>991007396.32000005</v>
      </c>
      <c r="H137" s="130"/>
      <c r="I137" s="57"/>
      <c r="J137" s="57">
        <v>2522755521.9099998</v>
      </c>
      <c r="K137" s="57">
        <v>14131932.029999999</v>
      </c>
      <c r="L137" s="111">
        <v>-17698733.43</v>
      </c>
      <c r="M137" s="38">
        <v>58579034.899999999</v>
      </c>
      <c r="N137" s="111">
        <v>2558814084.1599998</v>
      </c>
      <c r="O137" s="111">
        <v>-26094534.149999999</v>
      </c>
      <c r="P137" s="58">
        <v>2472128607.6700001</v>
      </c>
      <c r="Q137" s="99">
        <f t="shared" si="66"/>
        <v>1.8044400899522659E-3</v>
      </c>
      <c r="R137" s="58">
        <v>2532719550.0100002</v>
      </c>
      <c r="S137" s="99">
        <f t="shared" si="67"/>
        <v>8.3657670998327202E-2</v>
      </c>
      <c r="T137" s="104">
        <f t="shared" si="68"/>
        <v>2.4509623873131575E-2</v>
      </c>
      <c r="U137" s="40">
        <f t="shared" si="69"/>
        <v>-6.9880352247962546E-3</v>
      </c>
      <c r="V137" s="41">
        <f t="shared" si="70"/>
        <v>2.3128906988445958E-2</v>
      </c>
      <c r="W137" s="42">
        <f t="shared" si="71"/>
        <v>13.934246144350517</v>
      </c>
      <c r="X137" s="42">
        <f t="shared" si="72"/>
        <v>0.32228388302679484</v>
      </c>
      <c r="Y137" s="111">
        <v>13.9344</v>
      </c>
      <c r="Z137" s="111">
        <v>14.0604</v>
      </c>
      <c r="AA137" s="110">
        <v>6330</v>
      </c>
      <c r="AB137" s="110">
        <v>182321760.09999999</v>
      </c>
      <c r="AC137" s="110"/>
      <c r="AD137" s="110">
        <v>-559537.46</v>
      </c>
      <c r="AE137" s="111">
        <v>181762222.63999999</v>
      </c>
      <c r="AF137" s="33"/>
    </row>
    <row r="138" spans="1:241" ht="15.75" customHeight="1" x14ac:dyDescent="0.25">
      <c r="A138" s="71"/>
      <c r="B138" s="142"/>
      <c r="C138" s="88" t="s">
        <v>49</v>
      </c>
      <c r="D138" s="115">
        <f>SUM(D114:D137)</f>
        <v>14464257799.169998</v>
      </c>
      <c r="E138" s="115"/>
      <c r="F138" s="115">
        <f>SUM(F114:F137)</f>
        <v>6981520737.6000004</v>
      </c>
      <c r="G138" s="115">
        <f>SUM(G114:G137)</f>
        <v>6937142746.999999</v>
      </c>
      <c r="H138" s="115">
        <f>SUM(H114:H137)</f>
        <v>26206760.609999999</v>
      </c>
      <c r="I138" s="115"/>
      <c r="J138" s="115">
        <f t="shared" ref="J138:P138" si="73">SUM(J114:J137)</f>
        <v>28410762998.790001</v>
      </c>
      <c r="K138" s="115">
        <f t="shared" si="73"/>
        <v>445065482.59999996</v>
      </c>
      <c r="L138" s="115">
        <f t="shared" si="73"/>
        <v>-853150.82999999821</v>
      </c>
      <c r="M138" s="115">
        <f t="shared" si="73"/>
        <v>1099692843.4600003</v>
      </c>
      <c r="N138" s="115">
        <f t="shared" si="73"/>
        <v>30870036908.350002</v>
      </c>
      <c r="O138" s="115">
        <f t="shared" si="73"/>
        <v>531043871.29000008</v>
      </c>
      <c r="P138" s="60">
        <f t="shared" si="73"/>
        <v>29284833545.339996</v>
      </c>
      <c r="Q138" s="116">
        <f t="shared" si="66"/>
        <v>2.1375395888725671E-2</v>
      </c>
      <c r="R138" s="60">
        <f>SUM(R114:R137)</f>
        <v>30274803491.25</v>
      </c>
      <c r="S138" s="116">
        <f>(R138/$R$158)</f>
        <v>2.1286034404587956E-2</v>
      </c>
      <c r="T138" s="117">
        <f t="shared" ref="T138" si="74">((R138-P138)/P138)</f>
        <v>3.3804868461256271E-2</v>
      </c>
      <c r="U138" s="51"/>
      <c r="V138" s="52"/>
      <c r="W138" s="53"/>
      <c r="X138" s="53"/>
      <c r="Y138" s="115"/>
      <c r="Z138" s="115"/>
      <c r="AA138" s="118">
        <f>SUM(AA114:AA137)</f>
        <v>48145</v>
      </c>
      <c r="AB138" s="118"/>
      <c r="AC138" s="118"/>
      <c r="AD138" s="118"/>
      <c r="AE138" s="83"/>
      <c r="AF138" s="33"/>
    </row>
    <row r="139" spans="1:241" ht="15" customHeight="1" x14ac:dyDescent="0.25">
      <c r="A139" s="160" t="s">
        <v>137</v>
      </c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2"/>
      <c r="AF139" s="33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</row>
    <row r="140" spans="1:241" ht="15.75" customHeight="1" x14ac:dyDescent="0.25">
      <c r="A140" s="35">
        <v>122</v>
      </c>
      <c r="B140" s="105" t="s">
        <v>139</v>
      </c>
      <c r="C140" s="105" t="s">
        <v>34</v>
      </c>
      <c r="D140" s="111">
        <v>253592482.90000001</v>
      </c>
      <c r="E140" s="111"/>
      <c r="F140" s="111"/>
      <c r="G140" s="111">
        <v>149802159.49000001</v>
      </c>
      <c r="H140" s="98">
        <v>610761</v>
      </c>
      <c r="I140" s="111"/>
      <c r="J140" s="111">
        <v>404005403.38999999</v>
      </c>
      <c r="K140" s="111">
        <v>26073625.120000001</v>
      </c>
      <c r="L140" s="98">
        <v>-2318540.96</v>
      </c>
      <c r="M140" s="38">
        <v>42991834.75</v>
      </c>
      <c r="N140" s="111">
        <v>598954423</v>
      </c>
      <c r="O140" s="111">
        <v>-8513503</v>
      </c>
      <c r="P140" s="46">
        <v>553072654</v>
      </c>
      <c r="Q140" s="99">
        <f>(P140/$P$143)</f>
        <v>0.19514634425099636</v>
      </c>
      <c r="R140" s="58">
        <v>590440920</v>
      </c>
      <c r="S140" s="99">
        <f>(R140/$R$143)</f>
        <v>0.1986309223371242</v>
      </c>
      <c r="T140" s="104">
        <f>((R140-P140)/P140)</f>
        <v>6.756484112844964E-2</v>
      </c>
      <c r="U140" s="40">
        <f>(L140/R140)</f>
        <v>-3.9267958596094594E-3</v>
      </c>
      <c r="V140" s="41">
        <f>M140/R140</f>
        <v>7.2813101690174187E-2</v>
      </c>
      <c r="W140" s="42">
        <f>R140/AE140</f>
        <v>45.794647268372628</v>
      </c>
      <c r="X140" s="42">
        <f>M140/AE140</f>
        <v>3.3344503084176735</v>
      </c>
      <c r="Y140" s="111">
        <v>45.565600000000003</v>
      </c>
      <c r="Z140" s="111">
        <v>46.939500000000002</v>
      </c>
      <c r="AA140" s="110">
        <v>212</v>
      </c>
      <c r="AB140" s="110">
        <v>13026498</v>
      </c>
      <c r="AC140" s="110">
        <v>25634</v>
      </c>
      <c r="AD140" s="110">
        <v>-158902</v>
      </c>
      <c r="AE140" s="111">
        <v>12893230</v>
      </c>
      <c r="AF140" s="33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</row>
    <row r="141" spans="1:241" ht="15.75" customHeight="1" x14ac:dyDescent="0.25">
      <c r="A141" s="35">
        <v>123</v>
      </c>
      <c r="B141" s="105" t="s">
        <v>138</v>
      </c>
      <c r="C141" s="34" t="s">
        <v>22</v>
      </c>
      <c r="D141" s="111">
        <v>122201791.8</v>
      </c>
      <c r="E141" s="111"/>
      <c r="F141" s="111">
        <v>583482605.41999996</v>
      </c>
      <c r="G141" s="111">
        <v>11028519.300000001</v>
      </c>
      <c r="H141" s="130"/>
      <c r="I141" s="111"/>
      <c r="J141" s="111">
        <v>1814712922.53</v>
      </c>
      <c r="K141" s="111">
        <v>11443426.529999999</v>
      </c>
      <c r="L141" s="111">
        <v>-4208671.4400000004</v>
      </c>
      <c r="M141" s="38">
        <v>89158168.280000001</v>
      </c>
      <c r="N141" s="111">
        <v>1819710177.2</v>
      </c>
      <c r="O141" s="111">
        <v>-19658731.23</v>
      </c>
      <c r="P141" s="46">
        <v>1713476406.4300001</v>
      </c>
      <c r="Q141" s="99">
        <f>(P141/$P$143)</f>
        <v>0.6045836008285973</v>
      </c>
      <c r="R141" s="58">
        <v>1800051445.97</v>
      </c>
      <c r="S141" s="99">
        <f t="shared" ref="S141:S142" si="75">(R141/$R$143)</f>
        <v>0.60555741795012319</v>
      </c>
      <c r="T141" s="104">
        <f t="shared" ref="T141:T142" si="76">((R141-P141)/P141)</f>
        <v>5.0525959514305559E-2</v>
      </c>
      <c r="U141" s="40">
        <f t="shared" ref="U141:U142" si="77">(L141/R141)</f>
        <v>-2.3380839750010915E-3</v>
      </c>
      <c r="V141" s="41">
        <f t="shared" ref="V141:V142" si="78">M141/R141</f>
        <v>4.9530900063778471E-2</v>
      </c>
      <c r="W141" s="42">
        <f t="shared" ref="W141:W142" si="79">R141/AE141</f>
        <v>1.4379893145564755</v>
      </c>
      <c r="X141" s="42">
        <f t="shared" ref="X141:X142" si="80">M141/AE141</f>
        <v>7.1224905032078095E-2</v>
      </c>
      <c r="Y141" s="111">
        <v>1.43</v>
      </c>
      <c r="Z141" s="111">
        <v>1.44</v>
      </c>
      <c r="AA141" s="110">
        <v>9281</v>
      </c>
      <c r="AB141" s="110">
        <v>1252921241.22</v>
      </c>
      <c r="AC141" s="110">
        <v>1065300.68</v>
      </c>
      <c r="AD141" s="110">
        <v>-2202938.4</v>
      </c>
      <c r="AE141" s="96">
        <v>1251783603.5</v>
      </c>
      <c r="AF141" s="33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</row>
    <row r="142" spans="1:241" ht="15.75" customHeight="1" x14ac:dyDescent="0.25">
      <c r="A142" s="35">
        <v>124</v>
      </c>
      <c r="B142" s="105" t="s">
        <v>191</v>
      </c>
      <c r="C142" s="34" t="s">
        <v>70</v>
      </c>
      <c r="D142" s="111">
        <v>266067199.5</v>
      </c>
      <c r="E142" s="111"/>
      <c r="F142" s="147">
        <v>70121581.689999998</v>
      </c>
      <c r="G142" s="111">
        <v>241373991.65000001</v>
      </c>
      <c r="H142" s="130"/>
      <c r="I142" s="111"/>
      <c r="J142" s="111">
        <v>577562772.84000003</v>
      </c>
      <c r="K142" s="111">
        <v>3466605</v>
      </c>
      <c r="L142" s="98">
        <v>-4248012.18</v>
      </c>
      <c r="M142" s="38">
        <v>19151281.719999999</v>
      </c>
      <c r="N142" s="111">
        <v>588252405.59000003</v>
      </c>
      <c r="O142" s="111">
        <v>-6191892.8200000003</v>
      </c>
      <c r="P142" s="46">
        <v>567593982.95000005</v>
      </c>
      <c r="Q142" s="99">
        <f>(P142/$P$143)</f>
        <v>0.20027005492040628</v>
      </c>
      <c r="R142" s="58">
        <v>582060512.76999998</v>
      </c>
      <c r="S142" s="99">
        <f t="shared" si="75"/>
        <v>0.19581165971275258</v>
      </c>
      <c r="T142" s="104">
        <f t="shared" si="76"/>
        <v>2.5487461556255267E-2</v>
      </c>
      <c r="U142" s="40">
        <f t="shared" si="77"/>
        <v>-7.2982311749407282E-3</v>
      </c>
      <c r="V142" s="41">
        <f t="shared" si="78"/>
        <v>3.2902561331398184E-2</v>
      </c>
      <c r="W142" s="42">
        <f t="shared" si="79"/>
        <v>15.885844294915591</v>
      </c>
      <c r="X142" s="42">
        <f t="shared" si="80"/>
        <v>0.52268496621450211</v>
      </c>
      <c r="Y142" s="111">
        <v>15.885999999999999</v>
      </c>
      <c r="Z142" s="111">
        <v>16.0381</v>
      </c>
      <c r="AA142" s="110">
        <v>1515</v>
      </c>
      <c r="AB142" s="110">
        <v>37067257.07</v>
      </c>
      <c r="AC142" s="110"/>
      <c r="AD142" s="110">
        <v>-427057.03</v>
      </c>
      <c r="AE142" s="111">
        <v>36640200.039999999</v>
      </c>
      <c r="AF142" s="33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</row>
    <row r="143" spans="1:241" ht="15.75" customHeight="1" x14ac:dyDescent="0.25">
      <c r="A143" s="84"/>
      <c r="B143" s="142"/>
      <c r="C143" s="88" t="s">
        <v>49</v>
      </c>
      <c r="D143" s="115">
        <f>SUM(D140:D142)</f>
        <v>641861474.20000005</v>
      </c>
      <c r="E143" s="115"/>
      <c r="F143" s="115">
        <f>SUM(F140:F142)</f>
        <v>653604187.1099999</v>
      </c>
      <c r="G143" s="115">
        <f>SUM(G140:G142)</f>
        <v>402204670.44000006</v>
      </c>
      <c r="H143" s="115">
        <f>SUM(H140:H142)</f>
        <v>610761</v>
      </c>
      <c r="I143" s="115"/>
      <c r="J143" s="115">
        <f t="shared" ref="J143:O143" si="81">SUM(J140:J142)</f>
        <v>2796281098.7600002</v>
      </c>
      <c r="K143" s="115">
        <f t="shared" si="81"/>
        <v>40983656.649999999</v>
      </c>
      <c r="L143" s="115">
        <f t="shared" si="81"/>
        <v>-10775224.58</v>
      </c>
      <c r="M143" s="115">
        <f t="shared" si="81"/>
        <v>151301284.75</v>
      </c>
      <c r="N143" s="115">
        <f t="shared" si="81"/>
        <v>3006917005.79</v>
      </c>
      <c r="O143" s="115">
        <f t="shared" si="81"/>
        <v>-34364127.049999997</v>
      </c>
      <c r="P143" s="61">
        <f>SUM(P140:P142)</f>
        <v>2834143043.3800001</v>
      </c>
      <c r="Q143" s="116">
        <f>(P143/$P$158)</f>
        <v>2.0686793204315605E-3</v>
      </c>
      <c r="R143" s="60">
        <f>SUM(R140:R142)</f>
        <v>2972552878.7400002</v>
      </c>
      <c r="S143" s="116">
        <f>(R143/$R$158)</f>
        <v>2.0899842624776729E-3</v>
      </c>
      <c r="T143" s="117">
        <f>((R143-P143)/P143)</f>
        <v>4.8836573610248166E-2</v>
      </c>
      <c r="U143" s="51"/>
      <c r="V143" s="52"/>
      <c r="W143" s="53"/>
      <c r="X143" s="53"/>
      <c r="Y143" s="115"/>
      <c r="Z143" s="115"/>
      <c r="AA143" s="118">
        <f>SUM(AA140:AA142)</f>
        <v>11008</v>
      </c>
      <c r="AB143" s="118"/>
      <c r="AC143" s="118"/>
      <c r="AD143" s="118"/>
      <c r="AE143" s="83"/>
      <c r="AF143" s="33"/>
    </row>
    <row r="144" spans="1:241" ht="4.5" customHeight="1" x14ac:dyDescent="0.25">
      <c r="A144" s="160" t="s">
        <v>171</v>
      </c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2"/>
      <c r="AF144" s="33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</row>
    <row r="145" spans="1:241" ht="15.75" customHeight="1" x14ac:dyDescent="0.25">
      <c r="A145" s="163" t="s">
        <v>223</v>
      </c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5"/>
      <c r="AF145" s="33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</row>
    <row r="146" spans="1:241" ht="15.75" customHeight="1" x14ac:dyDescent="0.25">
      <c r="A146" s="35">
        <v>125</v>
      </c>
      <c r="B146" s="105" t="s">
        <v>157</v>
      </c>
      <c r="C146" s="34" t="s">
        <v>103</v>
      </c>
      <c r="D146" s="98">
        <v>1038899252.85</v>
      </c>
      <c r="E146" s="119"/>
      <c r="F146" s="98"/>
      <c r="G146" s="111">
        <v>1489216724.23</v>
      </c>
      <c r="H146" s="111"/>
      <c r="I146" s="98">
        <v>888385855</v>
      </c>
      <c r="J146" s="85">
        <v>3416501832.8499999</v>
      </c>
      <c r="K146" s="57">
        <v>108597683.18000001</v>
      </c>
      <c r="L146" s="98">
        <v>-5855613.75</v>
      </c>
      <c r="M146" s="38">
        <v>119845787.90000001</v>
      </c>
      <c r="N146" s="98">
        <v>3862255741.79</v>
      </c>
      <c r="O146" s="98">
        <v>-309530455.20999998</v>
      </c>
      <c r="P146" s="39">
        <v>3442643646.7199998</v>
      </c>
      <c r="Q146" s="99">
        <f>(P146/$P$157)</f>
        <v>0.15104244948455162</v>
      </c>
      <c r="R146" s="39">
        <v>3552725286.5799999</v>
      </c>
      <c r="S146" s="99">
        <f>(R146/$R$157)</f>
        <v>0.15703494138095303</v>
      </c>
      <c r="T146" s="104">
        <f>((R146-P146)/P146)</f>
        <v>3.1975903159445825E-2</v>
      </c>
      <c r="U146" s="40">
        <f>(L146/R146)</f>
        <v>-1.6482033587338963E-3</v>
      </c>
      <c r="V146" s="41">
        <f>M146/R146</f>
        <v>3.3733480140641134E-2</v>
      </c>
      <c r="W146" s="42">
        <f>R146/AE146</f>
        <v>1.7561969325809981</v>
      </c>
      <c r="X146" s="42">
        <f>M146/AE146</f>
        <v>5.9242634348275973E-2</v>
      </c>
      <c r="Y146" s="57">
        <v>1.74</v>
      </c>
      <c r="Z146" s="57">
        <v>1.77</v>
      </c>
      <c r="AA146" s="86">
        <v>15278</v>
      </c>
      <c r="AB146" s="57">
        <v>2026745217.9000001</v>
      </c>
      <c r="AC146" s="57">
        <v>768266</v>
      </c>
      <c r="AD146" s="57">
        <v>-4548280</v>
      </c>
      <c r="AE146" s="96">
        <v>2022965204.3399999</v>
      </c>
      <c r="AF146" s="33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</row>
    <row r="147" spans="1:241" ht="15.75" customHeight="1" x14ac:dyDescent="0.25">
      <c r="A147" s="35">
        <v>126</v>
      </c>
      <c r="B147" s="34" t="s">
        <v>140</v>
      </c>
      <c r="C147" s="34" t="s">
        <v>22</v>
      </c>
      <c r="D147" s="96">
        <v>208760914.44999999</v>
      </c>
      <c r="E147" s="96"/>
      <c r="F147" s="96">
        <v>66005539.219999999</v>
      </c>
      <c r="G147" s="96">
        <v>22308286.760000002</v>
      </c>
      <c r="H147" s="96"/>
      <c r="I147" s="96"/>
      <c r="J147" s="96">
        <v>297123529.43000001</v>
      </c>
      <c r="K147" s="96">
        <v>1036305.49</v>
      </c>
      <c r="L147" s="96">
        <v>-602918.31999999995</v>
      </c>
      <c r="M147" s="38">
        <v>11790962.800000001</v>
      </c>
      <c r="N147" s="111">
        <v>302012180.08999997</v>
      </c>
      <c r="O147" s="111">
        <v>6447989.6299999999</v>
      </c>
      <c r="P147" s="46">
        <v>284411410.10000002</v>
      </c>
      <c r="Q147" s="99">
        <f>(P147/$P$157)</f>
        <v>1.2478258121135493E-2</v>
      </c>
      <c r="R147" s="58">
        <v>295564190.45999998</v>
      </c>
      <c r="S147" s="99">
        <f>(R147/$R$157)</f>
        <v>1.3064310234883057E-2</v>
      </c>
      <c r="T147" s="104">
        <f>((R147-P147)/P147)</f>
        <v>3.9213547572084395E-2</v>
      </c>
      <c r="U147" s="40">
        <f t="shared" ref="U147:U157" si="82">(L147/R147)</f>
        <v>-2.0398896059148804E-3</v>
      </c>
      <c r="V147" s="41">
        <f>M147/R147</f>
        <v>3.9893069527973564E-2</v>
      </c>
      <c r="W147" s="42">
        <f>R147/AE147</f>
        <v>264.18022912349267</v>
      </c>
      <c r="X147" s="42">
        <f>M147/AE147</f>
        <v>10.538960248339482</v>
      </c>
      <c r="Y147" s="111">
        <v>262.27</v>
      </c>
      <c r="Z147" s="111">
        <v>265.49</v>
      </c>
      <c r="AA147" s="110">
        <v>518</v>
      </c>
      <c r="AB147" s="110">
        <v>1120320.07</v>
      </c>
      <c r="AC147" s="110">
        <v>5105.07</v>
      </c>
      <c r="AD147" s="110">
        <v>-6627.6</v>
      </c>
      <c r="AE147" s="96">
        <v>1118797.54</v>
      </c>
      <c r="AF147" s="33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</row>
    <row r="148" spans="1:241" ht="15.75" customHeight="1" x14ac:dyDescent="0.25">
      <c r="A148" s="68"/>
      <c r="B148" s="69"/>
      <c r="C148" s="69"/>
      <c r="D148" s="96"/>
      <c r="E148" s="96"/>
      <c r="F148" s="96"/>
      <c r="G148" s="96"/>
      <c r="H148" s="96"/>
      <c r="I148" s="96"/>
      <c r="J148" s="96"/>
      <c r="K148" s="96"/>
      <c r="L148" s="96"/>
      <c r="M148" s="38"/>
      <c r="N148" s="111"/>
      <c r="O148" s="111"/>
      <c r="P148" s="58"/>
      <c r="Q148" s="99"/>
      <c r="R148" s="58"/>
      <c r="S148" s="99"/>
      <c r="T148" s="104"/>
      <c r="U148" s="40"/>
      <c r="V148" s="41"/>
      <c r="W148" s="42"/>
      <c r="X148" s="42"/>
      <c r="Y148" s="111"/>
      <c r="Z148" s="111"/>
      <c r="AA148" s="110"/>
      <c r="AB148" s="110"/>
      <c r="AC148" s="110"/>
      <c r="AD148" s="110"/>
      <c r="AE148" s="111"/>
      <c r="AF148" s="33"/>
      <c r="AG148" s="32"/>
    </row>
    <row r="149" spans="1:241" ht="15.75" customHeight="1" x14ac:dyDescent="0.25">
      <c r="A149" s="163" t="s">
        <v>204</v>
      </c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64"/>
      <c r="AE149" s="165"/>
      <c r="AF149" s="33"/>
    </row>
    <row r="150" spans="1:241" ht="15.75" customHeight="1" x14ac:dyDescent="0.25">
      <c r="A150" s="35">
        <v>127</v>
      </c>
      <c r="B150" s="105" t="s">
        <v>188</v>
      </c>
      <c r="C150" s="34" t="s">
        <v>183</v>
      </c>
      <c r="D150" s="111"/>
      <c r="E150" s="111"/>
      <c r="F150" s="111"/>
      <c r="G150" s="111">
        <v>276525971.17000002</v>
      </c>
      <c r="H150" s="111"/>
      <c r="I150" s="111"/>
      <c r="J150" s="111">
        <v>276525971.17000002</v>
      </c>
      <c r="K150" s="111">
        <v>2048472.9899999998</v>
      </c>
      <c r="L150" s="111">
        <v>797488.14</v>
      </c>
      <c r="M150" s="38">
        <v>1250984.8499999996</v>
      </c>
      <c r="N150" s="148">
        <v>478373985.92000002</v>
      </c>
      <c r="O150" s="149">
        <v>3603186.63</v>
      </c>
      <c r="P150" s="46">
        <v>471647110</v>
      </c>
      <c r="Q150" s="99">
        <f>(P150/$P$84)</f>
        <v>1.3726649071014565E-3</v>
      </c>
      <c r="R150" s="58">
        <v>474770799.29000002</v>
      </c>
      <c r="S150" s="99">
        <f t="shared" ref="S150:S156" si="83">(R150/$R$157)</f>
        <v>2.0985468512726934E-2</v>
      </c>
      <c r="T150" s="104">
        <f>((R150-P150)/P150)</f>
        <v>6.6229374118289865E-3</v>
      </c>
      <c r="U150" s="40">
        <f t="shared" ref="U150:U156" si="84">(L150/R150)</f>
        <v>1.6797329178471177E-3</v>
      </c>
      <c r="V150" s="41">
        <f t="shared" ref="V150:V156" si="85">M150/R150</f>
        <v>2.6349237397725292E-3</v>
      </c>
      <c r="W150" s="42">
        <f t="shared" ref="W150:W156" si="86">R150/AE150</f>
        <v>1018.0022498847494</v>
      </c>
      <c r="X150" s="42">
        <f t="shared" ref="X150:X156" si="87">M150/AE150</f>
        <v>2.6823582953631728</v>
      </c>
      <c r="Y150" s="37">
        <v>1018.0022498847494</v>
      </c>
      <c r="Z150" s="37">
        <v>1018.0022498847494</v>
      </c>
      <c r="AA150" s="110">
        <v>25</v>
      </c>
      <c r="AB150" s="110">
        <v>463774</v>
      </c>
      <c r="AC150" s="110">
        <v>2601</v>
      </c>
      <c r="AD150" s="103">
        <v>0</v>
      </c>
      <c r="AE150" s="103">
        <v>466375</v>
      </c>
      <c r="AF150" s="33"/>
    </row>
    <row r="151" spans="1:241" ht="16.5" customHeight="1" x14ac:dyDescent="0.25">
      <c r="A151" s="35">
        <v>128</v>
      </c>
      <c r="B151" s="105" t="s">
        <v>205</v>
      </c>
      <c r="C151" s="82" t="s">
        <v>62</v>
      </c>
      <c r="D151" s="37"/>
      <c r="E151" s="37"/>
      <c r="F151" s="37">
        <v>6936737.5800000001</v>
      </c>
      <c r="G151" s="37">
        <v>10110783.35</v>
      </c>
      <c r="H151" s="37"/>
      <c r="I151" s="96"/>
      <c r="J151" s="96">
        <v>17047520.93</v>
      </c>
      <c r="K151" s="96">
        <v>528956.18999999994</v>
      </c>
      <c r="L151" s="96">
        <v>248236.55</v>
      </c>
      <c r="M151" s="38">
        <v>280719.64</v>
      </c>
      <c r="N151" s="111">
        <v>50390696.57</v>
      </c>
      <c r="O151" s="111">
        <v>1602467.25</v>
      </c>
      <c r="P151" s="46">
        <v>48869475.170000002</v>
      </c>
      <c r="Q151" s="99"/>
      <c r="R151" s="58">
        <v>48788229.32</v>
      </c>
      <c r="S151" s="99">
        <f t="shared" ref="S151:S156" si="88">(R151/$R$157)</f>
        <v>2.1565013090899376E-3</v>
      </c>
      <c r="T151" s="104">
        <f t="shared" ref="T151:T156" si="89">((R151-P151)/P151)</f>
        <v>-1.6625071113895796E-3</v>
      </c>
      <c r="U151" s="40">
        <f t="shared" ref="U151:U156" si="90">(L151/R151)</f>
        <v>5.0880417973734327E-3</v>
      </c>
      <c r="V151" s="41">
        <f t="shared" ref="V151:V156" si="91">M151/R151</f>
        <v>5.7538394795755218E-3</v>
      </c>
      <c r="W151" s="42">
        <f t="shared" ref="W151:W156" si="92">R151/AE151</f>
        <v>103.19370476518826</v>
      </c>
      <c r="X151" s="42">
        <f t="shared" ref="X151:X156" si="93">M151/AE151</f>
        <v>0.59376001252160082</v>
      </c>
      <c r="Y151" s="111">
        <v>102.44</v>
      </c>
      <c r="Z151" s="111">
        <v>102.44</v>
      </c>
      <c r="AA151" s="110">
        <v>52</v>
      </c>
      <c r="AB151" s="110">
        <v>476283</v>
      </c>
      <c r="AC151" s="110">
        <v>5170</v>
      </c>
      <c r="AD151" s="110">
        <v>1670</v>
      </c>
      <c r="AE151" s="96">
        <v>472783</v>
      </c>
      <c r="AF151" s="5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</row>
    <row r="152" spans="1:241" ht="15.75" customHeight="1" x14ac:dyDescent="0.25">
      <c r="A152" s="35">
        <v>129</v>
      </c>
      <c r="B152" s="105" t="s">
        <v>224</v>
      </c>
      <c r="C152" s="82" t="s">
        <v>202</v>
      </c>
      <c r="D152" s="111"/>
      <c r="E152" s="111"/>
      <c r="F152" s="111">
        <v>17554438.800000001</v>
      </c>
      <c r="G152" s="111">
        <v>25235010.73</v>
      </c>
      <c r="H152" s="111"/>
      <c r="I152" s="111"/>
      <c r="J152" s="111">
        <v>52104826.259999998</v>
      </c>
      <c r="K152" s="111">
        <v>478147.1</v>
      </c>
      <c r="L152" s="111">
        <v>192119.79</v>
      </c>
      <c r="M152" s="38">
        <v>286027.31</v>
      </c>
      <c r="N152" s="148">
        <v>52104826.259999998</v>
      </c>
      <c r="O152" s="149">
        <v>1064884.1100000001</v>
      </c>
      <c r="P152" s="58">
        <v>0</v>
      </c>
      <c r="Q152" s="99">
        <f>(P152/$P$84)</f>
        <v>0</v>
      </c>
      <c r="R152" s="58">
        <v>51039942.149999999</v>
      </c>
      <c r="S152" s="99">
        <f t="shared" si="88"/>
        <v>2.2560298579483206E-3</v>
      </c>
      <c r="T152" s="104" t="e">
        <f t="shared" si="89"/>
        <v>#DIV/0!</v>
      </c>
      <c r="U152" s="40">
        <f t="shared" si="90"/>
        <v>3.7641067349838291E-3</v>
      </c>
      <c r="V152" s="41">
        <f t="shared" si="91"/>
        <v>5.6039896980956908E-3</v>
      </c>
      <c r="W152" s="42">
        <f t="shared" si="92"/>
        <v>98.108831246467957</v>
      </c>
      <c r="X152" s="42">
        <f t="shared" si="93"/>
        <v>0.54980087959741497</v>
      </c>
      <c r="Y152" s="37">
        <v>98.11</v>
      </c>
      <c r="Z152" s="37">
        <v>100</v>
      </c>
      <c r="AA152" s="110">
        <v>5</v>
      </c>
      <c r="AB152" s="110">
        <f>AE152-AC152</f>
        <v>518371</v>
      </c>
      <c r="AC152" s="110">
        <v>1867</v>
      </c>
      <c r="AD152" s="103">
        <v>0</v>
      </c>
      <c r="AE152" s="103">
        <v>520238</v>
      </c>
      <c r="AF152" s="33"/>
    </row>
    <row r="153" spans="1:241" ht="15.75" customHeight="1" x14ac:dyDescent="0.25">
      <c r="A153" s="35">
        <v>130</v>
      </c>
      <c r="B153" s="34" t="s">
        <v>172</v>
      </c>
      <c r="C153" s="34" t="s">
        <v>52</v>
      </c>
      <c r="D153" s="37"/>
      <c r="E153" s="37"/>
      <c r="F153" s="37">
        <v>485508630.91000003</v>
      </c>
      <c r="G153" s="37">
        <v>6332101200.71</v>
      </c>
      <c r="H153" s="37"/>
      <c r="I153" s="96"/>
      <c r="J153" s="96">
        <v>6798493644.54</v>
      </c>
      <c r="K153" s="96">
        <v>77043946.159999996</v>
      </c>
      <c r="L153" s="96">
        <v>-11394095.550000001</v>
      </c>
      <c r="M153" s="38">
        <v>65649850.600000001</v>
      </c>
      <c r="N153" s="111">
        <v>6799049219.0200005</v>
      </c>
      <c r="O153" s="111">
        <v>-555574.48</v>
      </c>
      <c r="P153" s="46">
        <v>6696760660.3000002</v>
      </c>
      <c r="Q153" s="99">
        <f>(P153/$P$157)</f>
        <v>0.29381348682638225</v>
      </c>
      <c r="R153" s="58">
        <v>6798493644.54</v>
      </c>
      <c r="S153" s="99">
        <f t="shared" si="88"/>
        <v>0.30050199912215486</v>
      </c>
      <c r="T153" s="104">
        <f t="shared" si="89"/>
        <v>1.5191372276912515E-2</v>
      </c>
      <c r="U153" s="40">
        <f t="shared" si="90"/>
        <v>-1.6759735532224577E-3</v>
      </c>
      <c r="V153" s="41">
        <f t="shared" si="91"/>
        <v>9.6565289360422725E-3</v>
      </c>
      <c r="W153" s="42">
        <f t="shared" si="92"/>
        <v>117.70605113272681</v>
      </c>
      <c r="X153" s="42">
        <f t="shared" si="93"/>
        <v>1.1366318887104478</v>
      </c>
      <c r="Y153" s="111">
        <v>121.66</v>
      </c>
      <c r="Z153" s="111">
        <v>121.66</v>
      </c>
      <c r="AA153" s="110">
        <v>438</v>
      </c>
      <c r="AB153" s="110">
        <v>57671032</v>
      </c>
      <c r="AC153" s="110">
        <v>226491</v>
      </c>
      <c r="AD153" s="110">
        <v>-139289</v>
      </c>
      <c r="AE153" s="96">
        <v>57758234</v>
      </c>
      <c r="AF153" s="33"/>
    </row>
    <row r="154" spans="1:241" ht="15" customHeight="1" x14ac:dyDescent="0.25">
      <c r="A154" s="35">
        <v>131</v>
      </c>
      <c r="B154" s="34" t="s">
        <v>146</v>
      </c>
      <c r="C154" s="34" t="s">
        <v>225</v>
      </c>
      <c r="D154" s="37"/>
      <c r="E154" s="37"/>
      <c r="F154" s="37"/>
      <c r="G154" s="37">
        <v>294654077.98000002</v>
      </c>
      <c r="H154" s="37"/>
      <c r="I154" s="96">
        <v>31519634.800000001</v>
      </c>
      <c r="J154" s="96">
        <v>326173712.75999999</v>
      </c>
      <c r="K154" s="96">
        <v>3452391.36</v>
      </c>
      <c r="L154" s="96">
        <v>853261.21</v>
      </c>
      <c r="M154" s="38">
        <v>2599130.15</v>
      </c>
      <c r="N154" s="150">
        <v>333387381.07999998</v>
      </c>
      <c r="O154" s="150">
        <v>16581165.76</v>
      </c>
      <c r="P154" s="46">
        <v>336294580.75999999</v>
      </c>
      <c r="Q154" s="99">
        <f>(P154/$P$157)</f>
        <v>1.475457887567474E-2</v>
      </c>
      <c r="R154" s="58">
        <v>316806215.31999999</v>
      </c>
      <c r="S154" s="99">
        <f t="shared" si="88"/>
        <v>1.4003234542175605E-2</v>
      </c>
      <c r="T154" s="104">
        <f t="shared" si="89"/>
        <v>-5.7950280958907467E-2</v>
      </c>
      <c r="U154" s="40">
        <f t="shared" si="90"/>
        <v>2.6933221911007552E-3</v>
      </c>
      <c r="V154" s="41">
        <f t="shared" si="91"/>
        <v>8.2041640104019656E-3</v>
      </c>
      <c r="W154" s="42">
        <f t="shared" si="92"/>
        <v>102.78570908256795</v>
      </c>
      <c r="X154" s="42">
        <f t="shared" si="93"/>
        <v>0.84327081523885039</v>
      </c>
      <c r="Y154" s="111">
        <v>102.79</v>
      </c>
      <c r="Z154" s="111">
        <v>102.79</v>
      </c>
      <c r="AA154" s="110">
        <v>278</v>
      </c>
      <c r="AB154" s="110">
        <v>3296944</v>
      </c>
      <c r="AC154" s="110">
        <v>213239</v>
      </c>
      <c r="AD154" s="110">
        <v>427982</v>
      </c>
      <c r="AE154" s="96">
        <v>3082201</v>
      </c>
    </row>
    <row r="155" spans="1:241" ht="15.75" customHeight="1" x14ac:dyDescent="0.25">
      <c r="A155" s="35">
        <v>132</v>
      </c>
      <c r="B155" s="105" t="s">
        <v>112</v>
      </c>
      <c r="C155" s="105" t="s">
        <v>22</v>
      </c>
      <c r="D155" s="37"/>
      <c r="E155" s="37"/>
      <c r="F155" s="37">
        <v>487345683.36000001</v>
      </c>
      <c r="G155" s="37">
        <v>8253508085.2799997</v>
      </c>
      <c r="H155" s="37"/>
      <c r="I155" s="96"/>
      <c r="J155" s="96">
        <v>8887479005.3400002</v>
      </c>
      <c r="K155" s="96">
        <v>64264230.640000001</v>
      </c>
      <c r="L155" s="96">
        <v>-14682093.060000001</v>
      </c>
      <c r="M155" s="38">
        <v>49582137.579999998</v>
      </c>
      <c r="N155" s="150">
        <v>8923199818.3899994</v>
      </c>
      <c r="O155" s="150">
        <v>-74548095.319999993</v>
      </c>
      <c r="P155" s="46">
        <v>9283478370.1000004</v>
      </c>
      <c r="Q155" s="99">
        <f>(P155/$P$157)</f>
        <v>0.40730306608780464</v>
      </c>
      <c r="R155" s="58">
        <v>8848651723.0699997</v>
      </c>
      <c r="S155" s="99">
        <f t="shared" si="88"/>
        <v>0.39112157359355026</v>
      </c>
      <c r="T155" s="104">
        <f t="shared" si="89"/>
        <v>-4.6838763413342963E-2</v>
      </c>
      <c r="U155" s="40">
        <f t="shared" si="90"/>
        <v>-1.6592463484263018E-3</v>
      </c>
      <c r="V155" s="41">
        <f t="shared" si="91"/>
        <v>5.6033550795914593E-3</v>
      </c>
      <c r="W155" s="42">
        <f t="shared" si="92"/>
        <v>121.01553403295344</v>
      </c>
      <c r="X155" s="42">
        <f t="shared" si="93"/>
        <v>0.67809300733302269</v>
      </c>
      <c r="Y155" s="111">
        <v>121.02</v>
      </c>
      <c r="Z155" s="111">
        <v>121.02</v>
      </c>
      <c r="AA155" s="151">
        <v>1021</v>
      </c>
      <c r="AB155" s="150">
        <v>77090153.890000001</v>
      </c>
      <c r="AC155" s="150">
        <v>371141.65</v>
      </c>
      <c r="AD155" s="111">
        <v>-4341329.6399999997</v>
      </c>
      <c r="AE155" s="96">
        <v>73119965.909999996</v>
      </c>
    </row>
    <row r="156" spans="1:241" ht="15.75" customHeight="1" x14ac:dyDescent="0.25">
      <c r="A156" s="35">
        <v>133</v>
      </c>
      <c r="B156" s="34" t="s">
        <v>150</v>
      </c>
      <c r="C156" s="34" t="s">
        <v>32</v>
      </c>
      <c r="D156" s="37"/>
      <c r="E156" s="37"/>
      <c r="F156" s="37"/>
      <c r="G156" s="37">
        <v>1737513522</v>
      </c>
      <c r="H156" s="37"/>
      <c r="I156" s="96"/>
      <c r="J156" s="96">
        <v>1737513522</v>
      </c>
      <c r="K156" s="96">
        <v>22427185</v>
      </c>
      <c r="L156" s="96">
        <v>-3880115</v>
      </c>
      <c r="M156" s="38">
        <v>18547069</v>
      </c>
      <c r="N156" s="150">
        <v>2257782175</v>
      </c>
      <c r="O156" s="150">
        <v>-20833797.460000001</v>
      </c>
      <c r="P156" s="46">
        <v>2228451796</v>
      </c>
      <c r="Q156" s="99">
        <f>(P156/$P$157)</f>
        <v>9.7771030744578311E-2</v>
      </c>
      <c r="R156" s="58">
        <v>2236948378</v>
      </c>
      <c r="S156" s="99">
        <f t="shared" si="88"/>
        <v>9.8875941446517998E-2</v>
      </c>
      <c r="T156" s="104">
        <f t="shared" si="89"/>
        <v>3.8127735207246099E-3</v>
      </c>
      <c r="U156" s="40">
        <f t="shared" si="90"/>
        <v>-1.7345572379587563E-3</v>
      </c>
      <c r="V156" s="41">
        <f t="shared" si="91"/>
        <v>8.2912369290267102E-3</v>
      </c>
      <c r="W156" s="42">
        <f t="shared" si="92"/>
        <v>1.1204813436465177</v>
      </c>
      <c r="X156" s="42">
        <f t="shared" si="93"/>
        <v>9.2901762947274757E-3</v>
      </c>
      <c r="Y156" s="111">
        <v>1.1200000000000001</v>
      </c>
      <c r="Z156" s="111">
        <v>1.1200000000000001</v>
      </c>
      <c r="AA156" s="110">
        <v>107</v>
      </c>
      <c r="AB156" s="110">
        <v>2016089792</v>
      </c>
      <c r="AC156" s="110">
        <v>223247</v>
      </c>
      <c r="AD156" s="110">
        <v>19895704</v>
      </c>
      <c r="AE156" s="96">
        <v>1996417335</v>
      </c>
    </row>
    <row r="157" spans="1:241" ht="15.75" customHeight="1" x14ac:dyDescent="0.25">
      <c r="A157" s="87"/>
      <c r="B157" s="88"/>
      <c r="C157" s="88" t="s">
        <v>49</v>
      </c>
      <c r="D157" s="115">
        <f>SUM(D146:D156)</f>
        <v>1247660167.3</v>
      </c>
      <c r="E157" s="115"/>
      <c r="F157" s="115">
        <f>SUM(F146:F156)</f>
        <v>1063351029.87</v>
      </c>
      <c r="G157" s="115">
        <f>SUM(G146:G156)</f>
        <v>18441173662.209999</v>
      </c>
      <c r="H157" s="115"/>
      <c r="I157" s="115">
        <f t="shared" ref="I157:P157" si="94">SUM(I146:I156)</f>
        <v>919905489.79999995</v>
      </c>
      <c r="J157" s="115">
        <f t="shared" si="94"/>
        <v>21808963565.279999</v>
      </c>
      <c r="K157" s="115">
        <f t="shared" si="94"/>
        <v>279877318.11000001</v>
      </c>
      <c r="L157" s="115">
        <f t="shared" si="94"/>
        <v>-34323729.990000002</v>
      </c>
      <c r="M157" s="115">
        <f t="shared" si="94"/>
        <v>269832669.82999998</v>
      </c>
      <c r="N157" s="115">
        <f t="shared" si="94"/>
        <v>23058556024.120003</v>
      </c>
      <c r="O157" s="115">
        <f t="shared" si="94"/>
        <v>-376168229.08999997</v>
      </c>
      <c r="P157" s="60">
        <f t="shared" si="94"/>
        <v>22792557049.150002</v>
      </c>
      <c r="Q157" s="116">
        <f>(P157/$P$158)</f>
        <v>1.6636595508990791E-2</v>
      </c>
      <c r="R157" s="60">
        <f>SUM(R146:R156)</f>
        <v>22623788408.73</v>
      </c>
      <c r="S157" s="116">
        <f>(R157/$R$158)</f>
        <v>1.5906651171807874E-2</v>
      </c>
      <c r="T157" s="117">
        <f t="shared" ref="T157" si="95">((R157-P157)/P157)</f>
        <v>-7.4045505318279256E-3</v>
      </c>
      <c r="U157" s="40">
        <f t="shared" si="82"/>
        <v>-1.517152183794084E-3</v>
      </c>
      <c r="V157" s="52"/>
      <c r="W157" s="53"/>
      <c r="X157" s="53"/>
      <c r="Y157" s="115"/>
      <c r="Z157" s="115"/>
      <c r="AA157" s="118">
        <f>SUM(AA146:AA156)</f>
        <v>17722</v>
      </c>
      <c r="AB157" s="118"/>
      <c r="AC157" s="118"/>
      <c r="AD157" s="118"/>
      <c r="AE157" s="115"/>
    </row>
    <row r="158" spans="1:241" ht="15.75" customHeight="1" x14ac:dyDescent="0.25">
      <c r="A158" s="89"/>
      <c r="B158" s="90"/>
      <c r="C158" s="90" t="s">
        <v>141</v>
      </c>
      <c r="D158" s="152">
        <f>SUM(D157,D143,D138,D112,D106,D84,D51,D20)</f>
        <v>25667086356.509998</v>
      </c>
      <c r="E158" s="152"/>
      <c r="F158" s="152">
        <f t="shared" ref="F158:O158" si="96">SUM(F157,F143,F138,F112,F106,F84,F51,F20)</f>
        <v>586651697806.53003</v>
      </c>
      <c r="G158" s="152">
        <f t="shared" si="96"/>
        <v>568352438960.24207</v>
      </c>
      <c r="H158" s="152">
        <f t="shared" si="96"/>
        <v>33932941498.010002</v>
      </c>
      <c r="I158" s="152">
        <f t="shared" si="96"/>
        <v>7792889170.5299997</v>
      </c>
      <c r="J158" s="152">
        <f t="shared" si="96"/>
        <v>1258969404262.0291</v>
      </c>
      <c r="K158" s="152">
        <f t="shared" si="96"/>
        <v>13075598047.184998</v>
      </c>
      <c r="L158" s="152">
        <f t="shared" si="96"/>
        <v>2308593265.8719001</v>
      </c>
      <c r="M158" s="152">
        <f t="shared" si="96"/>
        <v>11632233518.4515</v>
      </c>
      <c r="N158" s="152">
        <f t="shared" si="96"/>
        <v>1418477056249.8264</v>
      </c>
      <c r="O158" s="152">
        <f t="shared" si="96"/>
        <v>8036016653.671505</v>
      </c>
      <c r="P158" s="152">
        <f>SUM(P20,P51,P84,P106,P112,P138,P143,P157)</f>
        <v>1370025317790.0725</v>
      </c>
      <c r="Q158" s="153"/>
      <c r="R158" s="152">
        <f>SUM(R20,R51,R84,R106,R112,R138,R143,R157)</f>
        <v>1422284814344.0293</v>
      </c>
      <c r="S158" s="153"/>
      <c r="T158" s="153"/>
      <c r="U158" s="91"/>
      <c r="V158" s="92"/>
      <c r="W158" s="93"/>
      <c r="X158" s="93"/>
      <c r="Y158" s="152"/>
      <c r="Z158" s="152"/>
      <c r="AA158" s="154">
        <f>SUM(AA20,AA51,AA84,AA106,AA112,AA138,AA143,AA157)</f>
        <v>421422</v>
      </c>
      <c r="AB158" s="152"/>
      <c r="AC158" s="152"/>
      <c r="AD158" s="152"/>
      <c r="AE158" s="152"/>
    </row>
  </sheetData>
  <sortState ref="B145:C149">
    <sortCondition ref="B145:B149"/>
  </sortState>
  <mergeCells count="13">
    <mergeCell ref="A144:AE144"/>
    <mergeCell ref="A149:AE149"/>
    <mergeCell ref="A86:AE86"/>
    <mergeCell ref="A97:AE97"/>
    <mergeCell ref="A107:AE107"/>
    <mergeCell ref="A113:AE113"/>
    <mergeCell ref="A139:AE139"/>
    <mergeCell ref="A145:AE145"/>
    <mergeCell ref="A1:AE1"/>
    <mergeCell ref="A3:AE3"/>
    <mergeCell ref="A21:AE21"/>
    <mergeCell ref="A52:AE52"/>
    <mergeCell ref="A85:AE85"/>
  </mergeCells>
  <phoneticPr fontId="5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3" manualBreakCount="3">
    <brk id="58" max="16383" man="1"/>
    <brk id="93" max="16383" man="1"/>
    <brk id="131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O1" sqref="O1"/>
    </sheetView>
  </sheetViews>
  <sheetFormatPr defaultColWidth="10" defaultRowHeight="12.95" customHeight="1" x14ac:dyDescent="0.25"/>
  <cols>
    <col min="1" max="256" width="10" style="12" customWidth="1"/>
  </cols>
  <sheetData>
    <row r="1" spans="1:12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3"/>
      <c r="L1" s="7"/>
    </row>
    <row r="2" spans="1:12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14"/>
    </row>
    <row r="3" spans="1:12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14"/>
    </row>
    <row r="4" spans="1:12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  <c r="L4" s="14"/>
    </row>
    <row r="5" spans="1:12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14"/>
    </row>
    <row r="6" spans="1:12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14"/>
    </row>
    <row r="7" spans="1:12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  <c r="L7" s="14"/>
    </row>
    <row r="8" spans="1:12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14"/>
    </row>
    <row r="9" spans="1:12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14"/>
    </row>
    <row r="10" spans="1:12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6"/>
      <c r="L10" s="14"/>
    </row>
    <row r="11" spans="1:12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  <c r="L11" s="14"/>
    </row>
    <row r="12" spans="1:12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  <c r="L12" s="14"/>
    </row>
    <row r="13" spans="1:12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14"/>
    </row>
    <row r="14" spans="1:12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  <c r="L14" s="14"/>
    </row>
    <row r="15" spans="1:12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  <c r="L15" s="14"/>
    </row>
    <row r="16" spans="1:12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14"/>
    </row>
    <row r="17" spans="1:12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L17" s="14"/>
    </row>
    <row r="18" spans="1:12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  <c r="L18" s="14"/>
    </row>
    <row r="19" spans="1:12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14"/>
    </row>
    <row r="20" spans="1:12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14"/>
    </row>
    <row r="21" spans="1:12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  <c r="L21" s="14"/>
    </row>
    <row r="22" spans="1:12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  <c r="L22" s="14"/>
    </row>
    <row r="23" spans="1:12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  <c r="L23" s="14"/>
    </row>
    <row r="24" spans="1:12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P2" sqref="P2"/>
    </sheetView>
  </sheetViews>
  <sheetFormatPr defaultColWidth="10" defaultRowHeight="12.95" customHeight="1" x14ac:dyDescent="0.25"/>
  <cols>
    <col min="1" max="256" width="10" style="15" customWidth="1"/>
  </cols>
  <sheetData>
    <row r="1" spans="1:14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S1" sqref="S1"/>
    </sheetView>
  </sheetViews>
  <sheetFormatPr defaultColWidth="8.85546875" defaultRowHeight="15" customHeight="1" x14ac:dyDescent="0.25"/>
  <cols>
    <col min="1" max="3" width="8.85546875" style="16" customWidth="1"/>
    <col min="4" max="4" width="10.42578125" style="16" customWidth="1"/>
    <col min="5" max="256" width="8.85546875" style="16" customWidth="1"/>
  </cols>
  <sheetData>
    <row r="1" spans="1:14" ht="1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7"/>
    </row>
    <row r="2" spans="1:14" ht="1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4"/>
    </row>
    <row r="3" spans="1:14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4"/>
    </row>
    <row r="4" spans="1:14" ht="1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14"/>
    </row>
    <row r="5" spans="1:14" ht="1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14"/>
    </row>
    <row r="6" spans="1:14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14"/>
    </row>
    <row r="7" spans="1:14" ht="1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4"/>
    </row>
    <row r="8" spans="1:14" ht="1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14"/>
    </row>
    <row r="9" spans="1:14" ht="1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14"/>
    </row>
    <row r="10" spans="1:14" ht="1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14"/>
    </row>
    <row r="11" spans="1:14" ht="1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14"/>
    </row>
    <row r="12" spans="1:14" ht="1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14"/>
    </row>
    <row r="13" spans="1:14" ht="1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14"/>
    </row>
    <row r="14" spans="1:14" ht="1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14"/>
    </row>
    <row r="15" spans="1:14" ht="1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14"/>
    </row>
    <row r="16" spans="1:14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14"/>
    </row>
    <row r="17" spans="1:14" ht="1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14"/>
    </row>
    <row r="18" spans="1:14" ht="1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14"/>
    </row>
    <row r="19" spans="1:14" ht="1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14"/>
    </row>
    <row r="20" spans="1:14" ht="1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14"/>
    </row>
    <row r="21" spans="1:14" ht="1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14"/>
    </row>
    <row r="22" spans="1:14" ht="1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DECEMBER 2022</vt:lpstr>
      <vt:lpstr>Market Share</vt:lpstr>
      <vt:lpstr>Unit Holders</vt:lpstr>
      <vt:lpstr>NAV Comparison Oct - Dec '22</vt:lpstr>
      <vt:lpstr>'DECEMBER 2022'!_Hlk108107245</vt:lpstr>
      <vt:lpstr>'DECEMBER 2022'!_Hlk108109806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2023-05-20T19:42:25Z</dcterms:modified>
</cp:coreProperties>
</file>