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isaac\Desktop\Monthly Mutual Funds' Spreadsheet\2022\"/>
    </mc:Choice>
  </mc:AlternateContent>
  <bookViews>
    <workbookView xWindow="0" yWindow="0" windowWidth="20490" windowHeight="6750"/>
  </bookViews>
  <sheets>
    <sheet name="OCTOBER 2022" sheetId="1" r:id="rId1"/>
    <sheet name="Market Share" sheetId="2" r:id="rId2"/>
    <sheet name="Unit Holders" sheetId="3" r:id="rId3"/>
    <sheet name="NAV Comparison Sept &amp; Oct '22" sheetId="4" r:id="rId4"/>
  </sheets>
  <definedNames>
    <definedName name="_xlnm._FilterDatabase" localSheetId="0" hidden="1">'OCTOBER 2022'!$A$1:$AE$92</definedName>
    <definedName name="_Hlk108107245" localSheetId="0">'OCTOBER 2022'!$R$44</definedName>
    <definedName name="_Hlk108109806" localSheetId="0">'OCTOBER 2022'!$N$44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S112" i="1" l="1"/>
  <c r="T112" i="1"/>
  <c r="U112" i="1"/>
  <c r="V112" i="1"/>
  <c r="W112" i="1"/>
  <c r="X112" i="1"/>
  <c r="S113" i="1"/>
  <c r="T113" i="1"/>
  <c r="U113" i="1"/>
  <c r="V113" i="1"/>
  <c r="W113" i="1"/>
  <c r="X113" i="1"/>
  <c r="S114" i="1"/>
  <c r="T114" i="1"/>
  <c r="U114" i="1"/>
  <c r="V114" i="1"/>
  <c r="W114" i="1"/>
  <c r="X114" i="1"/>
  <c r="S115" i="1"/>
  <c r="T115" i="1"/>
  <c r="U115" i="1"/>
  <c r="V115" i="1"/>
  <c r="W115" i="1"/>
  <c r="X115" i="1"/>
  <c r="S116" i="1"/>
  <c r="T116" i="1"/>
  <c r="U116" i="1"/>
  <c r="V116" i="1"/>
  <c r="W116" i="1"/>
  <c r="X116" i="1"/>
  <c r="S117" i="1"/>
  <c r="T117" i="1"/>
  <c r="U117" i="1"/>
  <c r="V117" i="1"/>
  <c r="W117" i="1"/>
  <c r="X117" i="1"/>
  <c r="S118" i="1"/>
  <c r="T118" i="1"/>
  <c r="U118" i="1"/>
  <c r="V118" i="1"/>
  <c r="W118" i="1"/>
  <c r="X118" i="1"/>
  <c r="S119" i="1"/>
  <c r="T119" i="1"/>
  <c r="U119" i="1"/>
  <c r="V119" i="1"/>
  <c r="W119" i="1"/>
  <c r="X119" i="1"/>
  <c r="S120" i="1"/>
  <c r="T120" i="1"/>
  <c r="U120" i="1"/>
  <c r="V120" i="1"/>
  <c r="W120" i="1"/>
  <c r="X120" i="1"/>
  <c r="S121" i="1"/>
  <c r="T121" i="1"/>
  <c r="U121" i="1"/>
  <c r="V121" i="1"/>
  <c r="W121" i="1"/>
  <c r="X121" i="1"/>
  <c r="S122" i="1"/>
  <c r="T122" i="1"/>
  <c r="U122" i="1"/>
  <c r="V122" i="1"/>
  <c r="W122" i="1"/>
  <c r="X122" i="1"/>
  <c r="S123" i="1"/>
  <c r="T123" i="1"/>
  <c r="U123" i="1"/>
  <c r="V123" i="1"/>
  <c r="W123" i="1"/>
  <c r="X123" i="1"/>
  <c r="S124" i="1"/>
  <c r="T124" i="1"/>
  <c r="U124" i="1"/>
  <c r="V124" i="1"/>
  <c r="W124" i="1"/>
  <c r="X124" i="1"/>
  <c r="S125" i="1"/>
  <c r="T125" i="1"/>
  <c r="U125" i="1"/>
  <c r="V125" i="1"/>
  <c r="W125" i="1"/>
  <c r="X125" i="1"/>
  <c r="S126" i="1"/>
  <c r="T126" i="1"/>
  <c r="U126" i="1"/>
  <c r="V126" i="1"/>
  <c r="W126" i="1"/>
  <c r="X126" i="1"/>
  <c r="S127" i="1"/>
  <c r="T127" i="1"/>
  <c r="U127" i="1"/>
  <c r="V127" i="1"/>
  <c r="W127" i="1"/>
  <c r="X127" i="1"/>
  <c r="S128" i="1"/>
  <c r="T128" i="1"/>
  <c r="U128" i="1"/>
  <c r="V128" i="1"/>
  <c r="W128" i="1"/>
  <c r="X128" i="1"/>
  <c r="S129" i="1"/>
  <c r="T129" i="1"/>
  <c r="U129" i="1"/>
  <c r="V129" i="1"/>
  <c r="W129" i="1"/>
  <c r="X129" i="1"/>
  <c r="S130" i="1"/>
  <c r="T130" i="1"/>
  <c r="U130" i="1"/>
  <c r="V130" i="1"/>
  <c r="W130" i="1"/>
  <c r="X130" i="1"/>
  <c r="S131" i="1"/>
  <c r="T131" i="1"/>
  <c r="U131" i="1"/>
  <c r="V131" i="1"/>
  <c r="W131" i="1"/>
  <c r="X131" i="1"/>
  <c r="S132" i="1"/>
  <c r="T132" i="1"/>
  <c r="U132" i="1"/>
  <c r="V132" i="1"/>
  <c r="W132" i="1"/>
  <c r="X132" i="1"/>
  <c r="S133" i="1"/>
  <c r="T133" i="1"/>
  <c r="U133" i="1"/>
  <c r="V133" i="1"/>
  <c r="W133" i="1"/>
  <c r="X133" i="1"/>
  <c r="T96" i="1"/>
  <c r="U96" i="1"/>
  <c r="V96" i="1"/>
  <c r="W96" i="1"/>
  <c r="X96" i="1"/>
  <c r="T97" i="1"/>
  <c r="U97" i="1"/>
  <c r="V97" i="1"/>
  <c r="W97" i="1"/>
  <c r="X97" i="1"/>
  <c r="T98" i="1"/>
  <c r="U98" i="1"/>
  <c r="V98" i="1"/>
  <c r="W98" i="1"/>
  <c r="X98" i="1"/>
  <c r="T99" i="1"/>
  <c r="U99" i="1"/>
  <c r="V99" i="1"/>
  <c r="W99" i="1"/>
  <c r="X99" i="1"/>
  <c r="T100" i="1"/>
  <c r="U100" i="1"/>
  <c r="V100" i="1"/>
  <c r="W100" i="1"/>
  <c r="X100" i="1"/>
  <c r="T101" i="1"/>
  <c r="U101" i="1"/>
  <c r="V101" i="1"/>
  <c r="W101" i="1"/>
  <c r="X101" i="1"/>
  <c r="T102" i="1"/>
  <c r="U102" i="1"/>
  <c r="V102" i="1"/>
  <c r="W102" i="1"/>
  <c r="X102" i="1"/>
  <c r="T86" i="1"/>
  <c r="U86" i="1"/>
  <c r="V86" i="1"/>
  <c r="W86" i="1"/>
  <c r="X86" i="1"/>
  <c r="T87" i="1"/>
  <c r="U87" i="1"/>
  <c r="V87" i="1"/>
  <c r="W87" i="1"/>
  <c r="X87" i="1"/>
  <c r="T88" i="1"/>
  <c r="U88" i="1"/>
  <c r="V88" i="1"/>
  <c r="W88" i="1"/>
  <c r="X88" i="1"/>
  <c r="T89" i="1"/>
  <c r="U89" i="1"/>
  <c r="V89" i="1"/>
  <c r="W89" i="1"/>
  <c r="X89" i="1"/>
  <c r="T90" i="1"/>
  <c r="U90" i="1"/>
  <c r="V90" i="1"/>
  <c r="W90" i="1"/>
  <c r="X90" i="1"/>
  <c r="T91" i="1"/>
  <c r="U91" i="1"/>
  <c r="V91" i="1"/>
  <c r="W91" i="1"/>
  <c r="X91" i="1"/>
  <c r="T92" i="1"/>
  <c r="U92" i="1"/>
  <c r="V92" i="1"/>
  <c r="W92" i="1"/>
  <c r="X92" i="1"/>
  <c r="X85" i="1"/>
  <c r="U85" i="1"/>
  <c r="V85" i="1"/>
  <c r="S53" i="1"/>
  <c r="T53" i="1"/>
  <c r="U53" i="1"/>
  <c r="V53" i="1"/>
  <c r="W53" i="1"/>
  <c r="X53" i="1"/>
  <c r="S54" i="1"/>
  <c r="T54" i="1"/>
  <c r="U54" i="1"/>
  <c r="V54" i="1"/>
  <c r="W54" i="1"/>
  <c r="X54" i="1"/>
  <c r="S55" i="1"/>
  <c r="T55" i="1"/>
  <c r="U55" i="1"/>
  <c r="V55" i="1"/>
  <c r="W55" i="1"/>
  <c r="X55" i="1"/>
  <c r="S56" i="1"/>
  <c r="T56" i="1"/>
  <c r="U56" i="1"/>
  <c r="V56" i="1"/>
  <c r="W56" i="1"/>
  <c r="X56" i="1"/>
  <c r="S57" i="1"/>
  <c r="T57" i="1"/>
  <c r="U57" i="1"/>
  <c r="V57" i="1"/>
  <c r="W57" i="1"/>
  <c r="X57" i="1"/>
  <c r="S58" i="1"/>
  <c r="T58" i="1"/>
  <c r="U58" i="1"/>
  <c r="V58" i="1"/>
  <c r="W58" i="1"/>
  <c r="X58" i="1"/>
  <c r="S59" i="1"/>
  <c r="T59" i="1"/>
  <c r="U59" i="1"/>
  <c r="V59" i="1"/>
  <c r="W59" i="1"/>
  <c r="X59" i="1"/>
  <c r="S60" i="1"/>
  <c r="T60" i="1"/>
  <c r="U60" i="1"/>
  <c r="V60" i="1"/>
  <c r="W60" i="1"/>
  <c r="X60" i="1"/>
  <c r="S61" i="1"/>
  <c r="T61" i="1"/>
  <c r="U61" i="1"/>
  <c r="V61" i="1"/>
  <c r="W61" i="1"/>
  <c r="X61" i="1"/>
  <c r="S62" i="1"/>
  <c r="T62" i="1"/>
  <c r="U62" i="1"/>
  <c r="V62" i="1"/>
  <c r="W62" i="1"/>
  <c r="X62" i="1"/>
  <c r="S63" i="1"/>
  <c r="T63" i="1"/>
  <c r="U63" i="1"/>
  <c r="V63" i="1"/>
  <c r="W63" i="1"/>
  <c r="X63" i="1"/>
  <c r="S64" i="1"/>
  <c r="T64" i="1"/>
  <c r="U64" i="1"/>
  <c r="V64" i="1"/>
  <c r="W64" i="1"/>
  <c r="X64" i="1"/>
  <c r="S65" i="1"/>
  <c r="T65" i="1"/>
  <c r="U65" i="1"/>
  <c r="V65" i="1"/>
  <c r="W65" i="1"/>
  <c r="X65" i="1"/>
  <c r="S66" i="1"/>
  <c r="T66" i="1"/>
  <c r="U66" i="1"/>
  <c r="V66" i="1"/>
  <c r="W66" i="1"/>
  <c r="X66" i="1"/>
  <c r="S67" i="1"/>
  <c r="T67" i="1"/>
  <c r="U67" i="1"/>
  <c r="V67" i="1"/>
  <c r="W67" i="1"/>
  <c r="X67" i="1"/>
  <c r="S68" i="1"/>
  <c r="T68" i="1"/>
  <c r="U68" i="1"/>
  <c r="V68" i="1"/>
  <c r="W68" i="1"/>
  <c r="X68" i="1"/>
  <c r="S69" i="1"/>
  <c r="T69" i="1"/>
  <c r="U69" i="1"/>
  <c r="V69" i="1"/>
  <c r="W69" i="1"/>
  <c r="X69" i="1"/>
  <c r="S70" i="1"/>
  <c r="T70" i="1"/>
  <c r="U70" i="1"/>
  <c r="V70" i="1"/>
  <c r="W70" i="1"/>
  <c r="X70" i="1"/>
  <c r="S71" i="1"/>
  <c r="T71" i="1"/>
  <c r="U71" i="1"/>
  <c r="V71" i="1"/>
  <c r="W71" i="1"/>
  <c r="X71" i="1"/>
  <c r="S72" i="1"/>
  <c r="T72" i="1"/>
  <c r="U72" i="1"/>
  <c r="V72" i="1"/>
  <c r="W72" i="1"/>
  <c r="X72" i="1"/>
  <c r="S73" i="1"/>
  <c r="T73" i="1"/>
  <c r="U73" i="1"/>
  <c r="V73" i="1"/>
  <c r="W73" i="1"/>
  <c r="X73" i="1"/>
  <c r="S74" i="1"/>
  <c r="T74" i="1"/>
  <c r="U74" i="1"/>
  <c r="V74" i="1"/>
  <c r="W74" i="1"/>
  <c r="X74" i="1"/>
  <c r="S75" i="1"/>
  <c r="T75" i="1"/>
  <c r="U75" i="1"/>
  <c r="V75" i="1"/>
  <c r="W75" i="1"/>
  <c r="X75" i="1"/>
  <c r="S76" i="1"/>
  <c r="T76" i="1"/>
  <c r="U76" i="1"/>
  <c r="V76" i="1"/>
  <c r="W76" i="1"/>
  <c r="X76" i="1"/>
  <c r="S77" i="1"/>
  <c r="T77" i="1"/>
  <c r="U77" i="1"/>
  <c r="V77" i="1"/>
  <c r="W77" i="1"/>
  <c r="X77" i="1"/>
  <c r="S78" i="1"/>
  <c r="T78" i="1"/>
  <c r="U78" i="1"/>
  <c r="V78" i="1"/>
  <c r="W78" i="1"/>
  <c r="X78" i="1"/>
  <c r="S79" i="1"/>
  <c r="T79" i="1"/>
  <c r="U79" i="1"/>
  <c r="V79" i="1"/>
  <c r="W79" i="1"/>
  <c r="X79" i="1"/>
  <c r="S80" i="1"/>
  <c r="T80" i="1"/>
  <c r="U80" i="1"/>
  <c r="V80" i="1"/>
  <c r="W80" i="1"/>
  <c r="X80" i="1"/>
  <c r="S81" i="1"/>
  <c r="T81" i="1"/>
  <c r="U81" i="1"/>
  <c r="V81" i="1"/>
  <c r="W81" i="1"/>
  <c r="X81" i="1"/>
  <c r="S82" i="1"/>
  <c r="T82" i="1"/>
  <c r="U82" i="1"/>
  <c r="V82" i="1"/>
  <c r="W82" i="1"/>
  <c r="X82" i="1"/>
  <c r="V22" i="1"/>
  <c r="W22" i="1"/>
  <c r="X22" i="1"/>
  <c r="V23" i="1"/>
  <c r="W23" i="1"/>
  <c r="X23" i="1"/>
  <c r="V24" i="1"/>
  <c r="W24" i="1"/>
  <c r="X24" i="1"/>
  <c r="V25" i="1"/>
  <c r="W25" i="1"/>
  <c r="X25" i="1"/>
  <c r="V26" i="1"/>
  <c r="W26" i="1"/>
  <c r="X26" i="1"/>
  <c r="V27" i="1"/>
  <c r="W27" i="1"/>
  <c r="X27" i="1"/>
  <c r="V28" i="1"/>
  <c r="W28" i="1"/>
  <c r="X28" i="1"/>
  <c r="V29" i="1"/>
  <c r="W29" i="1"/>
  <c r="X29" i="1"/>
  <c r="V30" i="1"/>
  <c r="W30" i="1"/>
  <c r="X30" i="1"/>
  <c r="V31" i="1"/>
  <c r="W31" i="1"/>
  <c r="X31" i="1"/>
  <c r="V32" i="1"/>
  <c r="W32" i="1"/>
  <c r="X32" i="1"/>
  <c r="V33" i="1"/>
  <c r="W33" i="1"/>
  <c r="X33" i="1"/>
  <c r="V34" i="1"/>
  <c r="W34" i="1"/>
  <c r="X34" i="1"/>
  <c r="V35" i="1"/>
  <c r="W35" i="1"/>
  <c r="X35" i="1"/>
  <c r="V36" i="1"/>
  <c r="W36" i="1"/>
  <c r="X36" i="1"/>
  <c r="V37" i="1"/>
  <c r="W37" i="1"/>
  <c r="X37" i="1"/>
  <c r="V38" i="1"/>
  <c r="W38" i="1"/>
  <c r="X38" i="1"/>
  <c r="V39" i="1"/>
  <c r="W39" i="1"/>
  <c r="X39" i="1"/>
  <c r="V40" i="1"/>
  <c r="W40" i="1"/>
  <c r="X40" i="1"/>
  <c r="V41" i="1"/>
  <c r="W41" i="1"/>
  <c r="X41" i="1"/>
  <c r="V42" i="1"/>
  <c r="W42" i="1"/>
  <c r="X42" i="1"/>
  <c r="V43" i="1"/>
  <c r="W43" i="1"/>
  <c r="X43" i="1"/>
  <c r="V44" i="1"/>
  <c r="W44" i="1"/>
  <c r="X44" i="1"/>
  <c r="V45" i="1"/>
  <c r="W45" i="1"/>
  <c r="X45" i="1"/>
  <c r="V46" i="1"/>
  <c r="W46" i="1"/>
  <c r="X46" i="1"/>
  <c r="V47" i="1"/>
  <c r="W47" i="1"/>
  <c r="X47" i="1"/>
  <c r="V48" i="1"/>
  <c r="W48" i="1"/>
  <c r="X48" i="1"/>
  <c r="V49" i="1"/>
  <c r="W49" i="1"/>
  <c r="X49" i="1"/>
  <c r="T22" i="1"/>
  <c r="U22" i="1"/>
  <c r="T23" i="1"/>
  <c r="U23" i="1"/>
  <c r="T24" i="1"/>
  <c r="U24" i="1"/>
  <c r="T25" i="1"/>
  <c r="U25" i="1"/>
  <c r="T26" i="1"/>
  <c r="U26" i="1"/>
  <c r="T27" i="1"/>
  <c r="U27" i="1"/>
  <c r="T28" i="1"/>
  <c r="U28" i="1"/>
  <c r="T29" i="1"/>
  <c r="U29" i="1"/>
  <c r="T30" i="1"/>
  <c r="U30" i="1"/>
  <c r="T31" i="1"/>
  <c r="U31" i="1"/>
  <c r="T32" i="1"/>
  <c r="U32" i="1"/>
  <c r="T33" i="1"/>
  <c r="U33" i="1"/>
  <c r="T34" i="1"/>
  <c r="U34" i="1"/>
  <c r="T35" i="1"/>
  <c r="U35" i="1"/>
  <c r="T36" i="1"/>
  <c r="U36" i="1"/>
  <c r="T37" i="1"/>
  <c r="U37" i="1"/>
  <c r="T38" i="1"/>
  <c r="U38" i="1"/>
  <c r="T39" i="1"/>
  <c r="U39" i="1"/>
  <c r="T40" i="1"/>
  <c r="U40" i="1"/>
  <c r="T41" i="1"/>
  <c r="U41" i="1"/>
  <c r="T42" i="1"/>
  <c r="U42" i="1"/>
  <c r="T43" i="1"/>
  <c r="U43" i="1"/>
  <c r="T44" i="1"/>
  <c r="U44" i="1"/>
  <c r="T45" i="1"/>
  <c r="U45" i="1"/>
  <c r="T46" i="1"/>
  <c r="U46" i="1"/>
  <c r="T47" i="1"/>
  <c r="U47" i="1"/>
  <c r="T48" i="1"/>
  <c r="U48" i="1"/>
  <c r="T49" i="1"/>
  <c r="U49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U5" i="1"/>
  <c r="V5" i="1"/>
  <c r="W5" i="1"/>
  <c r="X5" i="1"/>
  <c r="U6" i="1"/>
  <c r="V6" i="1"/>
  <c r="W6" i="1"/>
  <c r="X6" i="1"/>
  <c r="U7" i="1"/>
  <c r="V7" i="1"/>
  <c r="W7" i="1"/>
  <c r="X7" i="1"/>
  <c r="U8" i="1"/>
  <c r="V8" i="1"/>
  <c r="W8" i="1"/>
  <c r="X8" i="1"/>
  <c r="U9" i="1"/>
  <c r="V9" i="1"/>
  <c r="W9" i="1"/>
  <c r="X9" i="1"/>
  <c r="U10" i="1"/>
  <c r="V10" i="1"/>
  <c r="W10" i="1"/>
  <c r="X10" i="1"/>
  <c r="U11" i="1"/>
  <c r="V11" i="1"/>
  <c r="W11" i="1"/>
  <c r="X11" i="1"/>
  <c r="U12" i="1"/>
  <c r="V12" i="1"/>
  <c r="W12" i="1"/>
  <c r="X12" i="1"/>
  <c r="U13" i="1"/>
  <c r="V13" i="1"/>
  <c r="W13" i="1"/>
  <c r="X13" i="1"/>
  <c r="U14" i="1"/>
  <c r="V14" i="1"/>
  <c r="W14" i="1"/>
  <c r="X14" i="1"/>
  <c r="U15" i="1"/>
  <c r="V15" i="1"/>
  <c r="W15" i="1"/>
  <c r="X15" i="1"/>
  <c r="U16" i="1"/>
  <c r="V16" i="1"/>
  <c r="W16" i="1"/>
  <c r="X16" i="1"/>
  <c r="U17" i="1"/>
  <c r="V17" i="1"/>
  <c r="W17" i="1"/>
  <c r="X17" i="1"/>
  <c r="U18" i="1"/>
  <c r="V18" i="1"/>
  <c r="W18" i="1"/>
  <c r="X18" i="1"/>
  <c r="T5" i="1"/>
  <c r="T6" i="1"/>
  <c r="T7" i="1"/>
  <c r="T8" i="1"/>
  <c r="T9" i="1"/>
  <c r="T10" i="1"/>
  <c r="T11" i="1"/>
  <c r="T12" i="1"/>
  <c r="T13" i="1"/>
  <c r="T14" i="1"/>
  <c r="T15" i="1"/>
  <c r="T16" i="1"/>
  <c r="T17" i="1"/>
  <c r="T18" i="1"/>
  <c r="S5" i="1"/>
  <c r="S6" i="1"/>
  <c r="S7" i="1"/>
  <c r="S8" i="1"/>
  <c r="S9" i="1"/>
  <c r="S10" i="1"/>
  <c r="S11" i="1"/>
  <c r="S12" i="1"/>
  <c r="S13" i="1"/>
  <c r="S14" i="1"/>
  <c r="S15" i="1"/>
  <c r="S16" i="1"/>
  <c r="S17" i="1"/>
  <c r="S18" i="1"/>
  <c r="AE37" i="1"/>
  <c r="AE121" i="1" l="1"/>
  <c r="X147" i="1"/>
  <c r="W147" i="1"/>
  <c r="V147" i="1"/>
  <c r="U147" i="1"/>
  <c r="T147" i="1"/>
  <c r="F147" i="1"/>
  <c r="J147" i="1" s="1"/>
  <c r="P19" i="1" l="1"/>
  <c r="P152" i="1" l="1"/>
  <c r="P134" i="1"/>
  <c r="P109" i="1"/>
  <c r="P102" i="1"/>
  <c r="P101" i="1"/>
  <c r="P100" i="1"/>
  <c r="P99" i="1"/>
  <c r="P98" i="1"/>
  <c r="P97" i="1"/>
  <c r="P96" i="1"/>
  <c r="P95" i="1"/>
  <c r="P103" i="1" s="1"/>
  <c r="P91" i="1"/>
  <c r="P90" i="1"/>
  <c r="P89" i="1"/>
  <c r="P86" i="1"/>
  <c r="Z89" i="1"/>
  <c r="Y89" i="1"/>
  <c r="R89" i="1"/>
  <c r="O89" i="1"/>
  <c r="N89" i="1"/>
  <c r="M89" i="1"/>
  <c r="L89" i="1"/>
  <c r="K89" i="1"/>
  <c r="I89" i="1"/>
  <c r="G89" i="1"/>
  <c r="J89" i="1" s="1"/>
  <c r="P82" i="1" l="1"/>
  <c r="P50" i="1"/>
  <c r="Z85" i="1" l="1"/>
  <c r="Y85" i="1"/>
  <c r="Z102" i="1" l="1"/>
  <c r="Y102" i="1"/>
  <c r="R102" i="1"/>
  <c r="O102" i="1"/>
  <c r="N102" i="1"/>
  <c r="M102" i="1"/>
  <c r="J102" i="1"/>
  <c r="K102" i="1"/>
  <c r="L102" i="1"/>
  <c r="F102" i="1"/>
  <c r="G102" i="1"/>
  <c r="Z99" i="1"/>
  <c r="Y99" i="1"/>
  <c r="R99" i="1"/>
  <c r="O99" i="1"/>
  <c r="N99" i="1"/>
  <c r="M99" i="1"/>
  <c r="L99" i="1"/>
  <c r="K99" i="1"/>
  <c r="J99" i="1"/>
  <c r="F99" i="1"/>
  <c r="G99" i="1"/>
  <c r="Z86" i="1"/>
  <c r="Y86" i="1"/>
  <c r="R86" i="1"/>
  <c r="O86" i="1"/>
  <c r="N86" i="1"/>
  <c r="M86" i="1"/>
  <c r="K86" i="1"/>
  <c r="L86" i="1"/>
  <c r="J86" i="1"/>
  <c r="G86" i="1"/>
  <c r="Z98" i="1"/>
  <c r="Y98" i="1"/>
  <c r="R98" i="1"/>
  <c r="O98" i="1"/>
  <c r="N98" i="1"/>
  <c r="K98" i="1"/>
  <c r="L98" i="1"/>
  <c r="M98" i="1"/>
  <c r="J98" i="1"/>
  <c r="F98" i="1"/>
  <c r="G98" i="1"/>
  <c r="AE91" i="1"/>
  <c r="AD91" i="1"/>
  <c r="AC91" i="1"/>
  <c r="AB91" i="1"/>
  <c r="Y91" i="1"/>
  <c r="Z91" i="1"/>
  <c r="R91" i="1"/>
  <c r="O91" i="1"/>
  <c r="N91" i="1"/>
  <c r="M91" i="1"/>
  <c r="L91" i="1"/>
  <c r="K91" i="1"/>
  <c r="J91" i="1"/>
  <c r="G91" i="1"/>
  <c r="Z90" i="1"/>
  <c r="Y90" i="1"/>
  <c r="R90" i="1"/>
  <c r="O90" i="1"/>
  <c r="N90" i="1"/>
  <c r="M90" i="1"/>
  <c r="L90" i="1"/>
  <c r="K90" i="1"/>
  <c r="J90" i="1"/>
  <c r="F90" i="1"/>
  <c r="G90" i="1"/>
  <c r="Z101" i="1"/>
  <c r="Y101" i="1"/>
  <c r="R101" i="1"/>
  <c r="O101" i="1"/>
  <c r="N101" i="1"/>
  <c r="M101" i="1"/>
  <c r="L101" i="1"/>
  <c r="K101" i="1"/>
  <c r="J101" i="1"/>
  <c r="F101" i="1"/>
  <c r="G101" i="1"/>
  <c r="Z95" i="1"/>
  <c r="Y95" i="1"/>
  <c r="R95" i="1"/>
  <c r="O95" i="1"/>
  <c r="N95" i="1"/>
  <c r="M95" i="1"/>
  <c r="L95" i="1"/>
  <c r="K95" i="1"/>
  <c r="J95" i="1"/>
  <c r="G95" i="1"/>
  <c r="Y100" i="1" l="1"/>
  <c r="Z100" i="1"/>
  <c r="R100" i="1"/>
  <c r="O100" i="1"/>
  <c r="N100" i="1"/>
  <c r="M100" i="1"/>
  <c r="L100" i="1"/>
  <c r="K100" i="1"/>
  <c r="J100" i="1"/>
  <c r="G100" i="1"/>
  <c r="Z97" i="1"/>
  <c r="Y97" i="1"/>
  <c r="R97" i="1"/>
  <c r="O97" i="1"/>
  <c r="N97" i="1"/>
  <c r="M97" i="1"/>
  <c r="L97" i="1"/>
  <c r="K97" i="1"/>
  <c r="J97" i="1"/>
  <c r="G97" i="1"/>
  <c r="Z96" i="1"/>
  <c r="Y96" i="1"/>
  <c r="R96" i="1"/>
  <c r="O96" i="1"/>
  <c r="N96" i="1"/>
  <c r="M96" i="1"/>
  <c r="L96" i="1"/>
  <c r="K96" i="1"/>
  <c r="J96" i="1"/>
  <c r="G96" i="1"/>
  <c r="E121" i="1" l="1"/>
  <c r="I107" i="1" l="1"/>
  <c r="I142" i="1" l="1"/>
  <c r="L109" i="1"/>
  <c r="I149" i="1"/>
  <c r="I70" i="1"/>
  <c r="J125" i="1"/>
  <c r="J42" i="1"/>
  <c r="O134" i="1" l="1"/>
  <c r="AA82" i="1" l="1"/>
  <c r="R82" i="1"/>
  <c r="N82" i="1"/>
  <c r="J82" i="1"/>
  <c r="D82" i="1"/>
  <c r="Q68" i="1" l="1"/>
  <c r="Q62" i="1"/>
  <c r="O82" i="1" l="1"/>
  <c r="M82" i="1"/>
  <c r="L82" i="1"/>
  <c r="K82" i="1"/>
  <c r="F82" i="1"/>
  <c r="G82" i="1"/>
  <c r="D103" i="1"/>
  <c r="N103" i="1" l="1"/>
  <c r="P139" i="1" l="1"/>
  <c r="P153" i="1" s="1"/>
  <c r="Q81" i="1"/>
  <c r="Q15" i="1"/>
  <c r="Q118" i="1" l="1"/>
  <c r="R139" i="1" l="1"/>
  <c r="Q80" i="1" l="1"/>
  <c r="Q30" i="1"/>
  <c r="R152" i="1" l="1"/>
  <c r="S151" i="1" l="1"/>
  <c r="S147" i="1"/>
  <c r="G109" i="1"/>
  <c r="O109" i="1"/>
  <c r="K109" i="1"/>
  <c r="M109" i="1"/>
  <c r="N109" i="1"/>
  <c r="H109" i="1"/>
  <c r="I109" i="1"/>
  <c r="J109" i="1"/>
  <c r="F109" i="1"/>
  <c r="I82" i="1"/>
  <c r="O50" i="1"/>
  <c r="N50" i="1"/>
  <c r="I50" i="1"/>
  <c r="K50" i="1"/>
  <c r="L50" i="1"/>
  <c r="M50" i="1"/>
  <c r="F50" i="1"/>
  <c r="L134" i="1"/>
  <c r="M134" i="1"/>
  <c r="N134" i="1"/>
  <c r="F134" i="1"/>
  <c r="G134" i="1"/>
  <c r="H134" i="1"/>
  <c r="D134" i="1"/>
  <c r="J139" i="1"/>
  <c r="K139" i="1"/>
  <c r="L139" i="1"/>
  <c r="M139" i="1"/>
  <c r="N139" i="1"/>
  <c r="O139" i="1"/>
  <c r="F139" i="1"/>
  <c r="G139" i="1"/>
  <c r="H139" i="1"/>
  <c r="D139" i="1"/>
  <c r="M152" i="1"/>
  <c r="N152" i="1"/>
  <c r="O152" i="1"/>
  <c r="J152" i="1"/>
  <c r="K152" i="1"/>
  <c r="L152" i="1"/>
  <c r="G152" i="1"/>
  <c r="F152" i="1"/>
  <c r="D152" i="1"/>
  <c r="H153" i="1" l="1"/>
  <c r="J50" i="1"/>
  <c r="J134" i="1"/>
  <c r="D153" i="1" l="1"/>
  <c r="K134" i="1"/>
  <c r="O103" i="1" l="1"/>
  <c r="O153" i="1" s="1"/>
  <c r="F103" i="1"/>
  <c r="F153" i="1" s="1"/>
  <c r="G103" i="1"/>
  <c r="J103" i="1"/>
  <c r="J153" i="1" s="1"/>
  <c r="K103" i="1"/>
  <c r="K153" i="1" s="1"/>
  <c r="L103" i="1"/>
  <c r="L153" i="1" s="1"/>
  <c r="M103" i="1"/>
  <c r="M153" i="1" s="1"/>
  <c r="N153" i="1"/>
  <c r="AA152" i="1"/>
  <c r="I152" i="1"/>
  <c r="I153" i="1" s="1"/>
  <c r="G153" i="1" l="1"/>
  <c r="R19" i="1"/>
  <c r="Q92" i="1" l="1"/>
  <c r="Q152" i="1"/>
  <c r="X151" i="1" l="1"/>
  <c r="W151" i="1"/>
  <c r="V151" i="1"/>
  <c r="U151" i="1"/>
  <c r="T151" i="1"/>
  <c r="Q151" i="1" l="1"/>
  <c r="Q79" i="1" l="1"/>
  <c r="T137" i="1" l="1"/>
  <c r="R134" i="1" l="1"/>
  <c r="AA139" i="1" l="1"/>
  <c r="S137" i="1"/>
  <c r="S138" i="1" l="1"/>
  <c r="S136" i="1"/>
  <c r="Q137" i="1"/>
  <c r="Q138" i="1"/>
  <c r="Q136" i="1"/>
  <c r="T139" i="1"/>
  <c r="AA103" i="1"/>
  <c r="R103" i="1"/>
  <c r="S98" i="1" l="1"/>
  <c r="S102" i="1"/>
  <c r="S88" i="1"/>
  <c r="S89" i="1"/>
  <c r="S86" i="1"/>
  <c r="S97" i="1"/>
  <c r="S101" i="1"/>
  <c r="S90" i="1"/>
  <c r="S91" i="1"/>
  <c r="S96" i="1"/>
  <c r="S100" i="1"/>
  <c r="S92" i="1"/>
  <c r="S85" i="1"/>
  <c r="S99" i="1"/>
  <c r="S87" i="1"/>
  <c r="S52" i="1"/>
  <c r="S148" i="1"/>
  <c r="S149" i="1"/>
  <c r="S150" i="1"/>
  <c r="S146" i="1"/>
  <c r="S143" i="1"/>
  <c r="Q148" i="1"/>
  <c r="Q149" i="1"/>
  <c r="Q150" i="1"/>
  <c r="Q146" i="1"/>
  <c r="Q143" i="1"/>
  <c r="Q102" i="1"/>
  <c r="Q91" i="1"/>
  <c r="Q95" i="1"/>
  <c r="Q85" i="1"/>
  <c r="Q100" i="1"/>
  <c r="Q97" i="1"/>
  <c r="Q86" i="1"/>
  <c r="Q90" i="1"/>
  <c r="Q98" i="1"/>
  <c r="Q99" i="1"/>
  <c r="Q87" i="1"/>
  <c r="Q88" i="1"/>
  <c r="Q101" i="1"/>
  <c r="Q58" i="1"/>
  <c r="Q59" i="1"/>
  <c r="Q76" i="1"/>
  <c r="Q61" i="1"/>
  <c r="Q70" i="1"/>
  <c r="Q63" i="1"/>
  <c r="Q71" i="1"/>
  <c r="Q60" i="1"/>
  <c r="Q69" i="1"/>
  <c r="Q77" i="1"/>
  <c r="Q53" i="1"/>
  <c r="Q78" i="1"/>
  <c r="Q54" i="1"/>
  <c r="Q52" i="1"/>
  <c r="Q67" i="1"/>
  <c r="Q55" i="1"/>
  <c r="Q64" i="1"/>
  <c r="Q72" i="1"/>
  <c r="Q56" i="1"/>
  <c r="Q65" i="1"/>
  <c r="Q73" i="1"/>
  <c r="Q57" i="1"/>
  <c r="Q66" i="1"/>
  <c r="Q74" i="1"/>
  <c r="Q75" i="1"/>
  <c r="W85" i="1" l="1"/>
  <c r="T85" i="1"/>
  <c r="T150" i="1" l="1"/>
  <c r="U142" i="1"/>
  <c r="U137" i="1"/>
  <c r="U138" i="1"/>
  <c r="U143" i="1"/>
  <c r="U148" i="1"/>
  <c r="U149" i="1"/>
  <c r="U150" i="1"/>
  <c r="Q142" i="1"/>
  <c r="Q107" i="1" l="1"/>
  <c r="Q106" i="1"/>
  <c r="Q108" i="1"/>
  <c r="Q23" i="1"/>
  <c r="Q24" i="1"/>
  <c r="Q32" i="1"/>
  <c r="Q25" i="1"/>
  <c r="Q33" i="1"/>
  <c r="Q41" i="1"/>
  <c r="Q49" i="1"/>
  <c r="Q37" i="1"/>
  <c r="Q46" i="1"/>
  <c r="Q39" i="1"/>
  <c r="Q26" i="1"/>
  <c r="Q34" i="1"/>
  <c r="Q42" i="1"/>
  <c r="Q22" i="1"/>
  <c r="Q40" i="1"/>
  <c r="Q27" i="1"/>
  <c r="Q35" i="1"/>
  <c r="Q43" i="1"/>
  <c r="Q45" i="1"/>
  <c r="Q38" i="1"/>
  <c r="Q47" i="1"/>
  <c r="Q28" i="1"/>
  <c r="Q36" i="1"/>
  <c r="Q44" i="1"/>
  <c r="Q29" i="1"/>
  <c r="Q31" i="1"/>
  <c r="Q48" i="1"/>
  <c r="Q5" i="1"/>
  <c r="Q6" i="1"/>
  <c r="Q13" i="1"/>
  <c r="Q8" i="1"/>
  <c r="Q7" i="1"/>
  <c r="Q14" i="1"/>
  <c r="Q17" i="1"/>
  <c r="Q9" i="1"/>
  <c r="Q18" i="1"/>
  <c r="Q10" i="1"/>
  <c r="Q4" i="1"/>
  <c r="Q11" i="1"/>
  <c r="Q12" i="1"/>
  <c r="S142" i="1"/>
  <c r="Q123" i="1" l="1"/>
  <c r="Q139" i="1"/>
  <c r="Q115" i="1"/>
  <c r="Q124" i="1"/>
  <c r="Q132" i="1"/>
  <c r="Q116" i="1"/>
  <c r="Q125" i="1"/>
  <c r="Q133" i="1"/>
  <c r="Q117" i="1"/>
  <c r="Q126" i="1"/>
  <c r="Q111" i="1"/>
  <c r="Q50" i="1"/>
  <c r="Q120" i="1"/>
  <c r="Q121" i="1"/>
  <c r="Q119" i="1"/>
  <c r="Q127" i="1"/>
  <c r="Q134" i="1"/>
  <c r="Q112" i="1"/>
  <c r="Q129" i="1"/>
  <c r="Q128" i="1"/>
  <c r="Q113" i="1"/>
  <c r="Q122" i="1"/>
  <c r="Q130" i="1"/>
  <c r="Q109" i="1"/>
  <c r="Q114" i="1"/>
  <c r="Q131" i="1"/>
  <c r="Q103" i="1"/>
  <c r="Q82" i="1"/>
  <c r="Q19" i="1"/>
  <c r="U152" i="1"/>
  <c r="X111" i="1" l="1"/>
  <c r="X137" i="1" l="1"/>
  <c r="AA109" i="1" l="1"/>
  <c r="AA19" i="1" l="1"/>
  <c r="S4" i="1" l="1"/>
  <c r="T19" i="1"/>
  <c r="X149" i="1" l="1"/>
  <c r="W149" i="1"/>
  <c r="V149" i="1"/>
  <c r="T149" i="1"/>
  <c r="X107" i="1" l="1"/>
  <c r="W107" i="1"/>
  <c r="V107" i="1"/>
  <c r="U107" i="1"/>
  <c r="T107" i="1"/>
  <c r="X148" i="1" l="1"/>
  <c r="W148" i="1"/>
  <c r="V148" i="1"/>
  <c r="T148" i="1"/>
  <c r="T152" i="1" l="1"/>
  <c r="X150" i="1"/>
  <c r="W150" i="1"/>
  <c r="V150" i="1"/>
  <c r="X143" i="1"/>
  <c r="W143" i="1"/>
  <c r="V143" i="1"/>
  <c r="T143" i="1"/>
  <c r="X138" i="1"/>
  <c r="W138" i="1"/>
  <c r="V138" i="1"/>
  <c r="T138" i="1"/>
  <c r="W137" i="1"/>
  <c r="V137" i="1"/>
  <c r="X142" i="1"/>
  <c r="W142" i="1"/>
  <c r="V142" i="1"/>
  <c r="T142" i="1"/>
  <c r="X136" i="1"/>
  <c r="W136" i="1"/>
  <c r="V136" i="1"/>
  <c r="U136" i="1"/>
  <c r="T136" i="1"/>
  <c r="AA134" i="1"/>
  <c r="W111" i="1"/>
  <c r="V111" i="1"/>
  <c r="U111" i="1"/>
  <c r="T111" i="1"/>
  <c r="R109" i="1"/>
  <c r="Q105" i="1"/>
  <c r="X108" i="1"/>
  <c r="W108" i="1"/>
  <c r="V108" i="1"/>
  <c r="U108" i="1"/>
  <c r="T108" i="1"/>
  <c r="X106" i="1"/>
  <c r="W106" i="1"/>
  <c r="V106" i="1"/>
  <c r="U106" i="1"/>
  <c r="T106" i="1"/>
  <c r="X105" i="1"/>
  <c r="W105" i="1"/>
  <c r="V105" i="1"/>
  <c r="U105" i="1"/>
  <c r="T105" i="1"/>
  <c r="X146" i="1"/>
  <c r="W146" i="1"/>
  <c r="V146" i="1"/>
  <c r="U146" i="1"/>
  <c r="T146" i="1"/>
  <c r="X95" i="1"/>
  <c r="W95" i="1"/>
  <c r="V95" i="1"/>
  <c r="U95" i="1"/>
  <c r="T95" i="1"/>
  <c r="X52" i="1"/>
  <c r="W52" i="1"/>
  <c r="V52" i="1"/>
  <c r="U52" i="1"/>
  <c r="T52" i="1"/>
  <c r="AA50" i="1"/>
  <c r="R50" i="1"/>
  <c r="X21" i="1"/>
  <c r="W21" i="1"/>
  <c r="V21" i="1"/>
  <c r="U21" i="1"/>
  <c r="T21" i="1"/>
  <c r="X4" i="1"/>
  <c r="W4" i="1"/>
  <c r="V4" i="1"/>
  <c r="U4" i="1"/>
  <c r="T4" i="1"/>
  <c r="R153" i="1" l="1"/>
  <c r="S50" i="1" s="1"/>
  <c r="AA153" i="1"/>
  <c r="S106" i="1"/>
  <c r="S108" i="1"/>
  <c r="S107" i="1"/>
  <c r="S95" i="1"/>
  <c r="S105" i="1"/>
  <c r="S111" i="1"/>
  <c r="Q21" i="1"/>
  <c r="T134" i="1"/>
  <c r="S21" i="1"/>
  <c r="T103" i="1"/>
  <c r="T50" i="1"/>
  <c r="T109" i="1"/>
  <c r="S103" i="1" l="1"/>
  <c r="S109" i="1"/>
  <c r="S19" i="1"/>
  <c r="S134" i="1"/>
  <c r="S152" i="1"/>
  <c r="S139" i="1"/>
</calcChain>
</file>

<file path=xl/sharedStrings.xml><?xml version="1.0" encoding="utf-8"?>
<sst xmlns="http://schemas.openxmlformats.org/spreadsheetml/2006/main" count="316" uniqueCount="223">
  <si>
    <t>FUND MANAGER</t>
  </si>
  <si>
    <t>FUND</t>
  </si>
  <si>
    <t>EQUITIES</t>
  </si>
  <si>
    <t>UNQUOTED EQUITIES</t>
  </si>
  <si>
    <t>MONEY MARKET</t>
  </si>
  <si>
    <t>BONDS</t>
  </si>
  <si>
    <t>REAL ESTATE</t>
  </si>
  <si>
    <t>OTHERS</t>
  </si>
  <si>
    <t xml:space="preserve">TOTAL VALUE OF INVESTMENT (N)               </t>
  </si>
  <si>
    <t>TOTAL EXPENSES (N)</t>
  </si>
  <si>
    <t>NET INCOME/LOSS</t>
  </si>
  <si>
    <t>GROSS ASSET VALUE (N)</t>
  </si>
  <si>
    <t>TOTAL LIABILITIES (N)</t>
  </si>
  <si>
    <t>% ON TOTAL</t>
  </si>
  <si>
    <t>% CHANGE IN NAV</t>
  </si>
  <si>
    <t>EXPENSE RATIO (%)</t>
  </si>
  <si>
    <t>Return on Equity (RoE)</t>
  </si>
  <si>
    <t>Net Asset Per Unit</t>
  </si>
  <si>
    <t>Earnings Per Unit (EPU)</t>
  </si>
  <si>
    <t>BID PRICE (N)</t>
  </si>
  <si>
    <t>OFFER PRICE (N)</t>
  </si>
  <si>
    <t>NUMBER OF UNIT HOLDERS</t>
  </si>
  <si>
    <t>EQUITY BASED FUNDS</t>
  </si>
  <si>
    <t>Stanbic IBTC Asset Mgt. Limited</t>
  </si>
  <si>
    <t>Stanbic IBTC Nigerian Equity Fund</t>
  </si>
  <si>
    <t>First City Asset Management Plc</t>
  </si>
  <si>
    <t>Legacy Equity Fund</t>
  </si>
  <si>
    <t>SCM Capital Limited</t>
  </si>
  <si>
    <t>Frontier Fund</t>
  </si>
  <si>
    <t>Chapel Hill Denham Mgt. Limited</t>
  </si>
  <si>
    <t>Paramount Equity Fund</t>
  </si>
  <si>
    <t>Afrinvest Asset Management Ltd.</t>
  </si>
  <si>
    <t>Afrinvest Equity Fund</t>
  </si>
  <si>
    <t>United Capital Asset Mgt. Ltd</t>
  </si>
  <si>
    <t>United Capital Equity Fund</t>
  </si>
  <si>
    <t xml:space="preserve">ARM Investment Managers Limited </t>
  </si>
  <si>
    <t>ARM Aggressive Growth Fund</t>
  </si>
  <si>
    <t>FBN Capital Asset Mgt</t>
  </si>
  <si>
    <t>FBN Nigeria Smart Beta Equity Fund</t>
  </si>
  <si>
    <t>Meristem Wealth Management Limited</t>
  </si>
  <si>
    <t>Meristem Equity Market Fund</t>
  </si>
  <si>
    <t>Stanbic IBTC Aggressive Fund (Sub Fund)</t>
  </si>
  <si>
    <t>AXA Mansard Investments Limited</t>
  </si>
  <si>
    <t>AXA Mansard Equity Income Fund</t>
  </si>
  <si>
    <t>Investment One Funds Management Limited</t>
  </si>
  <si>
    <t>Vantage Equity Income Fund</t>
  </si>
  <si>
    <t>PAC Asset Management Ltd.</t>
  </si>
  <si>
    <t>Pacam Equity Fund</t>
  </si>
  <si>
    <t>Anchoria Asset Management Limited</t>
  </si>
  <si>
    <t>Anchoria Equity Fund</t>
  </si>
  <si>
    <t>Sub Total</t>
  </si>
  <si>
    <t>MONEY MARKET FUNDS</t>
  </si>
  <si>
    <t>Stanbic IBTC Money Market Fund</t>
  </si>
  <si>
    <t>FBN Capital Asset Mgt. Limited</t>
  </si>
  <si>
    <t>FBN Money Market Fund</t>
  </si>
  <si>
    <t>United Capital Money Market Fund</t>
  </si>
  <si>
    <t>AIICO Capital Ltd</t>
  </si>
  <si>
    <t>AIICO Money Market Fund</t>
  </si>
  <si>
    <t>ARM Money Market Fund</t>
  </si>
  <si>
    <t>Meristem Money Market Fund</t>
  </si>
  <si>
    <t>AXA Mansard Money Market Fund</t>
  </si>
  <si>
    <t xml:space="preserve">Greenwich Asst Management Ltd </t>
  </si>
  <si>
    <t>Greenwich Plus Money Market</t>
  </si>
  <si>
    <t>Cordros Asset Management Limited</t>
  </si>
  <si>
    <t>Cordros Money Market Fund</t>
  </si>
  <si>
    <t>PACAM Money Market Fund</t>
  </si>
  <si>
    <t>Abacus Money Market Fund</t>
  </si>
  <si>
    <t>EDC Fund Management</t>
  </si>
  <si>
    <t>EDC Money Market Class B</t>
  </si>
  <si>
    <t>Coronation Asset Management Limited</t>
  </si>
  <si>
    <t>Coronation Money Market Fund</t>
  </si>
  <si>
    <t>Zenith Asset Management Ltd</t>
  </si>
  <si>
    <t>Zenith Money Market Fund</t>
  </si>
  <si>
    <t>Afrinvest Plutus Fund</t>
  </si>
  <si>
    <t>Legacy Money Market Fund</t>
  </si>
  <si>
    <t xml:space="preserve">Growth and Development Asset Management Limited </t>
  </si>
  <si>
    <t>GDL Money Market Fund</t>
  </si>
  <si>
    <t>Vetiva Fund Managers Limited</t>
  </si>
  <si>
    <t>Vetiva Money Market Fund</t>
  </si>
  <si>
    <t>FSDH Asset Management Ltd</t>
  </si>
  <si>
    <t>FAAM Money Market Fund</t>
  </si>
  <si>
    <t>Anchoria Money Market Fund</t>
  </si>
  <si>
    <t>Trustbanc Asset Management Limited</t>
  </si>
  <si>
    <t>Trustbanc Money Market Fund</t>
  </si>
  <si>
    <t>ValuAlliance Asset Management Limited</t>
  </si>
  <si>
    <t>ValuAlliance Money Market Fund</t>
  </si>
  <si>
    <t>NOVAMBL Asset Management Limited</t>
  </si>
  <si>
    <t>NOVA Prime Money Market Fund</t>
  </si>
  <si>
    <t xml:space="preserve"> </t>
  </si>
  <si>
    <t>Stanbic IBTC Bond Fund</t>
  </si>
  <si>
    <t>Nigeria International Debt Fund</t>
  </si>
  <si>
    <t>Legacy USD Bond Fund</t>
  </si>
  <si>
    <t>Pacam Eurobond Fund</t>
  </si>
  <si>
    <t>Afrinvest Dollar Fund</t>
  </si>
  <si>
    <t>ARM Eurobond Fund</t>
  </si>
  <si>
    <t>Coral Income Fund</t>
  </si>
  <si>
    <t>United Capital Fixed Income Fund</t>
  </si>
  <si>
    <t>Vantage Guaranteed Income Fund</t>
  </si>
  <si>
    <t>Capital Express Assset &amp; Trust Limited</t>
  </si>
  <si>
    <t>CEAT Fixed Income Fund(Frml BGL Sapphire)</t>
  </si>
  <si>
    <t>Stanbic IBTC Guaranteed Investment Fund</t>
  </si>
  <si>
    <t>SFS Capital Nigeria Ltd</t>
  </si>
  <si>
    <t>SFS Fixed Income Fund</t>
  </si>
  <si>
    <t>Stanbic IBTC Absolute Fund (Sub Fund)</t>
  </si>
  <si>
    <t>Stanbic IBTC Conservative Fund (Sub Fund)</t>
  </si>
  <si>
    <t>Lotus Capital Limited</t>
  </si>
  <si>
    <t>PACAM Fixed Income Fund</t>
  </si>
  <si>
    <t>Stanbic IBTC Dollar Fund</t>
  </si>
  <si>
    <t>Kedari Investment Fund</t>
  </si>
  <si>
    <t>Zenith Income Fund</t>
  </si>
  <si>
    <t>Vantage Dollar Fund</t>
  </si>
  <si>
    <t>Lead Asset Mgt Ltd</t>
  </si>
  <si>
    <t xml:space="preserve">Lead Fixed Income Fund </t>
  </si>
  <si>
    <t>Coronation Fixed Income Fund</t>
  </si>
  <si>
    <t>Stanbic IBTC Shariah Fixed Income Fund</t>
  </si>
  <si>
    <t>Anchoria Fixed Income Fund</t>
  </si>
  <si>
    <t>Cordros Dollar Fund</t>
  </si>
  <si>
    <t>ARM Fixed Income Fund</t>
  </si>
  <si>
    <t>AVA Global Asset Managers Limited</t>
  </si>
  <si>
    <t>AVA GAM Fixed Income Dollar Fund</t>
  </si>
  <si>
    <t>FSDH Dollar Fund</t>
  </si>
  <si>
    <t>NOVA Dollar Fixed Income Fund</t>
  </si>
  <si>
    <t>REAL ESTATE FUNDS</t>
  </si>
  <si>
    <t>SFS Real Estate Investment Trust Fund</t>
  </si>
  <si>
    <t>Union Homes REITS</t>
  </si>
  <si>
    <t>UPDC Real Estate Investment Fund</t>
  </si>
  <si>
    <t>Nigeria Real Estate Investment Trust</t>
  </si>
  <si>
    <t>Stanbic IBTC Balanced Fund</t>
  </si>
  <si>
    <t>United Capital Balanced Fund</t>
  </si>
  <si>
    <t>Capital Express Balanced Fund</t>
  </si>
  <si>
    <t>AIICO Balanced Fund</t>
  </si>
  <si>
    <t>FBN Balanced Fund</t>
  </si>
  <si>
    <t>ValuAlliance Value Fund</t>
  </si>
  <si>
    <t>Nigeria Energy Sector Fund</t>
  </si>
  <si>
    <t>Coronation Balanced Fund</t>
  </si>
  <si>
    <t>Cordros Milestone Fund</t>
  </si>
  <si>
    <t>Vantage Balanced Fund</t>
  </si>
  <si>
    <t>PACAM Balanced Fund</t>
  </si>
  <si>
    <t xml:space="preserve">Lead Balanced Fund </t>
  </si>
  <si>
    <t>ETHICAL FUNDS</t>
  </si>
  <si>
    <t>Stanbic IBTC Ethical Fund</t>
  </si>
  <si>
    <t>ARM Ethical Fund</t>
  </si>
  <si>
    <t>Stanbic IBTC Imaan Fund</t>
  </si>
  <si>
    <t>Grand Total</t>
  </si>
  <si>
    <t>CardinalStone Asset Mgt. Limited</t>
  </si>
  <si>
    <t>CardinalStone Fixed Income Alpha Fund</t>
  </si>
  <si>
    <t>GDL Income Fund</t>
  </si>
  <si>
    <t>AVA GAM Fixed Income Naira Fund</t>
  </si>
  <si>
    <t>Norrenberger Investment and Capital Management Limited</t>
  </si>
  <si>
    <t>Norrenberger Islamic Fund</t>
  </si>
  <si>
    <t>Core Asset Management Limited</t>
  </si>
  <si>
    <t>Core Investment Money Market Fund</t>
  </si>
  <si>
    <t>Core Value Mixed Fund</t>
  </si>
  <si>
    <t>United Capital Sukuk Fund</t>
  </si>
  <si>
    <t>Emerging Africa Asset Management Limited</t>
  </si>
  <si>
    <t>Emerging Africa Money Market Fund</t>
  </si>
  <si>
    <t>Emerging Africa Bond Fund</t>
  </si>
  <si>
    <t>Emerging Africa Eurobond Fund</t>
  </si>
  <si>
    <t>Stanbic IBTC Enhanced Short-Term Fixed Income Fund</t>
  </si>
  <si>
    <t>TOTAL INCOME (N)</t>
  </si>
  <si>
    <t>Lotus Halal Investment  Fund</t>
  </si>
  <si>
    <t>ARM Discovery Balanced Fund</t>
  </si>
  <si>
    <t>EDC Money Market Class A</t>
  </si>
  <si>
    <t>Norrenberger Money Market Fund</t>
  </si>
  <si>
    <t xml:space="preserve">Futureview Asset Management Limited </t>
  </si>
  <si>
    <t>Futureview Equity Fund</t>
  </si>
  <si>
    <t>First Ally Asset Management Limited</t>
  </si>
  <si>
    <t>Coral Balanced Fund</t>
  </si>
  <si>
    <t>Women's Balanced Fund</t>
  </si>
  <si>
    <t>GDL Canary Balanced Fund</t>
  </si>
  <si>
    <t>FBNQuest Asset Management Limited</t>
  </si>
  <si>
    <t>First City Asset Management Ltd.</t>
  </si>
  <si>
    <t>Nigeria Dollar Income Fund</t>
  </si>
  <si>
    <t>MIXED FUNDS</t>
  </si>
  <si>
    <t>SHARI'AH COMPLIANT FUNDS</t>
  </si>
  <si>
    <t>FBN Halal Fund</t>
  </si>
  <si>
    <t>Norrenberger Investment &amp; Capital Management Limited</t>
  </si>
  <si>
    <t>BOND/FIXED INCOME FUNDS</t>
  </si>
  <si>
    <t>Legacy Debt Fund</t>
  </si>
  <si>
    <t>NOVA Hybrid Balanced Fund</t>
  </si>
  <si>
    <t>S/N</t>
  </si>
  <si>
    <t>Stanbic IBTC Asset Management Limited</t>
  </si>
  <si>
    <t xml:space="preserve">Nigerian Eurobond Fund </t>
  </si>
  <si>
    <t>Chapel Hill Denham Nigeria Bond Fund</t>
  </si>
  <si>
    <t>FBN Dollar Fund (Retail)</t>
  </si>
  <si>
    <t xml:space="preserve">AXA Mansard Investments Limited </t>
  </si>
  <si>
    <t>EDC Nigeria Fixed Income Fund</t>
  </si>
  <si>
    <t xml:space="preserve">Capital Trust Investments &amp; Asset Mgt. Ltd </t>
  </si>
  <si>
    <t xml:space="preserve">NET ASSET VALUE  (N) </t>
  </si>
  <si>
    <t>AXA Mansard Dollar Bond Fund</t>
  </si>
  <si>
    <t>CLOSING NUMBER OF UNITS</t>
  </si>
  <si>
    <t>OPENING NUMBER OF UNITS</t>
  </si>
  <si>
    <t>Capital Trust Halal Fixed Income Fund</t>
  </si>
  <si>
    <t>ADDITIONS</t>
  </si>
  <si>
    <t>REDEMPTIONS</t>
  </si>
  <si>
    <t>Zenith ESG Impact Fund</t>
  </si>
  <si>
    <t>Zenith Balanced Strategy Fund</t>
  </si>
  <si>
    <t>Cordros Fixed Income Fund</t>
  </si>
  <si>
    <t>Nigeria Entertainment Fund</t>
  </si>
  <si>
    <t>Wealth For Women Fund</t>
  </si>
  <si>
    <t>ARM Investment Managers</t>
  </si>
  <si>
    <t>ARM Short Term-Bond Fund</t>
  </si>
  <si>
    <t>Lotus Halal Fixed Income Fund</t>
  </si>
  <si>
    <t>SPREADSHEET OF REGISTERED MUTUAL FUNDS AS AT 31ST OCTOBER, 2022</t>
  </si>
  <si>
    <t>DLM Fixed Income Fund</t>
  </si>
  <si>
    <t>DLM Asset Management Limited</t>
  </si>
  <si>
    <t>EDC Balanced Fund</t>
  </si>
  <si>
    <t>EDC Fund Management Limited</t>
  </si>
  <si>
    <t>882,980, 770.59</t>
  </si>
  <si>
    <t>6,887,526,592</t>
  </si>
  <si>
    <t>21,804,922.05</t>
  </si>
  <si>
    <t>917,280,477.56</t>
  </si>
  <si>
    <t>NET ASSET VALUE  (N) PREVIOUS SEPTEMBER</t>
  </si>
  <si>
    <t>Futureview Dollar Fund</t>
  </si>
  <si>
    <t>Futureview Asset Management Limited</t>
  </si>
  <si>
    <t>Cordros Halal Fixed Income Fund</t>
  </si>
  <si>
    <t>EUROBONDS</t>
  </si>
  <si>
    <t>FIXED INCOME</t>
  </si>
  <si>
    <t>DOLLAR FUNDS</t>
  </si>
  <si>
    <t>Emerging Africa Balanced-Diversity Fund</t>
  </si>
  <si>
    <t>Chapel Hill Denham Money Market Fund</t>
  </si>
  <si>
    <t>Coral Money Market Fund</t>
  </si>
  <si>
    <t>FBN Bond Fund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</si>
</sst>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4" formatCode="_(* #,##0.00_);_(* \(#,##0.00\);_(* &quot;-&quot;??_);_(@_)"/>
    <numFmt numFmtId="165" formatCode="&quot; &quot;* #,##0&quot; &quot;;&quot;-&quot;* #,##0&quot; &quot;;&quot; &quot;* &quot;-&quot;??&quot; &quot;"/>
    <numFmt numFmtId="166" formatCode="&quot; &quot;* #,##0.00&quot; &quot;;&quot;-&quot;* #,##0.00&quot; &quot;;&quot; &quot;* &quot;-&quot;??&quot; &quot;"/>
    <numFmt numFmtId="167" formatCode="&quot; &quot;* #,##0.00&quot; &quot;;&quot; &quot;* \(#,##0.00\);&quot; &quot;* &quot;-&quot;??&quot; &quot;"/>
    <numFmt numFmtId="168" formatCode="_-* #,##0_-;\-* #,##0_-;_-* &quot;-&quot;??_-;_-@_-"/>
  </numFmts>
  <fonts count="18" x14ac:knownFonts="1">
    <font>
      <sz val="11"/>
      <color indexed="8"/>
      <name val="Calibri"/>
    </font>
    <font>
      <sz val="8"/>
      <color indexed="8"/>
      <name val="Trebuchet MS"/>
      <family val="2"/>
    </font>
    <font>
      <b/>
      <sz val="12"/>
      <color indexed="8"/>
      <name val="Calibri"/>
      <family val="2"/>
    </font>
    <font>
      <sz val="11"/>
      <color indexed="8"/>
      <name val="Calibri"/>
      <family val="2"/>
    </font>
    <font>
      <b/>
      <sz val="10"/>
      <color indexed="8"/>
      <name val="Calibri"/>
      <family val="2"/>
    </font>
    <font>
      <sz val="8"/>
      <name val="Calibri"/>
      <family val="2"/>
    </font>
    <font>
      <sz val="11"/>
      <color rgb="FF000000"/>
      <name val="Calibri"/>
      <family val="2"/>
    </font>
    <font>
      <b/>
      <sz val="32"/>
      <color indexed="9"/>
      <name val="Calibri"/>
      <family val="2"/>
    </font>
    <font>
      <sz val="11"/>
      <name val="Calibri"/>
      <family val="2"/>
    </font>
    <font>
      <sz val="8"/>
      <color indexed="8"/>
      <name val="Calibri"/>
      <family val="2"/>
    </font>
    <font>
      <sz val="8"/>
      <color rgb="FFFF0000"/>
      <name val="Calibri"/>
      <family val="2"/>
    </font>
    <font>
      <sz val="8"/>
      <color indexed="9"/>
      <name val="Calibri"/>
      <family val="2"/>
    </font>
    <font>
      <sz val="8"/>
      <color rgb="FF000000"/>
      <name val="Calibri"/>
      <family val="2"/>
    </font>
    <font>
      <b/>
      <sz val="8"/>
      <color rgb="FFFF0000"/>
      <name val="Calibri"/>
      <family val="2"/>
    </font>
    <font>
      <b/>
      <sz val="8"/>
      <name val="Calibri"/>
      <family val="2"/>
    </font>
    <font>
      <b/>
      <sz val="8"/>
      <color indexed="8"/>
      <name val="Calibri"/>
      <family val="2"/>
    </font>
    <font>
      <b/>
      <sz val="10"/>
      <name val="Calibri"/>
      <family val="2"/>
    </font>
    <font>
      <sz val="9"/>
      <color indexed="8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indexed="10"/>
        <bgColor auto="1"/>
      </patternFill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5"/>
        <bgColor auto="1"/>
      </patternFill>
    </fill>
    <fill>
      <patternFill patternType="solid">
        <fgColor indexed="16"/>
        <bgColor auto="1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00B0F0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indexed="11"/>
      </top>
      <bottom/>
      <diagonal/>
    </border>
    <border>
      <left/>
      <right style="thin">
        <color indexed="11"/>
      </right>
      <top style="thin">
        <color indexed="11"/>
      </top>
      <bottom/>
      <diagonal/>
    </border>
    <border>
      <left style="thin">
        <color indexed="11"/>
      </left>
      <right/>
      <top/>
      <bottom/>
      <diagonal/>
    </border>
    <border>
      <left/>
      <right/>
      <top/>
      <bottom/>
      <diagonal/>
    </border>
    <border>
      <left/>
      <right style="thin">
        <color indexed="11"/>
      </right>
      <top/>
      <bottom/>
      <diagonal/>
    </border>
    <border>
      <left style="thin">
        <color indexed="11"/>
      </left>
      <right style="thin">
        <color indexed="11"/>
      </right>
      <top style="thin">
        <color indexed="11"/>
      </top>
      <bottom/>
      <diagonal/>
    </border>
    <border>
      <left style="thin">
        <color indexed="11"/>
      </left>
      <right style="thin">
        <color indexed="11"/>
      </right>
      <top/>
      <bottom style="thin">
        <color indexed="11"/>
      </bottom>
      <diagonal/>
    </border>
    <border>
      <left style="thin">
        <color indexed="11"/>
      </left>
      <right style="thin">
        <color indexed="11"/>
      </right>
      <top/>
      <bottom/>
      <diagonal/>
    </border>
    <border>
      <left style="thin">
        <color indexed="11"/>
      </left>
      <right/>
      <top/>
      <bottom style="thin">
        <color indexed="11"/>
      </bottom>
      <diagonal/>
    </border>
    <border>
      <left/>
      <right/>
      <top/>
      <bottom style="thin">
        <color indexed="11"/>
      </bottom>
      <diagonal/>
    </border>
    <border>
      <left/>
      <right style="thin">
        <color indexed="11"/>
      </right>
      <top/>
      <bottom style="thin">
        <color indexed="11"/>
      </bottom>
      <diagonal/>
    </border>
    <border>
      <left style="thin">
        <color indexed="11"/>
      </left>
      <right/>
      <top style="thin">
        <color indexed="1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 applyNumberFormat="0" applyFill="0" applyBorder="0" applyProtection="0"/>
    <xf numFmtId="43" fontId="3" fillId="0" borderId="0" applyFont="0" applyFill="0" applyBorder="0" applyAlignment="0" applyProtection="0"/>
  </cellStyleXfs>
  <cellXfs count="169">
    <xf numFmtId="0" fontId="0" fillId="0" borderId="0" xfId="0" applyFont="1" applyAlignment="1"/>
    <xf numFmtId="0" fontId="0" fillId="0" borderId="0" xfId="0" applyNumberFormat="1" applyFont="1" applyAlignment="1"/>
    <xf numFmtId="0" fontId="0" fillId="2" borderId="1" xfId="0" applyNumberFormat="1" applyFont="1" applyFill="1" applyBorder="1" applyAlignment="1"/>
    <xf numFmtId="0" fontId="0" fillId="2" borderId="2" xfId="0" applyNumberFormat="1" applyFont="1" applyFill="1" applyBorder="1" applyAlignment="1"/>
    <xf numFmtId="0" fontId="0" fillId="2" borderId="3" xfId="0" applyNumberFormat="1" applyFont="1" applyFill="1" applyBorder="1" applyAlignment="1"/>
    <xf numFmtId="0" fontId="0" fillId="2" borderId="4" xfId="0" applyNumberFormat="1" applyFont="1" applyFill="1" applyBorder="1" applyAlignment="1"/>
    <xf numFmtId="0" fontId="0" fillId="2" borderId="5" xfId="0" applyNumberFormat="1" applyFont="1" applyFill="1" applyBorder="1" applyAlignment="1"/>
    <xf numFmtId="0" fontId="0" fillId="2" borderId="6" xfId="0" applyNumberFormat="1" applyFont="1" applyFill="1" applyBorder="1" applyAlignment="1"/>
    <xf numFmtId="0" fontId="0" fillId="2" borderId="7" xfId="0" applyNumberFormat="1" applyFont="1" applyFill="1" applyBorder="1" applyAlignment="1"/>
    <xf numFmtId="0" fontId="0" fillId="2" borderId="9" xfId="0" applyNumberFormat="1" applyFont="1" applyFill="1" applyBorder="1" applyAlignment="1"/>
    <xf numFmtId="0" fontId="0" fillId="2" borderId="10" xfId="0" applyNumberFormat="1" applyFont="1" applyFill="1" applyBorder="1" applyAlignment="1"/>
    <xf numFmtId="0" fontId="0" fillId="2" borderId="11" xfId="0" applyNumberFormat="1" applyFont="1" applyFill="1" applyBorder="1" applyAlignment="1"/>
    <xf numFmtId="0" fontId="0" fillId="0" borderId="0" xfId="0" applyNumberFormat="1" applyFont="1" applyAlignment="1"/>
    <xf numFmtId="0" fontId="0" fillId="2" borderId="12" xfId="0" applyNumberFormat="1" applyFont="1" applyFill="1" applyBorder="1" applyAlignment="1"/>
    <xf numFmtId="0" fontId="0" fillId="2" borderId="8" xfId="0" applyNumberFormat="1" applyFont="1" applyFill="1" applyBorder="1" applyAlignment="1"/>
    <xf numFmtId="0" fontId="0" fillId="0" borderId="0" xfId="0" applyNumberFormat="1" applyFont="1" applyAlignment="1"/>
    <xf numFmtId="0" fontId="0" fillId="0" borderId="0" xfId="0" applyNumberFormat="1" applyFont="1" applyAlignment="1"/>
    <xf numFmtId="0" fontId="0" fillId="0" borderId="0" xfId="0" applyNumberFormat="1" applyFont="1" applyAlignment="1"/>
    <xf numFmtId="0" fontId="0" fillId="8" borderId="0" xfId="0" applyNumberFormat="1" applyFont="1" applyFill="1" applyAlignment="1"/>
    <xf numFmtId="0" fontId="0" fillId="8" borderId="0" xfId="0" applyFont="1" applyFill="1" applyAlignment="1"/>
    <xf numFmtId="0" fontId="1" fillId="2" borderId="4" xfId="0" applyNumberFormat="1" applyFont="1" applyFill="1" applyBorder="1" applyAlignment="1"/>
    <xf numFmtId="0" fontId="1" fillId="0" borderId="0" xfId="0" applyNumberFormat="1" applyFont="1" applyAlignment="1"/>
    <xf numFmtId="0" fontId="1" fillId="0" borderId="0" xfId="0" applyFont="1" applyAlignment="1"/>
    <xf numFmtId="0" fontId="3" fillId="0" borderId="0" xfId="0" applyNumberFormat="1" applyFont="1" applyAlignment="1"/>
    <xf numFmtId="0" fontId="6" fillId="11" borderId="4" xfId="0" applyFont="1" applyFill="1" applyBorder="1" applyAlignment="1"/>
    <xf numFmtId="0" fontId="6" fillId="0" borderId="4" xfId="0" applyFont="1" applyBorder="1" applyAlignment="1"/>
    <xf numFmtId="0" fontId="0" fillId="12" borderId="4" xfId="0" applyNumberFormat="1" applyFont="1" applyFill="1" applyBorder="1" applyAlignment="1"/>
    <xf numFmtId="0" fontId="0" fillId="12" borderId="0" xfId="0" applyNumberFormat="1" applyFont="1" applyFill="1" applyAlignment="1"/>
    <xf numFmtId="0" fontId="2" fillId="2" borderId="4" xfId="0" applyNumberFormat="1" applyFont="1" applyFill="1" applyBorder="1" applyAlignment="1"/>
    <xf numFmtId="4" fontId="0" fillId="2" borderId="4" xfId="0" applyNumberFormat="1" applyFont="1" applyFill="1" applyBorder="1" applyAlignment="1"/>
    <xf numFmtId="43" fontId="0" fillId="2" borderId="4" xfId="1" applyFont="1" applyFill="1" applyBorder="1" applyAlignment="1"/>
    <xf numFmtId="43" fontId="0" fillId="0" borderId="0" xfId="1" applyFont="1" applyAlignment="1"/>
    <xf numFmtId="0" fontId="3" fillId="2" borderId="4" xfId="0" applyNumberFormat="1" applyFont="1" applyFill="1" applyBorder="1" applyAlignment="1"/>
    <xf numFmtId="0" fontId="3" fillId="0" borderId="0" xfId="0" applyFont="1" applyAlignment="1"/>
    <xf numFmtId="0" fontId="0" fillId="2" borderId="4" xfId="0" applyNumberFormat="1" applyFill="1" applyBorder="1"/>
    <xf numFmtId="0" fontId="0" fillId="0" borderId="0" xfId="0" applyNumberFormat="1"/>
    <xf numFmtId="43" fontId="0" fillId="0" borderId="0" xfId="0" applyNumberFormat="1" applyFont="1" applyAlignment="1"/>
    <xf numFmtId="0" fontId="0" fillId="0" borderId="4" xfId="0" applyNumberFormat="1" applyFont="1" applyBorder="1" applyAlignment="1"/>
    <xf numFmtId="0" fontId="3" fillId="0" borderId="13" xfId="0" applyFont="1" applyBorder="1" applyAlignment="1"/>
    <xf numFmtId="3" fontId="3" fillId="0" borderId="13" xfId="0" applyNumberFormat="1" applyFont="1" applyBorder="1" applyAlignment="1"/>
    <xf numFmtId="4" fontId="3" fillId="0" borderId="13" xfId="0" applyNumberFormat="1" applyFont="1" applyBorder="1" applyAlignment="1"/>
    <xf numFmtId="0" fontId="8" fillId="2" borderId="4" xfId="0" applyNumberFormat="1" applyFont="1" applyFill="1" applyBorder="1" applyAlignment="1"/>
    <xf numFmtId="0" fontId="8" fillId="0" borderId="0" xfId="0" applyNumberFormat="1" applyFont="1" applyAlignment="1"/>
    <xf numFmtId="49" fontId="5" fillId="0" borderId="13" xfId="0" applyNumberFormat="1" applyFont="1" applyFill="1" applyBorder="1" applyAlignment="1">
      <alignment wrapText="1"/>
    </xf>
    <xf numFmtId="49" fontId="5" fillId="0" borderId="13" xfId="0" applyNumberFormat="1" applyFont="1" applyFill="1" applyBorder="1" applyAlignment="1"/>
    <xf numFmtId="49" fontId="2" fillId="8" borderId="13" xfId="0" applyNumberFormat="1" applyFont="1" applyFill="1" applyBorder="1" applyAlignment="1">
      <alignment horizontal="center" vertical="top" wrapText="1"/>
    </xf>
    <xf numFmtId="43" fontId="2" fillId="8" borderId="13" xfId="1" applyFont="1" applyFill="1" applyBorder="1" applyAlignment="1">
      <alignment horizontal="center" vertical="top" wrapText="1"/>
    </xf>
    <xf numFmtId="165" fontId="5" fillId="0" borderId="13" xfId="0" applyNumberFormat="1" applyFont="1" applyFill="1" applyBorder="1" applyAlignment="1">
      <alignment horizontal="center" wrapText="1"/>
    </xf>
    <xf numFmtId="166" fontId="9" fillId="0" borderId="13" xfId="0" applyNumberFormat="1" applyFont="1" applyFill="1" applyBorder="1" applyAlignment="1">
      <alignment horizontal="right"/>
    </xf>
    <xf numFmtId="43" fontId="9" fillId="0" borderId="13" xfId="1" applyFont="1" applyFill="1" applyBorder="1" applyAlignment="1"/>
    <xf numFmtId="166" fontId="9" fillId="0" borderId="13" xfId="0" applyNumberFormat="1" applyFont="1" applyFill="1" applyBorder="1" applyAlignment="1"/>
    <xf numFmtId="4" fontId="9" fillId="0" borderId="13" xfId="0" applyNumberFormat="1" applyFont="1" applyFill="1" applyBorder="1" applyAlignment="1"/>
    <xf numFmtId="43" fontId="9" fillId="5" borderId="13" xfId="1" applyFont="1" applyFill="1" applyBorder="1" applyAlignment="1"/>
    <xf numFmtId="4" fontId="9" fillId="2" borderId="13" xfId="0" applyNumberFormat="1" applyFont="1" applyFill="1" applyBorder="1" applyAlignment="1"/>
    <xf numFmtId="166" fontId="9" fillId="7" borderId="13" xfId="0" applyNumberFormat="1" applyFont="1" applyFill="1" applyBorder="1" applyAlignment="1">
      <alignment horizontal="left"/>
    </xf>
    <xf numFmtId="10" fontId="9" fillId="6" borderId="13" xfId="0" applyNumberFormat="1" applyFont="1" applyFill="1" applyBorder="1" applyAlignment="1"/>
    <xf numFmtId="10" fontId="9" fillId="4" borderId="13" xfId="0" applyNumberFormat="1" applyFont="1" applyFill="1" applyBorder="1" applyAlignment="1"/>
    <xf numFmtId="10" fontId="10" fillId="8" borderId="13" xfId="0" applyNumberFormat="1" applyFont="1" applyFill="1" applyBorder="1" applyAlignment="1">
      <alignment horizontal="right" vertical="center"/>
    </xf>
    <xf numFmtId="10" fontId="9" fillId="3" borderId="13" xfId="0" applyNumberFormat="1" applyFont="1" applyFill="1" applyBorder="1" applyAlignment="1">
      <alignment horizontal="right" vertical="center"/>
    </xf>
    <xf numFmtId="166" fontId="9" fillId="3" borderId="13" xfId="0" applyNumberFormat="1" applyFont="1" applyFill="1" applyBorder="1" applyAlignment="1">
      <alignment horizontal="right" vertical="center"/>
    </xf>
    <xf numFmtId="165" fontId="9" fillId="0" borderId="13" xfId="0" applyNumberFormat="1" applyFont="1" applyFill="1" applyBorder="1" applyAlignment="1"/>
    <xf numFmtId="49" fontId="5" fillId="12" borderId="13" xfId="0" applyNumberFormat="1" applyFont="1" applyFill="1" applyBorder="1" applyAlignment="1">
      <alignment vertical="center" wrapText="1"/>
    </xf>
    <xf numFmtId="49" fontId="5" fillId="0" borderId="13" xfId="0" applyNumberFormat="1" applyFont="1" applyFill="1" applyBorder="1" applyAlignment="1">
      <alignment vertical="center" wrapText="1"/>
    </xf>
    <xf numFmtId="4" fontId="9" fillId="0" borderId="13" xfId="0" applyNumberFormat="1" applyFont="1" applyBorder="1" applyAlignment="1"/>
    <xf numFmtId="165" fontId="9" fillId="2" borderId="13" xfId="0" applyNumberFormat="1" applyFont="1" applyFill="1" applyBorder="1" applyAlignment="1"/>
    <xf numFmtId="166" fontId="9" fillId="2" borderId="13" xfId="0" applyNumberFormat="1" applyFont="1" applyFill="1" applyBorder="1" applyAlignment="1"/>
    <xf numFmtId="166" fontId="5" fillId="2" borderId="13" xfId="0" applyNumberFormat="1" applyFont="1" applyFill="1" applyBorder="1" applyAlignment="1"/>
    <xf numFmtId="166" fontId="11" fillId="2" borderId="13" xfId="0" applyNumberFormat="1" applyFont="1" applyFill="1" applyBorder="1" applyAlignment="1"/>
    <xf numFmtId="166" fontId="5" fillId="5" borderId="13" xfId="0" applyNumberFormat="1" applyFont="1" applyFill="1" applyBorder="1" applyAlignment="1"/>
    <xf numFmtId="166" fontId="9" fillId="7" borderId="13" xfId="0" applyNumberFormat="1" applyFont="1" applyFill="1" applyBorder="1" applyAlignment="1"/>
    <xf numFmtId="165" fontId="5" fillId="2" borderId="13" xfId="0" applyNumberFormat="1" applyFont="1" applyFill="1" applyBorder="1" applyAlignment="1"/>
    <xf numFmtId="49" fontId="5" fillId="12" borderId="13" xfId="0" applyNumberFormat="1" applyFont="1" applyFill="1" applyBorder="1" applyAlignment="1"/>
    <xf numFmtId="165" fontId="13" fillId="2" borderId="13" xfId="0" applyNumberFormat="1" applyFont="1" applyFill="1" applyBorder="1" applyAlignment="1">
      <alignment horizontal="center"/>
    </xf>
    <xf numFmtId="49" fontId="14" fillId="2" borderId="13" xfId="0" applyNumberFormat="1" applyFont="1" applyFill="1" applyBorder="1" applyAlignment="1">
      <alignment horizontal="right"/>
    </xf>
    <xf numFmtId="166" fontId="15" fillId="2" borderId="13" xfId="0" applyNumberFormat="1" applyFont="1" applyFill="1" applyBorder="1" applyAlignment="1"/>
    <xf numFmtId="166" fontId="15" fillId="7" borderId="13" xfId="0" applyNumberFormat="1" applyFont="1" applyFill="1" applyBorder="1" applyAlignment="1">
      <alignment horizontal="left"/>
    </xf>
    <xf numFmtId="10" fontId="13" fillId="6" borderId="13" xfId="0" applyNumberFormat="1" applyFont="1" applyFill="1" applyBorder="1" applyAlignment="1"/>
    <xf numFmtId="10" fontId="15" fillId="4" borderId="13" xfId="0" applyNumberFormat="1" applyFont="1" applyFill="1" applyBorder="1" applyAlignment="1"/>
    <xf numFmtId="10" fontId="13" fillId="8" borderId="13" xfId="0" applyNumberFormat="1" applyFont="1" applyFill="1" applyBorder="1" applyAlignment="1">
      <alignment horizontal="right" vertical="center"/>
    </xf>
    <xf numFmtId="10" fontId="15" fillId="3" borderId="13" xfId="0" applyNumberFormat="1" applyFont="1" applyFill="1" applyBorder="1" applyAlignment="1">
      <alignment horizontal="right" vertical="center"/>
    </xf>
    <xf numFmtId="166" fontId="15" fillId="3" borderId="13" xfId="0" applyNumberFormat="1" applyFont="1" applyFill="1" applyBorder="1" applyAlignment="1">
      <alignment horizontal="right" vertical="center"/>
    </xf>
    <xf numFmtId="165" fontId="15" fillId="2" borderId="13" xfId="0" applyNumberFormat="1" applyFont="1" applyFill="1" applyBorder="1" applyAlignment="1"/>
    <xf numFmtId="49" fontId="5" fillId="12" borderId="13" xfId="0" applyNumberFormat="1" applyFont="1" applyFill="1" applyBorder="1" applyAlignment="1">
      <alignment wrapText="1"/>
    </xf>
    <xf numFmtId="0" fontId="3" fillId="0" borderId="13" xfId="0" applyNumberFormat="1" applyFont="1" applyBorder="1" applyAlignment="1"/>
    <xf numFmtId="166" fontId="5" fillId="0" borderId="13" xfId="0" applyNumberFormat="1" applyFont="1" applyFill="1" applyBorder="1" applyAlignment="1"/>
    <xf numFmtId="0" fontId="15" fillId="2" borderId="13" xfId="0" applyNumberFormat="1" applyFont="1" applyFill="1" applyBorder="1" applyAlignment="1"/>
    <xf numFmtId="166" fontId="15" fillId="2" borderId="13" xfId="0" applyNumberFormat="1" applyFont="1" applyFill="1" applyBorder="1" applyAlignment="1">
      <alignment horizontal="left"/>
    </xf>
    <xf numFmtId="4" fontId="17" fillId="0" borderId="13" xfId="0" applyNumberFormat="1" applyFont="1" applyBorder="1" applyAlignment="1"/>
    <xf numFmtId="166" fontId="9" fillId="7" borderId="13" xfId="0" applyNumberFormat="1" applyFont="1" applyFill="1" applyBorder="1"/>
    <xf numFmtId="166" fontId="9" fillId="12" borderId="13" xfId="0" applyNumberFormat="1" applyFont="1" applyFill="1" applyBorder="1" applyAlignment="1"/>
    <xf numFmtId="165" fontId="9" fillId="12" borderId="13" xfId="0" applyNumberFormat="1" applyFont="1" applyFill="1" applyBorder="1" applyAlignment="1"/>
    <xf numFmtId="43" fontId="9" fillId="0" borderId="13" xfId="1" applyFont="1" applyFill="1" applyBorder="1" applyAlignment="1">
      <alignment horizontal="right"/>
    </xf>
    <xf numFmtId="43" fontId="5" fillId="5" borderId="13" xfId="1" applyFont="1" applyFill="1" applyBorder="1" applyAlignment="1"/>
    <xf numFmtId="49" fontId="5" fillId="0" borderId="13" xfId="0" applyNumberFormat="1" applyFont="1" applyFill="1" applyBorder="1" applyAlignment="1">
      <alignment vertical="top" wrapText="1"/>
    </xf>
    <xf numFmtId="49" fontId="13" fillId="12" borderId="13" xfId="0" applyNumberFormat="1" applyFont="1" applyFill="1" applyBorder="1" applyAlignment="1">
      <alignment horizontal="center" wrapText="1"/>
    </xf>
    <xf numFmtId="166" fontId="15" fillId="7" borderId="13" xfId="0" applyNumberFormat="1" applyFont="1" applyFill="1" applyBorder="1"/>
    <xf numFmtId="166" fontId="15" fillId="7" borderId="13" xfId="0" applyNumberFormat="1" applyFont="1" applyFill="1" applyBorder="1" applyAlignment="1"/>
    <xf numFmtId="2" fontId="9" fillId="0" borderId="13" xfId="0" applyNumberFormat="1" applyFont="1" applyFill="1" applyBorder="1" applyAlignment="1"/>
    <xf numFmtId="0" fontId="9" fillId="2" borderId="13" xfId="0" applyNumberFormat="1" applyFont="1" applyFill="1" applyBorder="1" applyAlignment="1"/>
    <xf numFmtId="166" fontId="9" fillId="2" borderId="13" xfId="0" applyNumberFormat="1" applyFont="1" applyFill="1" applyBorder="1" applyAlignment="1">
      <alignment horizontal="left"/>
    </xf>
    <xf numFmtId="164" fontId="9" fillId="2" borderId="13" xfId="0" applyNumberFormat="1" applyFont="1" applyFill="1" applyBorder="1" applyAlignment="1"/>
    <xf numFmtId="166" fontId="9" fillId="10" borderId="13" xfId="0" applyNumberFormat="1" applyFont="1" applyFill="1" applyBorder="1" applyAlignment="1"/>
    <xf numFmtId="1" fontId="9" fillId="0" borderId="13" xfId="0" applyNumberFormat="1" applyFont="1" applyFill="1" applyBorder="1" applyAlignment="1"/>
    <xf numFmtId="2" fontId="9" fillId="12" borderId="13" xfId="0" applyNumberFormat="1" applyFont="1" applyFill="1" applyBorder="1" applyAlignment="1"/>
    <xf numFmtId="4" fontId="9" fillId="0" borderId="0" xfId="0" applyNumberFormat="1" applyFont="1" applyAlignment="1">
      <alignment vertical="center"/>
    </xf>
    <xf numFmtId="3" fontId="9" fillId="0" borderId="13" xfId="0" applyNumberFormat="1" applyFont="1" applyBorder="1" applyAlignment="1"/>
    <xf numFmtId="165" fontId="5" fillId="0" borderId="13" xfId="0" applyNumberFormat="1" applyFont="1" applyFill="1" applyBorder="1" applyAlignment="1">
      <alignment horizontal="right" wrapText="1"/>
    </xf>
    <xf numFmtId="43" fontId="9" fillId="5" borderId="13" xfId="1" applyFont="1" applyFill="1" applyBorder="1" applyAlignment="1">
      <alignment horizontal="left"/>
    </xf>
    <xf numFmtId="10" fontId="9" fillId="8" borderId="13" xfId="0" applyNumberFormat="1" applyFont="1" applyFill="1" applyBorder="1" applyAlignment="1"/>
    <xf numFmtId="166" fontId="9" fillId="2" borderId="13" xfId="0" applyNumberFormat="1" applyFont="1" applyFill="1" applyBorder="1" applyAlignment="1">
      <alignment horizontal="right"/>
    </xf>
    <xf numFmtId="4" fontId="5" fillId="2" borderId="13" xfId="0" applyNumberFormat="1" applyFont="1" applyFill="1" applyBorder="1" applyAlignment="1"/>
    <xf numFmtId="43" fontId="9" fillId="2" borderId="13" xfId="1" applyFont="1" applyFill="1" applyBorder="1" applyAlignment="1"/>
    <xf numFmtId="43" fontId="9" fillId="10" borderId="13" xfId="1" applyFont="1" applyFill="1" applyBorder="1" applyAlignment="1"/>
    <xf numFmtId="166" fontId="12" fillId="11" borderId="13" xfId="0" applyNumberFormat="1" applyFont="1" applyFill="1" applyBorder="1" applyAlignment="1">
      <alignment horizontal="left"/>
    </xf>
    <xf numFmtId="165" fontId="10" fillId="0" borderId="13" xfId="0" applyNumberFormat="1" applyFont="1" applyFill="1" applyBorder="1" applyAlignment="1">
      <alignment horizontal="center" wrapText="1"/>
    </xf>
    <xf numFmtId="49" fontId="10" fillId="0" borderId="13" xfId="0" applyNumberFormat="1" applyFont="1" applyFill="1" applyBorder="1" applyAlignment="1">
      <alignment wrapText="1"/>
    </xf>
    <xf numFmtId="49" fontId="10" fillId="0" borderId="13" xfId="0" applyNumberFormat="1" applyFont="1" applyFill="1" applyBorder="1" applyAlignment="1"/>
    <xf numFmtId="166" fontId="9" fillId="0" borderId="13" xfId="0" applyNumberFormat="1" applyFont="1" applyFill="1" applyBorder="1" applyAlignment="1">
      <alignment horizontal="left"/>
    </xf>
    <xf numFmtId="3" fontId="9" fillId="2" borderId="13" xfId="0" applyNumberFormat="1" applyFont="1" applyFill="1" applyBorder="1" applyAlignment="1"/>
    <xf numFmtId="166" fontId="12" fillId="0" borderId="13" xfId="0" applyNumberFormat="1" applyFont="1" applyBorder="1" applyAlignment="1"/>
    <xf numFmtId="3" fontId="9" fillId="0" borderId="13" xfId="0" applyNumberFormat="1" applyFont="1" applyFill="1" applyBorder="1" applyAlignment="1"/>
    <xf numFmtId="165" fontId="13" fillId="0" borderId="13" xfId="0" applyNumberFormat="1" applyFont="1" applyFill="1" applyBorder="1" applyAlignment="1">
      <alignment horizontal="center" wrapText="1"/>
    </xf>
    <xf numFmtId="49" fontId="14" fillId="0" borderId="13" xfId="0" applyNumberFormat="1" applyFont="1" applyFill="1" applyBorder="1" applyAlignment="1">
      <alignment horizontal="right"/>
    </xf>
    <xf numFmtId="43" fontId="15" fillId="2" borderId="13" xfId="1" applyFont="1" applyFill="1" applyBorder="1" applyAlignment="1"/>
    <xf numFmtId="168" fontId="15" fillId="2" borderId="13" xfId="1" applyNumberFormat="1" applyFont="1" applyFill="1" applyBorder="1" applyAlignment="1"/>
    <xf numFmtId="49" fontId="9" fillId="2" borderId="13" xfId="0" applyNumberFormat="1" applyFont="1" applyFill="1" applyBorder="1" applyAlignment="1">
      <alignment horizontal="right"/>
    </xf>
    <xf numFmtId="4" fontId="9" fillId="2" borderId="13" xfId="0" applyNumberFormat="1" applyFont="1" applyFill="1" applyBorder="1" applyAlignment="1">
      <alignment horizontal="right"/>
    </xf>
    <xf numFmtId="43" fontId="9" fillId="5" borderId="13" xfId="1" applyFont="1" applyFill="1" applyBorder="1" applyAlignment="1">
      <alignment horizontal="right"/>
    </xf>
    <xf numFmtId="43" fontId="9" fillId="2" borderId="13" xfId="1" applyFont="1" applyFill="1" applyBorder="1" applyAlignment="1">
      <alignment horizontal="right"/>
    </xf>
    <xf numFmtId="2" fontId="9" fillId="2" borderId="13" xfId="0" applyNumberFormat="1" applyFont="1" applyFill="1" applyBorder="1" applyAlignment="1">
      <alignment horizontal="right"/>
    </xf>
    <xf numFmtId="165" fontId="13" fillId="2" borderId="13" xfId="0" applyNumberFormat="1" applyFont="1" applyFill="1" applyBorder="1" applyAlignment="1">
      <alignment horizontal="center" wrapText="1"/>
    </xf>
    <xf numFmtId="167" fontId="9" fillId="2" borderId="13" xfId="0" applyNumberFormat="1" applyFont="1" applyFill="1" applyBorder="1" applyAlignment="1"/>
    <xf numFmtId="166" fontId="9" fillId="2" borderId="13" xfId="0" applyNumberFormat="1" applyFont="1" applyFill="1" applyBorder="1" applyAlignment="1">
      <alignment wrapText="1"/>
    </xf>
    <xf numFmtId="4" fontId="5" fillId="12" borderId="13" xfId="0" applyNumberFormat="1" applyFont="1" applyFill="1" applyBorder="1" applyAlignment="1">
      <alignment wrapText="1"/>
    </xf>
    <xf numFmtId="0" fontId="5" fillId="12" borderId="13" xfId="0" applyFont="1" applyFill="1" applyBorder="1" applyAlignment="1">
      <alignment wrapText="1"/>
    </xf>
    <xf numFmtId="0" fontId="5" fillId="0" borderId="13" xfId="0" applyFont="1" applyFill="1" applyBorder="1" applyAlignment="1"/>
    <xf numFmtId="166" fontId="15" fillId="2" borderId="13" xfId="0" applyNumberFormat="1" applyFont="1" applyFill="1" applyBorder="1" applyAlignment="1">
      <alignment wrapText="1"/>
    </xf>
    <xf numFmtId="165" fontId="10" fillId="12" borderId="13" xfId="0" applyNumberFormat="1" applyFont="1" applyFill="1" applyBorder="1" applyAlignment="1">
      <alignment horizontal="center" wrapText="1"/>
    </xf>
    <xf numFmtId="166" fontId="9" fillId="2" borderId="13" xfId="0" applyNumberFormat="1" applyFont="1" applyFill="1" applyBorder="1" applyAlignment="1">
      <alignment horizontal="left" wrapText="1"/>
    </xf>
    <xf numFmtId="165" fontId="9" fillId="2" borderId="13" xfId="0" applyNumberFormat="1" applyFont="1" applyFill="1" applyBorder="1" applyAlignment="1">
      <alignment horizontal="left"/>
    </xf>
    <xf numFmtId="165" fontId="9" fillId="0" borderId="13" xfId="0" applyNumberFormat="1" applyFont="1" applyFill="1" applyBorder="1" applyAlignment="1">
      <alignment horizontal="center"/>
    </xf>
    <xf numFmtId="49" fontId="15" fillId="0" borderId="13" xfId="0" applyNumberFormat="1" applyFont="1" applyFill="1" applyBorder="1" applyAlignment="1">
      <alignment horizontal="right"/>
    </xf>
    <xf numFmtId="165" fontId="9" fillId="14" borderId="13" xfId="0" applyNumberFormat="1" applyFont="1" applyFill="1" applyBorder="1" applyAlignment="1">
      <alignment horizontal="center" wrapText="1"/>
    </xf>
    <xf numFmtId="49" fontId="15" fillId="14" borderId="13" xfId="0" applyNumberFormat="1" applyFont="1" applyFill="1" applyBorder="1" applyAlignment="1">
      <alignment horizontal="right"/>
    </xf>
    <xf numFmtId="166" fontId="15" fillId="14" borderId="13" xfId="0" applyNumberFormat="1" applyFont="1" applyFill="1" applyBorder="1" applyAlignment="1"/>
    <xf numFmtId="166" fontId="15" fillId="14" borderId="13" xfId="0" applyNumberFormat="1" applyFont="1" applyFill="1" applyBorder="1"/>
    <xf numFmtId="10" fontId="15" fillId="14" borderId="13" xfId="0" applyNumberFormat="1" applyFont="1" applyFill="1" applyBorder="1" applyAlignment="1"/>
    <xf numFmtId="10" fontId="13" fillId="14" borderId="13" xfId="0" applyNumberFormat="1" applyFont="1" applyFill="1" applyBorder="1" applyAlignment="1">
      <alignment horizontal="right" vertical="center"/>
    </xf>
    <xf numFmtId="10" fontId="15" fillId="14" borderId="13" xfId="0" applyNumberFormat="1" applyFont="1" applyFill="1" applyBorder="1" applyAlignment="1">
      <alignment horizontal="right" vertical="center"/>
    </xf>
    <xf numFmtId="166" fontId="15" fillId="14" borderId="13" xfId="0" applyNumberFormat="1" applyFont="1" applyFill="1" applyBorder="1" applyAlignment="1">
      <alignment horizontal="right" vertical="center"/>
    </xf>
    <xf numFmtId="165" fontId="15" fillId="14" borderId="13" xfId="0" applyNumberFormat="1" applyFont="1" applyFill="1" applyBorder="1" applyAlignment="1"/>
    <xf numFmtId="166" fontId="9" fillId="7" borderId="13" xfId="0" applyNumberFormat="1" applyFont="1" applyFill="1" applyBorder="1" applyAlignment="1">
      <alignment horizontal="left" wrapText="1"/>
    </xf>
    <xf numFmtId="49" fontId="16" fillId="9" borderId="14" xfId="0" applyNumberFormat="1" applyFont="1" applyFill="1" applyBorder="1" applyAlignment="1">
      <alignment horizontal="center" vertical="top" wrapText="1"/>
    </xf>
    <xf numFmtId="49" fontId="16" fillId="9" borderId="15" xfId="0" applyNumberFormat="1" applyFont="1" applyFill="1" applyBorder="1" applyAlignment="1">
      <alignment horizontal="center" vertical="top" wrapText="1"/>
    </xf>
    <xf numFmtId="49" fontId="16" fillId="9" borderId="16" xfId="0" applyNumberFormat="1" applyFont="1" applyFill="1" applyBorder="1" applyAlignment="1">
      <alignment horizontal="center" vertical="top" wrapText="1"/>
    </xf>
    <xf numFmtId="0" fontId="14" fillId="8" borderId="14" xfId="0" applyFont="1" applyFill="1" applyBorder="1" applyAlignment="1">
      <alignment horizontal="center" wrapText="1"/>
    </xf>
    <xf numFmtId="0" fontId="14" fillId="8" borderId="15" xfId="0" applyFont="1" applyFill="1" applyBorder="1" applyAlignment="1">
      <alignment horizontal="center" wrapText="1"/>
    </xf>
    <xf numFmtId="0" fontId="14" fillId="8" borderId="16" xfId="0" applyFont="1" applyFill="1" applyBorder="1" applyAlignment="1">
      <alignment horizontal="center" wrapText="1"/>
    </xf>
    <xf numFmtId="49" fontId="7" fillId="13" borderId="13" xfId="0" applyNumberFormat="1" applyFont="1" applyFill="1" applyBorder="1" applyAlignment="1">
      <alignment horizontal="center"/>
    </xf>
    <xf numFmtId="0" fontId="7" fillId="13" borderId="13" xfId="0" applyNumberFormat="1" applyFont="1" applyFill="1" applyBorder="1" applyAlignment="1">
      <alignment horizontal="center"/>
    </xf>
    <xf numFmtId="49" fontId="4" fillId="9" borderId="14" xfId="0" applyNumberFormat="1" applyFont="1" applyFill="1" applyBorder="1" applyAlignment="1">
      <alignment horizontal="center" vertical="top" wrapText="1"/>
    </xf>
    <xf numFmtId="49" fontId="4" fillId="9" borderId="15" xfId="0" applyNumberFormat="1" applyFont="1" applyFill="1" applyBorder="1" applyAlignment="1">
      <alignment horizontal="center" vertical="top" wrapText="1"/>
    </xf>
    <xf numFmtId="49" fontId="4" fillId="9" borderId="16" xfId="0" applyNumberFormat="1" applyFont="1" applyFill="1" applyBorder="1" applyAlignment="1">
      <alignment horizontal="center" vertical="top" wrapText="1"/>
    </xf>
    <xf numFmtId="166" fontId="13" fillId="8" borderId="14" xfId="0" applyNumberFormat="1" applyFont="1" applyFill="1" applyBorder="1" applyAlignment="1">
      <alignment horizontal="center" wrapText="1"/>
    </xf>
    <xf numFmtId="166" fontId="13" fillId="8" borderId="15" xfId="0" applyNumberFormat="1" applyFont="1" applyFill="1" applyBorder="1" applyAlignment="1">
      <alignment horizontal="center" wrapText="1"/>
    </xf>
    <xf numFmtId="166" fontId="13" fillId="8" borderId="16" xfId="0" applyNumberFormat="1" applyFont="1" applyFill="1" applyBorder="1" applyAlignment="1">
      <alignment horizontal="center" wrapText="1"/>
    </xf>
    <xf numFmtId="166" fontId="14" fillId="8" borderId="14" xfId="0" applyNumberFormat="1" applyFont="1" applyFill="1" applyBorder="1" applyAlignment="1">
      <alignment horizontal="center" wrapText="1"/>
    </xf>
    <xf numFmtId="166" fontId="14" fillId="8" borderId="15" xfId="0" applyNumberFormat="1" applyFont="1" applyFill="1" applyBorder="1" applyAlignment="1">
      <alignment horizontal="center" wrapText="1"/>
    </xf>
    <xf numFmtId="166" fontId="14" fillId="8" borderId="16" xfId="0" applyNumberFormat="1" applyFont="1" applyFill="1" applyBorder="1" applyAlignment="1">
      <alignment horizontal="center" wrapText="1"/>
    </xf>
  </cellXfs>
  <cellStyles count="2">
    <cellStyle name="Comma" xfId="1" builtinId="3"/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0000"/>
      <rgbColor rgb="FFFFFFFF"/>
      <rgbColor rgb="FFAAAAAA"/>
      <rgbColor rgb="FF92D050"/>
      <rgbColor rgb="FFDBE5F1"/>
      <rgbColor rgb="FFB6DDE8"/>
      <rgbColor rgb="FFFFFF00"/>
      <rgbColor rgb="FF95B3D7"/>
      <rgbColor rgb="FFFDE9D9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11</xdr:col>
      <xdr:colOff>9525</xdr:colOff>
      <xdr:row>23</xdr:row>
      <xdr:rowOff>76200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7343775" cy="3790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14</xdr:col>
      <xdr:colOff>11906</xdr:colOff>
      <xdr:row>24</xdr:row>
      <xdr:rowOff>11906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346406" cy="40124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17</xdr:col>
      <xdr:colOff>333373</xdr:colOff>
      <xdr:row>22</xdr:row>
      <xdr:rowOff>71436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548936" cy="42624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 Theme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8" tIns="45718" rIns="45718" bIns="45718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G157"/>
  <sheetViews>
    <sheetView showGridLines="0" tabSelected="1" view="pageBreakPreview" zoomScale="150" zoomScaleNormal="160" zoomScaleSheetLayoutView="150" workbookViewId="0">
      <pane ySplit="2" topLeftCell="A3" activePane="bottomLeft" state="frozen"/>
      <selection pane="bottomLeft" sqref="A1:AE1"/>
    </sheetView>
  </sheetViews>
  <sheetFormatPr defaultColWidth="8.85546875" defaultRowHeight="15.75" customHeight="1" x14ac:dyDescent="0.25"/>
  <cols>
    <col min="1" max="1" width="6.42578125" style="1" customWidth="1"/>
    <col min="2" max="2" width="27.42578125" style="17" customWidth="1"/>
    <col min="3" max="3" width="38" style="1" customWidth="1"/>
    <col min="4" max="4" width="0.42578125" style="1" customWidth="1"/>
    <col min="5" max="5" width="1.140625" style="1" hidden="1" customWidth="1"/>
    <col min="6" max="6" width="21.140625" style="1" hidden="1" customWidth="1"/>
    <col min="7" max="7" width="21.42578125" style="1" hidden="1" customWidth="1"/>
    <col min="8" max="8" width="19.28515625" style="1" hidden="1" customWidth="1"/>
    <col min="9" max="9" width="18" style="1" hidden="1" customWidth="1"/>
    <col min="10" max="10" width="22" style="1" customWidth="1"/>
    <col min="11" max="11" width="19.140625" style="17" customWidth="1"/>
    <col min="12" max="12" width="19.7109375" style="1" customWidth="1"/>
    <col min="13" max="13" width="19.140625" style="31" customWidth="1"/>
    <col min="14" max="14" width="22.42578125" style="1" customWidth="1"/>
    <col min="15" max="15" width="19.42578125" style="1" customWidth="1"/>
    <col min="16" max="16" width="20.5703125" style="35" customWidth="1"/>
    <col min="17" max="17" width="9.28515625" style="1" customWidth="1"/>
    <col min="18" max="18" width="20.140625" style="1" customWidth="1"/>
    <col min="19" max="19" width="9.140625" style="1" customWidth="1"/>
    <col min="20" max="20" width="11.5703125" style="1" customWidth="1"/>
    <col min="21" max="21" width="12.28515625" style="1" customWidth="1"/>
    <col min="22" max="22" width="12.7109375" style="1" customWidth="1"/>
    <col min="23" max="23" width="12.28515625" style="1" customWidth="1"/>
    <col min="24" max="24" width="12.7109375" style="1" customWidth="1"/>
    <col min="25" max="25" width="15" style="1" customWidth="1"/>
    <col min="26" max="26" width="14.42578125" style="1" customWidth="1"/>
    <col min="27" max="27" width="14.28515625" style="1" customWidth="1"/>
    <col min="28" max="28" width="20.140625" style="17" customWidth="1"/>
    <col min="29" max="29" width="18.140625" style="17" customWidth="1"/>
    <col min="30" max="30" width="19" style="17" customWidth="1"/>
    <col min="31" max="31" width="21.85546875" style="1" customWidth="1"/>
    <col min="32" max="32" width="8.85546875" style="1" customWidth="1"/>
    <col min="33" max="33" width="20.28515625" style="1" customWidth="1"/>
    <col min="34" max="241" width="8.85546875" style="1" customWidth="1"/>
  </cols>
  <sheetData>
    <row r="1" spans="1:241" ht="39" customHeight="1" x14ac:dyDescent="0.65">
      <c r="A1" s="158" t="s">
        <v>203</v>
      </c>
      <c r="B1" s="158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  <c r="P1" s="159"/>
      <c r="Q1" s="159"/>
      <c r="R1" s="159"/>
      <c r="S1" s="159"/>
      <c r="T1" s="159"/>
      <c r="U1" s="159"/>
      <c r="V1" s="159"/>
      <c r="W1" s="159"/>
      <c r="X1" s="159"/>
      <c r="Y1" s="159"/>
      <c r="Z1" s="159"/>
      <c r="AA1" s="159"/>
      <c r="AB1" s="159"/>
      <c r="AC1" s="159"/>
      <c r="AD1" s="159"/>
      <c r="AE1" s="159"/>
      <c r="AF1" s="3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  <c r="BO1" s="17"/>
      <c r="BP1" s="17"/>
      <c r="BQ1" s="17"/>
      <c r="BR1" s="17"/>
      <c r="BS1" s="17"/>
      <c r="BT1" s="17"/>
      <c r="BU1" s="17"/>
      <c r="BV1" s="17"/>
      <c r="BW1" s="17"/>
      <c r="BX1" s="17"/>
      <c r="BY1" s="17"/>
      <c r="BZ1" s="17"/>
      <c r="CA1" s="17"/>
      <c r="CB1" s="17"/>
      <c r="CC1" s="17"/>
      <c r="CD1" s="17"/>
      <c r="CE1" s="17"/>
      <c r="CF1" s="17"/>
      <c r="CG1" s="17"/>
      <c r="CH1" s="17"/>
      <c r="CI1" s="17"/>
      <c r="CJ1" s="17"/>
      <c r="CK1" s="17"/>
      <c r="CL1" s="17"/>
      <c r="CM1" s="17"/>
      <c r="CN1" s="17"/>
      <c r="CO1" s="17"/>
      <c r="CP1" s="17"/>
      <c r="CQ1" s="17"/>
      <c r="CR1" s="17"/>
      <c r="CS1" s="17"/>
      <c r="CT1" s="17"/>
      <c r="CU1" s="17"/>
      <c r="CV1" s="17"/>
      <c r="CW1" s="17"/>
      <c r="CX1" s="17"/>
      <c r="CY1" s="17"/>
      <c r="CZ1" s="17"/>
      <c r="DA1" s="17"/>
      <c r="DB1" s="17"/>
      <c r="DC1" s="17"/>
      <c r="DD1" s="17"/>
      <c r="DE1" s="17"/>
      <c r="DF1" s="17"/>
      <c r="DG1" s="17"/>
      <c r="DH1" s="17"/>
      <c r="DI1" s="17"/>
      <c r="DJ1" s="17"/>
      <c r="DK1" s="17"/>
      <c r="DL1" s="17"/>
      <c r="DM1" s="17"/>
      <c r="DN1" s="17"/>
      <c r="DO1" s="17"/>
      <c r="DP1" s="17"/>
      <c r="DQ1" s="17"/>
      <c r="DR1" s="17"/>
      <c r="DS1" s="17"/>
      <c r="DT1" s="17"/>
      <c r="DU1" s="17"/>
      <c r="DV1" s="17"/>
      <c r="DW1" s="17"/>
      <c r="DX1" s="17"/>
      <c r="DY1" s="17"/>
      <c r="DZ1" s="17"/>
      <c r="EA1" s="17"/>
      <c r="EB1" s="17"/>
      <c r="EC1" s="17"/>
      <c r="ED1" s="17"/>
      <c r="EE1" s="17"/>
      <c r="EF1" s="17"/>
      <c r="EG1" s="17"/>
      <c r="EH1" s="17"/>
      <c r="EI1" s="17"/>
      <c r="EJ1" s="17"/>
      <c r="EK1" s="17"/>
      <c r="EL1" s="17"/>
      <c r="EM1" s="17"/>
      <c r="EN1" s="17"/>
      <c r="EO1" s="17"/>
      <c r="EP1" s="17"/>
      <c r="EQ1" s="17"/>
      <c r="ER1" s="17"/>
      <c r="ES1" s="17"/>
      <c r="ET1" s="17"/>
      <c r="EU1" s="17"/>
      <c r="EV1" s="17"/>
      <c r="EW1" s="17"/>
      <c r="EX1" s="17"/>
      <c r="EY1" s="17"/>
      <c r="EZ1" s="17"/>
      <c r="FA1" s="17"/>
      <c r="FB1" s="17"/>
      <c r="FC1" s="17"/>
      <c r="FD1" s="17"/>
      <c r="FE1" s="17"/>
      <c r="FF1" s="17"/>
      <c r="FG1" s="17"/>
      <c r="FH1" s="17"/>
      <c r="FI1" s="17"/>
      <c r="FJ1" s="17"/>
      <c r="FK1" s="17"/>
      <c r="FL1" s="17"/>
      <c r="FM1" s="17"/>
      <c r="FN1" s="17"/>
      <c r="FO1" s="17"/>
      <c r="FP1" s="17"/>
      <c r="FQ1" s="17"/>
      <c r="FR1" s="17"/>
      <c r="FS1" s="17"/>
      <c r="FT1" s="17"/>
      <c r="FU1" s="17"/>
      <c r="FV1" s="17"/>
      <c r="FW1" s="17"/>
      <c r="FX1" s="17"/>
      <c r="FY1" s="17"/>
      <c r="FZ1" s="17"/>
      <c r="GA1" s="17"/>
      <c r="GB1" s="17"/>
      <c r="GC1" s="17"/>
      <c r="GD1" s="17"/>
      <c r="GE1" s="17"/>
      <c r="GF1" s="17"/>
      <c r="GG1" s="17"/>
      <c r="GH1" s="17"/>
      <c r="GI1" s="17"/>
      <c r="GJ1" s="17"/>
      <c r="GK1" s="17"/>
      <c r="GL1" s="17"/>
      <c r="GM1" s="17"/>
      <c r="GN1" s="17"/>
      <c r="GO1" s="17"/>
      <c r="GP1" s="17"/>
      <c r="GQ1" s="17"/>
      <c r="GR1" s="17"/>
      <c r="GS1" s="17"/>
      <c r="GT1" s="17"/>
      <c r="GU1" s="17"/>
      <c r="GV1" s="17"/>
      <c r="GW1" s="17"/>
      <c r="GX1" s="17"/>
      <c r="GY1" s="17"/>
      <c r="GZ1" s="17"/>
      <c r="HA1" s="17"/>
      <c r="HB1" s="17"/>
      <c r="HC1" s="17"/>
      <c r="HD1" s="17"/>
      <c r="HE1" s="17"/>
      <c r="HF1" s="17"/>
      <c r="HG1" s="17"/>
      <c r="HH1" s="17"/>
      <c r="HI1" s="17"/>
      <c r="HJ1" s="17"/>
      <c r="HK1" s="17"/>
      <c r="HL1" s="17"/>
      <c r="HM1" s="17"/>
      <c r="HN1" s="17"/>
      <c r="HO1" s="17"/>
      <c r="HP1" s="17"/>
      <c r="HQ1" s="17"/>
      <c r="HR1" s="17"/>
      <c r="HS1" s="17"/>
      <c r="HT1" s="17"/>
      <c r="HU1" s="17"/>
      <c r="HV1" s="17"/>
      <c r="HW1" s="17"/>
      <c r="HX1" s="17"/>
      <c r="HY1" s="17"/>
      <c r="HZ1" s="17"/>
      <c r="IA1" s="17"/>
      <c r="IB1" s="17"/>
      <c r="IC1" s="17"/>
      <c r="ID1" s="17"/>
      <c r="IE1" s="17"/>
      <c r="IF1" s="17"/>
      <c r="IG1" s="17"/>
    </row>
    <row r="2" spans="1:241" ht="54" customHeight="1" x14ac:dyDescent="0.25">
      <c r="A2" s="45" t="s">
        <v>180</v>
      </c>
      <c r="B2" s="45" t="s">
        <v>1</v>
      </c>
      <c r="C2" s="45" t="s">
        <v>0</v>
      </c>
      <c r="D2" s="45" t="s">
        <v>2</v>
      </c>
      <c r="E2" s="45" t="s">
        <v>3</v>
      </c>
      <c r="F2" s="45" t="s">
        <v>4</v>
      </c>
      <c r="G2" s="45" t="s">
        <v>5</v>
      </c>
      <c r="H2" s="45" t="s">
        <v>6</v>
      </c>
      <c r="I2" s="45" t="s">
        <v>7</v>
      </c>
      <c r="J2" s="45" t="s">
        <v>8</v>
      </c>
      <c r="K2" s="45" t="s">
        <v>159</v>
      </c>
      <c r="L2" s="45" t="s">
        <v>9</v>
      </c>
      <c r="M2" s="46" t="s">
        <v>10</v>
      </c>
      <c r="N2" s="45" t="s">
        <v>11</v>
      </c>
      <c r="O2" s="45" t="s">
        <v>12</v>
      </c>
      <c r="P2" s="45" t="s">
        <v>212</v>
      </c>
      <c r="Q2" s="45" t="s">
        <v>13</v>
      </c>
      <c r="R2" s="45" t="s">
        <v>188</v>
      </c>
      <c r="S2" s="45" t="s">
        <v>13</v>
      </c>
      <c r="T2" s="45" t="s">
        <v>14</v>
      </c>
      <c r="U2" s="45" t="s">
        <v>15</v>
      </c>
      <c r="V2" s="45" t="s">
        <v>16</v>
      </c>
      <c r="W2" s="45" t="s">
        <v>17</v>
      </c>
      <c r="X2" s="45" t="s">
        <v>18</v>
      </c>
      <c r="Y2" s="45" t="s">
        <v>19</v>
      </c>
      <c r="Z2" s="45" t="s">
        <v>20</v>
      </c>
      <c r="AA2" s="45" t="s">
        <v>21</v>
      </c>
      <c r="AB2" s="45" t="s">
        <v>191</v>
      </c>
      <c r="AC2" s="45" t="s">
        <v>193</v>
      </c>
      <c r="AD2" s="45" t="s">
        <v>194</v>
      </c>
      <c r="AE2" s="45" t="s">
        <v>190</v>
      </c>
      <c r="AF2" s="5"/>
    </row>
    <row r="3" spans="1:241" ht="18" customHeight="1" x14ac:dyDescent="0.25">
      <c r="A3" s="160" t="s">
        <v>22</v>
      </c>
      <c r="B3" s="161"/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161"/>
      <c r="P3" s="161"/>
      <c r="Q3" s="161"/>
      <c r="R3" s="161"/>
      <c r="S3" s="161"/>
      <c r="T3" s="161"/>
      <c r="U3" s="161"/>
      <c r="V3" s="161"/>
      <c r="W3" s="161"/>
      <c r="X3" s="161"/>
      <c r="Y3" s="161"/>
      <c r="Z3" s="161"/>
      <c r="AA3" s="161"/>
      <c r="AB3" s="161"/>
      <c r="AC3" s="161"/>
      <c r="AD3" s="161"/>
      <c r="AE3" s="162"/>
      <c r="AF3" s="5"/>
    </row>
    <row r="4" spans="1:241" ht="18" customHeight="1" x14ac:dyDescent="0.25">
      <c r="A4" s="47">
        <v>1</v>
      </c>
      <c r="B4" s="43" t="s">
        <v>32</v>
      </c>
      <c r="C4" s="43" t="s">
        <v>31</v>
      </c>
      <c r="D4" s="48">
        <v>317473218.51999998</v>
      </c>
      <c r="E4" s="49"/>
      <c r="F4" s="50">
        <v>66621728.350000001</v>
      </c>
      <c r="G4" s="50"/>
      <c r="H4" s="50"/>
      <c r="I4" s="50"/>
      <c r="J4" s="51">
        <v>384094946.87</v>
      </c>
      <c r="K4" s="51">
        <v>3936205.22</v>
      </c>
      <c r="L4" s="51">
        <v>1014267.29</v>
      </c>
      <c r="M4" s="52">
        <v>2921937.93</v>
      </c>
      <c r="N4" s="53">
        <v>389225454.10000002</v>
      </c>
      <c r="O4" s="53">
        <v>10175885.359999999</v>
      </c>
      <c r="P4" s="54">
        <v>400005117.72000003</v>
      </c>
      <c r="Q4" s="55">
        <f t="shared" ref="Q4:Q15" si="0">(P4/$P$19)</f>
        <v>2.5763219463030115E-2</v>
      </c>
      <c r="R4" s="54">
        <v>379049568.74000001</v>
      </c>
      <c r="S4" s="55">
        <f t="shared" ref="S4:S18" si="1">(R4/$R$19)</f>
        <v>2.5054830624973663E-2</v>
      </c>
      <c r="T4" s="56">
        <f t="shared" ref="T4:T18" si="2">((R4-P4)/P4)</f>
        <v>-5.23882021796249E-2</v>
      </c>
      <c r="U4" s="57">
        <f t="shared" ref="U4:U18" si="3">(L4/R4)</f>
        <v>2.6758170267058459E-3</v>
      </c>
      <c r="V4" s="58">
        <f t="shared" ref="V4:V17" si="4">M4/R4</f>
        <v>7.7085905669615302E-3</v>
      </c>
      <c r="W4" s="59">
        <f t="shared" ref="W4:W17" si="5">R4/AE4</f>
        <v>176.86484079700924</v>
      </c>
      <c r="X4" s="59">
        <f t="shared" ref="X4:X17" si="6">M4/AE4</f>
        <v>1.3633786433949784</v>
      </c>
      <c r="Y4" s="50">
        <v>176.8648</v>
      </c>
      <c r="Z4" s="50">
        <v>181.6129</v>
      </c>
      <c r="AA4" s="60">
        <v>1714</v>
      </c>
      <c r="AB4" s="50">
        <v>2143497.1981000002</v>
      </c>
      <c r="AC4" s="50"/>
      <c r="AD4" s="50">
        <v>337.67</v>
      </c>
      <c r="AE4" s="50">
        <v>2143159.5281000002</v>
      </c>
      <c r="AF4" s="5"/>
    </row>
    <row r="5" spans="1:241" ht="18" customHeight="1" x14ac:dyDescent="0.25">
      <c r="A5" s="47">
        <v>2</v>
      </c>
      <c r="B5" s="43" t="s">
        <v>49</v>
      </c>
      <c r="C5" s="43" t="s">
        <v>48</v>
      </c>
      <c r="D5" s="48">
        <v>309556774.55000001</v>
      </c>
      <c r="E5" s="49"/>
      <c r="F5" s="50">
        <v>59057313.759999998</v>
      </c>
      <c r="G5" s="50" t="s">
        <v>88</v>
      </c>
      <c r="H5" s="50"/>
      <c r="I5" s="50"/>
      <c r="J5" s="51">
        <v>407245520.36000001</v>
      </c>
      <c r="K5" s="51">
        <v>2536982.36</v>
      </c>
      <c r="L5" s="51">
        <v>4334621.43</v>
      </c>
      <c r="M5" s="52">
        <v>-1797639.07</v>
      </c>
      <c r="N5" s="53">
        <v>412485279.83999997</v>
      </c>
      <c r="O5" s="53">
        <v>4334621.43</v>
      </c>
      <c r="P5" s="54">
        <v>417427980.16000003</v>
      </c>
      <c r="Q5" s="55">
        <f t="shared" si="0"/>
        <v>2.688537767759103E-2</v>
      </c>
      <c r="R5" s="54">
        <v>408150658.41000003</v>
      </c>
      <c r="S5" s="55">
        <f t="shared" si="1"/>
        <v>2.6978386098490494E-2</v>
      </c>
      <c r="T5" s="56">
        <f t="shared" si="2"/>
        <v>-2.2224963804400474E-2</v>
      </c>
      <c r="U5" s="57">
        <f t="shared" ref="U5:U18" si="7">(L5/R5)</f>
        <v>1.0620150526979519E-2</v>
      </c>
      <c r="V5" s="58">
        <f t="shared" ref="V5:V18" si="8">M5/R5</f>
        <v>-4.4043517582525024E-3</v>
      </c>
      <c r="W5" s="59">
        <f t="shared" ref="W5:W18" si="9">R5/AE5</f>
        <v>134.61565765008831</v>
      </c>
      <c r="X5" s="59">
        <f t="shared" ref="X5:X18" si="10">M5/AE5</f>
        <v>-0.59289470845948333</v>
      </c>
      <c r="Y5" s="50">
        <v>133.9674</v>
      </c>
      <c r="Z5" s="50">
        <v>135.4812</v>
      </c>
      <c r="AA5" s="60">
        <v>300</v>
      </c>
      <c r="AB5" s="60">
        <v>3032486.44</v>
      </c>
      <c r="AC5" s="60"/>
      <c r="AD5" s="60">
        <v>516.27000000001863</v>
      </c>
      <c r="AE5" s="60">
        <v>3031970.17</v>
      </c>
      <c r="AF5" s="5"/>
    </row>
    <row r="6" spans="1:241" s="19" customFormat="1" ht="15" x14ac:dyDescent="0.25">
      <c r="A6" s="47">
        <v>3</v>
      </c>
      <c r="B6" s="43" t="s">
        <v>36</v>
      </c>
      <c r="C6" s="44" t="s">
        <v>35</v>
      </c>
      <c r="D6" s="48">
        <v>1795843136.26</v>
      </c>
      <c r="E6" s="49"/>
      <c r="F6" s="50"/>
      <c r="G6" s="50">
        <v>26668609</v>
      </c>
      <c r="H6" s="50">
        <v>1088551.1000000001</v>
      </c>
      <c r="I6" s="50"/>
      <c r="J6" s="50">
        <v>1823600296.3599999</v>
      </c>
      <c r="K6" s="51">
        <v>10650140.449999999</v>
      </c>
      <c r="L6" s="51">
        <v>6125046.54</v>
      </c>
      <c r="M6" s="52">
        <v>-65663101.079999998</v>
      </c>
      <c r="N6" s="53">
        <v>2239847944</v>
      </c>
      <c r="O6" s="53">
        <v>73902174</v>
      </c>
      <c r="P6" s="54">
        <v>2239394952</v>
      </c>
      <c r="Q6" s="55">
        <f t="shared" si="0"/>
        <v>0.14423321366893882</v>
      </c>
      <c r="R6" s="54">
        <v>2165945770</v>
      </c>
      <c r="S6" s="55">
        <f t="shared" si="1"/>
        <v>0.14316703905143233</v>
      </c>
      <c r="T6" s="56">
        <f t="shared" si="2"/>
        <v>-3.2798672665758512E-2</v>
      </c>
      <c r="U6" s="57">
        <f t="shared" si="7"/>
        <v>2.8278854553223649E-3</v>
      </c>
      <c r="V6" s="58">
        <f t="shared" si="8"/>
        <v>-3.0316133482880321E-2</v>
      </c>
      <c r="W6" s="59">
        <f t="shared" si="9"/>
        <v>20.505361997669127</v>
      </c>
      <c r="X6" s="59">
        <f t="shared" si="10"/>
        <v>-0.62164329143611874</v>
      </c>
      <c r="Y6" s="50">
        <v>20.402899999999999</v>
      </c>
      <c r="Z6" s="50">
        <v>21.018000000000001</v>
      </c>
      <c r="AA6" s="60">
        <v>725</v>
      </c>
      <c r="AB6" s="60">
        <v>106032140</v>
      </c>
      <c r="AC6" s="60">
        <v>230137</v>
      </c>
      <c r="AD6" s="60">
        <v>634014</v>
      </c>
      <c r="AE6" s="50">
        <v>105628263</v>
      </c>
      <c r="AF6" s="26"/>
      <c r="AG6" s="27"/>
      <c r="AH6" s="27"/>
      <c r="AI6" s="27"/>
      <c r="AJ6" s="27"/>
      <c r="AK6" s="27"/>
      <c r="AL6" s="27"/>
      <c r="AM6" s="27"/>
      <c r="AN6" s="27"/>
      <c r="AO6" s="27"/>
      <c r="AP6" s="27"/>
      <c r="AQ6" s="27"/>
      <c r="AR6" s="27"/>
      <c r="AS6" s="27"/>
      <c r="AT6" s="27"/>
      <c r="AU6" s="27"/>
      <c r="AV6" s="27"/>
      <c r="AW6" s="27"/>
      <c r="AX6" s="27"/>
      <c r="AY6" s="27"/>
      <c r="AZ6" s="27"/>
      <c r="BA6" s="27"/>
      <c r="BB6" s="27"/>
      <c r="BC6" s="27"/>
      <c r="BD6" s="27"/>
      <c r="BE6" s="27"/>
      <c r="BF6" s="27"/>
      <c r="BG6" s="27"/>
      <c r="BH6" s="27"/>
      <c r="BI6" s="27"/>
      <c r="BJ6" s="18"/>
      <c r="BK6" s="18"/>
      <c r="BL6" s="18"/>
      <c r="BM6" s="18"/>
      <c r="BN6" s="18"/>
      <c r="BO6" s="18"/>
      <c r="BP6" s="18"/>
      <c r="BQ6" s="18"/>
      <c r="BR6" s="18"/>
      <c r="BS6" s="18"/>
      <c r="BT6" s="18"/>
      <c r="BU6" s="18"/>
      <c r="BV6" s="18"/>
      <c r="BW6" s="18"/>
      <c r="BX6" s="18"/>
      <c r="BY6" s="18"/>
      <c r="BZ6" s="18"/>
      <c r="CA6" s="18"/>
      <c r="CB6" s="18"/>
      <c r="CC6" s="18"/>
      <c r="CD6" s="18"/>
      <c r="CE6" s="18"/>
      <c r="CF6" s="18"/>
      <c r="CG6" s="18"/>
      <c r="CH6" s="18"/>
      <c r="CI6" s="18"/>
      <c r="CJ6" s="18"/>
      <c r="CK6" s="18"/>
      <c r="CL6" s="18"/>
      <c r="CM6" s="18"/>
      <c r="CN6" s="18"/>
      <c r="CO6" s="18"/>
      <c r="CP6" s="18"/>
      <c r="CQ6" s="18"/>
      <c r="CR6" s="18"/>
      <c r="CS6" s="18"/>
      <c r="CT6" s="18"/>
      <c r="CU6" s="18"/>
      <c r="CV6" s="18"/>
      <c r="CW6" s="18"/>
      <c r="CX6" s="18"/>
      <c r="CY6" s="18"/>
      <c r="CZ6" s="18"/>
      <c r="DA6" s="18"/>
      <c r="DB6" s="18"/>
      <c r="DC6" s="18"/>
      <c r="DD6" s="18"/>
      <c r="DE6" s="18"/>
      <c r="DF6" s="18"/>
      <c r="DG6" s="18"/>
      <c r="DH6" s="18"/>
      <c r="DI6" s="18"/>
      <c r="DJ6" s="18"/>
      <c r="DK6" s="18"/>
      <c r="DL6" s="18"/>
      <c r="DM6" s="18"/>
      <c r="DN6" s="18"/>
      <c r="DO6" s="18"/>
      <c r="DP6" s="18"/>
      <c r="DQ6" s="18"/>
      <c r="DR6" s="18"/>
      <c r="DS6" s="18"/>
      <c r="DT6" s="18"/>
      <c r="DU6" s="18"/>
      <c r="DV6" s="18"/>
      <c r="DW6" s="18"/>
      <c r="DX6" s="18"/>
      <c r="DY6" s="18"/>
      <c r="DZ6" s="18"/>
      <c r="EA6" s="18"/>
      <c r="EB6" s="18"/>
      <c r="EC6" s="18"/>
      <c r="ED6" s="18"/>
      <c r="EE6" s="18"/>
      <c r="EF6" s="18"/>
      <c r="EG6" s="18"/>
      <c r="EH6" s="18"/>
      <c r="EI6" s="18"/>
      <c r="EJ6" s="18"/>
      <c r="EK6" s="18"/>
      <c r="EL6" s="18"/>
      <c r="EM6" s="18"/>
      <c r="EN6" s="18"/>
      <c r="EO6" s="18"/>
      <c r="EP6" s="18"/>
      <c r="EQ6" s="18"/>
      <c r="ER6" s="18"/>
      <c r="ES6" s="18"/>
      <c r="ET6" s="18"/>
      <c r="EU6" s="18"/>
      <c r="EV6" s="18"/>
      <c r="EW6" s="18"/>
      <c r="EX6" s="18"/>
      <c r="EY6" s="18"/>
      <c r="EZ6" s="18"/>
      <c r="FA6" s="18"/>
      <c r="FB6" s="18"/>
      <c r="FC6" s="18"/>
      <c r="FD6" s="18"/>
      <c r="FE6" s="18"/>
      <c r="FF6" s="18"/>
      <c r="FG6" s="18"/>
      <c r="FH6" s="18"/>
      <c r="FI6" s="18"/>
      <c r="FJ6" s="18"/>
      <c r="FK6" s="18"/>
      <c r="FL6" s="18"/>
      <c r="FM6" s="18"/>
      <c r="FN6" s="18"/>
      <c r="FO6" s="18"/>
      <c r="FP6" s="18"/>
      <c r="FQ6" s="18"/>
      <c r="FR6" s="18"/>
      <c r="FS6" s="18"/>
      <c r="FT6" s="18"/>
      <c r="FU6" s="18"/>
      <c r="FV6" s="18"/>
      <c r="FW6" s="18"/>
      <c r="FX6" s="18"/>
      <c r="FY6" s="18"/>
      <c r="FZ6" s="18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18"/>
      <c r="HF6" s="18"/>
      <c r="HG6" s="18"/>
      <c r="HH6" s="18"/>
      <c r="HI6" s="18"/>
      <c r="HJ6" s="18"/>
      <c r="HK6" s="18"/>
      <c r="HL6" s="18"/>
      <c r="HM6" s="18"/>
      <c r="HN6" s="18"/>
      <c r="HO6" s="18"/>
      <c r="HP6" s="18"/>
      <c r="HQ6" s="18"/>
      <c r="HR6" s="18"/>
      <c r="HS6" s="18"/>
      <c r="HT6" s="18"/>
      <c r="HU6" s="18"/>
      <c r="HV6" s="18"/>
      <c r="HW6" s="18"/>
      <c r="HX6" s="18"/>
      <c r="HY6" s="18"/>
      <c r="HZ6" s="18"/>
      <c r="IA6" s="18"/>
      <c r="IB6" s="18"/>
      <c r="IC6" s="18"/>
      <c r="ID6" s="18"/>
      <c r="IE6" s="18"/>
      <c r="IF6" s="18"/>
      <c r="IG6" s="18"/>
    </row>
    <row r="7" spans="1:241" s="19" customFormat="1" ht="15" x14ac:dyDescent="0.25">
      <c r="A7" s="47">
        <v>4</v>
      </c>
      <c r="B7" s="61" t="s">
        <v>43</v>
      </c>
      <c r="C7" s="62" t="s">
        <v>42</v>
      </c>
      <c r="D7" s="48">
        <v>182922561</v>
      </c>
      <c r="E7" s="49"/>
      <c r="F7" s="50"/>
      <c r="G7" s="50"/>
      <c r="H7" s="50"/>
      <c r="I7" s="50"/>
      <c r="J7" s="51">
        <v>182922561</v>
      </c>
      <c r="K7" s="51">
        <v>3208508.68</v>
      </c>
      <c r="L7" s="51">
        <v>529189.88</v>
      </c>
      <c r="M7" s="52">
        <v>2679318.7999999998</v>
      </c>
      <c r="N7" s="53">
        <v>253734111.87</v>
      </c>
      <c r="O7" s="53">
        <v>2338939.9300000002</v>
      </c>
      <c r="P7" s="54">
        <v>248711304.47</v>
      </c>
      <c r="Q7" s="55">
        <f t="shared" si="0"/>
        <v>1.6018804850597881E-2</v>
      </c>
      <c r="R7" s="54">
        <v>251395171.94</v>
      </c>
      <c r="S7" s="55">
        <f t="shared" si="1"/>
        <v>1.6616991476418878E-2</v>
      </c>
      <c r="T7" s="56">
        <f t="shared" si="2"/>
        <v>1.0791095626792193E-2</v>
      </c>
      <c r="U7" s="57">
        <f t="shared" si="7"/>
        <v>2.1050121047125787E-3</v>
      </c>
      <c r="V7" s="58">
        <f t="shared" si="8"/>
        <v>1.0657797360720466E-2</v>
      </c>
      <c r="W7" s="59">
        <f t="shared" si="9"/>
        <v>141.83985746862999</v>
      </c>
      <c r="X7" s="59">
        <f t="shared" si="10"/>
        <v>1.5117004585741318</v>
      </c>
      <c r="Y7" s="50">
        <v>137.91</v>
      </c>
      <c r="Z7" s="50">
        <v>140.88999999999999</v>
      </c>
      <c r="AA7" s="60">
        <v>604</v>
      </c>
      <c r="AB7" s="60">
        <v>1758673.94</v>
      </c>
      <c r="AC7" s="60">
        <v>60307.040000000001</v>
      </c>
      <c r="AD7" s="60">
        <v>46593.61</v>
      </c>
      <c r="AE7" s="50">
        <v>1772387.37</v>
      </c>
      <c r="AF7" s="26"/>
      <c r="AG7" s="27"/>
      <c r="AH7" s="27"/>
      <c r="AI7" s="27"/>
      <c r="AJ7" s="27"/>
      <c r="AK7" s="27"/>
      <c r="AL7" s="27"/>
      <c r="AM7" s="27"/>
      <c r="AN7" s="27"/>
      <c r="AO7" s="27"/>
      <c r="AP7" s="27"/>
      <c r="AQ7" s="27"/>
      <c r="AR7" s="27"/>
      <c r="AS7" s="27"/>
      <c r="AT7" s="27"/>
      <c r="AU7" s="27"/>
      <c r="AV7" s="27"/>
      <c r="AW7" s="27"/>
      <c r="AX7" s="27"/>
      <c r="AY7" s="27"/>
      <c r="AZ7" s="27"/>
      <c r="BA7" s="27"/>
      <c r="BB7" s="27"/>
      <c r="BC7" s="27"/>
      <c r="BD7" s="27"/>
      <c r="BE7" s="27"/>
      <c r="BF7" s="27"/>
      <c r="BG7" s="27"/>
      <c r="BH7" s="27"/>
      <c r="BI7" s="27"/>
      <c r="BJ7" s="18"/>
      <c r="BK7" s="18"/>
      <c r="BL7" s="18"/>
      <c r="BM7" s="18"/>
      <c r="BN7" s="18"/>
      <c r="BO7" s="18"/>
      <c r="BP7" s="18"/>
      <c r="BQ7" s="18"/>
      <c r="BR7" s="18"/>
      <c r="BS7" s="18"/>
      <c r="BT7" s="18"/>
      <c r="BU7" s="18"/>
      <c r="BV7" s="18"/>
      <c r="BW7" s="18"/>
      <c r="BX7" s="18"/>
      <c r="BY7" s="18"/>
      <c r="BZ7" s="18"/>
      <c r="CA7" s="18"/>
      <c r="CB7" s="18"/>
      <c r="CC7" s="18"/>
      <c r="CD7" s="18"/>
      <c r="CE7" s="18"/>
      <c r="CF7" s="18"/>
      <c r="CG7" s="18"/>
      <c r="CH7" s="18"/>
      <c r="CI7" s="18"/>
      <c r="CJ7" s="18"/>
      <c r="CK7" s="18"/>
      <c r="CL7" s="18"/>
      <c r="CM7" s="18"/>
      <c r="CN7" s="18"/>
      <c r="CO7" s="18"/>
      <c r="CP7" s="18"/>
      <c r="CQ7" s="18"/>
      <c r="CR7" s="18"/>
      <c r="CS7" s="18"/>
      <c r="CT7" s="18"/>
      <c r="CU7" s="18"/>
      <c r="CV7" s="18"/>
      <c r="CW7" s="18"/>
      <c r="CX7" s="18"/>
      <c r="CY7" s="18"/>
      <c r="CZ7" s="18"/>
      <c r="DA7" s="18"/>
      <c r="DB7" s="18"/>
      <c r="DC7" s="18"/>
      <c r="DD7" s="18"/>
      <c r="DE7" s="18"/>
      <c r="DF7" s="18"/>
      <c r="DG7" s="18"/>
      <c r="DH7" s="18"/>
      <c r="DI7" s="18"/>
      <c r="DJ7" s="18"/>
      <c r="DK7" s="18"/>
      <c r="DL7" s="18"/>
      <c r="DM7" s="18"/>
      <c r="DN7" s="18"/>
      <c r="DO7" s="18"/>
      <c r="DP7" s="18"/>
      <c r="DQ7" s="18"/>
      <c r="DR7" s="18"/>
      <c r="DS7" s="18"/>
      <c r="DT7" s="18"/>
      <c r="DU7" s="18"/>
      <c r="DV7" s="18"/>
      <c r="DW7" s="18"/>
      <c r="DX7" s="18"/>
      <c r="DY7" s="18"/>
      <c r="DZ7" s="18"/>
      <c r="EA7" s="18"/>
      <c r="EB7" s="18"/>
      <c r="EC7" s="18"/>
      <c r="ED7" s="18"/>
      <c r="EE7" s="18"/>
      <c r="EF7" s="18"/>
      <c r="EG7" s="18"/>
      <c r="EH7" s="18"/>
      <c r="EI7" s="18"/>
      <c r="EJ7" s="18"/>
      <c r="EK7" s="18"/>
      <c r="EL7" s="18"/>
      <c r="EM7" s="18"/>
      <c r="EN7" s="18"/>
      <c r="EO7" s="18"/>
      <c r="EP7" s="18"/>
      <c r="EQ7" s="18"/>
      <c r="ER7" s="18"/>
      <c r="ES7" s="18"/>
      <c r="ET7" s="18"/>
      <c r="EU7" s="18"/>
      <c r="EV7" s="18"/>
      <c r="EW7" s="18"/>
      <c r="EX7" s="18"/>
      <c r="EY7" s="18"/>
      <c r="EZ7" s="18"/>
      <c r="FA7" s="18"/>
      <c r="FB7" s="18"/>
      <c r="FC7" s="18"/>
      <c r="FD7" s="18"/>
      <c r="FE7" s="18"/>
      <c r="FF7" s="18"/>
      <c r="FG7" s="18"/>
      <c r="FH7" s="18"/>
      <c r="FI7" s="18"/>
      <c r="FJ7" s="18"/>
      <c r="FK7" s="18"/>
      <c r="FL7" s="18"/>
      <c r="FM7" s="18"/>
      <c r="FN7" s="18"/>
      <c r="FO7" s="18"/>
      <c r="FP7" s="18"/>
      <c r="FQ7" s="18"/>
      <c r="FR7" s="18"/>
      <c r="FS7" s="18"/>
      <c r="FT7" s="18"/>
      <c r="FU7" s="18"/>
      <c r="FV7" s="18"/>
      <c r="FW7" s="18"/>
      <c r="FX7" s="18"/>
      <c r="FY7" s="18"/>
      <c r="FZ7" s="18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18"/>
      <c r="HF7" s="18"/>
      <c r="HG7" s="18"/>
      <c r="HH7" s="18"/>
      <c r="HI7" s="18"/>
      <c r="HJ7" s="18"/>
      <c r="HK7" s="18"/>
      <c r="HL7" s="18"/>
      <c r="HM7" s="18"/>
      <c r="HN7" s="18"/>
      <c r="HO7" s="18"/>
      <c r="HP7" s="18"/>
      <c r="HQ7" s="18"/>
      <c r="HR7" s="18"/>
      <c r="HS7" s="18"/>
      <c r="HT7" s="18"/>
      <c r="HU7" s="18"/>
      <c r="HV7" s="18"/>
      <c r="HW7" s="18"/>
      <c r="HX7" s="18"/>
      <c r="HY7" s="18"/>
      <c r="HZ7" s="18"/>
      <c r="IA7" s="18"/>
      <c r="IB7" s="18"/>
      <c r="IC7" s="18"/>
      <c r="ID7" s="18"/>
      <c r="IE7" s="18"/>
      <c r="IF7" s="18"/>
      <c r="IG7" s="18"/>
    </row>
    <row r="8" spans="1:241" ht="18" customHeight="1" x14ac:dyDescent="0.25">
      <c r="A8" s="47">
        <v>5</v>
      </c>
      <c r="B8" s="43" t="s">
        <v>38</v>
      </c>
      <c r="C8" s="43" t="s">
        <v>37</v>
      </c>
      <c r="D8" s="48">
        <v>275220989.31999999</v>
      </c>
      <c r="E8" s="49"/>
      <c r="F8" s="50">
        <v>91933443.549999997</v>
      </c>
      <c r="G8" s="50"/>
      <c r="H8" s="50"/>
      <c r="I8" s="50"/>
      <c r="J8" s="51">
        <v>361998551.25</v>
      </c>
      <c r="K8" s="51">
        <v>1172991.3400000001</v>
      </c>
      <c r="L8" s="51">
        <v>695124.28</v>
      </c>
      <c r="M8" s="52">
        <v>-4454394.1900000004</v>
      </c>
      <c r="N8" s="53">
        <v>365424739.94999999</v>
      </c>
      <c r="O8" s="53">
        <v>3426188.7</v>
      </c>
      <c r="P8" s="54">
        <v>366299236.95999998</v>
      </c>
      <c r="Q8" s="55">
        <f t="shared" si="0"/>
        <v>2.3592317230168039E-2</v>
      </c>
      <c r="R8" s="54">
        <v>361998551.25</v>
      </c>
      <c r="S8" s="55">
        <f t="shared" si="1"/>
        <v>2.392777392730875E-2</v>
      </c>
      <c r="T8" s="56">
        <f t="shared" si="2"/>
        <v>-1.1740908186684581E-2</v>
      </c>
      <c r="U8" s="57">
        <f t="shared" si="7"/>
        <v>1.9202405026199675E-3</v>
      </c>
      <c r="V8" s="58">
        <f t="shared" si="8"/>
        <v>-1.2305005571482935E-2</v>
      </c>
      <c r="W8" s="59">
        <f t="shared" si="9"/>
        <v>154.90942950736891</v>
      </c>
      <c r="X8" s="59">
        <f t="shared" si="10"/>
        <v>-1.9061613931634174</v>
      </c>
      <c r="Y8" s="50">
        <v>154.91</v>
      </c>
      <c r="Z8" s="50">
        <v>156.99</v>
      </c>
      <c r="AA8" s="60">
        <v>1448</v>
      </c>
      <c r="AB8" s="60">
        <v>2339832</v>
      </c>
      <c r="AC8" s="60">
        <v>3368.8</v>
      </c>
      <c r="AD8" s="60">
        <v>6361</v>
      </c>
      <c r="AE8" s="50">
        <v>2336840</v>
      </c>
      <c r="AF8" s="5"/>
    </row>
    <row r="9" spans="1:241" ht="15" customHeight="1" x14ac:dyDescent="0.25">
      <c r="A9" s="47">
        <v>6</v>
      </c>
      <c r="B9" s="43" t="s">
        <v>28</v>
      </c>
      <c r="C9" s="44" t="s">
        <v>27</v>
      </c>
      <c r="D9" s="48">
        <v>119000339.3</v>
      </c>
      <c r="E9" s="48"/>
      <c r="F9" s="50">
        <v>125893205.63</v>
      </c>
      <c r="G9" s="50"/>
      <c r="H9" s="50"/>
      <c r="I9" s="50"/>
      <c r="J9" s="51">
        <v>244893544.93000001</v>
      </c>
      <c r="K9" s="51">
        <v>2626079.29</v>
      </c>
      <c r="L9" s="51">
        <v>823624.36</v>
      </c>
      <c r="M9" s="52">
        <v>1802454.93</v>
      </c>
      <c r="N9" s="53">
        <v>251250993.03</v>
      </c>
      <c r="O9" s="53">
        <v>10448266.65</v>
      </c>
      <c r="P9" s="54">
        <v>247803609.91</v>
      </c>
      <c r="Q9" s="55">
        <f t="shared" si="0"/>
        <v>1.5960342763192668E-2</v>
      </c>
      <c r="R9" s="54">
        <v>251250993.03</v>
      </c>
      <c r="S9" s="55">
        <f t="shared" si="1"/>
        <v>1.6607461382025811E-2</v>
      </c>
      <c r="T9" s="56">
        <f t="shared" si="2"/>
        <v>1.3911755043649537E-2</v>
      </c>
      <c r="U9" s="57">
        <f t="shared" si="7"/>
        <v>3.2780939492711068E-3</v>
      </c>
      <c r="V9" s="58">
        <f t="shared" si="8"/>
        <v>7.1739216162412635E-3</v>
      </c>
      <c r="W9" s="59">
        <f t="shared" si="9"/>
        <v>126.23039255612898</v>
      </c>
      <c r="X9" s="59">
        <f t="shared" si="10"/>
        <v>0.90556694178503383</v>
      </c>
      <c r="Y9" s="50">
        <v>120.98</v>
      </c>
      <c r="Z9" s="50">
        <v>123.4</v>
      </c>
      <c r="AA9" s="60">
        <v>2470</v>
      </c>
      <c r="AB9" s="60">
        <v>1990416</v>
      </c>
      <c r="AC9" s="60"/>
      <c r="AD9" s="60"/>
      <c r="AE9" s="60">
        <v>1990416</v>
      </c>
      <c r="AF9" s="5"/>
    </row>
    <row r="10" spans="1:241" ht="16.5" customHeight="1" x14ac:dyDescent="0.25">
      <c r="A10" s="47">
        <v>7</v>
      </c>
      <c r="B10" s="43" t="s">
        <v>165</v>
      </c>
      <c r="C10" s="43" t="s">
        <v>164</v>
      </c>
      <c r="D10" s="63">
        <v>16004315.800000001</v>
      </c>
      <c r="E10" s="48"/>
      <c r="F10" s="50"/>
      <c r="G10" s="50"/>
      <c r="H10" s="50"/>
      <c r="I10" s="50"/>
      <c r="J10" s="63">
        <v>16004315.800000001</v>
      </c>
      <c r="K10" s="51">
        <v>233131.14</v>
      </c>
      <c r="L10" s="51">
        <v>15588.43</v>
      </c>
      <c r="M10" s="52">
        <v>207542.71</v>
      </c>
      <c r="N10" s="53">
        <v>23712863.049458701</v>
      </c>
      <c r="O10" s="53">
        <v>625552.37359384901</v>
      </c>
      <c r="P10" s="54">
        <v>23173305.663176529</v>
      </c>
      <c r="Q10" s="55">
        <f t="shared" si="0"/>
        <v>1.4925283028558735E-3</v>
      </c>
      <c r="R10" s="54">
        <v>23087310.675864901</v>
      </c>
      <c r="S10" s="55">
        <f t="shared" si="1"/>
        <v>1.5260501693558563E-3</v>
      </c>
      <c r="T10" s="56">
        <f t="shared" si="2"/>
        <v>-3.7109503737430861E-3</v>
      </c>
      <c r="U10" s="57">
        <f t="shared" si="7"/>
        <v>6.7519470842032246E-4</v>
      </c>
      <c r="V10" s="58">
        <f t="shared" si="8"/>
        <v>8.9894710091531684E-3</v>
      </c>
      <c r="W10" s="59">
        <f t="shared" si="9"/>
        <v>91.616312205813102</v>
      </c>
      <c r="X10" s="59">
        <f t="shared" si="10"/>
        <v>0.82358218253968252</v>
      </c>
      <c r="Y10" s="50">
        <v>90.23</v>
      </c>
      <c r="Z10" s="50">
        <v>92.79</v>
      </c>
      <c r="AA10" s="64">
        <v>2</v>
      </c>
      <c r="AB10" s="64">
        <v>253000</v>
      </c>
      <c r="AC10" s="65"/>
      <c r="AD10" s="65">
        <v>1000</v>
      </c>
      <c r="AE10" s="50">
        <v>252000</v>
      </c>
      <c r="AF10" s="5"/>
    </row>
    <row r="11" spans="1:241" ht="16.5" customHeight="1" x14ac:dyDescent="0.25">
      <c r="A11" s="47">
        <v>8</v>
      </c>
      <c r="B11" s="43" t="s">
        <v>26</v>
      </c>
      <c r="C11" s="44" t="s">
        <v>25</v>
      </c>
      <c r="D11" s="48">
        <v>628074264</v>
      </c>
      <c r="E11" s="48"/>
      <c r="F11" s="50">
        <v>55102509.039999999</v>
      </c>
      <c r="G11" s="50"/>
      <c r="H11" s="50"/>
      <c r="I11" s="50"/>
      <c r="J11" s="51">
        <v>898534935.64999998</v>
      </c>
      <c r="K11" s="49">
        <v>4605162.96</v>
      </c>
      <c r="L11" s="51">
        <v>1436115.21</v>
      </c>
      <c r="M11" s="52">
        <v>3169047.75</v>
      </c>
      <c r="N11" s="53">
        <v>898534935.64999998</v>
      </c>
      <c r="O11" s="53">
        <v>6767344.3899999997</v>
      </c>
      <c r="P11" s="54">
        <v>918342791.05999994</v>
      </c>
      <c r="Q11" s="55">
        <f t="shared" si="0"/>
        <v>5.9147910414815749E-2</v>
      </c>
      <c r="R11" s="54">
        <v>891767591.25999999</v>
      </c>
      <c r="S11" s="55">
        <f t="shared" si="1"/>
        <v>5.8945024077275102E-2</v>
      </c>
      <c r="T11" s="56">
        <f t="shared" si="2"/>
        <v>-2.8938213550220662E-2</v>
      </c>
      <c r="U11" s="57">
        <f t="shared" si="7"/>
        <v>1.6104142201118546E-3</v>
      </c>
      <c r="V11" s="58">
        <f t="shared" si="8"/>
        <v>3.5536700156622377E-3</v>
      </c>
      <c r="W11" s="59">
        <f t="shared" si="9"/>
        <v>1.8151893880766257</v>
      </c>
      <c r="X11" s="59">
        <f t="shared" si="10"/>
        <v>6.4505841011561899E-3</v>
      </c>
      <c r="Y11" s="50">
        <v>1.8</v>
      </c>
      <c r="Z11" s="50">
        <v>1.83</v>
      </c>
      <c r="AA11" s="60">
        <v>3684</v>
      </c>
      <c r="AB11" s="60">
        <v>491276764</v>
      </c>
      <c r="AC11" s="60">
        <v>59764</v>
      </c>
      <c r="AD11" s="60">
        <v>55785</v>
      </c>
      <c r="AE11" s="50">
        <v>491280743</v>
      </c>
      <c r="AF11" s="5"/>
    </row>
    <row r="12" spans="1:241" ht="16.5" customHeight="1" x14ac:dyDescent="0.25">
      <c r="A12" s="47">
        <v>9</v>
      </c>
      <c r="B12" s="43" t="s">
        <v>40</v>
      </c>
      <c r="C12" s="43" t="s">
        <v>39</v>
      </c>
      <c r="D12" s="63">
        <v>206099676.84999999</v>
      </c>
      <c r="E12" s="48"/>
      <c r="F12" s="50">
        <v>53772666.420000002</v>
      </c>
      <c r="G12" s="50"/>
      <c r="H12" s="50"/>
      <c r="I12" s="50"/>
      <c r="J12" s="51">
        <v>259872343.27000001</v>
      </c>
      <c r="K12" s="51">
        <v>2292844.7599999998</v>
      </c>
      <c r="L12" s="51">
        <v>516787.5</v>
      </c>
      <c r="M12" s="52">
        <v>-4406891.1900000004</v>
      </c>
      <c r="N12" s="53">
        <v>265811201.77000001</v>
      </c>
      <c r="O12" s="53">
        <v>1753193.83</v>
      </c>
      <c r="P12" s="54">
        <v>270216634.89999998</v>
      </c>
      <c r="Q12" s="55">
        <f t="shared" si="0"/>
        <v>1.740390349796293E-2</v>
      </c>
      <c r="R12" s="54">
        <v>264058007.94</v>
      </c>
      <c r="S12" s="55">
        <f t="shared" si="1"/>
        <v>1.7453993381648426E-2</v>
      </c>
      <c r="T12" s="56">
        <f t="shared" si="2"/>
        <v>-2.2791442733638968E-2</v>
      </c>
      <c r="U12" s="57">
        <f t="shared" si="7"/>
        <v>1.957098381645846E-3</v>
      </c>
      <c r="V12" s="58">
        <f t="shared" si="8"/>
        <v>-1.6689102611882715E-2</v>
      </c>
      <c r="W12" s="59">
        <f t="shared" si="9"/>
        <v>11.482176316008992</v>
      </c>
      <c r="X12" s="59">
        <f t="shared" si="10"/>
        <v>-0.19162721874560351</v>
      </c>
      <c r="Y12" s="50">
        <v>11.42</v>
      </c>
      <c r="Z12" s="50">
        <v>11.49</v>
      </c>
      <c r="AA12" s="64">
        <v>182</v>
      </c>
      <c r="AB12" s="64">
        <v>22996566.399999999</v>
      </c>
      <c r="AC12" s="65">
        <v>75695.56</v>
      </c>
      <c r="AD12" s="65">
        <v>75053.009999999995</v>
      </c>
      <c r="AE12" s="50">
        <v>22997208.949999999</v>
      </c>
      <c r="AF12" s="5"/>
    </row>
    <row r="13" spans="1:241" ht="16.5" customHeight="1" x14ac:dyDescent="0.25">
      <c r="A13" s="47">
        <v>10</v>
      </c>
      <c r="B13" s="62" t="s">
        <v>47</v>
      </c>
      <c r="C13" s="62" t="s">
        <v>46</v>
      </c>
      <c r="D13" s="48">
        <v>192429757.44999999</v>
      </c>
      <c r="E13" s="49"/>
      <c r="F13" s="50">
        <v>49584743.840000004</v>
      </c>
      <c r="G13" s="50">
        <v>6732150.5099999998</v>
      </c>
      <c r="H13" s="50"/>
      <c r="I13" s="50"/>
      <c r="J13" s="51">
        <v>248746651.80000001</v>
      </c>
      <c r="K13" s="51">
        <v>199827.1</v>
      </c>
      <c r="L13" s="51">
        <v>515610.01</v>
      </c>
      <c r="M13" s="52">
        <v>-315782.90999999997</v>
      </c>
      <c r="N13" s="53">
        <v>260070091.59999999</v>
      </c>
      <c r="O13" s="53">
        <v>3768067.17</v>
      </c>
      <c r="P13" s="54">
        <v>276576760.31999999</v>
      </c>
      <c r="Q13" s="55">
        <f t="shared" si="0"/>
        <v>1.781354152445077E-2</v>
      </c>
      <c r="R13" s="54">
        <v>256302024.43000001</v>
      </c>
      <c r="S13" s="55">
        <f t="shared" si="1"/>
        <v>1.69413299486861E-2</v>
      </c>
      <c r="T13" s="56">
        <f t="shared" si="2"/>
        <v>-7.3305999631140609E-2</v>
      </c>
      <c r="U13" s="57">
        <f t="shared" si="7"/>
        <v>2.0117281989741791E-3</v>
      </c>
      <c r="V13" s="58">
        <f t="shared" si="8"/>
        <v>-1.2320734130067128E-3</v>
      </c>
      <c r="W13" s="59">
        <f t="shared" si="9"/>
        <v>1.3033783540629795</v>
      </c>
      <c r="X13" s="59">
        <f t="shared" si="10"/>
        <v>-1.6058578171294466E-3</v>
      </c>
      <c r="Y13" s="50">
        <v>1.3033999999999999</v>
      </c>
      <c r="Z13" s="50">
        <v>1.3225</v>
      </c>
      <c r="AA13" s="60">
        <v>16</v>
      </c>
      <c r="AB13" s="60">
        <v>196644377</v>
      </c>
      <c r="AC13" s="60"/>
      <c r="AD13" s="60"/>
      <c r="AE13" s="60">
        <v>196644377</v>
      </c>
      <c r="AF13" s="5"/>
    </row>
    <row r="14" spans="1:241" ht="16.5" customHeight="1" x14ac:dyDescent="0.25">
      <c r="A14" s="47">
        <v>11</v>
      </c>
      <c r="B14" s="43" t="s">
        <v>30</v>
      </c>
      <c r="C14" s="43" t="s">
        <v>29</v>
      </c>
      <c r="D14" s="48">
        <v>549718038.29999995</v>
      </c>
      <c r="E14" s="49"/>
      <c r="F14" s="50">
        <v>111255429.11</v>
      </c>
      <c r="G14" s="50">
        <v>10628767.119999999</v>
      </c>
      <c r="H14" s="50"/>
      <c r="I14" s="50"/>
      <c r="J14" s="51">
        <v>674654026.63</v>
      </c>
      <c r="K14" s="51">
        <v>2420532.5</v>
      </c>
      <c r="L14" s="51">
        <v>1340667.73</v>
      </c>
      <c r="M14" s="52">
        <v>1079864.77</v>
      </c>
      <c r="N14" s="53">
        <v>673313358.89999998</v>
      </c>
      <c r="O14" s="53">
        <v>6156029.54</v>
      </c>
      <c r="P14" s="54">
        <v>694241494.17999995</v>
      </c>
      <c r="Q14" s="55">
        <f t="shared" si="0"/>
        <v>4.471416785077547E-2</v>
      </c>
      <c r="R14" s="54">
        <v>673313358.89999998</v>
      </c>
      <c r="S14" s="55">
        <f t="shared" si="1"/>
        <v>4.4505398649702738E-2</v>
      </c>
      <c r="T14" s="56">
        <f t="shared" si="2"/>
        <v>-3.0145324725539692E-2</v>
      </c>
      <c r="U14" s="57">
        <f t="shared" si="7"/>
        <v>1.9911497555763109E-3</v>
      </c>
      <c r="V14" s="58">
        <f t="shared" si="8"/>
        <v>1.6038071363446403E-3</v>
      </c>
      <c r="W14" s="59">
        <f t="shared" si="9"/>
        <v>17.798595697778566</v>
      </c>
      <c r="X14" s="59">
        <f t="shared" si="10"/>
        <v>2.8545514797010275E-2</v>
      </c>
      <c r="Y14" s="50">
        <v>17.43</v>
      </c>
      <c r="Z14" s="50">
        <v>17.739999999999998</v>
      </c>
      <c r="AA14" s="60">
        <v>8831</v>
      </c>
      <c r="AB14" s="60">
        <v>37811446.140000001</v>
      </c>
      <c r="AC14" s="60">
        <v>18131.560000000001</v>
      </c>
      <c r="AD14" s="60"/>
      <c r="AE14" s="50">
        <v>37829577.700000003</v>
      </c>
      <c r="AF14" s="5"/>
    </row>
    <row r="15" spans="1:241" ht="15.95" customHeight="1" x14ac:dyDescent="0.25">
      <c r="A15" s="47">
        <v>12</v>
      </c>
      <c r="B15" s="44" t="s">
        <v>41</v>
      </c>
      <c r="C15" s="43" t="s">
        <v>23</v>
      </c>
      <c r="D15" s="66">
        <v>242626660.47</v>
      </c>
      <c r="E15" s="67"/>
      <c r="F15" s="65">
        <v>76364753.849999994</v>
      </c>
      <c r="G15" s="67"/>
      <c r="H15" s="67"/>
      <c r="I15" s="66">
        <v>19571.650000000001</v>
      </c>
      <c r="J15" s="66">
        <v>319014585.97000003</v>
      </c>
      <c r="K15" s="66">
        <v>974845.48</v>
      </c>
      <c r="L15" s="66">
        <v>335739.91</v>
      </c>
      <c r="M15" s="68">
        <v>-4531811.8</v>
      </c>
      <c r="N15" s="66">
        <v>327917994.54000002</v>
      </c>
      <c r="O15" s="66">
        <v>4352483.5</v>
      </c>
      <c r="P15" s="54">
        <v>342966099.51999998</v>
      </c>
      <c r="Q15" s="55">
        <f t="shared" si="0"/>
        <v>2.2089494606162125E-2</v>
      </c>
      <c r="R15" s="69">
        <v>323565511.04000002</v>
      </c>
      <c r="S15" s="55">
        <f t="shared" si="1"/>
        <v>2.1387385038158336E-2</v>
      </c>
      <c r="T15" s="56">
        <f t="shared" si="2"/>
        <v>-5.6567073268034819E-2</v>
      </c>
      <c r="U15" s="57">
        <f t="shared" si="7"/>
        <v>1.0376257621551479E-3</v>
      </c>
      <c r="V15" s="58">
        <f t="shared" si="8"/>
        <v>-1.4005855523457707E-2</v>
      </c>
      <c r="W15" s="59">
        <f t="shared" si="9"/>
        <v>3122.8089730683064</v>
      </c>
      <c r="X15" s="59">
        <f t="shared" si="10"/>
        <v>-43.737611304152033</v>
      </c>
      <c r="Y15" s="66">
        <v>3093.09</v>
      </c>
      <c r="Z15" s="66">
        <v>3139.25</v>
      </c>
      <c r="AA15" s="70">
        <v>21</v>
      </c>
      <c r="AB15" s="66">
        <v>108733.22</v>
      </c>
      <c r="AC15" s="70"/>
      <c r="AD15" s="70">
        <v>5119.6099999999997</v>
      </c>
      <c r="AE15" s="66">
        <v>103613.61</v>
      </c>
      <c r="AF15" s="5"/>
    </row>
    <row r="16" spans="1:241" ht="15.95" customHeight="1" x14ac:dyDescent="0.25">
      <c r="A16" s="47">
        <v>13</v>
      </c>
      <c r="B16" s="43" t="s">
        <v>24</v>
      </c>
      <c r="C16" s="43" t="s">
        <v>23</v>
      </c>
      <c r="D16" s="66">
        <v>4710229257.21</v>
      </c>
      <c r="E16" s="67"/>
      <c r="F16" s="65">
        <v>2128153909.3199999</v>
      </c>
      <c r="G16" s="66">
        <v>54402431.079999998</v>
      </c>
      <c r="H16" s="67"/>
      <c r="I16" s="67"/>
      <c r="J16" s="66">
        <v>6892786616.2299995</v>
      </c>
      <c r="K16" s="66">
        <v>25512440.91</v>
      </c>
      <c r="L16" s="66">
        <v>18211359.559999999</v>
      </c>
      <c r="M16" s="68">
        <v>-42101241.490000002</v>
      </c>
      <c r="N16" s="66">
        <v>6903856389.2299995</v>
      </c>
      <c r="O16" s="66">
        <v>27625530.32</v>
      </c>
      <c r="P16" s="54">
        <v>6958904269.5200005</v>
      </c>
      <c r="Q16" s="55"/>
      <c r="R16" s="69">
        <v>6876230858.9099998</v>
      </c>
      <c r="S16" s="55">
        <f t="shared" si="1"/>
        <v>0.45451258546710149</v>
      </c>
      <c r="T16" s="56">
        <f t="shared" si="2"/>
        <v>-1.1880233928796828E-2</v>
      </c>
      <c r="U16" s="57">
        <f t="shared" si="7"/>
        <v>2.6484508640954516E-3</v>
      </c>
      <c r="V16" s="58">
        <f t="shared" si="8"/>
        <v>-6.12272076866741E-3</v>
      </c>
      <c r="W16" s="59">
        <f t="shared" si="9"/>
        <v>11662.966211523215</v>
      </c>
      <c r="X16" s="59">
        <f t="shared" si="10"/>
        <v>-71.409085447559448</v>
      </c>
      <c r="Y16" s="66">
        <v>11562.39</v>
      </c>
      <c r="Z16" s="66">
        <v>11718.7</v>
      </c>
      <c r="AA16" s="70">
        <v>17131</v>
      </c>
      <c r="AB16" s="66">
        <v>592900.01</v>
      </c>
      <c r="AC16" s="70">
        <v>263.5</v>
      </c>
      <c r="AD16" s="70">
        <v>3585.29</v>
      </c>
      <c r="AE16" s="66">
        <v>589578.22</v>
      </c>
      <c r="AF16" s="41"/>
      <c r="AG16" s="42"/>
      <c r="AH16" s="42"/>
      <c r="AI16" s="42"/>
      <c r="AJ16" s="42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  <c r="BK16" s="17"/>
      <c r="BL16" s="17"/>
      <c r="BM16" s="17"/>
      <c r="BN16" s="17"/>
      <c r="BO16" s="17"/>
      <c r="BP16" s="17"/>
      <c r="BQ16" s="17"/>
      <c r="BR16" s="17"/>
      <c r="BS16" s="17"/>
      <c r="BT16" s="17"/>
      <c r="BU16" s="17"/>
      <c r="BV16" s="17"/>
      <c r="BW16" s="17"/>
      <c r="BX16" s="17"/>
      <c r="BY16" s="17"/>
      <c r="BZ16" s="17"/>
      <c r="CA16" s="17"/>
      <c r="CB16" s="17"/>
      <c r="CC16" s="17"/>
      <c r="CD16" s="17"/>
      <c r="CE16" s="17"/>
      <c r="CF16" s="17"/>
      <c r="CG16" s="17"/>
      <c r="CH16" s="17"/>
      <c r="CI16" s="17"/>
      <c r="CJ16" s="17"/>
      <c r="CK16" s="17"/>
      <c r="CL16" s="17"/>
      <c r="CM16" s="17"/>
      <c r="CN16" s="17"/>
      <c r="CO16" s="17"/>
      <c r="CP16" s="17"/>
      <c r="CQ16" s="17"/>
      <c r="CR16" s="17"/>
      <c r="CS16" s="17"/>
      <c r="CT16" s="17"/>
      <c r="CU16" s="17"/>
      <c r="CV16" s="17"/>
      <c r="CW16" s="17"/>
      <c r="CX16" s="17"/>
      <c r="CY16" s="17"/>
      <c r="CZ16" s="17"/>
      <c r="DA16" s="17"/>
      <c r="DB16" s="17"/>
      <c r="DC16" s="17"/>
      <c r="DD16" s="17"/>
      <c r="DE16" s="17"/>
      <c r="DF16" s="17"/>
      <c r="DG16" s="17"/>
      <c r="DH16" s="17"/>
      <c r="DI16" s="17"/>
      <c r="DJ16" s="17"/>
      <c r="DK16" s="17"/>
      <c r="DL16" s="17"/>
      <c r="DM16" s="17"/>
      <c r="DN16" s="17"/>
      <c r="DO16" s="17"/>
      <c r="DP16" s="17"/>
      <c r="DQ16" s="17"/>
      <c r="DR16" s="17"/>
      <c r="DS16" s="17"/>
      <c r="DT16" s="17"/>
      <c r="DU16" s="17"/>
      <c r="DV16" s="17"/>
      <c r="DW16" s="17"/>
      <c r="DX16" s="17"/>
      <c r="DY16" s="17"/>
      <c r="DZ16" s="17"/>
      <c r="EA16" s="17"/>
      <c r="EB16" s="17"/>
      <c r="EC16" s="17"/>
      <c r="ED16" s="17"/>
      <c r="EE16" s="17"/>
      <c r="EF16" s="17"/>
      <c r="EG16" s="17"/>
      <c r="EH16" s="17"/>
      <c r="EI16" s="17"/>
      <c r="EJ16" s="17"/>
      <c r="EK16" s="17"/>
      <c r="EL16" s="17"/>
      <c r="EM16" s="17"/>
      <c r="EN16" s="17"/>
      <c r="EO16" s="17"/>
      <c r="EP16" s="17"/>
      <c r="EQ16" s="17"/>
      <c r="ER16" s="17"/>
      <c r="ES16" s="17"/>
      <c r="ET16" s="17"/>
      <c r="EU16" s="17"/>
      <c r="EV16" s="17"/>
      <c r="EW16" s="17"/>
      <c r="EX16" s="17"/>
      <c r="EY16" s="17"/>
      <c r="EZ16" s="17"/>
      <c r="FA16" s="17"/>
      <c r="FB16" s="17"/>
      <c r="FC16" s="17"/>
      <c r="FD16" s="17"/>
      <c r="FE16" s="17"/>
      <c r="FF16" s="17"/>
      <c r="FG16" s="17"/>
      <c r="FH16" s="17"/>
      <c r="FI16" s="17"/>
      <c r="FJ16" s="17"/>
      <c r="FK16" s="17"/>
      <c r="FL16" s="17"/>
      <c r="FM16" s="17"/>
      <c r="FN16" s="17"/>
      <c r="FO16" s="17"/>
      <c r="FP16" s="17"/>
      <c r="FQ16" s="17"/>
      <c r="FR16" s="17"/>
      <c r="FS16" s="17"/>
      <c r="FT16" s="17"/>
      <c r="FU16" s="17"/>
      <c r="FV16" s="17"/>
      <c r="FW16" s="17"/>
      <c r="FX16" s="17"/>
      <c r="FY16" s="17"/>
      <c r="FZ16" s="17"/>
      <c r="GA16" s="17"/>
      <c r="GB16" s="17"/>
      <c r="GC16" s="17"/>
      <c r="GD16" s="17"/>
      <c r="GE16" s="17"/>
      <c r="GF16" s="17"/>
      <c r="GG16" s="17"/>
      <c r="GH16" s="17"/>
      <c r="GI16" s="17"/>
      <c r="GJ16" s="17"/>
      <c r="GK16" s="17"/>
      <c r="GL16" s="17"/>
      <c r="GM16" s="17"/>
      <c r="GN16" s="17"/>
      <c r="GO16" s="17"/>
      <c r="GP16" s="17"/>
      <c r="GQ16" s="17"/>
      <c r="GR16" s="17"/>
      <c r="GS16" s="17"/>
      <c r="GT16" s="17"/>
      <c r="GU16" s="17"/>
      <c r="GV16" s="17"/>
      <c r="GW16" s="17"/>
      <c r="GX16" s="17"/>
      <c r="GY16" s="17"/>
      <c r="GZ16" s="17"/>
      <c r="HA16" s="17"/>
      <c r="HB16" s="17"/>
      <c r="HC16" s="17"/>
      <c r="HD16" s="17"/>
      <c r="HE16" s="17"/>
      <c r="HF16" s="17"/>
      <c r="HG16" s="17"/>
      <c r="HH16" s="17"/>
      <c r="HI16" s="17"/>
      <c r="HJ16" s="17"/>
      <c r="HK16" s="17"/>
      <c r="HL16" s="17"/>
      <c r="HM16" s="17"/>
      <c r="HN16" s="17"/>
      <c r="HO16" s="17"/>
      <c r="HP16" s="17"/>
      <c r="HQ16" s="17"/>
      <c r="HR16" s="17"/>
      <c r="HS16" s="17"/>
      <c r="HT16" s="17"/>
      <c r="HU16" s="17"/>
      <c r="HV16" s="17"/>
      <c r="HW16" s="17"/>
      <c r="HX16" s="17"/>
      <c r="HY16" s="17"/>
      <c r="HZ16" s="17"/>
      <c r="IA16" s="17"/>
      <c r="IB16" s="17"/>
      <c r="IC16" s="17"/>
      <c r="ID16" s="17"/>
      <c r="IE16" s="17"/>
      <c r="IF16" s="17"/>
      <c r="IG16" s="17"/>
    </row>
    <row r="17" spans="1:241" ht="16.5" customHeight="1" x14ac:dyDescent="0.25">
      <c r="A17" s="47">
        <v>14</v>
      </c>
      <c r="B17" s="43" t="s">
        <v>34</v>
      </c>
      <c r="C17" s="43" t="s">
        <v>33</v>
      </c>
      <c r="D17" s="48">
        <v>1247321728</v>
      </c>
      <c r="E17" s="49"/>
      <c r="F17" s="50">
        <v>9887866</v>
      </c>
      <c r="G17" s="50"/>
      <c r="H17" s="50"/>
      <c r="I17" s="50"/>
      <c r="J17" s="51">
        <v>1257209594</v>
      </c>
      <c r="K17" s="51">
        <v>7921621</v>
      </c>
      <c r="L17" s="51">
        <v>3161892</v>
      </c>
      <c r="M17" s="52">
        <v>-109758637</v>
      </c>
      <c r="N17" s="53">
        <v>1726646239</v>
      </c>
      <c r="O17" s="53">
        <v>27264141.079999998</v>
      </c>
      <c r="P17" s="54">
        <v>1815454175</v>
      </c>
      <c r="Q17" s="55">
        <f>(P17/$P$19)</f>
        <v>0.11692836482242014</v>
      </c>
      <c r="R17" s="54">
        <v>1699382098</v>
      </c>
      <c r="S17" s="55">
        <f t="shared" si="1"/>
        <v>0.11232760605436164</v>
      </c>
      <c r="T17" s="56">
        <f t="shared" si="2"/>
        <v>-6.3935558714942498E-2</v>
      </c>
      <c r="U17" s="57">
        <f t="shared" si="7"/>
        <v>1.8606127507881985E-3</v>
      </c>
      <c r="V17" s="58">
        <f t="shared" si="8"/>
        <v>-6.4587379806563081E-2</v>
      </c>
      <c r="W17" s="59">
        <f t="shared" si="9"/>
        <v>0.89002184324317457</v>
      </c>
      <c r="X17" s="59">
        <f t="shared" si="10"/>
        <v>-5.7484178825684261E-2</v>
      </c>
      <c r="Y17" s="50">
        <v>0.89</v>
      </c>
      <c r="Z17" s="50">
        <v>0.91</v>
      </c>
      <c r="AA17" s="60">
        <v>2762</v>
      </c>
      <c r="AB17" s="60">
        <v>1909898820</v>
      </c>
      <c r="AC17" s="60">
        <v>295000</v>
      </c>
      <c r="AD17" s="60">
        <v>822595</v>
      </c>
      <c r="AE17" s="50">
        <v>1909371226</v>
      </c>
      <c r="AF17" s="5"/>
    </row>
    <row r="18" spans="1:241" ht="16.5" customHeight="1" x14ac:dyDescent="0.25">
      <c r="A18" s="47">
        <v>15</v>
      </c>
      <c r="B18" s="71" t="s">
        <v>45</v>
      </c>
      <c r="C18" s="43" t="s">
        <v>44</v>
      </c>
      <c r="D18" s="48">
        <v>216688012.84999999</v>
      </c>
      <c r="E18" s="49"/>
      <c r="F18" s="50">
        <v>85298082.189999998</v>
      </c>
      <c r="G18" s="50"/>
      <c r="H18" s="50"/>
      <c r="I18" s="50"/>
      <c r="J18" s="51">
        <v>301986095.04000002</v>
      </c>
      <c r="K18" s="51">
        <v>890099.28</v>
      </c>
      <c r="L18" s="51">
        <v>659270.46</v>
      </c>
      <c r="M18" s="52">
        <v>-9477463.6400000006</v>
      </c>
      <c r="N18" s="53">
        <v>309407472.16000003</v>
      </c>
      <c r="O18" s="53">
        <v>6103063.5800000001</v>
      </c>
      <c r="P18" s="54">
        <v>306690796.00999999</v>
      </c>
      <c r="Q18" s="55">
        <f>(P18/$P$19)</f>
        <v>1.9753102985117052E-2</v>
      </c>
      <c r="R18" s="54">
        <v>303304408.57999998</v>
      </c>
      <c r="S18" s="55">
        <f t="shared" si="1"/>
        <v>2.0048144653060471E-2</v>
      </c>
      <c r="T18" s="56">
        <f t="shared" si="2"/>
        <v>-1.1041698916486526E-2</v>
      </c>
      <c r="U18" s="57">
        <f t="shared" si="7"/>
        <v>2.1736263679336199E-3</v>
      </c>
      <c r="V18" s="58">
        <f t="shared" si="8"/>
        <v>-3.1247365260436734E-2</v>
      </c>
      <c r="W18" s="59">
        <f t="shared" si="9"/>
        <v>1.1892995704328937</v>
      </c>
      <c r="X18" s="59">
        <f t="shared" si="10"/>
        <v>-3.7162478081397138E-2</v>
      </c>
      <c r="Y18" s="50">
        <v>1.1599999999999999</v>
      </c>
      <c r="Z18" s="50">
        <v>1.19</v>
      </c>
      <c r="AA18" s="60">
        <v>154</v>
      </c>
      <c r="AB18" s="50">
        <v>257688538.74000001</v>
      </c>
      <c r="AC18" s="60">
        <v>271200</v>
      </c>
      <c r="AD18" s="60">
        <v>2931976.08</v>
      </c>
      <c r="AE18" s="50">
        <v>255027762.66</v>
      </c>
      <c r="AF18" s="24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5"/>
      <c r="AR18" s="25"/>
      <c r="AS18" s="25"/>
      <c r="AT18" s="25"/>
      <c r="AU18" s="25"/>
      <c r="AV18" s="25"/>
      <c r="AW18" s="25"/>
      <c r="AX18" s="25"/>
      <c r="AY18" s="25"/>
      <c r="AZ18" s="25"/>
      <c r="BA18" s="25"/>
      <c r="BB18" s="25"/>
      <c r="BC18" s="25"/>
      <c r="BD18" s="25"/>
      <c r="BE18" s="25"/>
      <c r="BF18" s="25"/>
      <c r="BG18" s="25"/>
      <c r="BH18" s="25"/>
      <c r="BI18" s="25"/>
      <c r="BJ18" s="25"/>
      <c r="BK18" s="25"/>
      <c r="BL18" s="25"/>
      <c r="BM18" s="25"/>
      <c r="BN18" s="25"/>
      <c r="BO18" s="25"/>
      <c r="BP18" s="25"/>
      <c r="BQ18" s="25"/>
      <c r="BR18" s="25"/>
      <c r="BS18" s="25"/>
      <c r="BT18" s="25"/>
      <c r="BU18" s="25"/>
      <c r="BV18" s="25"/>
      <c r="BW18" s="25"/>
      <c r="BX18" s="25"/>
      <c r="BY18" s="25"/>
      <c r="BZ18" s="25"/>
      <c r="CA18" s="25"/>
      <c r="CB18" s="25"/>
      <c r="CC18" s="25"/>
      <c r="CD18" s="25"/>
      <c r="CE18" s="25"/>
      <c r="CF18" s="25"/>
      <c r="CG18" s="25"/>
      <c r="CH18" s="25"/>
      <c r="CI18" s="25"/>
      <c r="CJ18" s="25"/>
      <c r="CK18" s="25"/>
      <c r="CL18" s="25"/>
      <c r="CM18" s="25"/>
      <c r="CN18" s="25"/>
      <c r="CO18" s="25"/>
      <c r="CP18" s="25"/>
      <c r="CQ18" s="25"/>
      <c r="CR18" s="25"/>
      <c r="CS18" s="25"/>
      <c r="CT18" s="25"/>
      <c r="CU18" s="25"/>
      <c r="CV18" s="25"/>
      <c r="CW18" s="25"/>
      <c r="CX18" s="25"/>
      <c r="CY18" s="25"/>
      <c r="CZ18" s="25"/>
      <c r="DA18" s="25"/>
      <c r="DB18" s="25"/>
      <c r="DC18" s="25"/>
      <c r="DD18" s="25"/>
      <c r="DE18" s="25"/>
      <c r="DF18" s="25"/>
      <c r="DG18" s="25"/>
      <c r="DH18" s="25"/>
      <c r="DI18" s="25"/>
      <c r="DJ18" s="25"/>
      <c r="DK18" s="25"/>
      <c r="DL18" s="25"/>
      <c r="DM18" s="25"/>
      <c r="DN18" s="25"/>
      <c r="DO18" s="25"/>
      <c r="DP18" s="25"/>
      <c r="DQ18" s="25"/>
      <c r="DR18" s="25"/>
      <c r="DS18" s="25"/>
      <c r="DT18" s="25"/>
      <c r="DU18" s="25"/>
      <c r="DV18" s="25"/>
      <c r="DW18" s="25"/>
      <c r="DX18" s="25"/>
      <c r="DY18" s="25"/>
      <c r="DZ18" s="25"/>
      <c r="EA18" s="25"/>
      <c r="EB18" s="25"/>
      <c r="EC18" s="25"/>
      <c r="ED18" s="25"/>
      <c r="EE18" s="25"/>
      <c r="EF18" s="25"/>
      <c r="EG18" s="25"/>
      <c r="EH18" s="25"/>
      <c r="EI18" s="25"/>
      <c r="EJ18" s="25"/>
      <c r="EK18" s="25"/>
      <c r="EL18" s="25"/>
      <c r="EM18" s="25"/>
      <c r="EN18" s="25"/>
      <c r="EO18" s="25"/>
      <c r="EP18" s="25"/>
      <c r="EQ18" s="25"/>
      <c r="ER18" s="25"/>
      <c r="ES18" s="25"/>
      <c r="ET18" s="25"/>
      <c r="EU18" s="25"/>
      <c r="EV18" s="25"/>
      <c r="EW18" s="25"/>
      <c r="EX18" s="25"/>
      <c r="EY18" s="25"/>
      <c r="EZ18" s="25"/>
      <c r="FA18" s="25"/>
      <c r="FB18" s="25"/>
      <c r="FC18" s="25"/>
      <c r="FD18" s="25"/>
      <c r="FE18" s="25"/>
      <c r="FF18" s="25"/>
      <c r="FG18" s="25"/>
      <c r="FH18" s="25"/>
      <c r="FI18" s="25"/>
      <c r="FJ18" s="25"/>
      <c r="FK18" s="25"/>
      <c r="FL18" s="25"/>
      <c r="FM18" s="25"/>
      <c r="FN18" s="25"/>
      <c r="FO18" s="25"/>
      <c r="FP18" s="25"/>
      <c r="FQ18" s="25"/>
      <c r="FR18" s="25"/>
      <c r="FS18" s="25"/>
      <c r="FT18" s="25"/>
      <c r="FU18" s="25"/>
      <c r="FV18" s="25"/>
      <c r="FW18" s="25"/>
      <c r="FX18" s="25"/>
      <c r="FY18" s="25"/>
      <c r="FZ18" s="25"/>
      <c r="GA18" s="25"/>
      <c r="GB18" s="25"/>
      <c r="GC18" s="25"/>
      <c r="GD18" s="25"/>
      <c r="GE18" s="25"/>
      <c r="GF18" s="25"/>
      <c r="GG18" s="25"/>
      <c r="GH18" s="25"/>
      <c r="GI18" s="25"/>
      <c r="GJ18" s="25"/>
      <c r="GK18" s="25"/>
      <c r="GL18" s="25"/>
      <c r="GM18" s="25"/>
      <c r="GN18" s="25"/>
      <c r="GO18" s="25"/>
      <c r="GP18" s="25"/>
      <c r="GQ18" s="25"/>
      <c r="GR18" s="25"/>
      <c r="GS18" s="25"/>
      <c r="GT18" s="25"/>
      <c r="GU18" s="25"/>
      <c r="GV18" s="25"/>
      <c r="GW18" s="25"/>
      <c r="GX18" s="25"/>
      <c r="GY18" s="25"/>
      <c r="GZ18" s="25"/>
      <c r="HA18" s="25"/>
      <c r="HB18" s="25"/>
      <c r="HC18" s="25"/>
      <c r="HD18" s="25"/>
      <c r="HE18" s="25"/>
      <c r="HF18" s="25"/>
      <c r="HG18" s="25"/>
      <c r="HH18" s="25"/>
      <c r="HI18" s="25"/>
      <c r="HJ18" s="25"/>
      <c r="HK18" s="25"/>
      <c r="HL18" s="25"/>
      <c r="HM18" s="25"/>
      <c r="HN18" s="25"/>
      <c r="HO18" s="25"/>
      <c r="HP18" s="25"/>
      <c r="HQ18" s="25"/>
      <c r="HR18" s="25"/>
      <c r="HS18" s="25"/>
      <c r="HT18" s="25"/>
      <c r="HU18" s="25"/>
      <c r="HV18" s="25"/>
      <c r="HW18" s="25"/>
      <c r="HX18" s="25"/>
      <c r="HY18" s="25"/>
      <c r="HZ18" s="25"/>
      <c r="IA18" s="25"/>
      <c r="IB18" s="25"/>
      <c r="IC18" s="25"/>
      <c r="ID18" s="25"/>
      <c r="IE18" s="25"/>
      <c r="IF18" s="25"/>
      <c r="IG18" s="25"/>
    </row>
    <row r="19" spans="1:241" ht="16.5" customHeight="1" x14ac:dyDescent="0.25">
      <c r="A19" s="72"/>
      <c r="B19" s="23"/>
      <c r="C19" s="73" t="s">
        <v>50</v>
      </c>
      <c r="D19" s="74"/>
      <c r="E19" s="74"/>
      <c r="F19" s="74"/>
      <c r="G19" s="74"/>
      <c r="H19" s="74"/>
      <c r="I19" s="74"/>
      <c r="J19" s="74"/>
      <c r="K19" s="74"/>
      <c r="L19" s="74"/>
      <c r="M19" s="74"/>
      <c r="N19" s="74"/>
      <c r="O19" s="74"/>
      <c r="P19" s="75">
        <f>SUM(P4:P18)</f>
        <v>15526208527.393177</v>
      </c>
      <c r="Q19" s="76">
        <f>(P19/$P$153)</f>
        <v>1.0460421830238537E-2</v>
      </c>
      <c r="R19" s="75">
        <f>SUM(R4:R18)</f>
        <v>15128801883.105864</v>
      </c>
      <c r="S19" s="76">
        <f>(R19/$R$153)</f>
        <v>1.1006443317754045E-2</v>
      </c>
      <c r="T19" s="77">
        <f>((R19-P19)/P19)</f>
        <v>-2.559585900100218E-2</v>
      </c>
      <c r="U19" s="78"/>
      <c r="V19" s="79"/>
      <c r="W19" s="80"/>
      <c r="X19" s="80"/>
      <c r="Y19" s="74"/>
      <c r="Z19" s="74"/>
      <c r="AA19" s="81">
        <f>SUM(AA4:AA18)</f>
        <v>40044</v>
      </c>
      <c r="AB19" s="81"/>
      <c r="AC19" s="81"/>
      <c r="AD19" s="81"/>
      <c r="AE19" s="74"/>
      <c r="AF19" s="5"/>
    </row>
    <row r="20" spans="1:241" ht="15.75" customHeight="1" x14ac:dyDescent="0.25">
      <c r="A20" s="152" t="s">
        <v>51</v>
      </c>
      <c r="B20" s="153"/>
      <c r="C20" s="153"/>
      <c r="D20" s="153"/>
      <c r="E20" s="153"/>
      <c r="F20" s="153"/>
      <c r="G20" s="153"/>
      <c r="H20" s="153"/>
      <c r="I20" s="153"/>
      <c r="J20" s="153"/>
      <c r="K20" s="153"/>
      <c r="L20" s="153"/>
      <c r="M20" s="153"/>
      <c r="N20" s="153"/>
      <c r="O20" s="153"/>
      <c r="P20" s="153"/>
      <c r="Q20" s="153"/>
      <c r="R20" s="153"/>
      <c r="S20" s="153"/>
      <c r="T20" s="153"/>
      <c r="U20" s="153"/>
      <c r="V20" s="153"/>
      <c r="W20" s="153"/>
      <c r="X20" s="153"/>
      <c r="Y20" s="153"/>
      <c r="Z20" s="153"/>
      <c r="AA20" s="153"/>
      <c r="AB20" s="153"/>
      <c r="AC20" s="153"/>
      <c r="AD20" s="153"/>
      <c r="AE20" s="154"/>
      <c r="AF20" s="5"/>
    </row>
    <row r="21" spans="1:241" ht="18" customHeight="1" x14ac:dyDescent="0.25">
      <c r="A21" s="47">
        <v>16</v>
      </c>
      <c r="B21" s="82" t="s">
        <v>66</v>
      </c>
      <c r="C21" s="43" t="s">
        <v>44</v>
      </c>
      <c r="D21" s="50"/>
      <c r="E21" s="50"/>
      <c r="F21" s="50"/>
      <c r="G21" s="50">
        <v>12218383561.809999</v>
      </c>
      <c r="H21" s="50"/>
      <c r="I21" s="50"/>
      <c r="J21" s="50">
        <v>12218383561.809999</v>
      </c>
      <c r="K21" s="50">
        <v>118249792.84999999</v>
      </c>
      <c r="L21" s="50">
        <v>15547469.25</v>
      </c>
      <c r="M21" s="52">
        <v>102702323.61</v>
      </c>
      <c r="N21" s="65">
        <v>12311331473.129999</v>
      </c>
      <c r="O21" s="65">
        <v>254312083.47999999</v>
      </c>
      <c r="P21" s="69">
        <v>11623627642.629999</v>
      </c>
      <c r="Q21" s="55">
        <f t="shared" ref="Q21:Q49" si="11">(P21/$P$50)</f>
        <v>1.7695369812298831E-2</v>
      </c>
      <c r="R21" s="69">
        <v>12057019389.65</v>
      </c>
      <c r="S21" s="55">
        <f t="shared" ref="S21:S49" si="12">(R21/$R$50)</f>
        <v>2.0842398141474615E-2</v>
      </c>
      <c r="T21" s="56">
        <f t="shared" ref="T21:T50" si="13">((R21-P21)/P21)</f>
        <v>3.728541212302116E-2</v>
      </c>
      <c r="U21" s="57">
        <f t="shared" ref="U21:U49" si="14">(L21/R21)</f>
        <v>1.2894952514836524E-3</v>
      </c>
      <c r="V21" s="58">
        <f t="shared" ref="V21:V49" si="15">M21/R21</f>
        <v>8.5180524548348867E-3</v>
      </c>
      <c r="W21" s="59">
        <f t="shared" ref="W21:W49" si="16">R21/AE21</f>
        <v>99.99999999709712</v>
      </c>
      <c r="X21" s="59">
        <f t="shared" ref="X21:X49" si="17">M21/AE21</f>
        <v>0.85180524545876168</v>
      </c>
      <c r="Y21" s="65">
        <v>100</v>
      </c>
      <c r="Z21" s="65">
        <v>100</v>
      </c>
      <c r="AA21" s="60">
        <v>5779</v>
      </c>
      <c r="AB21" s="60">
        <v>116236276.43000001</v>
      </c>
      <c r="AC21" s="60">
        <v>9417983.4399999995</v>
      </c>
      <c r="AD21" s="60">
        <v>5084065.97</v>
      </c>
      <c r="AE21" s="50">
        <v>120570193.90000001</v>
      </c>
      <c r="AF21" s="5"/>
    </row>
    <row r="22" spans="1:241" ht="18" customHeight="1" x14ac:dyDescent="0.25">
      <c r="A22" s="47">
        <v>17</v>
      </c>
      <c r="B22" s="43" t="s">
        <v>73</v>
      </c>
      <c r="C22" s="43" t="s">
        <v>31</v>
      </c>
      <c r="D22" s="50"/>
      <c r="E22" s="50"/>
      <c r="F22" s="50">
        <v>630562518.21000004</v>
      </c>
      <c r="G22" s="50"/>
      <c r="H22" s="50"/>
      <c r="I22" s="50"/>
      <c r="J22" s="50">
        <v>630562518.21000004</v>
      </c>
      <c r="K22" s="50">
        <v>6249628.4400000004</v>
      </c>
      <c r="L22" s="50">
        <v>1367386.11</v>
      </c>
      <c r="M22" s="52">
        <v>4882242.33</v>
      </c>
      <c r="N22" s="65">
        <v>646403470.14999998</v>
      </c>
      <c r="O22" s="65">
        <v>21401712.989999998</v>
      </c>
      <c r="P22" s="69">
        <v>596520228.39999998</v>
      </c>
      <c r="Q22" s="55">
        <f t="shared" si="11"/>
        <v>9.0811976833650616E-4</v>
      </c>
      <c r="R22" s="69">
        <v>625001757.15999997</v>
      </c>
      <c r="S22" s="55">
        <f t="shared" si="12"/>
        <v>1.0804109241984139E-3</v>
      </c>
      <c r="T22" s="56">
        <f t="shared" ref="T22:T49" si="18">((R22-P22)/P22)</f>
        <v>4.7746123943514525E-2</v>
      </c>
      <c r="U22" s="57">
        <f t="shared" ref="U22:U49" si="19">(L22/R22)</f>
        <v>2.18781162506388E-3</v>
      </c>
      <c r="V22" s="58">
        <f t="shared" ref="V22:V49" si="20">M22/R22</f>
        <v>7.8115657661265584E-3</v>
      </c>
      <c r="W22" s="59">
        <f t="shared" ref="W22:W49" si="21">R22/AE22</f>
        <v>100.89265651393444</v>
      </c>
      <c r="X22" s="59">
        <f t="shared" ref="X22:X49" si="22">M22/AE22</f>
        <v>0.78812962167781597</v>
      </c>
      <c r="Y22" s="65">
        <v>100</v>
      </c>
      <c r="Z22" s="65">
        <v>100</v>
      </c>
      <c r="AA22" s="60">
        <v>653</v>
      </c>
      <c r="AB22" s="60">
        <v>5908420</v>
      </c>
      <c r="AC22" s="60">
        <v>342150</v>
      </c>
      <c r="AD22" s="60">
        <v>55850</v>
      </c>
      <c r="AE22" s="50">
        <v>6194720</v>
      </c>
      <c r="AF22" s="5"/>
    </row>
    <row r="23" spans="1:241" ht="18" customHeight="1" x14ac:dyDescent="0.25">
      <c r="A23" s="47">
        <v>18</v>
      </c>
      <c r="B23" s="43" t="s">
        <v>57</v>
      </c>
      <c r="C23" s="43" t="s">
        <v>56</v>
      </c>
      <c r="D23" s="50"/>
      <c r="E23" s="50"/>
      <c r="F23" s="50">
        <v>1016105480.36</v>
      </c>
      <c r="G23" s="50"/>
      <c r="H23" s="50"/>
      <c r="I23" s="50"/>
      <c r="J23" s="50">
        <v>1104483222.9300001</v>
      </c>
      <c r="K23" s="50">
        <v>12446786.689999999</v>
      </c>
      <c r="L23" s="50">
        <v>2011802.61</v>
      </c>
      <c r="M23" s="52">
        <v>10468114.58</v>
      </c>
      <c r="N23" s="65">
        <v>1104483222.9300001</v>
      </c>
      <c r="O23" s="65">
        <v>19642472.120000001</v>
      </c>
      <c r="P23" s="69">
        <v>1021922867.42</v>
      </c>
      <c r="Q23" s="55">
        <f t="shared" si="11"/>
        <v>1.5557366094833148E-3</v>
      </c>
      <c r="R23" s="69">
        <v>1084840750.8099999</v>
      </c>
      <c r="S23" s="55">
        <f t="shared" si="12"/>
        <v>1.8753128047457367E-3</v>
      </c>
      <c r="T23" s="56">
        <f t="shared" si="18"/>
        <v>6.1568133364943455E-2</v>
      </c>
      <c r="U23" s="57">
        <f t="shared" si="19"/>
        <v>1.8544681405984068E-3</v>
      </c>
      <c r="V23" s="58">
        <f t="shared" si="20"/>
        <v>9.6494481537349585E-3</v>
      </c>
      <c r="W23" s="59">
        <f t="shared" si="21"/>
        <v>101.1941509558178</v>
      </c>
      <c r="X23" s="59">
        <f t="shared" si="22"/>
        <v>0.97646771310939284</v>
      </c>
      <c r="Y23" s="65">
        <v>100</v>
      </c>
      <c r="Z23" s="65">
        <v>100</v>
      </c>
      <c r="AA23" s="60">
        <v>828</v>
      </c>
      <c r="AB23" s="60">
        <v>9988371.5199999996</v>
      </c>
      <c r="AC23" s="60">
        <v>1000142.5</v>
      </c>
      <c r="AD23" s="60">
        <v>268124.15000000002</v>
      </c>
      <c r="AE23" s="50">
        <v>10720389.869999999</v>
      </c>
      <c r="AF23" s="5"/>
    </row>
    <row r="24" spans="1:241" ht="18" customHeight="1" x14ac:dyDescent="0.25">
      <c r="A24" s="47">
        <v>19</v>
      </c>
      <c r="B24" s="43" t="s">
        <v>81</v>
      </c>
      <c r="C24" s="43" t="s">
        <v>48</v>
      </c>
      <c r="D24" s="50"/>
      <c r="E24" s="50"/>
      <c r="F24" s="50">
        <v>485790697.76999998</v>
      </c>
      <c r="G24" s="50"/>
      <c r="H24" s="50"/>
      <c r="I24" s="50"/>
      <c r="J24" s="50">
        <v>485790697.76999998</v>
      </c>
      <c r="K24" s="50">
        <v>3362799.7</v>
      </c>
      <c r="L24" s="50">
        <v>1090628.6200000001</v>
      </c>
      <c r="M24" s="52">
        <v>2272171.08</v>
      </c>
      <c r="N24" s="65">
        <v>489874330.08999997</v>
      </c>
      <c r="O24" s="65">
        <v>1090628.6200000001</v>
      </c>
      <c r="P24" s="69">
        <v>452404762.88</v>
      </c>
      <c r="Q24" s="55">
        <f t="shared" si="11"/>
        <v>6.8872385025881813E-4</v>
      </c>
      <c r="R24" s="69">
        <v>488783701.47000003</v>
      </c>
      <c r="S24" s="55">
        <f t="shared" si="12"/>
        <v>8.4493722551748677E-4</v>
      </c>
      <c r="T24" s="56">
        <f t="shared" si="18"/>
        <v>8.0412368690401068E-2</v>
      </c>
      <c r="U24" s="57">
        <f t="shared" si="19"/>
        <v>2.2313113483939263E-3</v>
      </c>
      <c r="V24" s="58">
        <f t="shared" si="20"/>
        <v>4.6486228431237052E-3</v>
      </c>
      <c r="W24" s="59">
        <f t="shared" si="21"/>
        <v>101.28409544897109</v>
      </c>
      <c r="X24" s="59">
        <f t="shared" si="22"/>
        <v>0.47083155974920876</v>
      </c>
      <c r="Y24" s="65">
        <v>100</v>
      </c>
      <c r="Z24" s="65">
        <v>100</v>
      </c>
      <c r="AA24" s="60">
        <v>1062</v>
      </c>
      <c r="AB24" s="60">
        <v>4413285.28</v>
      </c>
      <c r="AC24" s="60">
        <v>412582.98</v>
      </c>
      <c r="AD24" s="60"/>
      <c r="AE24" s="50">
        <v>4825868.26</v>
      </c>
      <c r="AF24" s="5"/>
    </row>
    <row r="25" spans="1:241" ht="18" customHeight="1" x14ac:dyDescent="0.25">
      <c r="A25" s="47">
        <v>20</v>
      </c>
      <c r="B25" s="43" t="s">
        <v>58</v>
      </c>
      <c r="C25" s="44" t="s">
        <v>35</v>
      </c>
      <c r="D25" s="50"/>
      <c r="E25" s="50"/>
      <c r="F25" s="50">
        <v>17988178153.41</v>
      </c>
      <c r="G25" s="50"/>
      <c r="H25" s="50"/>
      <c r="I25" s="83"/>
      <c r="J25" s="50">
        <v>17988178153.41</v>
      </c>
      <c r="K25" s="50">
        <v>673010681.34000003</v>
      </c>
      <c r="L25" s="50">
        <v>124465089.48999999</v>
      </c>
      <c r="M25" s="52">
        <v>548545591.85000002</v>
      </c>
      <c r="N25" s="65">
        <v>67990989286</v>
      </c>
      <c r="O25" s="65">
        <v>1359092152</v>
      </c>
      <c r="P25" s="69">
        <v>64429205034</v>
      </c>
      <c r="Q25" s="55">
        <f t="shared" si="11"/>
        <v>9.808457779632497E-2</v>
      </c>
      <c r="R25" s="69">
        <v>66631897134</v>
      </c>
      <c r="S25" s="55">
        <f t="shared" si="12"/>
        <v>0.11518340346875097</v>
      </c>
      <c r="T25" s="56">
        <f t="shared" si="18"/>
        <v>3.4187789510015144E-2</v>
      </c>
      <c r="U25" s="57">
        <f t="shared" si="19"/>
        <v>1.867950558869645E-3</v>
      </c>
      <c r="V25" s="58">
        <f t="shared" si="20"/>
        <v>8.2324774686641147E-3</v>
      </c>
      <c r="W25" s="59">
        <f t="shared" si="21"/>
        <v>1</v>
      </c>
      <c r="X25" s="59">
        <f t="shared" si="22"/>
        <v>8.2324774686641147E-3</v>
      </c>
      <c r="Y25" s="65">
        <v>1</v>
      </c>
      <c r="Z25" s="65">
        <v>1</v>
      </c>
      <c r="AA25" s="60">
        <v>28398</v>
      </c>
      <c r="AB25" s="60">
        <v>64429205034</v>
      </c>
      <c r="AC25" s="60">
        <v>8310832181</v>
      </c>
      <c r="AD25" s="60">
        <v>6108140081</v>
      </c>
      <c r="AE25" s="50">
        <v>66631897134</v>
      </c>
      <c r="AF25" s="5"/>
    </row>
    <row r="26" spans="1:241" ht="18" customHeight="1" x14ac:dyDescent="0.25">
      <c r="A26" s="47">
        <v>21</v>
      </c>
      <c r="B26" s="82" t="s">
        <v>60</v>
      </c>
      <c r="C26" s="43" t="s">
        <v>185</v>
      </c>
      <c r="D26" s="84"/>
      <c r="E26" s="50"/>
      <c r="F26" s="50">
        <v>13030835291.27</v>
      </c>
      <c r="G26" s="50"/>
      <c r="H26" s="50"/>
      <c r="I26" s="50"/>
      <c r="J26" s="50">
        <v>13030835291.27</v>
      </c>
      <c r="K26" s="50">
        <v>326087590.07999998</v>
      </c>
      <c r="L26" s="50">
        <v>42044376.969999999</v>
      </c>
      <c r="M26" s="52">
        <v>284043213.11000001</v>
      </c>
      <c r="N26" s="65">
        <v>31557651969.57</v>
      </c>
      <c r="O26" s="65">
        <v>171037805.63</v>
      </c>
      <c r="P26" s="69">
        <v>32083685500.389999</v>
      </c>
      <c r="Q26" s="55">
        <f t="shared" si="11"/>
        <v>4.8842985798057958E-2</v>
      </c>
      <c r="R26" s="69">
        <v>31386614163.939999</v>
      </c>
      <c r="S26" s="55">
        <f t="shared" si="12"/>
        <v>5.4256552766203496E-2</v>
      </c>
      <c r="T26" s="56">
        <f t="shared" si="18"/>
        <v>-2.1726660312809992E-2</v>
      </c>
      <c r="U26" s="57">
        <f t="shared" si="19"/>
        <v>1.3395639539324595E-3</v>
      </c>
      <c r="V26" s="58">
        <f t="shared" si="20"/>
        <v>9.0498201439114297E-3</v>
      </c>
      <c r="W26" s="59">
        <f t="shared" si="21"/>
        <v>1.0090794090010429</v>
      </c>
      <c r="X26" s="59">
        <f t="shared" si="22"/>
        <v>9.1319871623838783E-3</v>
      </c>
      <c r="Y26" s="65">
        <v>1</v>
      </c>
      <c r="Z26" s="65">
        <v>1</v>
      </c>
      <c r="AA26" s="64">
        <v>21181</v>
      </c>
      <c r="AB26" s="65">
        <v>31407398948.27</v>
      </c>
      <c r="AC26" s="65">
        <v>7212489829.3599997</v>
      </c>
      <c r="AD26" s="65">
        <v>7515682424.8199997</v>
      </c>
      <c r="AE26" s="50">
        <v>31104206352.810001</v>
      </c>
      <c r="AF26" s="5"/>
    </row>
    <row r="27" spans="1:241" ht="18" customHeight="1" x14ac:dyDescent="0.25">
      <c r="A27" s="47">
        <v>22</v>
      </c>
      <c r="B27" s="44" t="s">
        <v>220</v>
      </c>
      <c r="C27" s="44" t="s">
        <v>29</v>
      </c>
      <c r="D27" s="50"/>
      <c r="E27" s="50"/>
      <c r="F27" s="50">
        <v>4294120072.5500002</v>
      </c>
      <c r="G27" s="50"/>
      <c r="H27" s="50"/>
      <c r="I27" s="50"/>
      <c r="J27" s="50">
        <v>4298723390.4399996</v>
      </c>
      <c r="K27" s="50">
        <v>39976625.369999997</v>
      </c>
      <c r="L27" s="50">
        <v>6198523.2999999998</v>
      </c>
      <c r="M27" s="52">
        <v>33778102.07</v>
      </c>
      <c r="N27" s="65">
        <v>4298723390.4399996</v>
      </c>
      <c r="O27" s="65">
        <v>41385509.549999997</v>
      </c>
      <c r="P27" s="69">
        <v>4073748136.6100001</v>
      </c>
      <c r="Q27" s="55">
        <f t="shared" si="11"/>
        <v>6.2017196365700767E-3</v>
      </c>
      <c r="R27" s="69">
        <v>4258746765.0799999</v>
      </c>
      <c r="S27" s="55">
        <f t="shared" si="12"/>
        <v>7.3618937477789928E-3</v>
      </c>
      <c r="T27" s="56">
        <f t="shared" si="18"/>
        <v>4.5412387380420569E-2</v>
      </c>
      <c r="U27" s="57">
        <f t="shared" si="19"/>
        <v>1.4554806007310373E-3</v>
      </c>
      <c r="V27" s="58">
        <f t="shared" si="20"/>
        <v>7.9314652721234249E-3</v>
      </c>
      <c r="W27" s="59">
        <f t="shared" si="21"/>
        <v>100.03651094254602</v>
      </c>
      <c r="X27" s="59">
        <f t="shared" si="22"/>
        <v>0.79343611248519874</v>
      </c>
      <c r="Y27" s="65">
        <v>100</v>
      </c>
      <c r="Z27" s="65">
        <v>100</v>
      </c>
      <c r="AA27" s="64">
        <v>1653</v>
      </c>
      <c r="AB27" s="65">
        <v>40737481.689999998</v>
      </c>
      <c r="AC27" s="65">
        <v>2508497.96</v>
      </c>
      <c r="AD27" s="65">
        <v>674055.41</v>
      </c>
      <c r="AE27" s="50">
        <v>42571924.240000002</v>
      </c>
      <c r="AF27" s="5"/>
    </row>
    <row r="28" spans="1:241" ht="16.5" customHeight="1" x14ac:dyDescent="0.25">
      <c r="A28" s="47">
        <v>23</v>
      </c>
      <c r="B28" s="43" t="s">
        <v>221</v>
      </c>
      <c r="C28" s="43" t="s">
        <v>79</v>
      </c>
      <c r="D28" s="50"/>
      <c r="E28" s="50"/>
      <c r="F28" s="48">
        <v>6830285390.96</v>
      </c>
      <c r="G28" s="48"/>
      <c r="H28" s="48"/>
      <c r="I28" s="48"/>
      <c r="J28" s="48">
        <v>6830285390.96</v>
      </c>
      <c r="K28" s="50">
        <v>79539999.849999994</v>
      </c>
      <c r="L28" s="50">
        <v>11703398.83</v>
      </c>
      <c r="M28" s="52">
        <v>69032799.790000007</v>
      </c>
      <c r="N28" s="65">
        <v>6838500369.8800001</v>
      </c>
      <c r="O28" s="65">
        <v>174046635.47999999</v>
      </c>
      <c r="P28" s="69">
        <v>6673013243.3800001</v>
      </c>
      <c r="Q28" s="55">
        <f t="shared" si="11"/>
        <v>1.0158742239032984E-2</v>
      </c>
      <c r="R28" s="69">
        <v>6664453734.3999996</v>
      </c>
      <c r="S28" s="55">
        <f t="shared" si="12"/>
        <v>1.1520525400086822E-2</v>
      </c>
      <c r="T28" s="56">
        <f t="shared" si="18"/>
        <v>-1.282705228929675E-3</v>
      </c>
      <c r="U28" s="57">
        <f t="shared" si="19"/>
        <v>1.7560927416436865E-3</v>
      </c>
      <c r="V28" s="58">
        <f t="shared" si="20"/>
        <v>1.0358358320303506E-2</v>
      </c>
      <c r="W28" s="59">
        <f t="shared" si="21"/>
        <v>100.00000000600198</v>
      </c>
      <c r="X28" s="59">
        <f t="shared" si="22"/>
        <v>1.0358358320925212</v>
      </c>
      <c r="Y28" s="65">
        <v>100</v>
      </c>
      <c r="Z28" s="65">
        <v>100</v>
      </c>
      <c r="AA28" s="60">
        <v>1241</v>
      </c>
      <c r="AB28" s="60">
        <v>66730132.43</v>
      </c>
      <c r="AC28" s="60">
        <v>71769194.890000001</v>
      </c>
      <c r="AD28" s="60">
        <v>71854789.980000004</v>
      </c>
      <c r="AE28" s="50">
        <v>66644537.340000004</v>
      </c>
      <c r="AF28" s="5"/>
    </row>
    <row r="29" spans="1:241" ht="18" customHeight="1" x14ac:dyDescent="0.25">
      <c r="A29" s="47">
        <v>24</v>
      </c>
      <c r="B29" s="43" t="s">
        <v>64</v>
      </c>
      <c r="C29" s="43" t="s">
        <v>63</v>
      </c>
      <c r="D29" s="50"/>
      <c r="E29" s="50"/>
      <c r="F29" s="50">
        <v>2710238169.1500001</v>
      </c>
      <c r="G29" s="50"/>
      <c r="H29" s="50"/>
      <c r="I29" s="50"/>
      <c r="J29" s="50">
        <v>2710238169.1500001</v>
      </c>
      <c r="K29" s="50">
        <v>42333422.079999998</v>
      </c>
      <c r="L29" s="50">
        <v>6220154.4900000002</v>
      </c>
      <c r="M29" s="52">
        <v>36113267.590000004</v>
      </c>
      <c r="N29" s="65">
        <v>4693779810.8800001</v>
      </c>
      <c r="O29" s="65">
        <v>41453238</v>
      </c>
      <c r="P29" s="69">
        <v>4933473603.3800001</v>
      </c>
      <c r="Q29" s="55">
        <f t="shared" si="11"/>
        <v>7.5105330758230395E-3</v>
      </c>
      <c r="R29" s="69">
        <v>4652326572.8800001</v>
      </c>
      <c r="S29" s="55">
        <f t="shared" si="12"/>
        <v>8.0422565131946667E-3</v>
      </c>
      <c r="T29" s="56">
        <f t="shared" si="18"/>
        <v>-5.6987642602847159E-2</v>
      </c>
      <c r="U29" s="57">
        <f t="shared" si="19"/>
        <v>1.3369986806728927E-3</v>
      </c>
      <c r="V29" s="58">
        <f t="shared" si="20"/>
        <v>7.7624102745745688E-3</v>
      </c>
      <c r="W29" s="59">
        <f t="shared" si="21"/>
        <v>101.37361571384699</v>
      </c>
      <c r="X29" s="59">
        <f t="shared" si="22"/>
        <v>0.78690359618793981</v>
      </c>
      <c r="Y29" s="65">
        <v>100</v>
      </c>
      <c r="Z29" s="65">
        <v>100</v>
      </c>
      <c r="AA29" s="60">
        <v>5225</v>
      </c>
      <c r="AB29" s="60">
        <v>49334735</v>
      </c>
      <c r="AC29" s="60">
        <v>13075422</v>
      </c>
      <c r="AD29" s="60">
        <v>9633561</v>
      </c>
      <c r="AE29" s="50">
        <v>45892874</v>
      </c>
      <c r="AF29" s="5"/>
    </row>
    <row r="30" spans="1:241" ht="18" customHeight="1" x14ac:dyDescent="0.25">
      <c r="A30" s="47">
        <v>25</v>
      </c>
      <c r="B30" s="43" t="s">
        <v>151</v>
      </c>
      <c r="C30" s="44" t="s">
        <v>150</v>
      </c>
      <c r="D30" s="50"/>
      <c r="E30" s="50"/>
      <c r="F30" s="65">
        <v>21744342.690000001</v>
      </c>
      <c r="G30" s="65"/>
      <c r="H30" s="85"/>
      <c r="I30" s="86"/>
      <c r="J30" s="65">
        <v>21744342.690000001</v>
      </c>
      <c r="K30" s="63">
        <v>151686.26</v>
      </c>
      <c r="L30" s="63">
        <v>17510.55</v>
      </c>
      <c r="M30" s="52">
        <v>134175.71</v>
      </c>
      <c r="N30" s="63">
        <v>26976894.149999999</v>
      </c>
      <c r="O30" s="87">
        <v>319770.59999999998</v>
      </c>
      <c r="P30" s="88">
        <v>18941235.739999998</v>
      </c>
      <c r="Q30" s="55">
        <f t="shared" si="11"/>
        <v>2.8835418806085787E-5</v>
      </c>
      <c r="R30" s="88">
        <v>26657123.550000001</v>
      </c>
      <c r="S30" s="55">
        <f t="shared" si="12"/>
        <v>4.6080906431362022E-5</v>
      </c>
      <c r="T30" s="56">
        <f t="shared" si="18"/>
        <v>0.40735926187253096</v>
      </c>
      <c r="U30" s="57">
        <f t="shared" si="19"/>
        <v>6.568807008436587E-4</v>
      </c>
      <c r="V30" s="58">
        <f t="shared" si="20"/>
        <v>5.0333904086962145E-3</v>
      </c>
      <c r="W30" s="59">
        <f t="shared" si="21"/>
        <v>100.88529606557874</v>
      </c>
      <c r="X30" s="59">
        <f t="shared" si="22"/>
        <v>0.50779508159496201</v>
      </c>
      <c r="Y30" s="65">
        <v>100</v>
      </c>
      <c r="Z30" s="65">
        <v>100</v>
      </c>
      <c r="AA30" s="60">
        <v>86</v>
      </c>
      <c r="AB30" s="50">
        <v>186375</v>
      </c>
      <c r="AC30" s="60">
        <v>77857</v>
      </c>
      <c r="AD30" s="60">
        <v>0</v>
      </c>
      <c r="AE30" s="50">
        <v>264232</v>
      </c>
      <c r="AF30" s="5"/>
    </row>
    <row r="31" spans="1:241" ht="18" customHeight="1" x14ac:dyDescent="0.25">
      <c r="A31" s="47">
        <v>26</v>
      </c>
      <c r="B31" s="43" t="s">
        <v>70</v>
      </c>
      <c r="C31" s="43" t="s">
        <v>69</v>
      </c>
      <c r="D31" s="50"/>
      <c r="E31" s="50"/>
      <c r="F31" s="50">
        <v>2128823300.6300001</v>
      </c>
      <c r="G31" s="50"/>
      <c r="H31" s="50"/>
      <c r="I31" s="50"/>
      <c r="J31" s="50">
        <v>2128823300.6300001</v>
      </c>
      <c r="K31" s="50">
        <v>49399925.030000001</v>
      </c>
      <c r="L31" s="50">
        <v>6212531.46</v>
      </c>
      <c r="M31" s="52">
        <v>43187393.57</v>
      </c>
      <c r="N31" s="65">
        <v>4628949718.8299999</v>
      </c>
      <c r="O31" s="65">
        <v>23697425.52</v>
      </c>
      <c r="P31" s="69">
        <v>4571885368.1099997</v>
      </c>
      <c r="Q31" s="55">
        <f t="shared" si="11"/>
        <v>6.960064862318616E-3</v>
      </c>
      <c r="R31" s="69">
        <v>4605252293.3100004</v>
      </c>
      <c r="S31" s="55">
        <f t="shared" si="12"/>
        <v>7.9608814365431969E-3</v>
      </c>
      <c r="T31" s="56">
        <f t="shared" si="18"/>
        <v>7.2982856116085267E-3</v>
      </c>
      <c r="U31" s="57">
        <f t="shared" si="19"/>
        <v>1.3490100138541545E-3</v>
      </c>
      <c r="V31" s="58">
        <f t="shared" si="20"/>
        <v>9.3778561562713626E-3</v>
      </c>
      <c r="W31" s="59">
        <f t="shared" si="21"/>
        <v>1.0079979183685868</v>
      </c>
      <c r="X31" s="59">
        <f t="shared" si="22"/>
        <v>9.4528594842815707E-3</v>
      </c>
      <c r="Y31" s="65">
        <v>1</v>
      </c>
      <c r="Z31" s="65">
        <v>1</v>
      </c>
      <c r="AA31" s="60">
        <v>1716</v>
      </c>
      <c r="AB31" s="60">
        <v>4476230256.6999998</v>
      </c>
      <c r="AC31" s="60">
        <v>5023199496.7799997</v>
      </c>
      <c r="AD31" s="60">
        <v>4930717646.6499996</v>
      </c>
      <c r="AE31" s="50">
        <v>4568712106.8299999</v>
      </c>
      <c r="AF31" s="5"/>
    </row>
    <row r="32" spans="1:241" ht="16.5" customHeight="1" x14ac:dyDescent="0.25">
      <c r="A32" s="47">
        <v>27</v>
      </c>
      <c r="B32" s="43" t="s">
        <v>162</v>
      </c>
      <c r="C32" s="43" t="s">
        <v>67</v>
      </c>
      <c r="D32" s="50"/>
      <c r="E32" s="50"/>
      <c r="F32" s="50">
        <v>4665633581.9700003</v>
      </c>
      <c r="G32" s="50"/>
      <c r="H32" s="50"/>
      <c r="I32" s="50"/>
      <c r="J32" s="50">
        <v>10780113159.879999</v>
      </c>
      <c r="K32" s="50">
        <v>106037880.63</v>
      </c>
      <c r="L32" s="50">
        <v>17214509.489999998</v>
      </c>
      <c r="M32" s="52">
        <v>88823371.150000006</v>
      </c>
      <c r="N32" s="65">
        <v>10780113159.879999</v>
      </c>
      <c r="O32" s="65">
        <v>172930397.96000001</v>
      </c>
      <c r="P32" s="69">
        <v>11001091118.139999</v>
      </c>
      <c r="Q32" s="55">
        <f t="shared" si="11"/>
        <v>1.6747643821652659E-2</v>
      </c>
      <c r="R32" s="69">
        <v>10607182761.92</v>
      </c>
      <c r="S32" s="55">
        <f t="shared" si="12"/>
        <v>1.8336134258281279E-2</v>
      </c>
      <c r="T32" s="56">
        <f t="shared" si="18"/>
        <v>-3.5806298847072822E-2</v>
      </c>
      <c r="U32" s="57">
        <f t="shared" si="19"/>
        <v>1.6229106140982538E-3</v>
      </c>
      <c r="V32" s="58">
        <f t="shared" si="20"/>
        <v>8.3738890093303289E-3</v>
      </c>
      <c r="W32" s="59">
        <f t="shared" si="21"/>
        <v>99.999999640997984</v>
      </c>
      <c r="X32" s="59">
        <f t="shared" si="22"/>
        <v>0.83738889792678983</v>
      </c>
      <c r="Y32" s="65">
        <v>100</v>
      </c>
      <c r="Z32" s="65">
        <v>100</v>
      </c>
      <c r="AA32" s="60">
        <v>2305</v>
      </c>
      <c r="AB32" s="60">
        <v>110010911</v>
      </c>
      <c r="AC32" s="60">
        <v>18948336</v>
      </c>
      <c r="AD32" s="60">
        <v>22887420</v>
      </c>
      <c r="AE32" s="50">
        <v>106071828</v>
      </c>
      <c r="AF32" s="5"/>
    </row>
    <row r="33" spans="1:241" ht="16.5" customHeight="1" x14ac:dyDescent="0.25">
      <c r="A33" s="47">
        <v>28</v>
      </c>
      <c r="B33" s="43" t="s">
        <v>68</v>
      </c>
      <c r="C33" s="43" t="s">
        <v>67</v>
      </c>
      <c r="D33" s="50"/>
      <c r="E33" s="50"/>
      <c r="F33" s="50">
        <v>197214346.25999999</v>
      </c>
      <c r="G33" s="50"/>
      <c r="H33" s="50"/>
      <c r="I33" s="50"/>
      <c r="J33" s="50">
        <v>396787347.88</v>
      </c>
      <c r="K33" s="50">
        <v>3849764.86</v>
      </c>
      <c r="L33" s="50">
        <v>366416.21</v>
      </c>
      <c r="M33" s="52">
        <v>3483348.65</v>
      </c>
      <c r="N33" s="65">
        <v>396787347.88</v>
      </c>
      <c r="O33" s="65">
        <v>3588181.87</v>
      </c>
      <c r="P33" s="69">
        <v>394201196.93000001</v>
      </c>
      <c r="Q33" s="55">
        <f t="shared" si="11"/>
        <v>6.0011694925121348E-4</v>
      </c>
      <c r="R33" s="69">
        <v>393199166.01999998</v>
      </c>
      <c r="S33" s="55">
        <f t="shared" si="12"/>
        <v>6.7970476800589385E-4</v>
      </c>
      <c r="T33" s="56">
        <f t="shared" si="18"/>
        <v>-2.5419276192049744E-3</v>
      </c>
      <c r="U33" s="57">
        <f t="shared" si="19"/>
        <v>9.3188450450925513E-4</v>
      </c>
      <c r="V33" s="58">
        <f t="shared" si="20"/>
        <v>8.8589929761519904E-3</v>
      </c>
      <c r="W33" s="59">
        <f t="shared" si="21"/>
        <v>1000506.7837659032</v>
      </c>
      <c r="X33" s="59">
        <f t="shared" si="22"/>
        <v>8863.4825699745543</v>
      </c>
      <c r="Y33" s="65">
        <v>1000000</v>
      </c>
      <c r="Z33" s="65">
        <v>1000000</v>
      </c>
      <c r="AA33" s="60">
        <v>15</v>
      </c>
      <c r="AB33" s="60">
        <v>394</v>
      </c>
      <c r="AC33" s="60">
        <v>1</v>
      </c>
      <c r="AD33" s="60">
        <v>2</v>
      </c>
      <c r="AE33" s="50">
        <v>393</v>
      </c>
      <c r="AF33" s="5"/>
    </row>
    <row r="34" spans="1:241" ht="16.5" customHeight="1" x14ac:dyDescent="0.25">
      <c r="A34" s="47">
        <v>29</v>
      </c>
      <c r="B34" s="44" t="s">
        <v>155</v>
      </c>
      <c r="C34" s="44" t="s">
        <v>154</v>
      </c>
      <c r="D34" s="50"/>
      <c r="E34" s="50"/>
      <c r="F34" s="50">
        <v>524247206.76999998</v>
      </c>
      <c r="G34" s="50"/>
      <c r="H34" s="50"/>
      <c r="I34" s="50">
        <v>1335085.54</v>
      </c>
      <c r="J34" s="50">
        <v>525582292.31</v>
      </c>
      <c r="K34" s="50">
        <v>10403060.82</v>
      </c>
      <c r="L34" s="50">
        <v>1941361.85</v>
      </c>
      <c r="M34" s="52">
        <v>8461698.9700000007</v>
      </c>
      <c r="N34" s="65">
        <v>1072873719.45</v>
      </c>
      <c r="O34" s="65">
        <v>1031962251.64</v>
      </c>
      <c r="P34" s="69">
        <v>1053030857.73</v>
      </c>
      <c r="Q34" s="55">
        <f t="shared" si="11"/>
        <v>1.6030942339338781E-3</v>
      </c>
      <c r="R34" s="69">
        <v>1031589239.77</v>
      </c>
      <c r="S34" s="55">
        <f t="shared" si="12"/>
        <v>1.7832594407374176E-3</v>
      </c>
      <c r="T34" s="56">
        <f t="shared" si="18"/>
        <v>-2.0361813523889844E-2</v>
      </c>
      <c r="U34" s="57">
        <f t="shared" si="19"/>
        <v>1.8819136291425842E-3</v>
      </c>
      <c r="V34" s="58">
        <f t="shared" si="20"/>
        <v>8.2025855289907783E-3</v>
      </c>
      <c r="W34" s="59">
        <f t="shared" si="21"/>
        <v>0.99970291594351801</v>
      </c>
      <c r="X34" s="59">
        <f t="shared" si="22"/>
        <v>8.2001486716081866E-3</v>
      </c>
      <c r="Y34" s="65">
        <v>1</v>
      </c>
      <c r="Z34" s="65">
        <v>1</v>
      </c>
      <c r="AA34" s="60">
        <v>297</v>
      </c>
      <c r="AB34" s="60">
        <v>1019887011.38</v>
      </c>
      <c r="AC34" s="60">
        <v>25475630</v>
      </c>
      <c r="AD34" s="60">
        <v>13466841.82</v>
      </c>
      <c r="AE34" s="50">
        <v>1031895799.5599999</v>
      </c>
      <c r="AF34" s="5"/>
    </row>
    <row r="35" spans="1:241" ht="16.5" customHeight="1" x14ac:dyDescent="0.25">
      <c r="A35" s="47">
        <v>30</v>
      </c>
      <c r="B35" s="43" t="s">
        <v>80</v>
      </c>
      <c r="C35" s="43" t="s">
        <v>166</v>
      </c>
      <c r="D35" s="50"/>
      <c r="E35" s="50"/>
      <c r="F35" s="50">
        <v>208190797.81</v>
      </c>
      <c r="G35" s="50"/>
      <c r="H35" s="50"/>
      <c r="I35" s="50"/>
      <c r="J35" s="50">
        <v>208190797.81</v>
      </c>
      <c r="K35" s="50">
        <v>2057441.63</v>
      </c>
      <c r="L35" s="50">
        <v>694570.14</v>
      </c>
      <c r="M35" s="52">
        <v>1362871.49</v>
      </c>
      <c r="N35" s="65">
        <v>289242841.99000001</v>
      </c>
      <c r="O35" s="65">
        <v>1546686.11</v>
      </c>
      <c r="P35" s="69">
        <v>284758159.61000001</v>
      </c>
      <c r="Q35" s="55">
        <f t="shared" si="11"/>
        <v>4.3350502066052493E-4</v>
      </c>
      <c r="R35" s="69">
        <v>287696155.88</v>
      </c>
      <c r="S35" s="55">
        <f t="shared" si="12"/>
        <v>4.9732671324805488E-4</v>
      </c>
      <c r="T35" s="56">
        <f t="shared" si="18"/>
        <v>1.0317513900299859E-2</v>
      </c>
      <c r="U35" s="57">
        <f t="shared" si="19"/>
        <v>2.4142489421711631E-3</v>
      </c>
      <c r="V35" s="58">
        <f t="shared" si="20"/>
        <v>4.7371904773328387E-3</v>
      </c>
      <c r="W35" s="59">
        <f t="shared" si="21"/>
        <v>1.0338662559732312</v>
      </c>
      <c r="X35" s="59">
        <f t="shared" si="22"/>
        <v>4.8976213826321469E-3</v>
      </c>
      <c r="Y35" s="65">
        <v>1</v>
      </c>
      <c r="Z35" s="65">
        <v>1</v>
      </c>
      <c r="AA35" s="60">
        <v>266</v>
      </c>
      <c r="AB35" s="60">
        <v>282119615</v>
      </c>
      <c r="AC35" s="60">
        <v>4312472</v>
      </c>
      <c r="AD35" s="50">
        <v>8159966</v>
      </c>
      <c r="AE35" s="50">
        <v>278272121</v>
      </c>
      <c r="AF35" s="5"/>
    </row>
    <row r="36" spans="1:241" s="22" customFormat="1" ht="16.5" customHeight="1" x14ac:dyDescent="0.3">
      <c r="A36" s="47">
        <v>31</v>
      </c>
      <c r="B36" s="43" t="s">
        <v>54</v>
      </c>
      <c r="C36" s="43" t="s">
        <v>53</v>
      </c>
      <c r="D36" s="50"/>
      <c r="E36" s="50"/>
      <c r="F36" s="50">
        <v>148248506331.98999</v>
      </c>
      <c r="G36" s="50"/>
      <c r="H36" s="50"/>
      <c r="I36" s="50"/>
      <c r="J36" s="50">
        <v>150366111213.95001</v>
      </c>
      <c r="K36" s="63">
        <v>1461874136.2</v>
      </c>
      <c r="L36" s="63">
        <v>214650272.75999999</v>
      </c>
      <c r="M36" s="52">
        <v>1247223863.4300001</v>
      </c>
      <c r="N36" s="63">
        <v>151730950378.92999</v>
      </c>
      <c r="O36" s="63">
        <v>1364839164.97</v>
      </c>
      <c r="P36" s="69">
        <v>226212543238.01001</v>
      </c>
      <c r="Q36" s="55">
        <f t="shared" si="11"/>
        <v>0.34437739506523923</v>
      </c>
      <c r="R36" s="69">
        <v>150366111213.95001</v>
      </c>
      <c r="S36" s="55">
        <f t="shared" si="12"/>
        <v>0.25993077191172809</v>
      </c>
      <c r="T36" s="56">
        <f t="shared" si="18"/>
        <v>-0.33528835730500589</v>
      </c>
      <c r="U36" s="57">
        <f t="shared" si="19"/>
        <v>1.4275176170153298E-3</v>
      </c>
      <c r="V36" s="58">
        <f t="shared" si="20"/>
        <v>8.2945808291562083E-3</v>
      </c>
      <c r="W36" s="59">
        <f t="shared" si="21"/>
        <v>100.03218331241865</v>
      </c>
      <c r="X36" s="59">
        <f t="shared" si="22"/>
        <v>0.82972503000182729</v>
      </c>
      <c r="Y36" s="65">
        <v>152.25</v>
      </c>
      <c r="Z36" s="65">
        <v>152.25</v>
      </c>
      <c r="AA36" s="60">
        <v>23580</v>
      </c>
      <c r="AB36" s="63">
        <v>1485494476</v>
      </c>
      <c r="AC36" s="63">
        <v>133970370</v>
      </c>
      <c r="AD36" s="63">
        <v>116287506</v>
      </c>
      <c r="AE36" s="50">
        <v>1503177339.8800001</v>
      </c>
      <c r="AF36" s="20"/>
      <c r="AG36" s="21"/>
      <c r="AH36" s="21"/>
      <c r="AI36" s="21"/>
      <c r="AJ36" s="21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  <c r="BA36" s="21"/>
      <c r="BB36" s="21"/>
      <c r="BC36" s="21"/>
      <c r="BD36" s="21"/>
      <c r="BE36" s="21"/>
      <c r="BF36" s="21"/>
      <c r="BG36" s="21"/>
      <c r="BH36" s="21"/>
      <c r="BI36" s="21"/>
      <c r="BJ36" s="21"/>
      <c r="BK36" s="21"/>
      <c r="BL36" s="21"/>
      <c r="BM36" s="21"/>
      <c r="BN36" s="21"/>
      <c r="BO36" s="21"/>
      <c r="BP36" s="21"/>
      <c r="BQ36" s="21"/>
      <c r="BR36" s="21"/>
      <c r="BS36" s="21"/>
      <c r="BT36" s="21"/>
      <c r="BU36" s="21"/>
      <c r="BV36" s="21"/>
      <c r="BW36" s="21"/>
      <c r="BX36" s="21"/>
      <c r="BY36" s="21"/>
      <c r="BZ36" s="21"/>
      <c r="CA36" s="21"/>
      <c r="CB36" s="21"/>
      <c r="CC36" s="21"/>
      <c r="CD36" s="21"/>
      <c r="CE36" s="21"/>
      <c r="CF36" s="21"/>
      <c r="CG36" s="21"/>
      <c r="CH36" s="21"/>
      <c r="CI36" s="21"/>
      <c r="CJ36" s="21"/>
      <c r="CK36" s="21"/>
      <c r="CL36" s="21"/>
      <c r="CM36" s="21"/>
      <c r="CN36" s="21"/>
      <c r="CO36" s="21"/>
      <c r="CP36" s="21"/>
      <c r="CQ36" s="21"/>
      <c r="CR36" s="21"/>
      <c r="CS36" s="21"/>
      <c r="CT36" s="21"/>
      <c r="CU36" s="21"/>
      <c r="CV36" s="21"/>
      <c r="CW36" s="21"/>
      <c r="CX36" s="21"/>
      <c r="CY36" s="21"/>
      <c r="CZ36" s="21"/>
      <c r="DA36" s="21"/>
      <c r="DB36" s="21"/>
      <c r="DC36" s="21"/>
      <c r="DD36" s="21"/>
      <c r="DE36" s="21"/>
      <c r="DF36" s="21"/>
      <c r="DG36" s="21"/>
      <c r="DH36" s="21"/>
      <c r="DI36" s="21"/>
      <c r="DJ36" s="21"/>
      <c r="DK36" s="21"/>
      <c r="DL36" s="21"/>
      <c r="DM36" s="21"/>
      <c r="DN36" s="21"/>
      <c r="DO36" s="21"/>
      <c r="DP36" s="21"/>
      <c r="DQ36" s="21"/>
      <c r="DR36" s="21"/>
      <c r="DS36" s="21"/>
      <c r="DT36" s="21"/>
      <c r="DU36" s="21"/>
      <c r="DV36" s="21"/>
      <c r="DW36" s="21"/>
      <c r="DX36" s="21"/>
      <c r="DY36" s="21"/>
      <c r="DZ36" s="21"/>
      <c r="EA36" s="21"/>
      <c r="EB36" s="21"/>
      <c r="EC36" s="21"/>
      <c r="ED36" s="21"/>
      <c r="EE36" s="21"/>
      <c r="EF36" s="21"/>
      <c r="EG36" s="21"/>
      <c r="EH36" s="21"/>
      <c r="EI36" s="21"/>
      <c r="EJ36" s="21"/>
      <c r="EK36" s="21"/>
      <c r="EL36" s="21"/>
      <c r="EM36" s="21"/>
      <c r="EN36" s="21"/>
      <c r="EO36" s="21"/>
      <c r="EP36" s="21"/>
      <c r="EQ36" s="21"/>
      <c r="ER36" s="21"/>
      <c r="ES36" s="21"/>
      <c r="ET36" s="21"/>
      <c r="EU36" s="21"/>
      <c r="EV36" s="21"/>
      <c r="EW36" s="21"/>
      <c r="EX36" s="21"/>
      <c r="EY36" s="21"/>
      <c r="EZ36" s="21"/>
      <c r="FA36" s="21"/>
      <c r="FB36" s="21"/>
      <c r="FC36" s="21"/>
      <c r="FD36" s="21"/>
      <c r="FE36" s="21"/>
      <c r="FF36" s="21"/>
      <c r="FG36" s="21"/>
      <c r="FH36" s="21"/>
      <c r="FI36" s="21"/>
      <c r="FJ36" s="21"/>
      <c r="FK36" s="21"/>
      <c r="FL36" s="21"/>
      <c r="FM36" s="21"/>
      <c r="FN36" s="21"/>
      <c r="FO36" s="21"/>
      <c r="FP36" s="21"/>
      <c r="FQ36" s="21"/>
      <c r="FR36" s="21"/>
      <c r="FS36" s="21"/>
      <c r="FT36" s="21"/>
      <c r="FU36" s="21"/>
      <c r="FV36" s="21"/>
      <c r="FW36" s="21"/>
      <c r="FX36" s="21"/>
      <c r="FY36" s="21"/>
      <c r="FZ36" s="21"/>
      <c r="GA36" s="21"/>
      <c r="GB36" s="21"/>
      <c r="GC36" s="21"/>
      <c r="GD36" s="21"/>
      <c r="GE36" s="21"/>
      <c r="GF36" s="21"/>
      <c r="GG36" s="21"/>
      <c r="GH36" s="21"/>
      <c r="GI36" s="21"/>
      <c r="GJ36" s="21"/>
      <c r="GK36" s="21"/>
      <c r="GL36" s="21"/>
      <c r="GM36" s="21"/>
      <c r="GN36" s="21"/>
      <c r="GO36" s="21"/>
      <c r="GP36" s="21"/>
      <c r="GQ36" s="21"/>
      <c r="GR36" s="21"/>
      <c r="GS36" s="21"/>
      <c r="GT36" s="21"/>
      <c r="GU36" s="21"/>
      <c r="GV36" s="21"/>
      <c r="GW36" s="21"/>
      <c r="GX36" s="21"/>
      <c r="GY36" s="21"/>
      <c r="GZ36" s="21"/>
      <c r="HA36" s="21"/>
      <c r="HB36" s="21"/>
      <c r="HC36" s="21"/>
      <c r="HD36" s="21"/>
      <c r="HE36" s="21"/>
      <c r="HF36" s="21"/>
      <c r="HG36" s="21"/>
      <c r="HH36" s="21"/>
      <c r="HI36" s="21"/>
      <c r="HJ36" s="21"/>
      <c r="HK36" s="21"/>
      <c r="HL36" s="21"/>
      <c r="HM36" s="21"/>
      <c r="HN36" s="21"/>
      <c r="HO36" s="21"/>
      <c r="HP36" s="21"/>
      <c r="HQ36" s="21"/>
      <c r="HR36" s="21"/>
      <c r="HS36" s="21"/>
      <c r="HT36" s="21"/>
      <c r="HU36" s="21"/>
      <c r="HV36" s="21"/>
      <c r="HW36" s="21"/>
      <c r="HX36" s="21"/>
      <c r="HY36" s="21"/>
      <c r="HZ36" s="21"/>
      <c r="IA36" s="21"/>
      <c r="IB36" s="21"/>
      <c r="IC36" s="21"/>
      <c r="ID36" s="21"/>
      <c r="IE36" s="21"/>
      <c r="IF36" s="21"/>
      <c r="IG36" s="21"/>
    </row>
    <row r="37" spans="1:241" ht="16.5" customHeight="1" x14ac:dyDescent="0.25">
      <c r="A37" s="47">
        <v>32</v>
      </c>
      <c r="B37" s="43" t="s">
        <v>76</v>
      </c>
      <c r="C37" s="43" t="s">
        <v>75</v>
      </c>
      <c r="D37" s="50"/>
      <c r="E37" s="50"/>
      <c r="F37" s="50">
        <v>202435961.09999999</v>
      </c>
      <c r="G37" s="50"/>
      <c r="H37" s="50"/>
      <c r="I37" s="50">
        <v>15153911.779999999</v>
      </c>
      <c r="J37" s="50">
        <v>579224944.73000002</v>
      </c>
      <c r="K37" s="50">
        <v>4196424.88</v>
      </c>
      <c r="L37" s="50"/>
      <c r="M37" s="52">
        <v>2858417.04</v>
      </c>
      <c r="N37" s="65">
        <v>584865261.74000001</v>
      </c>
      <c r="O37" s="65">
        <v>7375806.3600000003</v>
      </c>
      <c r="P37" s="69">
        <v>596846855.67999995</v>
      </c>
      <c r="Q37" s="55">
        <f t="shared" si="11"/>
        <v>9.086170133178566E-4</v>
      </c>
      <c r="R37" s="69">
        <v>577489455.38</v>
      </c>
      <c r="S37" s="55">
        <f t="shared" si="12"/>
        <v>9.9827865930658482E-4</v>
      </c>
      <c r="T37" s="56">
        <f t="shared" si="18"/>
        <v>-3.2432775871702742E-2</v>
      </c>
      <c r="U37" s="57">
        <f t="shared" si="19"/>
        <v>0</v>
      </c>
      <c r="V37" s="58">
        <f t="shared" si="20"/>
        <v>4.9497302736360828E-3</v>
      </c>
      <c r="W37" s="59">
        <f t="shared" si="21"/>
        <v>9.9327996489693113</v>
      </c>
      <c r="X37" s="59">
        <f t="shared" si="22"/>
        <v>4.916467912446526E-2</v>
      </c>
      <c r="Y37" s="65">
        <v>10</v>
      </c>
      <c r="Z37" s="65">
        <v>10</v>
      </c>
      <c r="AA37" s="60">
        <v>227</v>
      </c>
      <c r="AB37" s="60">
        <v>59855617</v>
      </c>
      <c r="AC37" s="60">
        <v>2054086</v>
      </c>
      <c r="AD37" s="60">
        <v>3770057</v>
      </c>
      <c r="AE37" s="50">
        <f>(AB37+AC37)-AD37</f>
        <v>58139646</v>
      </c>
      <c r="AF37" s="5"/>
    </row>
    <row r="38" spans="1:241" ht="16.5" customHeight="1" x14ac:dyDescent="0.25">
      <c r="A38" s="47">
        <v>33</v>
      </c>
      <c r="B38" s="43" t="s">
        <v>62</v>
      </c>
      <c r="C38" s="43" t="s">
        <v>61</v>
      </c>
      <c r="D38" s="50"/>
      <c r="E38" s="50"/>
      <c r="F38" s="50">
        <v>632919364.38</v>
      </c>
      <c r="G38" s="50"/>
      <c r="H38" s="50"/>
      <c r="I38" s="50"/>
      <c r="J38" s="50">
        <v>632919364.38</v>
      </c>
      <c r="K38" s="89">
        <v>20389675.379999999</v>
      </c>
      <c r="L38" s="50">
        <v>4031821.59</v>
      </c>
      <c r="M38" s="52">
        <v>16357853.789999999</v>
      </c>
      <c r="N38" s="65">
        <v>2065498245.4300001</v>
      </c>
      <c r="O38" s="65">
        <v>36685560.32</v>
      </c>
      <c r="P38" s="69">
        <v>2165730212.48</v>
      </c>
      <c r="Q38" s="55">
        <f t="shared" si="11"/>
        <v>3.2970255243681356E-3</v>
      </c>
      <c r="R38" s="69">
        <v>2065362415.8900001</v>
      </c>
      <c r="S38" s="55">
        <f t="shared" si="12"/>
        <v>3.5702941487653081E-3</v>
      </c>
      <c r="T38" s="56">
        <f t="shared" si="18"/>
        <v>-4.6343628588469341E-2</v>
      </c>
      <c r="U38" s="57">
        <f t="shared" si="19"/>
        <v>1.9521133719587992E-3</v>
      </c>
      <c r="V38" s="58">
        <f t="shared" si="20"/>
        <v>7.9200888251620086E-3</v>
      </c>
      <c r="W38" s="59">
        <f t="shared" si="21"/>
        <v>100.00000076935652</v>
      </c>
      <c r="X38" s="59">
        <f t="shared" si="22"/>
        <v>0.79200888860957275</v>
      </c>
      <c r="Y38" s="65">
        <v>100</v>
      </c>
      <c r="Z38" s="65">
        <v>100</v>
      </c>
      <c r="AA38" s="90">
        <v>539</v>
      </c>
      <c r="AB38" s="90">
        <v>21657302</v>
      </c>
      <c r="AC38" s="90">
        <v>650356</v>
      </c>
      <c r="AD38" s="90">
        <v>1654034</v>
      </c>
      <c r="AE38" s="50">
        <v>20653624</v>
      </c>
      <c r="AF38" s="5"/>
    </row>
    <row r="39" spans="1:241" ht="16.5" customHeight="1" x14ac:dyDescent="0.25">
      <c r="A39" s="47">
        <v>34</v>
      </c>
      <c r="B39" s="43" t="s">
        <v>74</v>
      </c>
      <c r="C39" s="43" t="s">
        <v>25</v>
      </c>
      <c r="D39" s="50"/>
      <c r="E39" s="50"/>
      <c r="F39" s="50">
        <v>3370097864.0300002</v>
      </c>
      <c r="G39" s="50"/>
      <c r="H39" s="50"/>
      <c r="I39" s="50">
        <v>-27858958</v>
      </c>
      <c r="J39" s="50">
        <v>3380231163.9000001</v>
      </c>
      <c r="K39" s="50">
        <v>35883417.009999998</v>
      </c>
      <c r="L39" s="50">
        <v>4166702.9</v>
      </c>
      <c r="M39" s="52">
        <v>31716714.109999999</v>
      </c>
      <c r="N39" s="65">
        <v>3380231163.9000001</v>
      </c>
      <c r="O39" s="65">
        <v>22249973.940000001</v>
      </c>
      <c r="P39" s="69">
        <v>3547762754.4099998</v>
      </c>
      <c r="Q39" s="55">
        <f t="shared" si="11"/>
        <v>5.4009794425400482E-3</v>
      </c>
      <c r="R39" s="69">
        <v>3357981189.96</v>
      </c>
      <c r="S39" s="55">
        <f t="shared" si="12"/>
        <v>5.8047829775249868E-3</v>
      </c>
      <c r="T39" s="56">
        <f t="shared" si="18"/>
        <v>-5.3493307638481272E-2</v>
      </c>
      <c r="U39" s="57">
        <f t="shared" si="19"/>
        <v>1.2408356879597749E-3</v>
      </c>
      <c r="V39" s="58">
        <f t="shared" si="20"/>
        <v>9.4451732501746998E-3</v>
      </c>
      <c r="W39" s="59">
        <f t="shared" si="21"/>
        <v>0.98542605826404706</v>
      </c>
      <c r="X39" s="59">
        <f t="shared" si="22"/>
        <v>9.3075198455406724E-3</v>
      </c>
      <c r="Y39" s="65">
        <v>0.99</v>
      </c>
      <c r="Z39" s="65">
        <v>0.99</v>
      </c>
      <c r="AA39" s="60">
        <v>791</v>
      </c>
      <c r="AB39" s="60">
        <v>3597092812</v>
      </c>
      <c r="AC39" s="60">
        <v>160728463</v>
      </c>
      <c r="AD39" s="60">
        <v>350177280</v>
      </c>
      <c r="AE39" s="50">
        <v>3407643995</v>
      </c>
      <c r="AF39" s="5"/>
    </row>
    <row r="40" spans="1:241" ht="16.5" customHeight="1" x14ac:dyDescent="0.25">
      <c r="A40" s="47">
        <v>35</v>
      </c>
      <c r="B40" s="43" t="s">
        <v>59</v>
      </c>
      <c r="C40" s="43" t="s">
        <v>39</v>
      </c>
      <c r="D40" s="50"/>
      <c r="E40" s="50"/>
      <c r="F40" s="91">
        <v>1611713008.3699999</v>
      </c>
      <c r="G40" s="50"/>
      <c r="H40" s="50"/>
      <c r="I40" s="50"/>
      <c r="J40" s="50">
        <v>1961128748.0899999</v>
      </c>
      <c r="K40" s="50">
        <v>18550322.82</v>
      </c>
      <c r="L40" s="50">
        <v>3045543.48</v>
      </c>
      <c r="M40" s="52">
        <v>15504779.34</v>
      </c>
      <c r="N40" s="65">
        <v>1991509397.3099999</v>
      </c>
      <c r="O40" s="65">
        <v>11511128.710000001</v>
      </c>
      <c r="P40" s="69">
        <v>1979998268.5999999</v>
      </c>
      <c r="Q40" s="55">
        <f t="shared" si="11"/>
        <v>3.014274258243604E-3</v>
      </c>
      <c r="R40" s="69">
        <v>1979998268.5999999</v>
      </c>
      <c r="S40" s="55">
        <f t="shared" si="12"/>
        <v>3.4227291920104937E-3</v>
      </c>
      <c r="T40" s="56">
        <f t="shared" si="18"/>
        <v>0</v>
      </c>
      <c r="U40" s="57">
        <f t="shared" si="19"/>
        <v>1.538154617758033E-3</v>
      </c>
      <c r="V40" s="58">
        <f t="shared" si="20"/>
        <v>7.8307034838787943E-3</v>
      </c>
      <c r="W40" s="59">
        <f t="shared" si="21"/>
        <v>10.080451093608074</v>
      </c>
      <c r="X40" s="59">
        <f t="shared" si="22"/>
        <v>7.8937023497786543E-2</v>
      </c>
      <c r="Y40" s="65">
        <v>10</v>
      </c>
      <c r="Z40" s="65">
        <v>10</v>
      </c>
      <c r="AA40" s="60">
        <v>1538</v>
      </c>
      <c r="AB40" s="60">
        <v>192405796.41</v>
      </c>
      <c r="AC40" s="60">
        <v>27186125.440000001</v>
      </c>
      <c r="AD40" s="60">
        <v>-23172312.23</v>
      </c>
      <c r="AE40" s="50">
        <v>196419609.62</v>
      </c>
      <c r="AF40" s="5"/>
    </row>
    <row r="41" spans="1:241" ht="16.5" customHeight="1" x14ac:dyDescent="0.25">
      <c r="A41" s="47">
        <v>36</v>
      </c>
      <c r="B41" s="43" t="s">
        <v>163</v>
      </c>
      <c r="C41" s="43" t="s">
        <v>148</v>
      </c>
      <c r="D41" s="50"/>
      <c r="E41" s="50"/>
      <c r="F41" s="50">
        <v>1372454354.22</v>
      </c>
      <c r="G41" s="50"/>
      <c r="H41" s="50"/>
      <c r="I41" s="50"/>
      <c r="J41" s="50">
        <v>1372454354.22</v>
      </c>
      <c r="K41" s="50">
        <v>23509396.350000001</v>
      </c>
      <c r="L41" s="50">
        <v>3180902.3</v>
      </c>
      <c r="M41" s="52">
        <v>20328494.050000001</v>
      </c>
      <c r="N41" s="65">
        <v>2317991724.3200002</v>
      </c>
      <c r="O41" s="65">
        <v>37365178.799999997</v>
      </c>
      <c r="P41" s="69">
        <v>2120911704.5699999</v>
      </c>
      <c r="Q41" s="55">
        <f t="shared" si="11"/>
        <v>3.2287955279946927E-3</v>
      </c>
      <c r="R41" s="69">
        <v>2280626545.52</v>
      </c>
      <c r="S41" s="55">
        <f t="shared" si="12"/>
        <v>3.9424110501595179E-3</v>
      </c>
      <c r="T41" s="56">
        <f t="shared" si="18"/>
        <v>7.5304804347044285E-2</v>
      </c>
      <c r="U41" s="57">
        <f t="shared" si="19"/>
        <v>1.3947493096791654E-3</v>
      </c>
      <c r="V41" s="58">
        <f t="shared" si="20"/>
        <v>8.9135567109541614E-3</v>
      </c>
      <c r="W41" s="59">
        <f t="shared" si="21"/>
        <v>99.67426594424424</v>
      </c>
      <c r="X41" s="59">
        <f t="shared" si="22"/>
        <v>0.88845222211674801</v>
      </c>
      <c r="Y41" s="65">
        <v>100</v>
      </c>
      <c r="Z41" s="65">
        <v>100</v>
      </c>
      <c r="AA41" s="60">
        <v>965</v>
      </c>
      <c r="AB41" s="60">
        <v>21229117</v>
      </c>
      <c r="AC41" s="60">
        <v>1377076</v>
      </c>
      <c r="AD41" s="60">
        <v>3028755</v>
      </c>
      <c r="AE41" s="50">
        <v>22880796</v>
      </c>
      <c r="AF41" s="5"/>
    </row>
    <row r="42" spans="1:241" ht="16.5" customHeight="1" x14ac:dyDescent="0.25">
      <c r="A42" s="47">
        <v>37</v>
      </c>
      <c r="B42" s="43" t="s">
        <v>87</v>
      </c>
      <c r="C42" s="44" t="s">
        <v>86</v>
      </c>
      <c r="D42" s="50"/>
      <c r="E42" s="50"/>
      <c r="F42" s="50">
        <v>78307751.459999993</v>
      </c>
      <c r="G42" s="50"/>
      <c r="H42" s="50"/>
      <c r="I42" s="50">
        <v>7211412.6299999999</v>
      </c>
      <c r="J42" s="50">
        <f>78307751.46+7211412.63</f>
        <v>85519164.089999989</v>
      </c>
      <c r="K42" s="50">
        <v>696486.73</v>
      </c>
      <c r="L42" s="50">
        <v>57262.15</v>
      </c>
      <c r="M42" s="52">
        <v>639224.57999999996</v>
      </c>
      <c r="N42" s="65">
        <v>151274378.97999999</v>
      </c>
      <c r="O42" s="65">
        <v>4361190.53</v>
      </c>
      <c r="P42" s="69">
        <v>146362610.63999999</v>
      </c>
      <c r="Q42" s="55">
        <f t="shared" si="11"/>
        <v>2.2281688656901051E-4</v>
      </c>
      <c r="R42" s="69">
        <v>143762084.81999999</v>
      </c>
      <c r="S42" s="55">
        <f t="shared" si="12"/>
        <v>2.4851470439195039E-4</v>
      </c>
      <c r="T42" s="56">
        <f t="shared" si="18"/>
        <v>-1.776769223115569E-2</v>
      </c>
      <c r="U42" s="57">
        <f t="shared" si="19"/>
        <v>3.983119058943542E-4</v>
      </c>
      <c r="V42" s="58">
        <f t="shared" si="20"/>
        <v>4.4464058851146531E-3</v>
      </c>
      <c r="W42" s="59">
        <f t="shared" si="21"/>
        <v>1.0015742435681207</v>
      </c>
      <c r="X42" s="59">
        <f t="shared" si="22"/>
        <v>4.4534056109805497E-3</v>
      </c>
      <c r="Y42" s="65">
        <v>1</v>
      </c>
      <c r="Z42" s="65">
        <v>1</v>
      </c>
      <c r="AA42" s="60">
        <v>40</v>
      </c>
      <c r="AB42" s="60">
        <v>143565316</v>
      </c>
      <c r="AC42" s="60">
        <v>588580</v>
      </c>
      <c r="AD42" s="60">
        <v>853300</v>
      </c>
      <c r="AE42" s="50">
        <v>143536124</v>
      </c>
      <c r="AF42" s="5"/>
    </row>
    <row r="43" spans="1:241" ht="16.5" customHeight="1" x14ac:dyDescent="0.25">
      <c r="A43" s="47">
        <v>38</v>
      </c>
      <c r="B43" s="44" t="s">
        <v>65</v>
      </c>
      <c r="C43" s="44" t="s">
        <v>46</v>
      </c>
      <c r="D43" s="50"/>
      <c r="E43" s="50"/>
      <c r="F43" s="50">
        <v>690288980.62</v>
      </c>
      <c r="G43" s="50"/>
      <c r="H43" s="50"/>
      <c r="I43" s="50"/>
      <c r="J43" s="50">
        <v>690288980.62</v>
      </c>
      <c r="K43" s="50">
        <v>5264447.83</v>
      </c>
      <c r="L43" s="50">
        <v>1275579.01</v>
      </c>
      <c r="M43" s="52">
        <v>3988868.82</v>
      </c>
      <c r="N43" s="65">
        <v>708040885.05999994</v>
      </c>
      <c r="O43" s="65">
        <v>744193.17</v>
      </c>
      <c r="P43" s="69">
        <v>794649563.09000003</v>
      </c>
      <c r="Q43" s="55">
        <f t="shared" si="11"/>
        <v>1.2097443519687298E-3</v>
      </c>
      <c r="R43" s="69">
        <v>700674945</v>
      </c>
      <c r="S43" s="55">
        <f t="shared" si="12"/>
        <v>1.2112235785223995E-3</v>
      </c>
      <c r="T43" s="56">
        <f t="shared" si="18"/>
        <v>-0.11825919556864678</v>
      </c>
      <c r="U43" s="57">
        <f t="shared" si="19"/>
        <v>1.8205003890926913E-3</v>
      </c>
      <c r="V43" s="58">
        <f t="shared" si="20"/>
        <v>5.6928948986466185E-3</v>
      </c>
      <c r="W43" s="59" t="e">
        <f t="shared" si="21"/>
        <v>#DIV/0!</v>
      </c>
      <c r="X43" s="59" t="e">
        <f t="shared" si="22"/>
        <v>#DIV/0!</v>
      </c>
      <c r="Y43" s="65">
        <v>10</v>
      </c>
      <c r="Z43" s="65">
        <v>10</v>
      </c>
      <c r="AA43" s="60">
        <v>521</v>
      </c>
      <c r="AB43" s="60">
        <v>78996535</v>
      </c>
      <c r="AC43" s="60">
        <v>14270264</v>
      </c>
      <c r="AD43" s="60">
        <v>3405910</v>
      </c>
      <c r="AE43" s="50"/>
      <c r="AF43" s="5"/>
    </row>
    <row r="44" spans="1:241" ht="16.5" customHeight="1" x14ac:dyDescent="0.25">
      <c r="A44" s="47">
        <v>39</v>
      </c>
      <c r="B44" s="43" t="s">
        <v>52</v>
      </c>
      <c r="C44" s="43" t="s">
        <v>23</v>
      </c>
      <c r="D44" s="50"/>
      <c r="E44" s="50"/>
      <c r="F44" s="50">
        <v>218628133059.95001</v>
      </c>
      <c r="G44" s="50">
        <v>9403450558.6000004</v>
      </c>
      <c r="H44" s="50"/>
      <c r="I44" s="50"/>
      <c r="J44" s="50">
        <v>228610119234.98999</v>
      </c>
      <c r="K44" s="50">
        <v>2397715517.8200002</v>
      </c>
      <c r="L44" s="50">
        <v>387653697.93000001</v>
      </c>
      <c r="M44" s="52">
        <v>2010061819.8900001</v>
      </c>
      <c r="N44" s="65">
        <v>229147703001.66</v>
      </c>
      <c r="O44" s="65">
        <v>685161686.42999995</v>
      </c>
      <c r="P44" s="69">
        <v>233352675842.16</v>
      </c>
      <c r="Q44" s="55">
        <f t="shared" si="11"/>
        <v>0.35524726210020036</v>
      </c>
      <c r="R44" s="69">
        <v>228462541315.23001</v>
      </c>
      <c r="S44" s="55">
        <f t="shared" si="12"/>
        <v>0.39493237031638745</v>
      </c>
      <c r="T44" s="56">
        <f t="shared" si="18"/>
        <v>-2.0955982224252209E-2</v>
      </c>
      <c r="U44" s="57">
        <f t="shared" si="19"/>
        <v>1.6967932497744557E-3</v>
      </c>
      <c r="V44" s="58">
        <f t="shared" si="20"/>
        <v>8.7982117695020283E-3</v>
      </c>
      <c r="W44" s="59">
        <f t="shared" si="21"/>
        <v>1</v>
      </c>
      <c r="X44" s="59">
        <f t="shared" si="22"/>
        <v>8.7982117695020283E-3</v>
      </c>
      <c r="Y44" s="65">
        <v>100</v>
      </c>
      <c r="Z44" s="65">
        <v>100</v>
      </c>
      <c r="AA44" s="60">
        <v>113843</v>
      </c>
      <c r="AB44" s="60">
        <v>233352675842.16</v>
      </c>
      <c r="AC44" s="60">
        <v>22877350452.299999</v>
      </c>
      <c r="AD44" s="60">
        <v>27767484979.23</v>
      </c>
      <c r="AE44" s="60">
        <v>228462541315.23001</v>
      </c>
      <c r="AF44" s="5"/>
    </row>
    <row r="45" spans="1:241" ht="16.5" customHeight="1" x14ac:dyDescent="0.25">
      <c r="A45" s="47">
        <v>40</v>
      </c>
      <c r="B45" s="43" t="s">
        <v>83</v>
      </c>
      <c r="C45" s="43" t="s">
        <v>82</v>
      </c>
      <c r="D45" s="84"/>
      <c r="E45" s="84"/>
      <c r="F45" s="84">
        <v>450241488.61000001</v>
      </c>
      <c r="G45" s="84"/>
      <c r="H45" s="84"/>
      <c r="I45" s="84"/>
      <c r="J45" s="84">
        <v>450241488.61000001</v>
      </c>
      <c r="K45" s="84">
        <v>4049466.18</v>
      </c>
      <c r="L45" s="84">
        <v>530302.02</v>
      </c>
      <c r="M45" s="92">
        <v>3519164.15</v>
      </c>
      <c r="N45" s="66">
        <v>473073670.29000002</v>
      </c>
      <c r="O45" s="66">
        <v>4503551.3</v>
      </c>
      <c r="P45" s="69">
        <v>341102433.36000001</v>
      </c>
      <c r="Q45" s="55">
        <f t="shared" si="11"/>
        <v>5.1928140575006486E-4</v>
      </c>
      <c r="R45" s="69">
        <v>468570118.99000001</v>
      </c>
      <c r="S45" s="55">
        <f t="shared" si="12"/>
        <v>8.0999496323039537E-4</v>
      </c>
      <c r="T45" s="56">
        <f t="shared" si="18"/>
        <v>0.37369327557822024</v>
      </c>
      <c r="U45" s="57">
        <f t="shared" si="19"/>
        <v>1.1317452788988395E-3</v>
      </c>
      <c r="V45" s="58">
        <f t="shared" si="20"/>
        <v>7.5104322861763708E-3</v>
      </c>
      <c r="W45" s="59">
        <f t="shared" si="21"/>
        <v>0.99966526081661999</v>
      </c>
      <c r="X45" s="59">
        <f t="shared" si="22"/>
        <v>7.5079182502060656E-3</v>
      </c>
      <c r="Y45" s="65">
        <v>1</v>
      </c>
      <c r="Z45" s="65">
        <v>1</v>
      </c>
      <c r="AA45" s="60">
        <v>94</v>
      </c>
      <c r="AB45" s="60">
        <v>340964181.29000002</v>
      </c>
      <c r="AC45" s="60">
        <v>135624530</v>
      </c>
      <c r="AD45" s="60">
        <v>7861691</v>
      </c>
      <c r="AE45" s="60">
        <v>468727020.29000002</v>
      </c>
      <c r="AF45" s="5"/>
    </row>
    <row r="46" spans="1:241" ht="16.5" customHeight="1" x14ac:dyDescent="0.25">
      <c r="A46" s="47">
        <v>41</v>
      </c>
      <c r="B46" s="43" t="s">
        <v>55</v>
      </c>
      <c r="C46" s="43" t="s">
        <v>33</v>
      </c>
      <c r="D46" s="50"/>
      <c r="E46" s="50"/>
      <c r="F46" s="50">
        <v>9994884463</v>
      </c>
      <c r="G46" s="50"/>
      <c r="H46" s="50"/>
      <c r="I46" s="50"/>
      <c r="J46" s="50">
        <v>9994884463</v>
      </c>
      <c r="K46" s="50">
        <v>255278342</v>
      </c>
      <c r="L46" s="50">
        <v>30080438</v>
      </c>
      <c r="M46" s="52">
        <v>225197904</v>
      </c>
      <c r="N46" s="65">
        <v>24952688314.060001</v>
      </c>
      <c r="O46" s="65">
        <v>377752564.06999999</v>
      </c>
      <c r="P46" s="69">
        <v>23690790552</v>
      </c>
      <c r="Q46" s="55">
        <f t="shared" si="11"/>
        <v>3.6065960890373269E-2</v>
      </c>
      <c r="R46" s="69">
        <v>24574935750</v>
      </c>
      <c r="S46" s="55">
        <f t="shared" si="12"/>
        <v>4.2481527038294546E-2</v>
      </c>
      <c r="T46" s="56">
        <f t="shared" si="18"/>
        <v>3.7320206603462608E-2</v>
      </c>
      <c r="U46" s="57">
        <f t="shared" si="19"/>
        <v>1.2240291615004527E-3</v>
      </c>
      <c r="V46" s="58">
        <f t="shared" si="20"/>
        <v>9.1637230017986918E-3</v>
      </c>
      <c r="W46" s="59">
        <f t="shared" si="21"/>
        <v>1.0204020790964419</v>
      </c>
      <c r="X46" s="59">
        <f t="shared" si="22"/>
        <v>9.3506820032992731E-3</v>
      </c>
      <c r="Y46" s="65">
        <v>1</v>
      </c>
      <c r="Z46" s="65">
        <v>1</v>
      </c>
      <c r="AA46" s="60">
        <v>3938</v>
      </c>
      <c r="AB46" s="60">
        <v>23015492738</v>
      </c>
      <c r="AC46" s="50">
        <v>2804447626</v>
      </c>
      <c r="AD46" s="60">
        <v>1736359731</v>
      </c>
      <c r="AE46" s="50">
        <v>24083580633</v>
      </c>
      <c r="AF46" s="5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7"/>
      <c r="BK46" s="17"/>
      <c r="BL46" s="17"/>
      <c r="BM46" s="17"/>
      <c r="BN46" s="17"/>
      <c r="BO46" s="17"/>
      <c r="BP46" s="17"/>
      <c r="BQ46" s="17"/>
      <c r="BR46" s="17"/>
      <c r="BS46" s="17"/>
      <c r="BT46" s="17"/>
      <c r="BU46" s="17"/>
      <c r="BV46" s="17"/>
      <c r="BW46" s="17"/>
      <c r="BX46" s="17"/>
      <c r="BY46" s="17"/>
      <c r="BZ46" s="17"/>
      <c r="CA46" s="17"/>
      <c r="CB46" s="17"/>
      <c r="CC46" s="17"/>
      <c r="CD46" s="17"/>
      <c r="CE46" s="17"/>
      <c r="CF46" s="17"/>
      <c r="CG46" s="17"/>
      <c r="CH46" s="17"/>
      <c r="CI46" s="17"/>
      <c r="CJ46" s="17"/>
      <c r="CK46" s="17"/>
      <c r="CL46" s="17"/>
      <c r="CM46" s="17"/>
      <c r="CN46" s="17"/>
      <c r="CO46" s="17"/>
      <c r="CP46" s="17"/>
      <c r="CQ46" s="17"/>
      <c r="CR46" s="17"/>
      <c r="CS46" s="17"/>
      <c r="CT46" s="17"/>
      <c r="CU46" s="17"/>
      <c r="CV46" s="17"/>
      <c r="CW46" s="17"/>
      <c r="CX46" s="17"/>
      <c r="CY46" s="17"/>
      <c r="CZ46" s="17"/>
      <c r="DA46" s="17"/>
      <c r="DB46" s="17"/>
      <c r="DC46" s="17"/>
      <c r="DD46" s="17"/>
      <c r="DE46" s="17"/>
      <c r="DF46" s="17"/>
      <c r="DG46" s="17"/>
      <c r="DH46" s="17"/>
      <c r="DI46" s="17"/>
      <c r="DJ46" s="17"/>
      <c r="DK46" s="17"/>
      <c r="DL46" s="17"/>
      <c r="DM46" s="17"/>
      <c r="DN46" s="17"/>
      <c r="DO46" s="17"/>
      <c r="DP46" s="17"/>
      <c r="DQ46" s="17"/>
      <c r="DR46" s="17"/>
      <c r="DS46" s="17"/>
      <c r="DT46" s="17"/>
      <c r="DU46" s="17"/>
      <c r="DV46" s="17"/>
      <c r="DW46" s="17"/>
      <c r="DX46" s="17"/>
      <c r="DY46" s="17"/>
      <c r="DZ46" s="17"/>
      <c r="EA46" s="17"/>
      <c r="EB46" s="17"/>
      <c r="EC46" s="17"/>
      <c r="ED46" s="17"/>
      <c r="EE46" s="17"/>
      <c r="EF46" s="17"/>
      <c r="EG46" s="17"/>
      <c r="EH46" s="17"/>
      <c r="EI46" s="17"/>
      <c r="EJ46" s="17"/>
      <c r="EK46" s="17"/>
      <c r="EL46" s="17"/>
      <c r="EM46" s="17"/>
      <c r="EN46" s="17"/>
      <c r="EO46" s="17"/>
      <c r="EP46" s="17"/>
      <c r="EQ46" s="17"/>
      <c r="ER46" s="17"/>
      <c r="ES46" s="17"/>
      <c r="ET46" s="17"/>
      <c r="EU46" s="17"/>
      <c r="EV46" s="17"/>
      <c r="EW46" s="17"/>
      <c r="EX46" s="17"/>
      <c r="EY46" s="17"/>
      <c r="EZ46" s="17"/>
      <c r="FA46" s="17"/>
      <c r="FB46" s="17"/>
      <c r="FC46" s="17"/>
      <c r="FD46" s="17"/>
      <c r="FE46" s="17"/>
      <c r="FF46" s="17"/>
      <c r="FG46" s="17"/>
      <c r="FH46" s="17"/>
      <c r="FI46" s="17"/>
      <c r="FJ46" s="17"/>
      <c r="FK46" s="17"/>
      <c r="FL46" s="17"/>
      <c r="FM46" s="17"/>
      <c r="FN46" s="17"/>
      <c r="FO46" s="17"/>
      <c r="FP46" s="17"/>
      <c r="FQ46" s="17"/>
      <c r="FR46" s="17"/>
      <c r="FS46" s="17"/>
      <c r="FT46" s="17"/>
      <c r="FU46" s="17"/>
      <c r="FV46" s="17"/>
      <c r="FW46" s="17"/>
      <c r="FX46" s="17"/>
      <c r="FY46" s="17"/>
      <c r="FZ46" s="17"/>
      <c r="GA46" s="17"/>
      <c r="GB46" s="17"/>
      <c r="GC46" s="17"/>
      <c r="GD46" s="17"/>
      <c r="GE46" s="17"/>
      <c r="GF46" s="17"/>
      <c r="GG46" s="17"/>
      <c r="GH46" s="17"/>
      <c r="GI46" s="17"/>
      <c r="GJ46" s="17"/>
      <c r="GK46" s="17"/>
      <c r="GL46" s="17"/>
      <c r="GM46" s="17"/>
      <c r="GN46" s="17"/>
      <c r="GO46" s="17"/>
      <c r="GP46" s="17"/>
      <c r="GQ46" s="17"/>
      <c r="GR46" s="17"/>
      <c r="GS46" s="17"/>
      <c r="GT46" s="17"/>
      <c r="GU46" s="17"/>
      <c r="GV46" s="17"/>
      <c r="GW46" s="17"/>
      <c r="GX46" s="17"/>
      <c r="GY46" s="17"/>
      <c r="GZ46" s="17"/>
      <c r="HA46" s="17"/>
      <c r="HB46" s="17"/>
      <c r="HC46" s="17"/>
      <c r="HD46" s="17"/>
      <c r="HE46" s="17"/>
      <c r="HF46" s="17"/>
      <c r="HG46" s="17"/>
      <c r="HH46" s="17"/>
      <c r="HI46" s="17"/>
      <c r="HJ46" s="17"/>
      <c r="HK46" s="17"/>
      <c r="HL46" s="17"/>
      <c r="HM46" s="17"/>
      <c r="HN46" s="17"/>
      <c r="HO46" s="17"/>
      <c r="HP46" s="17"/>
      <c r="HQ46" s="17"/>
      <c r="HR46" s="17"/>
      <c r="HS46" s="17"/>
      <c r="HT46" s="17"/>
      <c r="HU46" s="17"/>
      <c r="HV46" s="17"/>
      <c r="HW46" s="17"/>
      <c r="HX46" s="17"/>
      <c r="HY46" s="17"/>
      <c r="HZ46" s="17"/>
      <c r="IA46" s="17"/>
      <c r="IB46" s="17"/>
      <c r="IC46" s="17"/>
      <c r="ID46" s="17"/>
      <c r="IE46" s="17"/>
      <c r="IF46" s="17"/>
      <c r="IG46" s="17"/>
    </row>
    <row r="47" spans="1:241" ht="16.5" customHeight="1" x14ac:dyDescent="0.25">
      <c r="A47" s="47">
        <v>42</v>
      </c>
      <c r="B47" s="93" t="s">
        <v>85</v>
      </c>
      <c r="C47" s="43" t="s">
        <v>84</v>
      </c>
      <c r="D47" s="50"/>
      <c r="E47" s="50"/>
      <c r="F47" s="50">
        <v>748316604.98000002</v>
      </c>
      <c r="G47" s="50"/>
      <c r="H47" s="50"/>
      <c r="I47" s="50">
        <v>59346159.950000003</v>
      </c>
      <c r="J47" s="50">
        <v>807662764.91999996</v>
      </c>
      <c r="K47" s="50">
        <v>13371485.029999999</v>
      </c>
      <c r="L47" s="50">
        <v>1926335.38</v>
      </c>
      <c r="M47" s="52">
        <v>11445149.65</v>
      </c>
      <c r="N47" s="65">
        <v>1641907046.22</v>
      </c>
      <c r="O47" s="65">
        <v>8651780.8399999999</v>
      </c>
      <c r="P47" s="69">
        <v>1652905207.9300001</v>
      </c>
      <c r="Q47" s="55">
        <f t="shared" si="11"/>
        <v>2.516320190069176E-3</v>
      </c>
      <c r="R47" s="69">
        <v>1633255265.3900001</v>
      </c>
      <c r="S47" s="55">
        <f t="shared" si="12"/>
        <v>2.8233309915002415E-3</v>
      </c>
      <c r="T47" s="56">
        <f t="shared" si="18"/>
        <v>-1.1888124283066648E-2</v>
      </c>
      <c r="U47" s="57">
        <f t="shared" si="19"/>
        <v>1.1794453817603435E-3</v>
      </c>
      <c r="V47" s="58">
        <f t="shared" si="20"/>
        <v>7.0075694182850515E-3</v>
      </c>
      <c r="W47" s="59">
        <f t="shared" si="21"/>
        <v>1.0070570255539966</v>
      </c>
      <c r="X47" s="59">
        <f t="shared" si="22"/>
        <v>7.0570220147412946E-3</v>
      </c>
      <c r="Y47" s="65">
        <v>1</v>
      </c>
      <c r="Z47" s="65">
        <v>1.01</v>
      </c>
      <c r="AA47" s="60">
        <v>49</v>
      </c>
      <c r="AB47" s="60">
        <v>1628227251</v>
      </c>
      <c r="AC47" s="60">
        <v>62997385</v>
      </c>
      <c r="AD47" s="60">
        <v>69414526</v>
      </c>
      <c r="AE47" s="50">
        <v>1621810110</v>
      </c>
      <c r="AF47" s="5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7"/>
      <c r="BK47" s="17"/>
      <c r="BL47" s="17"/>
      <c r="BM47" s="17"/>
      <c r="BN47" s="17"/>
      <c r="BO47" s="17"/>
      <c r="BP47" s="17"/>
      <c r="BQ47" s="17"/>
      <c r="BR47" s="17"/>
      <c r="BS47" s="17"/>
      <c r="BT47" s="17"/>
      <c r="BU47" s="17"/>
      <c r="BV47" s="17"/>
      <c r="BW47" s="17"/>
      <c r="BX47" s="17"/>
      <c r="BY47" s="17"/>
      <c r="BZ47" s="17"/>
      <c r="CA47" s="17"/>
      <c r="CB47" s="17"/>
      <c r="CC47" s="17"/>
      <c r="CD47" s="17"/>
      <c r="CE47" s="17"/>
      <c r="CF47" s="17"/>
      <c r="CG47" s="17"/>
      <c r="CH47" s="17"/>
      <c r="CI47" s="17"/>
      <c r="CJ47" s="17"/>
      <c r="CK47" s="17"/>
      <c r="CL47" s="17"/>
      <c r="CM47" s="17"/>
      <c r="CN47" s="17"/>
      <c r="CO47" s="17"/>
      <c r="CP47" s="17"/>
      <c r="CQ47" s="17"/>
      <c r="CR47" s="17"/>
      <c r="CS47" s="17"/>
      <c r="CT47" s="17"/>
      <c r="CU47" s="17"/>
      <c r="CV47" s="17"/>
      <c r="CW47" s="17"/>
      <c r="CX47" s="17"/>
      <c r="CY47" s="17"/>
      <c r="CZ47" s="17"/>
      <c r="DA47" s="17"/>
      <c r="DB47" s="17"/>
      <c r="DC47" s="17"/>
      <c r="DD47" s="17"/>
      <c r="DE47" s="17"/>
      <c r="DF47" s="17"/>
      <c r="DG47" s="17"/>
      <c r="DH47" s="17"/>
      <c r="DI47" s="17"/>
      <c r="DJ47" s="17"/>
      <c r="DK47" s="17"/>
      <c r="DL47" s="17"/>
      <c r="DM47" s="17"/>
      <c r="DN47" s="17"/>
      <c r="DO47" s="17"/>
      <c r="DP47" s="17"/>
      <c r="DQ47" s="17"/>
      <c r="DR47" s="17"/>
      <c r="DS47" s="17"/>
      <c r="DT47" s="17"/>
      <c r="DU47" s="17"/>
      <c r="DV47" s="17"/>
      <c r="DW47" s="17"/>
      <c r="DX47" s="17"/>
      <c r="DY47" s="17"/>
      <c r="DZ47" s="17"/>
      <c r="EA47" s="17"/>
      <c r="EB47" s="17"/>
      <c r="EC47" s="17"/>
      <c r="ED47" s="17"/>
      <c r="EE47" s="17"/>
      <c r="EF47" s="17"/>
      <c r="EG47" s="17"/>
      <c r="EH47" s="17"/>
      <c r="EI47" s="17"/>
      <c r="EJ47" s="17"/>
      <c r="EK47" s="17"/>
      <c r="EL47" s="17"/>
      <c r="EM47" s="17"/>
      <c r="EN47" s="17"/>
      <c r="EO47" s="17"/>
      <c r="EP47" s="17"/>
      <c r="EQ47" s="17"/>
      <c r="ER47" s="17"/>
      <c r="ES47" s="17"/>
      <c r="ET47" s="17"/>
      <c r="EU47" s="17"/>
      <c r="EV47" s="17"/>
      <c r="EW47" s="17"/>
      <c r="EX47" s="17"/>
      <c r="EY47" s="17"/>
      <c r="EZ47" s="17"/>
      <c r="FA47" s="17"/>
      <c r="FB47" s="17"/>
      <c r="FC47" s="17"/>
      <c r="FD47" s="17"/>
      <c r="FE47" s="17"/>
      <c r="FF47" s="17"/>
      <c r="FG47" s="17"/>
      <c r="FH47" s="17"/>
      <c r="FI47" s="17"/>
      <c r="FJ47" s="17"/>
      <c r="FK47" s="17"/>
      <c r="FL47" s="17"/>
      <c r="FM47" s="17"/>
      <c r="FN47" s="17"/>
      <c r="FO47" s="17"/>
      <c r="FP47" s="17"/>
      <c r="FQ47" s="17"/>
      <c r="FR47" s="17"/>
      <c r="FS47" s="17"/>
      <c r="FT47" s="17"/>
      <c r="FU47" s="17"/>
      <c r="FV47" s="17"/>
      <c r="FW47" s="17"/>
      <c r="FX47" s="17"/>
      <c r="FY47" s="17"/>
      <c r="FZ47" s="17"/>
      <c r="GA47" s="17"/>
      <c r="GB47" s="17"/>
      <c r="GC47" s="17"/>
      <c r="GD47" s="17"/>
      <c r="GE47" s="17"/>
      <c r="GF47" s="17"/>
      <c r="GG47" s="17"/>
      <c r="GH47" s="17"/>
      <c r="GI47" s="17"/>
      <c r="GJ47" s="17"/>
      <c r="GK47" s="17"/>
      <c r="GL47" s="17"/>
      <c r="GM47" s="17"/>
      <c r="GN47" s="17"/>
      <c r="GO47" s="17"/>
      <c r="GP47" s="17"/>
      <c r="GQ47" s="17"/>
      <c r="GR47" s="17"/>
      <c r="GS47" s="17"/>
      <c r="GT47" s="17"/>
      <c r="GU47" s="17"/>
      <c r="GV47" s="17"/>
      <c r="GW47" s="17"/>
      <c r="GX47" s="17"/>
      <c r="GY47" s="17"/>
      <c r="GZ47" s="17"/>
      <c r="HA47" s="17"/>
      <c r="HB47" s="17"/>
      <c r="HC47" s="17"/>
      <c r="HD47" s="17"/>
      <c r="HE47" s="17"/>
      <c r="HF47" s="17"/>
      <c r="HG47" s="17"/>
      <c r="HH47" s="17"/>
      <c r="HI47" s="17"/>
      <c r="HJ47" s="17"/>
      <c r="HK47" s="17"/>
      <c r="HL47" s="17"/>
      <c r="HM47" s="17"/>
      <c r="HN47" s="17"/>
      <c r="HO47" s="17"/>
      <c r="HP47" s="17"/>
      <c r="HQ47" s="17"/>
      <c r="HR47" s="17"/>
      <c r="HS47" s="17"/>
      <c r="HT47" s="17"/>
      <c r="HU47" s="17"/>
      <c r="HV47" s="17"/>
      <c r="HW47" s="17"/>
      <c r="HX47" s="17"/>
      <c r="HY47" s="17"/>
      <c r="HZ47" s="17"/>
      <c r="IA47" s="17"/>
      <c r="IB47" s="17"/>
      <c r="IC47" s="17"/>
      <c r="ID47" s="17"/>
      <c r="IE47" s="17"/>
      <c r="IF47" s="17"/>
      <c r="IG47" s="17"/>
    </row>
    <row r="48" spans="1:241" ht="16.5" customHeight="1" x14ac:dyDescent="0.25">
      <c r="A48" s="47">
        <v>43</v>
      </c>
      <c r="B48" s="43" t="s">
        <v>78</v>
      </c>
      <c r="C48" s="43" t="s">
        <v>77</v>
      </c>
      <c r="D48" s="50"/>
      <c r="E48" s="50"/>
      <c r="F48" s="65">
        <v>446948816.00999999</v>
      </c>
      <c r="G48" s="65"/>
      <c r="H48" s="85"/>
      <c r="I48" s="86">
        <v>4242242.3099999996</v>
      </c>
      <c r="J48" s="65">
        <v>451191058.31999999</v>
      </c>
      <c r="K48" s="63">
        <v>6189744.9199999999</v>
      </c>
      <c r="L48" s="63">
        <v>1179930.28</v>
      </c>
      <c r="M48" s="52">
        <v>5009814.6399999997</v>
      </c>
      <c r="N48" s="63">
        <v>595670355.78999996</v>
      </c>
      <c r="O48" s="87">
        <v>2584355.63</v>
      </c>
      <c r="P48" s="69">
        <v>619868752.90999997</v>
      </c>
      <c r="Q48" s="55">
        <f t="shared" si="11"/>
        <v>9.4366467638747412E-4</v>
      </c>
      <c r="R48" s="88">
        <v>592836000.15999997</v>
      </c>
      <c r="S48" s="55">
        <f t="shared" si="12"/>
        <v>1.0248075041283243E-3</v>
      </c>
      <c r="T48" s="56">
        <f t="shared" si="18"/>
        <v>-4.3610445958267137E-2</v>
      </c>
      <c r="U48" s="57">
        <f t="shared" si="19"/>
        <v>1.9903148251481854E-3</v>
      </c>
      <c r="V48" s="58">
        <f t="shared" si="20"/>
        <v>8.4505911224148078E-3</v>
      </c>
      <c r="W48" s="59">
        <f t="shared" si="21"/>
        <v>1.0086120930742346</v>
      </c>
      <c r="X48" s="59">
        <f t="shared" si="22"/>
        <v>8.5233683996933443E-3</v>
      </c>
      <c r="Y48" s="65">
        <v>1</v>
      </c>
      <c r="Z48" s="65">
        <v>1</v>
      </c>
      <c r="AA48" s="60">
        <v>141</v>
      </c>
      <c r="AB48" s="50">
        <v>607535787.75999999</v>
      </c>
      <c r="AC48" s="60">
        <v>5985792.6900000004</v>
      </c>
      <c r="AD48" s="60">
        <v>25747545</v>
      </c>
      <c r="AE48" s="50">
        <v>587774035.46000004</v>
      </c>
      <c r="AF48" s="5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7"/>
      <c r="BK48" s="17"/>
      <c r="BL48" s="17"/>
      <c r="BM48" s="17"/>
      <c r="BN48" s="17"/>
      <c r="BO48" s="17"/>
      <c r="BP48" s="17"/>
      <c r="BQ48" s="17"/>
      <c r="BR48" s="17"/>
      <c r="BS48" s="17"/>
      <c r="BT48" s="17"/>
      <c r="BU48" s="17"/>
      <c r="BV48" s="17"/>
      <c r="BW48" s="17"/>
      <c r="BX48" s="17"/>
      <c r="BY48" s="17"/>
      <c r="BZ48" s="17"/>
      <c r="CA48" s="17"/>
      <c r="CB48" s="17"/>
      <c r="CC48" s="17"/>
      <c r="CD48" s="17"/>
      <c r="CE48" s="17"/>
      <c r="CF48" s="17"/>
      <c r="CG48" s="17"/>
      <c r="CH48" s="17"/>
      <c r="CI48" s="17"/>
      <c r="CJ48" s="17"/>
      <c r="CK48" s="17"/>
      <c r="CL48" s="17"/>
      <c r="CM48" s="17"/>
      <c r="CN48" s="17"/>
      <c r="CO48" s="17"/>
      <c r="CP48" s="17"/>
      <c r="CQ48" s="17"/>
      <c r="CR48" s="17"/>
      <c r="CS48" s="17"/>
      <c r="CT48" s="17"/>
      <c r="CU48" s="17"/>
      <c r="CV48" s="17"/>
      <c r="CW48" s="17"/>
      <c r="CX48" s="17"/>
      <c r="CY48" s="17"/>
      <c r="CZ48" s="17"/>
      <c r="DA48" s="17"/>
      <c r="DB48" s="17"/>
      <c r="DC48" s="17"/>
      <c r="DD48" s="17"/>
      <c r="DE48" s="17"/>
      <c r="DF48" s="17"/>
      <c r="DG48" s="17"/>
      <c r="DH48" s="17"/>
      <c r="DI48" s="17"/>
      <c r="DJ48" s="17"/>
      <c r="DK48" s="17"/>
      <c r="DL48" s="17"/>
      <c r="DM48" s="17"/>
      <c r="DN48" s="17"/>
      <c r="DO48" s="17"/>
      <c r="DP48" s="17"/>
      <c r="DQ48" s="17"/>
      <c r="DR48" s="17"/>
      <c r="DS48" s="17"/>
      <c r="DT48" s="17"/>
      <c r="DU48" s="17"/>
      <c r="DV48" s="17"/>
      <c r="DW48" s="17"/>
      <c r="DX48" s="17"/>
      <c r="DY48" s="17"/>
      <c r="DZ48" s="17"/>
      <c r="EA48" s="17"/>
      <c r="EB48" s="17"/>
      <c r="EC48" s="17"/>
      <c r="ED48" s="17"/>
      <c r="EE48" s="17"/>
      <c r="EF48" s="17"/>
      <c r="EG48" s="17"/>
      <c r="EH48" s="17"/>
      <c r="EI48" s="17"/>
      <c r="EJ48" s="17"/>
      <c r="EK48" s="17"/>
      <c r="EL48" s="17"/>
      <c r="EM48" s="17"/>
      <c r="EN48" s="17"/>
      <c r="EO48" s="17"/>
      <c r="EP48" s="17"/>
      <c r="EQ48" s="17"/>
      <c r="ER48" s="17"/>
      <c r="ES48" s="17"/>
      <c r="ET48" s="17"/>
      <c r="EU48" s="17"/>
      <c r="EV48" s="17"/>
      <c r="EW48" s="17"/>
      <c r="EX48" s="17"/>
      <c r="EY48" s="17"/>
      <c r="EZ48" s="17"/>
      <c r="FA48" s="17"/>
      <c r="FB48" s="17"/>
      <c r="FC48" s="17"/>
      <c r="FD48" s="17"/>
      <c r="FE48" s="17"/>
      <c r="FF48" s="17"/>
      <c r="FG48" s="17"/>
      <c r="FH48" s="17"/>
      <c r="FI48" s="17"/>
      <c r="FJ48" s="17"/>
      <c r="FK48" s="17"/>
      <c r="FL48" s="17"/>
      <c r="FM48" s="17"/>
      <c r="FN48" s="17"/>
      <c r="FO48" s="17"/>
      <c r="FP48" s="17"/>
      <c r="FQ48" s="17"/>
      <c r="FR48" s="17"/>
      <c r="FS48" s="17"/>
      <c r="FT48" s="17"/>
      <c r="FU48" s="17"/>
      <c r="FV48" s="17"/>
      <c r="FW48" s="17"/>
      <c r="FX48" s="17"/>
      <c r="FY48" s="17"/>
      <c r="FZ48" s="17"/>
      <c r="GA48" s="17"/>
      <c r="GB48" s="17"/>
      <c r="GC48" s="17"/>
      <c r="GD48" s="17"/>
      <c r="GE48" s="17"/>
      <c r="GF48" s="17"/>
      <c r="GG48" s="17"/>
      <c r="GH48" s="17"/>
      <c r="GI48" s="17"/>
      <c r="GJ48" s="17"/>
      <c r="GK48" s="17"/>
      <c r="GL48" s="17"/>
      <c r="GM48" s="17"/>
      <c r="GN48" s="17"/>
      <c r="GO48" s="17"/>
      <c r="GP48" s="17"/>
      <c r="GQ48" s="17"/>
      <c r="GR48" s="17"/>
      <c r="GS48" s="17"/>
      <c r="GT48" s="17"/>
      <c r="GU48" s="17"/>
      <c r="GV48" s="17"/>
      <c r="GW48" s="17"/>
      <c r="GX48" s="17"/>
      <c r="GY48" s="17"/>
      <c r="GZ48" s="17"/>
      <c r="HA48" s="17"/>
      <c r="HB48" s="17"/>
      <c r="HC48" s="17"/>
      <c r="HD48" s="17"/>
      <c r="HE48" s="17"/>
      <c r="HF48" s="17"/>
      <c r="HG48" s="17"/>
      <c r="HH48" s="17"/>
      <c r="HI48" s="17"/>
      <c r="HJ48" s="17"/>
      <c r="HK48" s="17"/>
      <c r="HL48" s="17"/>
      <c r="HM48" s="17"/>
      <c r="HN48" s="17"/>
      <c r="HO48" s="17"/>
      <c r="HP48" s="17"/>
      <c r="HQ48" s="17"/>
      <c r="HR48" s="17"/>
      <c r="HS48" s="17"/>
      <c r="HT48" s="17"/>
      <c r="HU48" s="17"/>
      <c r="HV48" s="17"/>
      <c r="HW48" s="17"/>
      <c r="HX48" s="17"/>
      <c r="HY48" s="17"/>
      <c r="HZ48" s="17"/>
      <c r="IA48" s="17"/>
      <c r="IB48" s="17"/>
      <c r="IC48" s="17"/>
      <c r="ID48" s="17"/>
      <c r="IE48" s="17"/>
      <c r="IF48" s="17"/>
      <c r="IG48" s="17"/>
    </row>
    <row r="49" spans="1:241" ht="16.5" customHeight="1" x14ac:dyDescent="0.25">
      <c r="A49" s="47">
        <v>44</v>
      </c>
      <c r="B49" s="43" t="s">
        <v>72</v>
      </c>
      <c r="C49" s="43" t="s">
        <v>71</v>
      </c>
      <c r="D49" s="50"/>
      <c r="E49" s="50"/>
      <c r="F49" s="50">
        <v>16309060482.969999</v>
      </c>
      <c r="G49" s="50"/>
      <c r="H49" s="50"/>
      <c r="I49" s="50"/>
      <c r="J49" s="50">
        <v>16309060482.969999</v>
      </c>
      <c r="K49" s="50">
        <v>159037706.56</v>
      </c>
      <c r="L49" s="50">
        <v>19471215.75</v>
      </c>
      <c r="M49" s="52">
        <v>139566490.81</v>
      </c>
      <c r="N49" s="65">
        <v>16499291476.280001</v>
      </c>
      <c r="O49" s="65">
        <v>19471215.75</v>
      </c>
      <c r="P49" s="69">
        <v>16440303069.200001</v>
      </c>
      <c r="Q49" s="55">
        <f t="shared" si="11"/>
        <v>2.5028093774168911E-2</v>
      </c>
      <c r="R49" s="69">
        <v>16479820260.530001</v>
      </c>
      <c r="S49" s="55">
        <f t="shared" si="12"/>
        <v>2.8487884448851083E-2</v>
      </c>
      <c r="T49" s="56">
        <f t="shared" si="18"/>
        <v>2.4036777888865805E-3</v>
      </c>
      <c r="U49" s="57">
        <f t="shared" si="19"/>
        <v>1.18151869633157E-3</v>
      </c>
      <c r="V49" s="58">
        <f t="shared" si="20"/>
        <v>8.4689328283675987E-3</v>
      </c>
      <c r="W49" s="59">
        <f t="shared" si="21"/>
        <v>1.0102374960954372</v>
      </c>
      <c r="X49" s="59">
        <f t="shared" si="22"/>
        <v>8.555633495130532E-3</v>
      </c>
      <c r="Y49" s="65">
        <v>1</v>
      </c>
      <c r="Z49" s="65">
        <v>1</v>
      </c>
      <c r="AA49" s="60">
        <v>2626</v>
      </c>
      <c r="AB49" s="60">
        <v>16131419864.57</v>
      </c>
      <c r="AC49" s="60">
        <v>1669867075.71</v>
      </c>
      <c r="AD49" s="60">
        <v>1488469088.8099999</v>
      </c>
      <c r="AE49" s="50">
        <v>16312817851.469999</v>
      </c>
      <c r="AF49" s="5"/>
    </row>
    <row r="50" spans="1:241" ht="16.5" customHeight="1" x14ac:dyDescent="0.25">
      <c r="A50" s="94" t="s">
        <v>88</v>
      </c>
      <c r="B50" s="23"/>
      <c r="C50" s="73" t="s">
        <v>50</v>
      </c>
      <c r="D50" s="74"/>
      <c r="E50" s="74"/>
      <c r="F50" s="74">
        <f>SUM(F21:F49)</f>
        <v>457516277881.49994</v>
      </c>
      <c r="G50" s="74"/>
      <c r="H50" s="74"/>
      <c r="I50" s="74">
        <f t="shared" ref="I50:O50" si="23">SUM(I21:I49)</f>
        <v>59429854.210000008</v>
      </c>
      <c r="J50" s="74">
        <f t="shared" si="23"/>
        <v>489049759063.93994</v>
      </c>
      <c r="K50" s="74">
        <f t="shared" si="23"/>
        <v>5879163655.3400011</v>
      </c>
      <c r="L50" s="74">
        <f t="shared" si="23"/>
        <v>908345732.91999996</v>
      </c>
      <c r="M50" s="74">
        <f t="shared" si="23"/>
        <v>4970709243.8500013</v>
      </c>
      <c r="N50" s="74">
        <f t="shared" si="23"/>
        <v>583367376305.21997</v>
      </c>
      <c r="O50" s="74">
        <f t="shared" si="23"/>
        <v>5900764302.3899994</v>
      </c>
      <c r="P50" s="96">
        <f>SUM(P21:P49)</f>
        <v>656873960020.39001</v>
      </c>
      <c r="Q50" s="76">
        <f>(P50/$P$153)</f>
        <v>0.44255355059733842</v>
      </c>
      <c r="R50" s="96">
        <f>SUM(R21:R49)</f>
        <v>578485225539.26013</v>
      </c>
      <c r="S50" s="76">
        <f>(R50/$R$153)</f>
        <v>0.42085717654654792</v>
      </c>
      <c r="T50" s="77">
        <f t="shared" si="13"/>
        <v>-0.11933603590968443</v>
      </c>
      <c r="U50" s="78"/>
      <c r="V50" s="79"/>
      <c r="W50" s="80"/>
      <c r="X50" s="80"/>
      <c r="Y50" s="74"/>
      <c r="Z50" s="74"/>
      <c r="AA50" s="81">
        <f>SUM(AA21:AA49)</f>
        <v>219597</v>
      </c>
      <c r="AB50" s="81"/>
      <c r="AC50" s="81"/>
      <c r="AD50" s="81"/>
      <c r="AE50" s="74"/>
      <c r="AF50" s="5"/>
    </row>
    <row r="51" spans="1:241" ht="16.5" customHeight="1" x14ac:dyDescent="0.25">
      <c r="A51" s="152" t="s">
        <v>177</v>
      </c>
      <c r="B51" s="153"/>
      <c r="C51" s="153"/>
      <c r="D51" s="153"/>
      <c r="E51" s="153"/>
      <c r="F51" s="153"/>
      <c r="G51" s="153"/>
      <c r="H51" s="153"/>
      <c r="I51" s="153"/>
      <c r="J51" s="153"/>
      <c r="K51" s="153"/>
      <c r="L51" s="153"/>
      <c r="M51" s="153"/>
      <c r="N51" s="153"/>
      <c r="O51" s="153"/>
      <c r="P51" s="153"/>
      <c r="Q51" s="153"/>
      <c r="R51" s="153"/>
      <c r="S51" s="153"/>
      <c r="T51" s="153"/>
      <c r="U51" s="153"/>
      <c r="V51" s="153"/>
      <c r="W51" s="153"/>
      <c r="X51" s="153"/>
      <c r="Y51" s="153"/>
      <c r="Z51" s="153"/>
      <c r="AA51" s="153"/>
      <c r="AB51" s="153"/>
      <c r="AC51" s="153"/>
      <c r="AD51" s="153"/>
      <c r="AE51" s="154"/>
      <c r="AF51" s="5"/>
    </row>
    <row r="52" spans="1:241" ht="16.5" customHeight="1" x14ac:dyDescent="0.25">
      <c r="A52" s="47">
        <v>45</v>
      </c>
      <c r="B52" s="43" t="s">
        <v>115</v>
      </c>
      <c r="C52" s="43" t="s">
        <v>48</v>
      </c>
      <c r="D52" s="65"/>
      <c r="E52" s="65"/>
      <c r="F52" s="65">
        <v>73494395.430000007</v>
      </c>
      <c r="G52" s="65">
        <v>329576280.47000003</v>
      </c>
      <c r="H52" s="65"/>
      <c r="I52" s="65"/>
      <c r="J52" s="65">
        <v>403070675.89999998</v>
      </c>
      <c r="K52" s="65">
        <v>4437822.22</v>
      </c>
      <c r="L52" s="65">
        <v>611642.59</v>
      </c>
      <c r="M52" s="52">
        <v>3826179.63</v>
      </c>
      <c r="N52" s="65">
        <v>411220074.25999999</v>
      </c>
      <c r="O52" s="65">
        <v>611642.59</v>
      </c>
      <c r="P52" s="69">
        <v>420640711.49000001</v>
      </c>
      <c r="Q52" s="55">
        <f t="shared" ref="Q52:Q81" si="24">(P52/$P$82)</f>
        <v>1.103466708044366E-3</v>
      </c>
      <c r="R52" s="69">
        <v>410608431.67000002</v>
      </c>
      <c r="S52" s="55">
        <f t="shared" ref="S52:S81" si="25">(R52/$R$82)</f>
        <v>1.1332470265583634E-3</v>
      </c>
      <c r="T52" s="56">
        <f t="shared" ref="T52:T82" si="26">((R52-P52)/P52)</f>
        <v>-2.3849997268365911E-2</v>
      </c>
      <c r="U52" s="57">
        <f>(L52/R52)</f>
        <v>1.4896006580097901E-3</v>
      </c>
      <c r="V52" s="58">
        <f>M52/R52</f>
        <v>9.3183172455529231E-3</v>
      </c>
      <c r="W52" s="59">
        <f>R52/AE52</f>
        <v>1.1549251944642074</v>
      </c>
      <c r="X52" s="59">
        <f>M52/AE52</f>
        <v>1.0761959356899387E-2</v>
      </c>
      <c r="Y52" s="97">
        <v>1.1499999999999999</v>
      </c>
      <c r="Z52" s="97">
        <v>1.1499999999999999</v>
      </c>
      <c r="AA52" s="60">
        <v>338</v>
      </c>
      <c r="AB52" s="60">
        <v>356127241.45000005</v>
      </c>
      <c r="AC52" s="60"/>
      <c r="AD52" s="60">
        <v>599079.42000000004</v>
      </c>
      <c r="AE52" s="50">
        <v>355528162.03000003</v>
      </c>
      <c r="AF52" s="5"/>
    </row>
    <row r="53" spans="1:241" ht="16.5" customHeight="1" x14ac:dyDescent="0.25">
      <c r="A53" s="47">
        <v>46</v>
      </c>
      <c r="B53" s="43" t="s">
        <v>117</v>
      </c>
      <c r="C53" s="44" t="s">
        <v>35</v>
      </c>
      <c r="D53" s="65"/>
      <c r="E53" s="65"/>
      <c r="F53" s="65">
        <v>59850537.259999998</v>
      </c>
      <c r="G53" s="65">
        <v>885543427.85000002</v>
      </c>
      <c r="H53" s="65"/>
      <c r="I53" s="65"/>
      <c r="J53" s="65">
        <v>945393965.11000001</v>
      </c>
      <c r="K53" s="65">
        <v>6727445.2400000002</v>
      </c>
      <c r="L53" s="65">
        <v>2865698.81</v>
      </c>
      <c r="M53" s="52">
        <v>3861746.43</v>
      </c>
      <c r="N53" s="65">
        <v>985951146</v>
      </c>
      <c r="O53" s="65">
        <v>38830285</v>
      </c>
      <c r="P53" s="69">
        <v>961070986</v>
      </c>
      <c r="Q53" s="55">
        <f t="shared" si="24"/>
        <v>2.5211773567085758E-3</v>
      </c>
      <c r="R53" s="69">
        <v>947120860</v>
      </c>
      <c r="S53" s="55">
        <f t="shared" ref="S53:S82" si="27">(R53/$R$82)</f>
        <v>2.6139791967277792E-3</v>
      </c>
      <c r="T53" s="56">
        <f t="shared" ref="T53:T82" si="28">((R53-P53)/P53)</f>
        <v>-1.4515187955117397E-2</v>
      </c>
      <c r="U53" s="57">
        <f t="shared" ref="U53:U82" si="29">(L53/R53)</f>
        <v>3.0256949572412544E-3</v>
      </c>
      <c r="V53" s="58">
        <f t="shared" ref="V53:V82" si="30">M53/R53</f>
        <v>4.0773533696639311E-3</v>
      </c>
      <c r="W53" s="59">
        <f t="shared" ref="W53:W82" si="31">R53/AE53</f>
        <v>1.0648516507573622</v>
      </c>
      <c r="X53" s="59">
        <f t="shared" ref="X53:X82" si="32">M53/AE53</f>
        <v>4.3417764664077296E-3</v>
      </c>
      <c r="Y53" s="97">
        <v>1.0649</v>
      </c>
      <c r="Z53" s="97">
        <v>1.0649</v>
      </c>
      <c r="AA53" s="60">
        <v>249</v>
      </c>
      <c r="AB53" s="50">
        <v>905985672</v>
      </c>
      <c r="AC53" s="50">
        <v>5840521</v>
      </c>
      <c r="AD53" s="60">
        <v>22386937</v>
      </c>
      <c r="AE53" s="50">
        <v>889439256</v>
      </c>
      <c r="AF53" s="5"/>
    </row>
    <row r="54" spans="1:241" ht="16.5" customHeight="1" x14ac:dyDescent="0.25">
      <c r="A54" s="47">
        <v>47</v>
      </c>
      <c r="B54" s="43" t="s">
        <v>201</v>
      </c>
      <c r="C54" s="43" t="s">
        <v>200</v>
      </c>
      <c r="D54" s="65"/>
      <c r="E54" s="65"/>
      <c r="F54" s="65">
        <v>58974183.189999998</v>
      </c>
      <c r="G54" s="65">
        <v>651079414.62</v>
      </c>
      <c r="H54" s="65"/>
      <c r="I54" s="65"/>
      <c r="J54" s="65">
        <v>710053597.80999994</v>
      </c>
      <c r="K54" s="65">
        <v>6954011.9400000004</v>
      </c>
      <c r="L54" s="65">
        <v>1721077.64</v>
      </c>
      <c r="M54" s="52">
        <v>5232934.3</v>
      </c>
      <c r="N54" s="65">
        <v>916780757</v>
      </c>
      <c r="O54" s="65">
        <v>2917869</v>
      </c>
      <c r="P54" s="69">
        <v>932949031</v>
      </c>
      <c r="Q54" s="55">
        <f t="shared" si="24"/>
        <v>2.4474050368641625E-3</v>
      </c>
      <c r="R54" s="69">
        <v>913862887</v>
      </c>
      <c r="S54" s="55">
        <f t="shared" si="27"/>
        <v>2.5221898029778264E-3</v>
      </c>
      <c r="T54" s="56">
        <f t="shared" si="28"/>
        <v>-2.0457863576472272E-2</v>
      </c>
      <c r="U54" s="57">
        <f t="shared" si="29"/>
        <v>1.8832996333289108E-3</v>
      </c>
      <c r="V54" s="58">
        <f t="shared" si="30"/>
        <v>5.7261700572812518E-3</v>
      </c>
      <c r="W54" s="59">
        <f t="shared" si="31"/>
        <v>1.0252443137836413</v>
      </c>
      <c r="X54" s="59">
        <f t="shared" si="32"/>
        <v>5.8707232909857516E-3</v>
      </c>
      <c r="Y54" s="97">
        <v>1.0251999999999999</v>
      </c>
      <c r="Z54" s="97">
        <v>1.0251999999999999</v>
      </c>
      <c r="AA54" s="60">
        <v>34</v>
      </c>
      <c r="AB54" s="60">
        <v>915153295</v>
      </c>
      <c r="AC54" s="60">
        <v>19756</v>
      </c>
      <c r="AD54" s="60">
        <v>23811963</v>
      </c>
      <c r="AE54" s="50">
        <v>891361088</v>
      </c>
      <c r="AF54" s="5"/>
    </row>
    <row r="55" spans="1:241" ht="16.5" customHeight="1" x14ac:dyDescent="0.25">
      <c r="A55" s="47">
        <v>48</v>
      </c>
      <c r="B55" s="43" t="s">
        <v>147</v>
      </c>
      <c r="C55" s="44" t="s">
        <v>118</v>
      </c>
      <c r="D55" s="65"/>
      <c r="E55" s="65"/>
      <c r="F55" s="65">
        <v>0</v>
      </c>
      <c r="G55" s="65">
        <v>228315750.62</v>
      </c>
      <c r="H55" s="98"/>
      <c r="I55" s="99">
        <v>0</v>
      </c>
      <c r="J55" s="65">
        <v>228315750.62</v>
      </c>
      <c r="K55" s="99">
        <v>2777974.62</v>
      </c>
      <c r="L55" s="65">
        <v>392403.08</v>
      </c>
      <c r="M55" s="52">
        <v>2385571.54</v>
      </c>
      <c r="N55" s="65">
        <v>251362659.72</v>
      </c>
      <c r="O55" s="65">
        <v>10245958.310000001</v>
      </c>
      <c r="P55" s="69">
        <v>246078244.86000001</v>
      </c>
      <c r="Q55" s="55">
        <f t="shared" si="24"/>
        <v>6.455370185523637E-4</v>
      </c>
      <c r="R55" s="69">
        <v>241116701.41</v>
      </c>
      <c r="S55" s="55">
        <f t="shared" si="27"/>
        <v>6.6546316113168876E-4</v>
      </c>
      <c r="T55" s="56">
        <f t="shared" si="28"/>
        <v>-2.0162462767981632E-2</v>
      </c>
      <c r="U55" s="57">
        <f t="shared" si="29"/>
        <v>1.6274404788440989E-3</v>
      </c>
      <c r="V55" s="58">
        <f t="shared" si="30"/>
        <v>9.8938461170448872E-3</v>
      </c>
      <c r="W55" s="59">
        <f t="shared" si="31"/>
        <v>1071.7726870693871</v>
      </c>
      <c r="X55" s="59">
        <f t="shared" si="32"/>
        <v>10.603954038316219</v>
      </c>
      <c r="Y55" s="97">
        <v>1071.77</v>
      </c>
      <c r="Z55" s="97">
        <v>1071.77</v>
      </c>
      <c r="AA55" s="60">
        <v>114</v>
      </c>
      <c r="AB55" s="60">
        <v>224910</v>
      </c>
      <c r="AC55" s="60">
        <v>440</v>
      </c>
      <c r="AD55" s="60">
        <v>380</v>
      </c>
      <c r="AE55" s="50">
        <v>224970</v>
      </c>
      <c r="AF55" s="5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7"/>
      <c r="BK55" s="17"/>
      <c r="BL55" s="17"/>
      <c r="BM55" s="17"/>
      <c r="BN55" s="17"/>
      <c r="BO55" s="17"/>
      <c r="BP55" s="17"/>
      <c r="BQ55" s="17"/>
      <c r="BR55" s="17"/>
      <c r="BS55" s="17"/>
      <c r="BT55" s="17"/>
      <c r="BU55" s="17"/>
      <c r="BV55" s="17"/>
      <c r="BW55" s="17"/>
      <c r="BX55" s="17"/>
      <c r="BY55" s="17"/>
      <c r="BZ55" s="17"/>
      <c r="CA55" s="17"/>
      <c r="CB55" s="17"/>
      <c r="CC55" s="17"/>
      <c r="CD55" s="17"/>
      <c r="CE55" s="17"/>
      <c r="CF55" s="17"/>
      <c r="CG55" s="17"/>
      <c r="CH55" s="17"/>
      <c r="CI55" s="17"/>
      <c r="CJ55" s="17"/>
      <c r="CK55" s="17"/>
      <c r="CL55" s="17"/>
      <c r="CM55" s="17"/>
      <c r="CN55" s="17"/>
      <c r="CO55" s="17"/>
      <c r="CP55" s="17"/>
      <c r="CQ55" s="17"/>
      <c r="CR55" s="17"/>
      <c r="CS55" s="17"/>
      <c r="CT55" s="17"/>
      <c r="CU55" s="17"/>
      <c r="CV55" s="17"/>
      <c r="CW55" s="17"/>
      <c r="CX55" s="17"/>
      <c r="CY55" s="17"/>
      <c r="CZ55" s="17"/>
      <c r="DA55" s="17"/>
      <c r="DB55" s="17"/>
      <c r="DC55" s="17"/>
      <c r="DD55" s="17"/>
      <c r="DE55" s="17"/>
      <c r="DF55" s="17"/>
      <c r="DG55" s="17"/>
      <c r="DH55" s="17"/>
      <c r="DI55" s="17"/>
      <c r="DJ55" s="17"/>
      <c r="DK55" s="17"/>
      <c r="DL55" s="17"/>
      <c r="DM55" s="17"/>
      <c r="DN55" s="17"/>
      <c r="DO55" s="17"/>
      <c r="DP55" s="17"/>
      <c r="DQ55" s="17"/>
      <c r="DR55" s="17"/>
      <c r="DS55" s="17"/>
      <c r="DT55" s="17"/>
      <c r="DU55" s="17"/>
      <c r="DV55" s="17"/>
      <c r="DW55" s="17"/>
      <c r="DX55" s="17"/>
      <c r="DY55" s="17"/>
      <c r="DZ55" s="17"/>
      <c r="EA55" s="17"/>
      <c r="EB55" s="17"/>
      <c r="EC55" s="17"/>
      <c r="ED55" s="17"/>
      <c r="EE55" s="17"/>
      <c r="EF55" s="17"/>
      <c r="EG55" s="17"/>
      <c r="EH55" s="17"/>
      <c r="EI55" s="17"/>
      <c r="EJ55" s="17"/>
      <c r="EK55" s="17"/>
      <c r="EL55" s="17"/>
      <c r="EM55" s="17"/>
      <c r="EN55" s="17"/>
      <c r="EO55" s="17"/>
      <c r="EP55" s="17"/>
      <c r="EQ55" s="17"/>
      <c r="ER55" s="17"/>
      <c r="ES55" s="17"/>
      <c r="ET55" s="17"/>
      <c r="EU55" s="17"/>
      <c r="EV55" s="17"/>
      <c r="EW55" s="17"/>
      <c r="EX55" s="17"/>
      <c r="EY55" s="17"/>
      <c r="EZ55" s="17"/>
      <c r="FA55" s="17"/>
      <c r="FB55" s="17"/>
      <c r="FC55" s="17"/>
      <c r="FD55" s="17"/>
      <c r="FE55" s="17"/>
      <c r="FF55" s="17"/>
      <c r="FG55" s="17"/>
      <c r="FH55" s="17"/>
      <c r="FI55" s="17"/>
      <c r="FJ55" s="17"/>
      <c r="FK55" s="17"/>
      <c r="FL55" s="17"/>
      <c r="FM55" s="17"/>
      <c r="FN55" s="17"/>
      <c r="FO55" s="17"/>
      <c r="FP55" s="17"/>
      <c r="FQ55" s="17"/>
      <c r="FR55" s="17"/>
      <c r="FS55" s="17"/>
      <c r="FT55" s="17"/>
      <c r="FU55" s="17"/>
      <c r="FV55" s="17"/>
      <c r="FW55" s="17"/>
      <c r="FX55" s="17"/>
      <c r="FY55" s="17"/>
      <c r="FZ55" s="17"/>
      <c r="GA55" s="17"/>
      <c r="GB55" s="17"/>
      <c r="GC55" s="17"/>
      <c r="GD55" s="17"/>
      <c r="GE55" s="17"/>
      <c r="GF55" s="17"/>
      <c r="GG55" s="17"/>
      <c r="GH55" s="17"/>
      <c r="GI55" s="17"/>
      <c r="GJ55" s="17"/>
      <c r="GK55" s="17"/>
      <c r="GL55" s="17"/>
      <c r="GM55" s="17"/>
      <c r="GN55" s="17"/>
      <c r="GO55" s="17"/>
      <c r="GP55" s="17"/>
      <c r="GQ55" s="17"/>
      <c r="GR55" s="17"/>
      <c r="GS55" s="17"/>
      <c r="GT55" s="17"/>
      <c r="GU55" s="17"/>
      <c r="GV55" s="17"/>
      <c r="GW55" s="17"/>
      <c r="GX55" s="17"/>
      <c r="GY55" s="17"/>
      <c r="GZ55" s="17"/>
      <c r="HA55" s="17"/>
      <c r="HB55" s="17"/>
      <c r="HC55" s="17"/>
      <c r="HD55" s="17"/>
      <c r="HE55" s="17"/>
      <c r="HF55" s="17"/>
      <c r="HG55" s="17"/>
      <c r="HH55" s="17"/>
      <c r="HI55" s="17"/>
      <c r="HJ55" s="17"/>
      <c r="HK55" s="17"/>
      <c r="HL55" s="17"/>
      <c r="HM55" s="17"/>
      <c r="HN55" s="17"/>
      <c r="HO55" s="17"/>
      <c r="HP55" s="17"/>
      <c r="HQ55" s="17"/>
      <c r="HR55" s="17"/>
      <c r="HS55" s="17"/>
      <c r="HT55" s="17"/>
      <c r="HU55" s="17"/>
      <c r="HV55" s="17"/>
      <c r="HW55" s="17"/>
      <c r="HX55" s="17"/>
      <c r="HY55" s="17"/>
      <c r="HZ55" s="17"/>
      <c r="IA55" s="17"/>
      <c r="IB55" s="17"/>
      <c r="IC55" s="17"/>
      <c r="ID55" s="17"/>
      <c r="IE55" s="17"/>
      <c r="IF55" s="17"/>
      <c r="IG55" s="17"/>
    </row>
    <row r="56" spans="1:241" ht="16.5" customHeight="1" x14ac:dyDescent="0.25">
      <c r="A56" s="47">
        <v>49</v>
      </c>
      <c r="B56" s="43" t="s">
        <v>145</v>
      </c>
      <c r="C56" s="44" t="s">
        <v>144</v>
      </c>
      <c r="D56" s="65"/>
      <c r="E56" s="65"/>
      <c r="F56" s="65">
        <v>141971410.44999999</v>
      </c>
      <c r="G56" s="65">
        <v>1027514839.7</v>
      </c>
      <c r="H56" s="65"/>
      <c r="I56" s="65"/>
      <c r="J56" s="65">
        <v>1169486250.1400001</v>
      </c>
      <c r="K56" s="65">
        <v>12150439.82</v>
      </c>
      <c r="L56" s="65">
        <v>1982351.2</v>
      </c>
      <c r="M56" s="52">
        <v>10168088.619999999</v>
      </c>
      <c r="N56" s="65">
        <v>1397128789.51</v>
      </c>
      <c r="O56" s="65">
        <v>3749068.51</v>
      </c>
      <c r="P56" s="69">
        <v>1400354010.4000001</v>
      </c>
      <c r="Q56" s="55">
        <f t="shared" si="24"/>
        <v>3.6735484410893721E-3</v>
      </c>
      <c r="R56" s="69">
        <v>1393379721</v>
      </c>
      <c r="S56" s="55">
        <f t="shared" si="27"/>
        <v>3.8456186086286365E-3</v>
      </c>
      <c r="T56" s="56">
        <f t="shared" si="28"/>
        <v>-4.980375925090502E-3</v>
      </c>
      <c r="U56" s="57">
        <f t="shared" si="29"/>
        <v>1.4226927305769222E-3</v>
      </c>
      <c r="V56" s="58">
        <f t="shared" si="30"/>
        <v>7.2974283081302278E-3</v>
      </c>
      <c r="W56" s="59">
        <f t="shared" si="31"/>
        <v>1.0277522487959128</v>
      </c>
      <c r="X56" s="59">
        <f t="shared" si="32"/>
        <v>7.4999483541077945E-3</v>
      </c>
      <c r="Y56" s="97">
        <v>1.0275000000000001</v>
      </c>
      <c r="Z56" s="97">
        <v>1.0275000000000001</v>
      </c>
      <c r="AA56" s="60">
        <v>676</v>
      </c>
      <c r="AB56" s="60">
        <v>1372525279.3699999</v>
      </c>
      <c r="AC56" s="60">
        <v>25169785.949999999</v>
      </c>
      <c r="AD56" s="60">
        <v>41940580.100000001</v>
      </c>
      <c r="AE56" s="50">
        <v>1355754485.22</v>
      </c>
      <c r="AF56" s="5"/>
    </row>
    <row r="57" spans="1:241" ht="16.5" customHeight="1" x14ac:dyDescent="0.25">
      <c r="A57" s="47">
        <v>50</v>
      </c>
      <c r="B57" s="43" t="s">
        <v>99</v>
      </c>
      <c r="C57" s="43" t="s">
        <v>98</v>
      </c>
      <c r="D57" s="65"/>
      <c r="E57" s="65"/>
      <c r="F57" s="65">
        <v>51884922.259999998</v>
      </c>
      <c r="G57" s="65">
        <v>386468214.88</v>
      </c>
      <c r="H57" s="65"/>
      <c r="I57" s="65"/>
      <c r="J57" s="65">
        <v>438353137.13999999</v>
      </c>
      <c r="K57" s="65">
        <v>2964260.87</v>
      </c>
      <c r="L57" s="65">
        <v>826651.09</v>
      </c>
      <c r="M57" s="52">
        <v>2137609.7799999998</v>
      </c>
      <c r="N57" s="65">
        <v>446949727.63999999</v>
      </c>
      <c r="O57" s="65">
        <v>21106878.73</v>
      </c>
      <c r="P57" s="69">
        <v>432055835.97000003</v>
      </c>
      <c r="Q57" s="55">
        <f t="shared" si="24"/>
        <v>1.1334120021820725E-3</v>
      </c>
      <c r="R57" s="69">
        <v>425842848.91000003</v>
      </c>
      <c r="S57" s="55">
        <f t="shared" si="27"/>
        <v>1.1752928217904851E-3</v>
      </c>
      <c r="T57" s="56">
        <f t="shared" si="28"/>
        <v>-1.4380055869518226E-2</v>
      </c>
      <c r="U57" s="57">
        <f t="shared" si="29"/>
        <v>1.941211627988871E-3</v>
      </c>
      <c r="V57" s="58">
        <f t="shared" si="30"/>
        <v>5.0197151025818303E-3</v>
      </c>
      <c r="W57" s="59">
        <f t="shared" si="31"/>
        <v>2.1594717756245894</v>
      </c>
      <c r="X57" s="59">
        <f t="shared" si="32"/>
        <v>1.0839933085701954E-2</v>
      </c>
      <c r="Y57" s="97">
        <v>2.089</v>
      </c>
      <c r="Z57" s="97">
        <v>2.089</v>
      </c>
      <c r="AA57" s="60">
        <v>1407</v>
      </c>
      <c r="AB57" s="60">
        <v>201187231.8725</v>
      </c>
      <c r="AC57" s="60">
        <v>15657.08</v>
      </c>
      <c r="AD57" s="60">
        <v>4005197.5</v>
      </c>
      <c r="AE57" s="50">
        <v>197197691.45249999</v>
      </c>
      <c r="AF57" s="5"/>
    </row>
    <row r="58" spans="1:241" ht="16.5" customHeight="1" x14ac:dyDescent="0.25">
      <c r="A58" s="47">
        <v>51</v>
      </c>
      <c r="B58" s="43" t="s">
        <v>183</v>
      </c>
      <c r="C58" s="43" t="s">
        <v>29</v>
      </c>
      <c r="D58" s="65"/>
      <c r="E58" s="65"/>
      <c r="F58" s="65">
        <v>518039613.31</v>
      </c>
      <c r="G58" s="65">
        <v>2676092297.7199998</v>
      </c>
      <c r="H58" s="65"/>
      <c r="I58" s="100"/>
      <c r="J58" s="65">
        <v>3200389696.8600001</v>
      </c>
      <c r="K58" s="65">
        <v>29885106.16</v>
      </c>
      <c r="L58" s="65">
        <v>5248091.91</v>
      </c>
      <c r="M58" s="52">
        <v>24637014.260000002</v>
      </c>
      <c r="N58" s="65">
        <v>3200389696.8600001</v>
      </c>
      <c r="O58" s="65">
        <v>7318399.2400000002</v>
      </c>
      <c r="P58" s="69">
        <v>2927955274.96</v>
      </c>
      <c r="Q58" s="55">
        <f t="shared" si="24"/>
        <v>7.6809045827178728E-3</v>
      </c>
      <c r="R58" s="69">
        <v>3193071297.6199999</v>
      </c>
      <c r="S58" s="55">
        <f t="shared" si="27"/>
        <v>8.8126260313253543E-3</v>
      </c>
      <c r="T58" s="56">
        <f t="shared" si="28"/>
        <v>9.05464727987082E-2</v>
      </c>
      <c r="U58" s="57">
        <f t="shared" si="29"/>
        <v>1.6435874494602543E-3</v>
      </c>
      <c r="V58" s="58">
        <f t="shared" si="30"/>
        <v>7.7157732990063652E-3</v>
      </c>
      <c r="W58" s="59">
        <f t="shared" si="31"/>
        <v>108.08882033893026</v>
      </c>
      <c r="X58" s="59">
        <f t="shared" si="32"/>
        <v>0.83398883389221423</v>
      </c>
      <c r="Y58" s="97">
        <v>108.08</v>
      </c>
      <c r="Z58" s="97">
        <v>108.08</v>
      </c>
      <c r="AA58" s="60">
        <v>108</v>
      </c>
      <c r="AB58" s="60">
        <v>27309587</v>
      </c>
      <c r="AC58" s="60">
        <v>2433116</v>
      </c>
      <c r="AD58" s="60">
        <v>201523</v>
      </c>
      <c r="AE58" s="50">
        <v>29541180</v>
      </c>
      <c r="AF58" s="5"/>
    </row>
    <row r="59" spans="1:241" ht="16.5" customHeight="1" x14ac:dyDescent="0.25">
      <c r="A59" s="47">
        <v>52</v>
      </c>
      <c r="B59" s="44" t="s">
        <v>95</v>
      </c>
      <c r="C59" s="43" t="s">
        <v>79</v>
      </c>
      <c r="D59" s="65"/>
      <c r="E59" s="65"/>
      <c r="F59" s="65">
        <v>576738726.64999998</v>
      </c>
      <c r="G59" s="65">
        <v>2086896178.4300001</v>
      </c>
      <c r="H59" s="65"/>
      <c r="I59" s="65"/>
      <c r="J59" s="65">
        <v>2663634905.0900002</v>
      </c>
      <c r="K59" s="65">
        <v>24603646</v>
      </c>
      <c r="L59" s="65">
        <v>5039277.49</v>
      </c>
      <c r="M59" s="52">
        <v>19564368.510000002</v>
      </c>
      <c r="N59" s="65">
        <v>2850389784.3200002</v>
      </c>
      <c r="O59" s="65">
        <v>42151675.229999997</v>
      </c>
      <c r="P59" s="69">
        <v>2805337042.1999998</v>
      </c>
      <c r="Q59" s="55">
        <f t="shared" si="24"/>
        <v>7.3592401932425517E-3</v>
      </c>
      <c r="R59" s="69">
        <v>2808238109.0999999</v>
      </c>
      <c r="S59" s="55">
        <f t="shared" si="27"/>
        <v>7.7505166517455393E-3</v>
      </c>
      <c r="T59" s="56">
        <f t="shared" si="28"/>
        <v>1.0341241912683056E-3</v>
      </c>
      <c r="U59" s="57">
        <f t="shared" si="29"/>
        <v>1.7944623262786702E-3</v>
      </c>
      <c r="V59" s="58">
        <f t="shared" si="30"/>
        <v>6.9667769433803825E-3</v>
      </c>
      <c r="W59" s="59">
        <f t="shared" si="31"/>
        <v>3657.7856342151722</v>
      </c>
      <c r="X59" s="59">
        <f t="shared" si="32"/>
        <v>25.482976620278251</v>
      </c>
      <c r="Y59" s="97">
        <v>3657.79</v>
      </c>
      <c r="Z59" s="97">
        <v>3657.79</v>
      </c>
      <c r="AA59" s="60">
        <v>1069</v>
      </c>
      <c r="AB59" s="60">
        <v>772249.74</v>
      </c>
      <c r="AC59" s="60">
        <v>3775.17</v>
      </c>
      <c r="AD59" s="60">
        <v>8282.24</v>
      </c>
      <c r="AE59" s="50">
        <v>767742.67</v>
      </c>
      <c r="AF59" s="5"/>
      <c r="AG59" s="17"/>
      <c r="AH59" s="17"/>
      <c r="AI59" s="17"/>
      <c r="AJ59" s="17"/>
      <c r="AK59" s="17"/>
      <c r="AL59" s="17"/>
      <c r="AM59" s="17"/>
      <c r="AN59" s="17"/>
      <c r="AO59" s="17"/>
      <c r="AP59" s="17"/>
      <c r="AQ59" s="17"/>
      <c r="AR59" s="17"/>
      <c r="AS59" s="17"/>
      <c r="AT59" s="17"/>
      <c r="AU59" s="17"/>
      <c r="AV59" s="17"/>
      <c r="AW59" s="17"/>
      <c r="AX59" s="17"/>
      <c r="AY59" s="17"/>
      <c r="AZ59" s="17"/>
      <c r="BA59" s="17"/>
      <c r="BB59" s="17"/>
      <c r="BC59" s="17"/>
      <c r="BD59" s="17"/>
      <c r="BE59" s="17"/>
      <c r="BF59" s="17"/>
      <c r="BG59" s="17"/>
      <c r="BH59" s="17"/>
      <c r="BI59" s="17"/>
      <c r="BJ59" s="17"/>
      <c r="BK59" s="17"/>
      <c r="BL59" s="17"/>
      <c r="BM59" s="17"/>
      <c r="BN59" s="17"/>
      <c r="BO59" s="17"/>
      <c r="BP59" s="17"/>
      <c r="BQ59" s="17"/>
      <c r="BR59" s="17"/>
      <c r="BS59" s="17"/>
      <c r="BT59" s="17"/>
      <c r="BU59" s="17"/>
      <c r="BV59" s="17"/>
      <c r="BW59" s="17"/>
      <c r="BX59" s="17"/>
      <c r="BY59" s="17"/>
      <c r="BZ59" s="17"/>
      <c r="CA59" s="17"/>
      <c r="CB59" s="17"/>
      <c r="CC59" s="17"/>
      <c r="CD59" s="17"/>
      <c r="CE59" s="17"/>
      <c r="CF59" s="17"/>
      <c r="CG59" s="17"/>
      <c r="CH59" s="17"/>
      <c r="CI59" s="17"/>
      <c r="CJ59" s="17"/>
      <c r="CK59" s="17"/>
      <c r="CL59" s="17"/>
      <c r="CM59" s="17"/>
      <c r="CN59" s="17"/>
      <c r="CO59" s="17"/>
      <c r="CP59" s="17"/>
      <c r="CQ59" s="17"/>
      <c r="CR59" s="17"/>
      <c r="CS59" s="17"/>
      <c r="CT59" s="17"/>
      <c r="CU59" s="17"/>
      <c r="CV59" s="17"/>
      <c r="CW59" s="17"/>
      <c r="CX59" s="17"/>
      <c r="CY59" s="17"/>
      <c r="CZ59" s="17"/>
      <c r="DA59" s="17"/>
      <c r="DB59" s="17"/>
      <c r="DC59" s="17"/>
      <c r="DD59" s="17"/>
      <c r="DE59" s="17"/>
      <c r="DF59" s="17"/>
      <c r="DG59" s="17"/>
      <c r="DH59" s="17"/>
      <c r="DI59" s="17"/>
      <c r="DJ59" s="17"/>
      <c r="DK59" s="17"/>
      <c r="DL59" s="17"/>
      <c r="DM59" s="17"/>
      <c r="DN59" s="17"/>
      <c r="DO59" s="17"/>
      <c r="DP59" s="17"/>
      <c r="DQ59" s="17"/>
      <c r="DR59" s="17"/>
      <c r="DS59" s="17"/>
      <c r="DT59" s="17"/>
      <c r="DU59" s="17"/>
      <c r="DV59" s="17"/>
      <c r="DW59" s="17"/>
      <c r="DX59" s="17"/>
      <c r="DY59" s="17"/>
      <c r="DZ59" s="17"/>
      <c r="EA59" s="17"/>
      <c r="EB59" s="17"/>
      <c r="EC59" s="17"/>
      <c r="ED59" s="17"/>
      <c r="EE59" s="17"/>
      <c r="EF59" s="17"/>
      <c r="EG59" s="17"/>
      <c r="EH59" s="17"/>
      <c r="EI59" s="17"/>
      <c r="EJ59" s="17"/>
      <c r="EK59" s="17"/>
      <c r="EL59" s="17"/>
      <c r="EM59" s="17"/>
      <c r="EN59" s="17"/>
      <c r="EO59" s="17"/>
      <c r="EP59" s="17"/>
      <c r="EQ59" s="17"/>
      <c r="ER59" s="17"/>
      <c r="ES59" s="17"/>
      <c r="ET59" s="17"/>
      <c r="EU59" s="17"/>
      <c r="EV59" s="17"/>
      <c r="EW59" s="17"/>
      <c r="EX59" s="17"/>
      <c r="EY59" s="17"/>
      <c r="EZ59" s="17"/>
      <c r="FA59" s="17"/>
      <c r="FB59" s="17"/>
      <c r="FC59" s="17"/>
      <c r="FD59" s="17"/>
      <c r="FE59" s="17"/>
      <c r="FF59" s="17"/>
      <c r="FG59" s="17"/>
      <c r="FH59" s="17"/>
      <c r="FI59" s="17"/>
      <c r="FJ59" s="17"/>
      <c r="FK59" s="17"/>
      <c r="FL59" s="17"/>
      <c r="FM59" s="17"/>
      <c r="FN59" s="17"/>
      <c r="FO59" s="17"/>
      <c r="FP59" s="17"/>
      <c r="FQ59" s="17"/>
      <c r="FR59" s="17"/>
      <c r="FS59" s="17"/>
      <c r="FT59" s="17"/>
      <c r="FU59" s="17"/>
      <c r="FV59" s="17"/>
      <c r="FW59" s="17"/>
      <c r="FX59" s="17"/>
      <c r="FY59" s="17"/>
      <c r="FZ59" s="17"/>
      <c r="GA59" s="17"/>
      <c r="GB59" s="17"/>
      <c r="GC59" s="17"/>
      <c r="GD59" s="17"/>
      <c r="GE59" s="17"/>
      <c r="GF59" s="17"/>
      <c r="GG59" s="17"/>
      <c r="GH59" s="17"/>
      <c r="GI59" s="17"/>
      <c r="GJ59" s="17"/>
      <c r="GK59" s="17"/>
      <c r="GL59" s="17"/>
      <c r="GM59" s="17"/>
      <c r="GN59" s="17"/>
      <c r="GO59" s="17"/>
      <c r="GP59" s="17"/>
      <c r="GQ59" s="17"/>
      <c r="GR59" s="17"/>
      <c r="GS59" s="17"/>
      <c r="GT59" s="17"/>
      <c r="GU59" s="17"/>
      <c r="GV59" s="17"/>
      <c r="GW59" s="17"/>
      <c r="GX59" s="17"/>
      <c r="GY59" s="17"/>
      <c r="GZ59" s="17"/>
      <c r="HA59" s="17"/>
      <c r="HB59" s="17"/>
      <c r="HC59" s="17"/>
      <c r="HD59" s="17"/>
      <c r="HE59" s="17"/>
      <c r="HF59" s="17"/>
      <c r="HG59" s="17"/>
      <c r="HH59" s="17"/>
      <c r="HI59" s="17"/>
      <c r="HJ59" s="17"/>
      <c r="HK59" s="17"/>
      <c r="HL59" s="17"/>
      <c r="HM59" s="17"/>
      <c r="HN59" s="17"/>
      <c r="HO59" s="17"/>
      <c r="HP59" s="17"/>
      <c r="HQ59" s="17"/>
      <c r="HR59" s="17"/>
      <c r="HS59" s="17"/>
      <c r="HT59" s="17"/>
      <c r="HU59" s="17"/>
      <c r="HV59" s="17"/>
      <c r="HW59" s="17"/>
      <c r="HX59" s="17"/>
      <c r="HY59" s="17"/>
      <c r="HZ59" s="17"/>
      <c r="IA59" s="17"/>
      <c r="IB59" s="17"/>
      <c r="IC59" s="17"/>
      <c r="ID59" s="17"/>
      <c r="IE59" s="17"/>
      <c r="IF59" s="17"/>
      <c r="IG59" s="17"/>
    </row>
    <row r="60" spans="1:241" ht="16.5" customHeight="1" x14ac:dyDescent="0.25">
      <c r="A60" s="47">
        <v>53</v>
      </c>
      <c r="B60" s="43" t="s">
        <v>197</v>
      </c>
      <c r="C60" s="43" t="s">
        <v>63</v>
      </c>
      <c r="D60" s="65"/>
      <c r="E60" s="65"/>
      <c r="F60" s="65">
        <v>47485433.450000003</v>
      </c>
      <c r="G60" s="65">
        <v>275159900.99000001</v>
      </c>
      <c r="H60" s="65"/>
      <c r="I60" s="100"/>
      <c r="J60" s="65">
        <v>322645334.44</v>
      </c>
      <c r="K60" s="65">
        <v>3731766.61</v>
      </c>
      <c r="L60" s="65">
        <v>749103.06</v>
      </c>
      <c r="M60" s="101">
        <v>2982663.55</v>
      </c>
      <c r="N60" s="65">
        <v>376326047.29000002</v>
      </c>
      <c r="O60" s="65">
        <v>6324313.5999999996</v>
      </c>
      <c r="P60" s="69">
        <v>371406668.11000001</v>
      </c>
      <c r="Q60" s="55">
        <f t="shared" si="24"/>
        <v>9.743110502864657E-4</v>
      </c>
      <c r="R60" s="69">
        <v>370001733.69</v>
      </c>
      <c r="S60" s="55">
        <f t="shared" si="27"/>
        <v>1.0211757289548791E-3</v>
      </c>
      <c r="T60" s="56">
        <f t="shared" si="28"/>
        <v>-3.7827388160514E-3</v>
      </c>
      <c r="U60" s="57">
        <f t="shared" si="29"/>
        <v>2.0245933783316376E-3</v>
      </c>
      <c r="V60" s="58">
        <f t="shared" si="30"/>
        <v>8.0612150658163576E-3</v>
      </c>
      <c r="W60" s="59">
        <f t="shared" si="31"/>
        <v>103.07528797986197</v>
      </c>
      <c r="X60" s="59">
        <f t="shared" si="32"/>
        <v>0.83091206437662302</v>
      </c>
      <c r="Y60" s="97">
        <v>103.86</v>
      </c>
      <c r="Z60" s="97">
        <v>103.86</v>
      </c>
      <c r="AA60" s="102">
        <v>126</v>
      </c>
      <c r="AB60" s="60">
        <v>3616265</v>
      </c>
      <c r="AC60" s="60">
        <v>344940</v>
      </c>
      <c r="AD60" s="60">
        <v>371579</v>
      </c>
      <c r="AE60" s="50">
        <v>3589626</v>
      </c>
      <c r="AF60" s="5"/>
    </row>
    <row r="61" spans="1:241" ht="18" customHeight="1" x14ac:dyDescent="0.25">
      <c r="A61" s="47">
        <v>54</v>
      </c>
      <c r="B61" s="44" t="s">
        <v>113</v>
      </c>
      <c r="C61" s="44" t="s">
        <v>69</v>
      </c>
      <c r="D61" s="65"/>
      <c r="E61" s="65"/>
      <c r="F61" s="65">
        <v>46329460.140000001</v>
      </c>
      <c r="G61" s="65">
        <v>237284689.28999999</v>
      </c>
      <c r="H61" s="65"/>
      <c r="I61" s="65"/>
      <c r="J61" s="65">
        <v>283614149.43000001</v>
      </c>
      <c r="K61" s="65">
        <v>2579156.0499999998</v>
      </c>
      <c r="L61" s="65">
        <v>697590.89</v>
      </c>
      <c r="M61" s="52">
        <v>-6986569.4000000004</v>
      </c>
      <c r="N61" s="65">
        <v>328252228.31</v>
      </c>
      <c r="O61" s="65">
        <v>4037240.55</v>
      </c>
      <c r="P61" s="69">
        <v>331544999.63</v>
      </c>
      <c r="Q61" s="55">
        <f t="shared" si="24"/>
        <v>8.697419420349759E-4</v>
      </c>
      <c r="R61" s="69">
        <v>324214987.75999999</v>
      </c>
      <c r="S61" s="55">
        <f t="shared" si="27"/>
        <v>8.9480790579566749E-4</v>
      </c>
      <c r="T61" s="56">
        <f t="shared" si="28"/>
        <v>-2.2108648533925124E-2</v>
      </c>
      <c r="U61" s="57">
        <f t="shared" si="29"/>
        <v>2.1516306041853665E-3</v>
      </c>
      <c r="V61" s="58">
        <f t="shared" si="30"/>
        <v>-2.1549187001718147E-2</v>
      </c>
      <c r="W61" s="59">
        <f t="shared" si="31"/>
        <v>1.337459477236417</v>
      </c>
      <c r="X61" s="59">
        <f t="shared" si="32"/>
        <v>-2.8821164382187743E-2</v>
      </c>
      <c r="Y61" s="97">
        <v>1.3374999999999999</v>
      </c>
      <c r="Z61" s="97">
        <v>1.3374999999999999</v>
      </c>
      <c r="AA61" s="60">
        <v>247</v>
      </c>
      <c r="AB61" s="60">
        <v>242660277.74000001</v>
      </c>
      <c r="AC61" s="60">
        <v>509516.38</v>
      </c>
      <c r="AD61" s="60">
        <v>758720.53</v>
      </c>
      <c r="AE61" s="50">
        <v>242411073.59</v>
      </c>
      <c r="AF61" s="5"/>
    </row>
    <row r="62" spans="1:241" ht="18" customHeight="1" x14ac:dyDescent="0.25">
      <c r="A62" s="47">
        <v>55</v>
      </c>
      <c r="B62" s="43" t="s">
        <v>204</v>
      </c>
      <c r="C62" s="43" t="s">
        <v>205</v>
      </c>
      <c r="D62" s="65"/>
      <c r="E62" s="65"/>
      <c r="F62" s="65">
        <v>250000000</v>
      </c>
      <c r="G62" s="65"/>
      <c r="H62" s="65"/>
      <c r="I62" s="65"/>
      <c r="J62" s="65">
        <v>250000000</v>
      </c>
      <c r="K62" s="65">
        <v>3820609.5</v>
      </c>
      <c r="L62" s="65">
        <v>1761277.14</v>
      </c>
      <c r="M62" s="52">
        <v>2059332.36</v>
      </c>
      <c r="N62" s="65">
        <v>392536609.5</v>
      </c>
      <c r="O62" s="65">
        <v>1761277.14</v>
      </c>
      <c r="P62" s="69">
        <v>0</v>
      </c>
      <c r="Q62" s="55">
        <f t="shared" si="24"/>
        <v>0</v>
      </c>
      <c r="R62" s="69">
        <v>390775332.36000001</v>
      </c>
      <c r="S62" s="55">
        <f t="shared" si="27"/>
        <v>1.0785092299449765E-3</v>
      </c>
      <c r="T62" s="56" t="e">
        <f t="shared" si="28"/>
        <v>#DIV/0!</v>
      </c>
      <c r="U62" s="57">
        <f t="shared" si="29"/>
        <v>4.5071349037390908E-3</v>
      </c>
      <c r="V62" s="58">
        <f t="shared" si="30"/>
        <v>5.2698627304930534E-3</v>
      </c>
      <c r="W62" s="59">
        <f t="shared" si="31"/>
        <v>1078.8039040811011</v>
      </c>
      <c r="X62" s="59">
        <f t="shared" si="32"/>
        <v>5.6851484876273979</v>
      </c>
      <c r="Y62" s="97">
        <v>1000</v>
      </c>
      <c r="Z62" s="97">
        <v>1000</v>
      </c>
      <c r="AA62" s="60">
        <v>111</v>
      </c>
      <c r="AB62" s="60">
        <v>89526.62</v>
      </c>
      <c r="AC62" s="60">
        <v>299189.38</v>
      </c>
      <c r="AD62" s="60">
        <v>26485.82</v>
      </c>
      <c r="AE62" s="50">
        <v>362230.18</v>
      </c>
      <c r="AF62" s="5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7"/>
      <c r="BK62" s="17"/>
      <c r="BL62" s="17"/>
      <c r="BM62" s="17"/>
      <c r="BN62" s="17"/>
      <c r="BO62" s="17"/>
      <c r="BP62" s="17"/>
      <c r="BQ62" s="17"/>
      <c r="BR62" s="17"/>
      <c r="BS62" s="17"/>
      <c r="BT62" s="17"/>
      <c r="BU62" s="17"/>
      <c r="BV62" s="17"/>
      <c r="BW62" s="17"/>
      <c r="BX62" s="17"/>
      <c r="BY62" s="17"/>
      <c r="BZ62" s="17"/>
      <c r="CA62" s="17"/>
      <c r="CB62" s="17"/>
      <c r="CC62" s="17"/>
      <c r="CD62" s="17"/>
      <c r="CE62" s="17"/>
      <c r="CF62" s="17"/>
      <c r="CG62" s="17"/>
      <c r="CH62" s="17"/>
      <c r="CI62" s="17"/>
      <c r="CJ62" s="17"/>
      <c r="CK62" s="17"/>
      <c r="CL62" s="17"/>
      <c r="CM62" s="17"/>
      <c r="CN62" s="17"/>
      <c r="CO62" s="17"/>
      <c r="CP62" s="17"/>
      <c r="CQ62" s="17"/>
      <c r="CR62" s="17"/>
      <c r="CS62" s="17"/>
      <c r="CT62" s="17"/>
      <c r="CU62" s="17"/>
      <c r="CV62" s="17"/>
      <c r="CW62" s="17"/>
      <c r="CX62" s="17"/>
      <c r="CY62" s="17"/>
      <c r="CZ62" s="17"/>
      <c r="DA62" s="17"/>
      <c r="DB62" s="17"/>
      <c r="DC62" s="17"/>
      <c r="DD62" s="17"/>
      <c r="DE62" s="17"/>
      <c r="DF62" s="17"/>
      <c r="DG62" s="17"/>
      <c r="DH62" s="17"/>
      <c r="DI62" s="17"/>
      <c r="DJ62" s="17"/>
      <c r="DK62" s="17"/>
      <c r="DL62" s="17"/>
      <c r="DM62" s="17"/>
      <c r="DN62" s="17"/>
      <c r="DO62" s="17"/>
      <c r="DP62" s="17"/>
      <c r="DQ62" s="17"/>
      <c r="DR62" s="17"/>
      <c r="DS62" s="17"/>
      <c r="DT62" s="17"/>
      <c r="DU62" s="17"/>
      <c r="DV62" s="17"/>
      <c r="DW62" s="17"/>
      <c r="DX62" s="17"/>
      <c r="DY62" s="17"/>
      <c r="DZ62" s="17"/>
      <c r="EA62" s="17"/>
      <c r="EB62" s="17"/>
      <c r="EC62" s="17"/>
      <c r="ED62" s="17"/>
      <c r="EE62" s="17"/>
      <c r="EF62" s="17"/>
      <c r="EG62" s="17"/>
      <c r="EH62" s="17"/>
      <c r="EI62" s="17"/>
      <c r="EJ62" s="17"/>
      <c r="EK62" s="17"/>
      <c r="EL62" s="17"/>
      <c r="EM62" s="17"/>
      <c r="EN62" s="17"/>
      <c r="EO62" s="17"/>
      <c r="EP62" s="17"/>
      <c r="EQ62" s="17"/>
      <c r="ER62" s="17"/>
      <c r="ES62" s="17"/>
      <c r="ET62" s="17"/>
      <c r="EU62" s="17"/>
      <c r="EV62" s="17"/>
      <c r="EW62" s="17"/>
      <c r="EX62" s="17"/>
      <c r="EY62" s="17"/>
      <c r="EZ62" s="17"/>
      <c r="FA62" s="17"/>
      <c r="FB62" s="17"/>
      <c r="FC62" s="17"/>
      <c r="FD62" s="17"/>
      <c r="FE62" s="17"/>
      <c r="FF62" s="17"/>
      <c r="FG62" s="17"/>
      <c r="FH62" s="17"/>
      <c r="FI62" s="17"/>
      <c r="FJ62" s="17"/>
      <c r="FK62" s="17"/>
      <c r="FL62" s="17"/>
      <c r="FM62" s="17"/>
      <c r="FN62" s="17"/>
      <c r="FO62" s="17"/>
      <c r="FP62" s="17"/>
      <c r="FQ62" s="17"/>
      <c r="FR62" s="17"/>
      <c r="FS62" s="17"/>
      <c r="FT62" s="17"/>
      <c r="FU62" s="17"/>
      <c r="FV62" s="17"/>
      <c r="FW62" s="17"/>
      <c r="FX62" s="17"/>
      <c r="FY62" s="17"/>
      <c r="FZ62" s="17"/>
      <c r="GA62" s="17"/>
      <c r="GB62" s="17"/>
      <c r="GC62" s="17"/>
      <c r="GD62" s="17"/>
      <c r="GE62" s="17"/>
      <c r="GF62" s="17"/>
      <c r="GG62" s="17"/>
      <c r="GH62" s="17"/>
      <c r="GI62" s="17"/>
      <c r="GJ62" s="17"/>
      <c r="GK62" s="17"/>
      <c r="GL62" s="17"/>
      <c r="GM62" s="17"/>
      <c r="GN62" s="17"/>
      <c r="GO62" s="17"/>
      <c r="GP62" s="17"/>
      <c r="GQ62" s="17"/>
      <c r="GR62" s="17"/>
      <c r="GS62" s="17"/>
      <c r="GT62" s="17"/>
      <c r="GU62" s="17"/>
      <c r="GV62" s="17"/>
      <c r="GW62" s="17"/>
      <c r="GX62" s="17"/>
      <c r="GY62" s="17"/>
      <c r="GZ62" s="17"/>
      <c r="HA62" s="17"/>
      <c r="HB62" s="17"/>
      <c r="HC62" s="17"/>
      <c r="HD62" s="17"/>
      <c r="HE62" s="17"/>
      <c r="HF62" s="17"/>
      <c r="HG62" s="17"/>
      <c r="HH62" s="17"/>
      <c r="HI62" s="17"/>
      <c r="HJ62" s="17"/>
      <c r="HK62" s="17"/>
      <c r="HL62" s="17"/>
      <c r="HM62" s="17"/>
      <c r="HN62" s="17"/>
      <c r="HO62" s="17"/>
      <c r="HP62" s="17"/>
      <c r="HQ62" s="17"/>
      <c r="HR62" s="17"/>
      <c r="HS62" s="17"/>
      <c r="HT62" s="17"/>
      <c r="HU62" s="17"/>
      <c r="HV62" s="17"/>
      <c r="HW62" s="17"/>
      <c r="HX62" s="17"/>
      <c r="HY62" s="17"/>
      <c r="HZ62" s="17"/>
      <c r="IA62" s="17"/>
      <c r="IB62" s="17"/>
      <c r="IC62" s="17"/>
      <c r="ID62" s="17"/>
      <c r="IE62" s="17"/>
      <c r="IF62" s="17"/>
      <c r="IG62" s="17"/>
    </row>
    <row r="63" spans="1:241" ht="16.5" customHeight="1" x14ac:dyDescent="0.25">
      <c r="A63" s="47">
        <v>56</v>
      </c>
      <c r="B63" s="43" t="s">
        <v>186</v>
      </c>
      <c r="C63" s="43" t="s">
        <v>67</v>
      </c>
      <c r="D63" s="65"/>
      <c r="E63" s="65"/>
      <c r="F63" s="65">
        <v>96866584.010000005</v>
      </c>
      <c r="G63" s="65">
        <v>253124206.19999999</v>
      </c>
      <c r="H63" s="65"/>
      <c r="I63" s="65"/>
      <c r="J63" s="65">
        <v>349990790.20999998</v>
      </c>
      <c r="K63" s="65">
        <v>5440057.7400000002</v>
      </c>
      <c r="L63" s="65">
        <v>803498.4</v>
      </c>
      <c r="M63" s="52">
        <v>4636559.3499999996</v>
      </c>
      <c r="N63" s="65">
        <v>396651504.5</v>
      </c>
      <c r="O63" s="65">
        <v>3205017.22</v>
      </c>
      <c r="P63" s="69">
        <v>398897941.38</v>
      </c>
      <c r="Q63" s="55">
        <f t="shared" si="24"/>
        <v>1.046428902854134E-3</v>
      </c>
      <c r="R63" s="69">
        <v>393446487.29000002</v>
      </c>
      <c r="S63" s="55">
        <f t="shared" si="27"/>
        <v>1.0858814077874715E-3</v>
      </c>
      <c r="T63" s="56">
        <f t="shared" si="28"/>
        <v>-1.3666287850823437E-2</v>
      </c>
      <c r="U63" s="57">
        <f t="shared" si="29"/>
        <v>2.042205041743734E-3</v>
      </c>
      <c r="V63" s="58">
        <f t="shared" si="30"/>
        <v>1.1784472602452039E-2</v>
      </c>
      <c r="W63" s="59">
        <f t="shared" si="31"/>
        <v>1134.2764934701763</v>
      </c>
      <c r="X63" s="59">
        <f t="shared" si="32"/>
        <v>13.366850260904661</v>
      </c>
      <c r="Y63" s="49">
        <v>1134.28</v>
      </c>
      <c r="Z63" s="49">
        <v>1134.53</v>
      </c>
      <c r="AA63" s="60">
        <v>103</v>
      </c>
      <c r="AB63" s="60">
        <v>347151</v>
      </c>
      <c r="AC63" s="60">
        <v>5958</v>
      </c>
      <c r="AD63" s="60">
        <v>6239</v>
      </c>
      <c r="AE63" s="60">
        <v>346870</v>
      </c>
      <c r="AF63" s="5"/>
      <c r="AG63" s="36"/>
    </row>
    <row r="64" spans="1:241" ht="15.75" customHeight="1" x14ac:dyDescent="0.25">
      <c r="A64" s="47">
        <v>57</v>
      </c>
      <c r="B64" s="43" t="s">
        <v>156</v>
      </c>
      <c r="C64" s="44" t="s">
        <v>154</v>
      </c>
      <c r="D64" s="65"/>
      <c r="E64" s="65"/>
      <c r="F64" s="65">
        <v>17906940.219999999</v>
      </c>
      <c r="G64" s="65">
        <v>517422033.26999998</v>
      </c>
      <c r="H64" s="65"/>
      <c r="I64" s="65">
        <v>935297.51</v>
      </c>
      <c r="J64" s="65">
        <v>536264271</v>
      </c>
      <c r="K64" s="89">
        <v>6314025.6100000003</v>
      </c>
      <c r="L64" s="89">
        <v>1294474.26</v>
      </c>
      <c r="M64" s="52">
        <v>5019551.3499999996</v>
      </c>
      <c r="N64" s="65">
        <v>671771237.74000001</v>
      </c>
      <c r="O64" s="65">
        <v>634236436.33000004</v>
      </c>
      <c r="P64" s="69">
        <v>659895778.25</v>
      </c>
      <c r="Q64" s="55">
        <f t="shared" si="24"/>
        <v>1.7311044846290715E-3</v>
      </c>
      <c r="R64" s="69">
        <v>665037731.13999999</v>
      </c>
      <c r="S64" s="55">
        <f t="shared" si="27"/>
        <v>1.8354519129047608E-3</v>
      </c>
      <c r="T64" s="56">
        <f t="shared" si="28"/>
        <v>7.7920681711831901E-3</v>
      </c>
      <c r="U64" s="57">
        <f t="shared" si="29"/>
        <v>1.9464673948364211E-3</v>
      </c>
      <c r="V64" s="58">
        <f t="shared" si="30"/>
        <v>7.5477692692646819E-3</v>
      </c>
      <c r="W64" s="59">
        <f t="shared" si="31"/>
        <v>1.0516126415275027</v>
      </c>
      <c r="X64" s="59">
        <f t="shared" si="32"/>
        <v>7.9373295788915405E-3</v>
      </c>
      <c r="Y64" s="103">
        <v>1.05</v>
      </c>
      <c r="Z64" s="103">
        <v>1.05</v>
      </c>
      <c r="AA64" s="89">
        <v>36</v>
      </c>
      <c r="AB64" s="89">
        <v>632284325.10000002</v>
      </c>
      <c r="AC64" s="89">
        <v>834406.36</v>
      </c>
      <c r="AD64" s="89">
        <v>720731.6</v>
      </c>
      <c r="AE64" s="50">
        <v>632397999.87</v>
      </c>
      <c r="AF64" s="5"/>
    </row>
    <row r="65" spans="1:241" ht="16.5" customHeight="1" x14ac:dyDescent="0.25">
      <c r="A65" s="47">
        <v>58</v>
      </c>
      <c r="B65" s="43" t="s">
        <v>222</v>
      </c>
      <c r="C65" s="43" t="s">
        <v>37</v>
      </c>
      <c r="D65" s="65"/>
      <c r="E65" s="65"/>
      <c r="F65" s="65">
        <v>11821861007.299999</v>
      </c>
      <c r="G65" s="65">
        <v>45957734181.739998</v>
      </c>
      <c r="H65" s="65"/>
      <c r="I65" s="65"/>
      <c r="J65" s="65">
        <v>58446263647.5</v>
      </c>
      <c r="K65" s="65">
        <v>541765833.19000006</v>
      </c>
      <c r="L65" s="65">
        <v>73268110.719999999</v>
      </c>
      <c r="M65" s="52">
        <v>468497722.47000003</v>
      </c>
      <c r="N65" s="65">
        <v>60473877430.629997</v>
      </c>
      <c r="O65" s="65">
        <v>2027613783.0799999</v>
      </c>
      <c r="P65" s="69">
        <v>66578507244.970001</v>
      </c>
      <c r="Q65" s="55">
        <f t="shared" si="24"/>
        <v>0.17465538691173874</v>
      </c>
      <c r="R65" s="69">
        <v>58446263647.540001</v>
      </c>
      <c r="S65" s="55">
        <f t="shared" si="27"/>
        <v>0.16130709791476522</v>
      </c>
      <c r="T65" s="56">
        <f t="shared" si="28"/>
        <v>-0.12214517768486602</v>
      </c>
      <c r="U65" s="57">
        <f t="shared" si="29"/>
        <v>1.2535978546352098E-3</v>
      </c>
      <c r="V65" s="58">
        <f t="shared" si="30"/>
        <v>8.0158712162555681E-3</v>
      </c>
      <c r="W65" s="59">
        <f t="shared" si="31"/>
        <v>1442.4705749285254</v>
      </c>
      <c r="X65" s="59">
        <f t="shared" si="32"/>
        <v>11.562658361865186</v>
      </c>
      <c r="Y65" s="49">
        <v>1442.47</v>
      </c>
      <c r="Z65" s="49">
        <v>1442.47</v>
      </c>
      <c r="AA65" s="60">
        <v>2555</v>
      </c>
      <c r="AB65" s="60">
        <v>44090466</v>
      </c>
      <c r="AC65" s="60">
        <v>4147374</v>
      </c>
      <c r="AD65" s="60">
        <v>7719673</v>
      </c>
      <c r="AE65" s="50">
        <v>40518167</v>
      </c>
      <c r="AF65" s="5"/>
    </row>
    <row r="66" spans="1:241" ht="16.5" customHeight="1" x14ac:dyDescent="0.25">
      <c r="A66" s="47">
        <v>59</v>
      </c>
      <c r="B66" s="43" t="s">
        <v>146</v>
      </c>
      <c r="C66" s="43" t="s">
        <v>75</v>
      </c>
      <c r="D66" s="50"/>
      <c r="E66" s="65"/>
      <c r="F66" s="65"/>
      <c r="G66" s="65">
        <v>18281609.149999999</v>
      </c>
      <c r="H66" s="65"/>
      <c r="I66" s="65"/>
      <c r="J66" s="65">
        <v>25572384.510000002</v>
      </c>
      <c r="K66" s="65">
        <v>174234.13</v>
      </c>
      <c r="L66" s="65">
        <v>246893.76</v>
      </c>
      <c r="M66" s="52">
        <v>-72659.63</v>
      </c>
      <c r="N66" s="65">
        <v>25572384.510000002</v>
      </c>
      <c r="O66" s="65">
        <v>2604902.67</v>
      </c>
      <c r="P66" s="69">
        <v>22873367.559999999</v>
      </c>
      <c r="Q66" s="55">
        <f t="shared" si="24"/>
        <v>6.0003701291576068E-5</v>
      </c>
      <c r="R66" s="69">
        <v>22967481.84</v>
      </c>
      <c r="S66" s="55">
        <f t="shared" si="27"/>
        <v>6.3388446254877191E-5</v>
      </c>
      <c r="T66" s="56">
        <f t="shared" si="28"/>
        <v>4.1145790952349477E-3</v>
      </c>
      <c r="U66" s="57">
        <f t="shared" si="29"/>
        <v>1.0749709598986669E-2</v>
      </c>
      <c r="V66" s="58">
        <f t="shared" si="30"/>
        <v>-3.1635871318490181E-3</v>
      </c>
      <c r="W66" s="59">
        <f t="shared" si="31"/>
        <v>0.67967770888927082</v>
      </c>
      <c r="X66" s="59">
        <f t="shared" si="32"/>
        <v>-2.1502196536467202E-3</v>
      </c>
      <c r="Y66" s="49">
        <v>0.67969999999999997</v>
      </c>
      <c r="Z66" s="49">
        <v>0.67969999999999997</v>
      </c>
      <c r="AA66" s="60">
        <v>752</v>
      </c>
      <c r="AB66" s="60">
        <v>33791724.43</v>
      </c>
      <c r="AC66" s="60"/>
      <c r="AD66" s="60"/>
      <c r="AE66" s="60">
        <v>33791724.43</v>
      </c>
      <c r="AF66" s="5"/>
    </row>
    <row r="67" spans="1:241" ht="16.5" customHeight="1" x14ac:dyDescent="0.25">
      <c r="A67" s="47">
        <v>60</v>
      </c>
      <c r="B67" s="82" t="s">
        <v>108</v>
      </c>
      <c r="C67" s="43" t="s">
        <v>44</v>
      </c>
      <c r="D67" s="65"/>
      <c r="E67" s="65"/>
      <c r="F67" s="65">
        <v>8319539.3600000003</v>
      </c>
      <c r="G67" s="65">
        <v>159683243.74000001</v>
      </c>
      <c r="H67" s="65"/>
      <c r="I67" s="65"/>
      <c r="J67" s="65">
        <v>168002783.09</v>
      </c>
      <c r="K67" s="65">
        <v>1337330.56</v>
      </c>
      <c r="L67" s="65">
        <v>576380.63</v>
      </c>
      <c r="M67" s="52">
        <v>760949.93</v>
      </c>
      <c r="N67" s="65">
        <v>178562941.99000001</v>
      </c>
      <c r="O67" s="65">
        <v>7385436.9500000002</v>
      </c>
      <c r="P67" s="69">
        <v>170263945.25999999</v>
      </c>
      <c r="Q67" s="55">
        <f t="shared" si="24"/>
        <v>4.4665337910157287E-4</v>
      </c>
      <c r="R67" s="69">
        <v>171177505.03999999</v>
      </c>
      <c r="S67" s="55">
        <f t="shared" si="27"/>
        <v>4.7243647143652248E-4</v>
      </c>
      <c r="T67" s="56">
        <f t="shared" si="28"/>
        <v>5.3655504023764873E-3</v>
      </c>
      <c r="U67" s="57">
        <f t="shared" si="29"/>
        <v>3.3671517169578677E-3</v>
      </c>
      <c r="V67" s="58">
        <f t="shared" si="30"/>
        <v>4.445385097896974E-3</v>
      </c>
      <c r="W67" s="59">
        <f t="shared" si="31"/>
        <v>148.4019247727559</v>
      </c>
      <c r="X67" s="59">
        <f t="shared" si="32"/>
        <v>0.65970370488403685</v>
      </c>
      <c r="Y67" s="49">
        <v>143.88</v>
      </c>
      <c r="Z67" s="49">
        <v>143.88</v>
      </c>
      <c r="AA67" s="60">
        <v>15</v>
      </c>
      <c r="AB67" s="60">
        <v>1153472.27</v>
      </c>
      <c r="AC67" s="60"/>
      <c r="AD67" s="60"/>
      <c r="AE67" s="50">
        <v>1153472.27</v>
      </c>
      <c r="AF67" s="5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7"/>
      <c r="BK67" s="17"/>
      <c r="BL67" s="17"/>
      <c r="BM67" s="17"/>
      <c r="BN67" s="17"/>
      <c r="BO67" s="17"/>
      <c r="BP67" s="17"/>
      <c r="BQ67" s="17"/>
      <c r="BR67" s="17"/>
      <c r="BS67" s="17"/>
      <c r="BT67" s="17"/>
      <c r="BU67" s="17"/>
      <c r="BV67" s="17"/>
      <c r="BW67" s="17"/>
      <c r="BX67" s="17"/>
      <c r="BY67" s="17"/>
      <c r="BZ67" s="17"/>
      <c r="CA67" s="17"/>
      <c r="CB67" s="17"/>
      <c r="CC67" s="17"/>
      <c r="CD67" s="17"/>
      <c r="CE67" s="17"/>
      <c r="CF67" s="17"/>
      <c r="CG67" s="17"/>
      <c r="CH67" s="17"/>
      <c r="CI67" s="17"/>
      <c r="CJ67" s="17"/>
      <c r="CK67" s="17"/>
      <c r="CL67" s="17"/>
      <c r="CM67" s="17"/>
      <c r="CN67" s="17"/>
      <c r="CO67" s="17"/>
      <c r="CP67" s="17"/>
      <c r="CQ67" s="17"/>
      <c r="CR67" s="17"/>
      <c r="CS67" s="17"/>
      <c r="CT67" s="17"/>
      <c r="CU67" s="17"/>
      <c r="CV67" s="17"/>
      <c r="CW67" s="17"/>
      <c r="CX67" s="17"/>
      <c r="CY67" s="17"/>
      <c r="CZ67" s="17"/>
      <c r="DA67" s="17"/>
      <c r="DB67" s="17"/>
      <c r="DC67" s="17"/>
      <c r="DD67" s="17"/>
      <c r="DE67" s="17"/>
      <c r="DF67" s="17"/>
      <c r="DG67" s="17"/>
      <c r="DH67" s="17"/>
      <c r="DI67" s="17"/>
      <c r="DJ67" s="17"/>
      <c r="DK67" s="17"/>
      <c r="DL67" s="17"/>
      <c r="DM67" s="17"/>
      <c r="DN67" s="17"/>
      <c r="DO67" s="17"/>
      <c r="DP67" s="17"/>
      <c r="DQ67" s="17"/>
      <c r="DR67" s="17"/>
      <c r="DS67" s="17"/>
      <c r="DT67" s="17"/>
      <c r="DU67" s="17"/>
      <c r="DV67" s="17"/>
      <c r="DW67" s="17"/>
      <c r="DX67" s="17"/>
      <c r="DY67" s="17"/>
      <c r="DZ67" s="17"/>
      <c r="EA67" s="17"/>
      <c r="EB67" s="17"/>
      <c r="EC67" s="17"/>
      <c r="ED67" s="17"/>
      <c r="EE67" s="17"/>
      <c r="EF67" s="17"/>
      <c r="EG67" s="17"/>
      <c r="EH67" s="17"/>
      <c r="EI67" s="17"/>
      <c r="EJ67" s="17"/>
      <c r="EK67" s="17"/>
      <c r="EL67" s="17"/>
      <c r="EM67" s="17"/>
      <c r="EN67" s="17"/>
      <c r="EO67" s="17"/>
      <c r="EP67" s="17"/>
      <c r="EQ67" s="17"/>
      <c r="ER67" s="17"/>
      <c r="ES67" s="17"/>
      <c r="ET67" s="17"/>
      <c r="EU67" s="17"/>
      <c r="EV67" s="17"/>
      <c r="EW67" s="17"/>
      <c r="EX67" s="17"/>
      <c r="EY67" s="17"/>
      <c r="EZ67" s="17"/>
      <c r="FA67" s="17"/>
      <c r="FB67" s="17"/>
      <c r="FC67" s="17"/>
      <c r="FD67" s="17"/>
      <c r="FE67" s="17"/>
      <c r="FF67" s="17"/>
      <c r="FG67" s="17"/>
      <c r="FH67" s="17"/>
      <c r="FI67" s="17"/>
      <c r="FJ67" s="17"/>
      <c r="FK67" s="17"/>
      <c r="FL67" s="17"/>
      <c r="FM67" s="17"/>
      <c r="FN67" s="17"/>
      <c r="FO67" s="17"/>
      <c r="FP67" s="17"/>
      <c r="FQ67" s="17"/>
      <c r="FR67" s="17"/>
      <c r="FS67" s="17"/>
      <c r="FT67" s="17"/>
      <c r="FU67" s="17"/>
      <c r="FV67" s="17"/>
      <c r="FW67" s="17"/>
      <c r="FX67" s="17"/>
      <c r="FY67" s="17"/>
      <c r="FZ67" s="17"/>
      <c r="GA67" s="17"/>
      <c r="GB67" s="17"/>
      <c r="GC67" s="17"/>
      <c r="GD67" s="17"/>
      <c r="GE67" s="17"/>
      <c r="GF67" s="17"/>
      <c r="GG67" s="17"/>
      <c r="GH67" s="17"/>
      <c r="GI67" s="17"/>
      <c r="GJ67" s="17"/>
      <c r="GK67" s="17"/>
      <c r="GL67" s="17"/>
      <c r="GM67" s="17"/>
      <c r="GN67" s="17"/>
      <c r="GO67" s="17"/>
      <c r="GP67" s="17"/>
      <c r="GQ67" s="17"/>
      <c r="GR67" s="17"/>
      <c r="GS67" s="17"/>
      <c r="GT67" s="17"/>
      <c r="GU67" s="17"/>
      <c r="GV67" s="17"/>
      <c r="GW67" s="17"/>
      <c r="GX67" s="17"/>
      <c r="GY67" s="17"/>
      <c r="GZ67" s="17"/>
      <c r="HA67" s="17"/>
      <c r="HB67" s="17"/>
      <c r="HC67" s="17"/>
      <c r="HD67" s="17"/>
      <c r="HE67" s="17"/>
      <c r="HF67" s="17"/>
      <c r="HG67" s="17"/>
      <c r="HH67" s="17"/>
      <c r="HI67" s="17"/>
      <c r="HJ67" s="17"/>
      <c r="HK67" s="17"/>
      <c r="HL67" s="17"/>
      <c r="HM67" s="17"/>
      <c r="HN67" s="17"/>
      <c r="HO67" s="17"/>
      <c r="HP67" s="17"/>
      <c r="HQ67" s="17"/>
      <c r="HR67" s="17"/>
      <c r="HS67" s="17"/>
      <c r="HT67" s="17"/>
      <c r="HU67" s="17"/>
      <c r="HV67" s="17"/>
      <c r="HW67" s="17"/>
      <c r="HX67" s="17"/>
      <c r="HY67" s="17"/>
      <c r="HZ67" s="17"/>
      <c r="IA67" s="17"/>
      <c r="IB67" s="17"/>
      <c r="IC67" s="17"/>
      <c r="ID67" s="17"/>
      <c r="IE67" s="17"/>
      <c r="IF67" s="17"/>
      <c r="IG67" s="17"/>
    </row>
    <row r="68" spans="1:241" ht="16.5" customHeight="1" x14ac:dyDescent="0.25">
      <c r="A68" s="47">
        <v>61</v>
      </c>
      <c r="B68" s="44" t="s">
        <v>112</v>
      </c>
      <c r="C68" s="44" t="s">
        <v>111</v>
      </c>
      <c r="D68" s="65"/>
      <c r="E68" s="65"/>
      <c r="F68" s="65">
        <v>391821841.14999998</v>
      </c>
      <c r="G68" s="65">
        <v>295086997.19999999</v>
      </c>
      <c r="H68" s="65"/>
      <c r="I68" s="65"/>
      <c r="J68" s="65">
        <v>773818023.90999997</v>
      </c>
      <c r="K68" s="65">
        <v>20474389.23</v>
      </c>
      <c r="L68" s="65">
        <v>14325207.91</v>
      </c>
      <c r="M68" s="52">
        <v>6149181.3200000003</v>
      </c>
      <c r="N68" s="65">
        <v>773818023.90999997</v>
      </c>
      <c r="O68" s="65">
        <v>5567324.3899999997</v>
      </c>
      <c r="P68" s="69">
        <v>905985558.60000002</v>
      </c>
      <c r="Q68" s="55">
        <f t="shared" si="24"/>
        <v>2.3766717642304215E-3</v>
      </c>
      <c r="R68" s="69">
        <v>768250699.51999998</v>
      </c>
      <c r="S68" s="55">
        <f t="shared" si="27"/>
        <v>2.1203116003767927E-3</v>
      </c>
      <c r="T68" s="56">
        <f t="shared" si="28"/>
        <v>-0.15202765405316035</v>
      </c>
      <c r="U68" s="57">
        <f t="shared" si="29"/>
        <v>1.8646527649047808E-2</v>
      </c>
      <c r="V68" s="58">
        <f t="shared" si="30"/>
        <v>8.004133707710236E-3</v>
      </c>
      <c r="W68" s="59">
        <f t="shared" si="31"/>
        <v>194.36388595232921</v>
      </c>
      <c r="X68" s="59">
        <f t="shared" si="32"/>
        <v>1.5557145311125864</v>
      </c>
      <c r="Y68" s="49">
        <v>194.3639</v>
      </c>
      <c r="Z68" s="49">
        <v>195.7724</v>
      </c>
      <c r="AA68" s="60">
        <v>459</v>
      </c>
      <c r="AB68" s="60">
        <v>4698441.21</v>
      </c>
      <c r="AC68" s="60">
        <v>27645.67</v>
      </c>
      <c r="AD68" s="60">
        <v>773445.7</v>
      </c>
      <c r="AE68" s="50">
        <v>3952641.18</v>
      </c>
      <c r="AF68" s="5"/>
    </row>
    <row r="69" spans="1:241" ht="18.75" customHeight="1" x14ac:dyDescent="0.25">
      <c r="A69" s="47">
        <v>62</v>
      </c>
      <c r="B69" s="43" t="s">
        <v>178</v>
      </c>
      <c r="C69" s="44" t="s">
        <v>25</v>
      </c>
      <c r="D69" s="65"/>
      <c r="E69" s="65"/>
      <c r="F69" s="65">
        <v>111089040.53</v>
      </c>
      <c r="G69" s="65">
        <v>1704326868.4000001</v>
      </c>
      <c r="H69" s="65"/>
      <c r="I69" s="65"/>
      <c r="J69" s="65">
        <v>1824697437.73</v>
      </c>
      <c r="K69" s="65">
        <v>15308317.74</v>
      </c>
      <c r="L69" s="65">
        <v>2305370.66</v>
      </c>
      <c r="M69" s="52">
        <v>13002947.08</v>
      </c>
      <c r="N69" s="65">
        <v>1824697437.73</v>
      </c>
      <c r="O69" s="65">
        <v>18455208.27</v>
      </c>
      <c r="P69" s="69">
        <v>1823349979.3800001</v>
      </c>
      <c r="Q69" s="55">
        <f t="shared" si="24"/>
        <v>4.7831936957130295E-3</v>
      </c>
      <c r="R69" s="69">
        <v>1806242229.46</v>
      </c>
      <c r="S69" s="55">
        <f t="shared" si="27"/>
        <v>4.9850867101160082E-3</v>
      </c>
      <c r="T69" s="56">
        <f t="shared" si="28"/>
        <v>-9.3825925431042494E-3</v>
      </c>
      <c r="U69" s="57">
        <f t="shared" si="29"/>
        <v>1.2763352679940503E-3</v>
      </c>
      <c r="V69" s="58">
        <f t="shared" si="30"/>
        <v>7.1988944051470894E-3</v>
      </c>
      <c r="W69" s="59">
        <f t="shared" si="31"/>
        <v>3.5681955871093285</v>
      </c>
      <c r="X69" s="59">
        <f t="shared" si="32"/>
        <v>2.5687063248511881E-2</v>
      </c>
      <c r="Y69" s="49">
        <v>3.59</v>
      </c>
      <c r="Z69" s="49">
        <v>3.59</v>
      </c>
      <c r="AA69" s="60">
        <v>833</v>
      </c>
      <c r="AB69" s="60">
        <v>513171534</v>
      </c>
      <c r="AC69" s="60">
        <v>27967</v>
      </c>
      <c r="AD69" s="60">
        <v>6993441</v>
      </c>
      <c r="AE69" s="50">
        <v>506206060</v>
      </c>
      <c r="AF69" s="5"/>
    </row>
    <row r="70" spans="1:241" ht="16.5" customHeight="1" x14ac:dyDescent="0.25">
      <c r="A70" s="47">
        <v>63</v>
      </c>
      <c r="B70" s="71" t="s">
        <v>202</v>
      </c>
      <c r="C70" s="43" t="s">
        <v>105</v>
      </c>
      <c r="D70" s="65"/>
      <c r="E70" s="65"/>
      <c r="F70" s="65"/>
      <c r="G70" s="65">
        <v>5331710405.6300001</v>
      </c>
      <c r="H70" s="65"/>
      <c r="I70" s="65">
        <f>6324845044.36+15997138.58</f>
        <v>6340842182.9399996</v>
      </c>
      <c r="J70" s="65">
        <v>11672552588.57</v>
      </c>
      <c r="K70" s="65">
        <v>130966144.73</v>
      </c>
      <c r="L70" s="65">
        <v>10525769.16</v>
      </c>
      <c r="M70" s="52">
        <v>120440375.56999999</v>
      </c>
      <c r="N70" s="65">
        <v>15820271653.690001</v>
      </c>
      <c r="O70" s="65">
        <v>236154620.83000001</v>
      </c>
      <c r="P70" s="69">
        <v>15762203686.290001</v>
      </c>
      <c r="Q70" s="55">
        <f t="shared" si="24"/>
        <v>4.1348986291947838E-2</v>
      </c>
      <c r="R70" s="69">
        <v>15584117032.860001</v>
      </c>
      <c r="S70" s="55">
        <f t="shared" si="27"/>
        <v>4.3010939198685892E-2</v>
      </c>
      <c r="T70" s="56">
        <f t="shared" si="28"/>
        <v>-1.1298334736335153E-2</v>
      </c>
      <c r="U70" s="57">
        <f t="shared" si="29"/>
        <v>6.7541646009240143E-4</v>
      </c>
      <c r="V70" s="58">
        <f t="shared" si="30"/>
        <v>7.7284054859216335E-3</v>
      </c>
      <c r="W70" s="59">
        <f t="shared" si="31"/>
        <v>1164.1766831731547</v>
      </c>
      <c r="X70" s="59">
        <f t="shared" si="32"/>
        <v>8.99722946481746</v>
      </c>
      <c r="Y70" s="49">
        <v>1164.18</v>
      </c>
      <c r="Z70" s="49">
        <v>1164.18</v>
      </c>
      <c r="AA70" s="60">
        <v>6827</v>
      </c>
      <c r="AB70" s="60">
        <v>13411134.51</v>
      </c>
      <c r="AC70" s="60">
        <v>670372</v>
      </c>
      <c r="AD70" s="60">
        <v>695122</v>
      </c>
      <c r="AE70" s="60">
        <v>13386384.779999999</v>
      </c>
      <c r="AF70" s="5"/>
    </row>
    <row r="71" spans="1:241" ht="16.5" customHeight="1" x14ac:dyDescent="0.25">
      <c r="A71" s="47">
        <v>64</v>
      </c>
      <c r="B71" s="43" t="s">
        <v>90</v>
      </c>
      <c r="C71" s="43" t="s">
        <v>31</v>
      </c>
      <c r="D71" s="65"/>
      <c r="E71" s="65"/>
      <c r="F71" s="65">
        <v>240159043.93000001</v>
      </c>
      <c r="G71" s="65">
        <v>1174326319.6600001</v>
      </c>
      <c r="H71" s="65"/>
      <c r="I71" s="65"/>
      <c r="J71" s="65">
        <v>1414485363.5899999</v>
      </c>
      <c r="K71" s="65">
        <v>14372868.960000001</v>
      </c>
      <c r="L71" s="65">
        <v>1916321.3</v>
      </c>
      <c r="M71" s="52">
        <v>12456547.66</v>
      </c>
      <c r="N71" s="65">
        <v>1439785713.1800001</v>
      </c>
      <c r="O71" s="65">
        <v>33251993.710000001</v>
      </c>
      <c r="P71" s="69">
        <v>1393888131.6099999</v>
      </c>
      <c r="Q71" s="55">
        <f t="shared" si="24"/>
        <v>3.6565865023418312E-3</v>
      </c>
      <c r="R71" s="69">
        <v>1406533719.47</v>
      </c>
      <c r="S71" s="55">
        <f t="shared" si="27"/>
        <v>3.8819226114296824E-3</v>
      </c>
      <c r="T71" s="56">
        <f t="shared" si="28"/>
        <v>9.0721683994783309E-3</v>
      </c>
      <c r="U71" s="57">
        <f t="shared" si="29"/>
        <v>1.3624424878502697E-3</v>
      </c>
      <c r="V71" s="58">
        <f t="shared" si="30"/>
        <v>8.8562026544900668E-3</v>
      </c>
      <c r="W71" s="59">
        <f t="shared" si="31"/>
        <v>317.43452229830211</v>
      </c>
      <c r="X71" s="59">
        <f t="shared" si="32"/>
        <v>2.8112644590050091</v>
      </c>
      <c r="Y71" s="97">
        <v>317.43450000000001</v>
      </c>
      <c r="Z71" s="97">
        <v>317.43450000000001</v>
      </c>
      <c r="AA71" s="60">
        <v>97</v>
      </c>
      <c r="AB71" s="60">
        <v>4430623.6673999997</v>
      </c>
      <c r="AC71" s="60">
        <v>317.584</v>
      </c>
      <c r="AD71" s="60"/>
      <c r="AE71" s="50">
        <v>4430941.2514000004</v>
      </c>
      <c r="AF71" s="5"/>
    </row>
    <row r="72" spans="1:241" ht="16.5" customHeight="1" x14ac:dyDescent="0.25">
      <c r="A72" s="47">
        <v>65</v>
      </c>
      <c r="B72" s="44" t="s">
        <v>106</v>
      </c>
      <c r="C72" s="44" t="s">
        <v>46</v>
      </c>
      <c r="D72" s="65"/>
      <c r="E72" s="65"/>
      <c r="F72" s="65">
        <v>9403287.6699999999</v>
      </c>
      <c r="G72" s="65">
        <v>43962549.789999999</v>
      </c>
      <c r="H72" s="65"/>
      <c r="I72" s="65"/>
      <c r="J72" s="65">
        <v>53365837.460000001</v>
      </c>
      <c r="K72" s="65">
        <v>837224.66</v>
      </c>
      <c r="L72" s="65">
        <v>91736.53</v>
      </c>
      <c r="M72" s="52">
        <v>745488.13</v>
      </c>
      <c r="N72" s="65">
        <v>55376531.68</v>
      </c>
      <c r="O72" s="65">
        <v>315970.94</v>
      </c>
      <c r="P72" s="69">
        <v>56414784.789999999</v>
      </c>
      <c r="Q72" s="55">
        <f t="shared" si="24"/>
        <v>1.4799289549683207E-4</v>
      </c>
      <c r="R72" s="69">
        <v>56414784.789999999</v>
      </c>
      <c r="S72" s="55">
        <f t="shared" si="27"/>
        <v>1.5570037579885502E-4</v>
      </c>
      <c r="T72" s="56">
        <f t="shared" si="28"/>
        <v>0</v>
      </c>
      <c r="U72" s="57">
        <f t="shared" si="29"/>
        <v>1.6261079492101702E-3</v>
      </c>
      <c r="V72" s="58">
        <f t="shared" si="30"/>
        <v>1.3214410597771953E-2</v>
      </c>
      <c r="W72" s="59">
        <f t="shared" si="31"/>
        <v>11.823132223004636</v>
      </c>
      <c r="X72" s="59">
        <f t="shared" si="32"/>
        <v>0.15623572374653152</v>
      </c>
      <c r="Y72" s="97">
        <v>11.8231</v>
      </c>
      <c r="Z72" s="97">
        <v>11.875</v>
      </c>
      <c r="AA72" s="60">
        <v>54</v>
      </c>
      <c r="AB72" s="60">
        <v>4775363</v>
      </c>
      <c r="AC72" s="60">
        <v>2504</v>
      </c>
      <c r="AD72" s="60">
        <v>6307</v>
      </c>
      <c r="AE72" s="50">
        <v>4771560</v>
      </c>
      <c r="AF72" s="5"/>
    </row>
    <row r="73" spans="1:241" ht="16.5" customHeight="1" x14ac:dyDescent="0.25">
      <c r="A73" s="47">
        <v>66</v>
      </c>
      <c r="B73" s="43" t="s">
        <v>102</v>
      </c>
      <c r="C73" s="43" t="s">
        <v>101</v>
      </c>
      <c r="D73" s="65"/>
      <c r="E73" s="65"/>
      <c r="F73" s="65">
        <v>1068144569.83</v>
      </c>
      <c r="G73" s="65">
        <v>4975384601.1300001</v>
      </c>
      <c r="H73" s="65"/>
      <c r="I73" s="65">
        <v>1693491.82</v>
      </c>
      <c r="J73" s="65">
        <v>6045222662.7799997</v>
      </c>
      <c r="K73" s="65">
        <v>67542214.430000007</v>
      </c>
      <c r="L73" s="65">
        <v>9324876.6600000001</v>
      </c>
      <c r="M73" s="52">
        <v>58217337.770000003</v>
      </c>
      <c r="N73" s="65">
        <v>6870009481</v>
      </c>
      <c r="O73" s="65">
        <v>96804778</v>
      </c>
      <c r="P73" s="69">
        <v>6891886347</v>
      </c>
      <c r="Q73" s="55">
        <f t="shared" si="24"/>
        <v>1.8079484300512826E-2</v>
      </c>
      <c r="R73" s="69">
        <v>6773204704</v>
      </c>
      <c r="S73" s="55">
        <f t="shared" si="27"/>
        <v>1.8693513087057058E-2</v>
      </c>
      <c r="T73" s="56">
        <f t="shared" si="28"/>
        <v>-1.722048754498998E-2</v>
      </c>
      <c r="U73" s="57">
        <f t="shared" si="29"/>
        <v>1.3767303761678838E-3</v>
      </c>
      <c r="V73" s="58">
        <f t="shared" si="30"/>
        <v>8.5952426235721222E-3</v>
      </c>
      <c r="W73" s="59">
        <f t="shared" si="31"/>
        <v>1.0800000000063781</v>
      </c>
      <c r="X73" s="59">
        <f t="shared" si="32"/>
        <v>9.2828620335127145E-3</v>
      </c>
      <c r="Y73" s="97">
        <v>1.08</v>
      </c>
      <c r="Z73" s="97">
        <v>1.08</v>
      </c>
      <c r="AA73" s="60">
        <v>2495</v>
      </c>
      <c r="AB73" s="60">
        <v>6441015278</v>
      </c>
      <c r="AC73" s="60">
        <v>0</v>
      </c>
      <c r="AD73" s="60">
        <v>0</v>
      </c>
      <c r="AE73" s="50">
        <v>6271485837</v>
      </c>
      <c r="AF73" s="5"/>
    </row>
    <row r="74" spans="1:241" ht="16.5" customHeight="1" x14ac:dyDescent="0.25">
      <c r="A74" s="47">
        <v>67</v>
      </c>
      <c r="B74" s="44" t="s">
        <v>103</v>
      </c>
      <c r="C74" s="43" t="s">
        <v>23</v>
      </c>
      <c r="D74" s="65"/>
      <c r="E74" s="65"/>
      <c r="F74" s="65">
        <v>9394435157.4300003</v>
      </c>
      <c r="G74" s="65">
        <v>41554742540.129997</v>
      </c>
      <c r="H74" s="65"/>
      <c r="I74" s="65">
        <v>273972.59999999998</v>
      </c>
      <c r="J74" s="65">
        <v>51244871466.360001</v>
      </c>
      <c r="K74" s="65">
        <v>499676266.36000001</v>
      </c>
      <c r="L74" s="65">
        <v>59246192.619999997</v>
      </c>
      <c r="M74" s="52">
        <v>440430073.74000001</v>
      </c>
      <c r="N74" s="65">
        <v>53052943816.470001</v>
      </c>
      <c r="O74" s="65">
        <v>235115717.74000001</v>
      </c>
      <c r="P74" s="69">
        <v>56106215203.160004</v>
      </c>
      <c r="Q74" s="55">
        <f t="shared" si="24"/>
        <v>0.14718342495132347</v>
      </c>
      <c r="R74" s="69">
        <v>52817828098.730003</v>
      </c>
      <c r="S74" s="55">
        <f t="shared" si="27"/>
        <v>0.14577305779795008</v>
      </c>
      <c r="T74" s="56">
        <f t="shared" si="28"/>
        <v>-5.8610032641175064E-2</v>
      </c>
      <c r="U74" s="57">
        <f t="shared" si="29"/>
        <v>1.1217082328575446E-3</v>
      </c>
      <c r="V74" s="58">
        <f t="shared" si="30"/>
        <v>8.3386630914986468E-3</v>
      </c>
      <c r="W74" s="59">
        <f t="shared" si="31"/>
        <v>4541.6087939186082</v>
      </c>
      <c r="X74" s="59">
        <f t="shared" si="32"/>
        <v>37.870945625874782</v>
      </c>
      <c r="Y74" s="50">
        <v>4541.6099999999997</v>
      </c>
      <c r="Z74" s="50">
        <v>4541.6099999999997</v>
      </c>
      <c r="AA74" s="60">
        <v>450</v>
      </c>
      <c r="AB74" s="60">
        <v>12445194.93</v>
      </c>
      <c r="AC74" s="104">
        <v>338192.51</v>
      </c>
      <c r="AD74" s="60">
        <v>1153625.72</v>
      </c>
      <c r="AE74" s="50">
        <v>11629761.720000001</v>
      </c>
      <c r="AF74" s="5"/>
    </row>
    <row r="75" spans="1:241" ht="16.5" customHeight="1" x14ac:dyDescent="0.25">
      <c r="A75" s="47">
        <v>68</v>
      </c>
      <c r="B75" s="43" t="s">
        <v>89</v>
      </c>
      <c r="C75" s="43" t="s">
        <v>23</v>
      </c>
      <c r="D75" s="65"/>
      <c r="E75" s="65"/>
      <c r="F75" s="65">
        <v>7329177416.6400003</v>
      </c>
      <c r="G75" s="65">
        <v>44590804301.480003</v>
      </c>
      <c r="H75" s="65"/>
      <c r="I75" s="65"/>
      <c r="J75" s="65">
        <v>51919981718.120003</v>
      </c>
      <c r="K75" s="65">
        <v>385084455.08999997</v>
      </c>
      <c r="L75" s="65">
        <v>89231727.390000001</v>
      </c>
      <c r="M75" s="52">
        <v>295852727.69999999</v>
      </c>
      <c r="N75" s="65">
        <v>52179723137.739998</v>
      </c>
      <c r="O75" s="65">
        <v>358933758.13999999</v>
      </c>
      <c r="P75" s="69">
        <v>53311776411.900002</v>
      </c>
      <c r="Q75" s="55">
        <f t="shared" si="24"/>
        <v>0.13985277413794764</v>
      </c>
      <c r="R75" s="69">
        <v>51820789379.599998</v>
      </c>
      <c r="S75" s="55">
        <f t="shared" si="27"/>
        <v>0.14302130923004511</v>
      </c>
      <c r="T75" s="56">
        <f t="shared" si="28"/>
        <v>-2.796731102674703E-2</v>
      </c>
      <c r="U75" s="57">
        <f t="shared" si="29"/>
        <v>1.7219291419193889E-3</v>
      </c>
      <c r="V75" s="58">
        <f t="shared" si="30"/>
        <v>5.7091513124743459E-3</v>
      </c>
      <c r="W75" s="59">
        <f t="shared" si="31"/>
        <v>243.47266125663975</v>
      </c>
      <c r="X75" s="59">
        <f t="shared" si="32"/>
        <v>1.3900222635649668</v>
      </c>
      <c r="Y75" s="97">
        <v>243.47</v>
      </c>
      <c r="Z75" s="97">
        <v>243.47</v>
      </c>
      <c r="AA75" s="60">
        <v>6732</v>
      </c>
      <c r="AB75" s="60">
        <v>220052233.78</v>
      </c>
      <c r="AC75" s="60">
        <v>1649256.05</v>
      </c>
      <c r="AD75" s="60">
        <v>8861209.9000000004</v>
      </c>
      <c r="AE75" s="50">
        <v>212840279.94</v>
      </c>
      <c r="AF75" s="5"/>
    </row>
    <row r="76" spans="1:241" ht="16.5" customHeight="1" x14ac:dyDescent="0.25">
      <c r="A76" s="47">
        <v>69</v>
      </c>
      <c r="B76" s="44" t="s">
        <v>104</v>
      </c>
      <c r="C76" s="43" t="s">
        <v>23</v>
      </c>
      <c r="D76" s="65">
        <v>45660918.770000003</v>
      </c>
      <c r="E76" s="65"/>
      <c r="F76" s="65">
        <v>153911884.72999999</v>
      </c>
      <c r="G76" s="65">
        <v>29858808.57</v>
      </c>
      <c r="H76" s="65"/>
      <c r="I76" s="65"/>
      <c r="J76" s="65">
        <v>229431612.06999999</v>
      </c>
      <c r="K76" s="65">
        <v>2167678.66</v>
      </c>
      <c r="L76" s="65">
        <v>345278.31</v>
      </c>
      <c r="M76" s="52">
        <v>1133084.78</v>
      </c>
      <c r="N76" s="65">
        <v>233424972.93000001</v>
      </c>
      <c r="O76" s="65">
        <v>1134182.77</v>
      </c>
      <c r="P76" s="69">
        <v>231012905.72</v>
      </c>
      <c r="Q76" s="55">
        <f t="shared" si="24"/>
        <v>6.0601611690805639E-4</v>
      </c>
      <c r="R76" s="69">
        <v>232290790.16</v>
      </c>
      <c r="S76" s="55">
        <f t="shared" si="27"/>
        <v>6.4110433917557042E-4</v>
      </c>
      <c r="T76" s="56">
        <f t="shared" si="28"/>
        <v>5.5316582249688769E-3</v>
      </c>
      <c r="U76" s="57">
        <f t="shared" si="29"/>
        <v>1.4864055082088063E-3</v>
      </c>
      <c r="V76" s="58">
        <f t="shared" si="30"/>
        <v>4.877872167120963E-3</v>
      </c>
      <c r="W76" s="59">
        <f t="shared" si="31"/>
        <v>4123.5939666392815</v>
      </c>
      <c r="X76" s="59">
        <f t="shared" si="32"/>
        <v>20.114364238377679</v>
      </c>
      <c r="Y76" s="97">
        <v>4113.37</v>
      </c>
      <c r="Z76" s="97">
        <v>4129.26</v>
      </c>
      <c r="AA76" s="105">
        <v>15</v>
      </c>
      <c r="AB76" s="60">
        <v>56332.12</v>
      </c>
      <c r="AC76" s="60"/>
      <c r="AD76" s="60"/>
      <c r="AE76" s="50">
        <v>56332.12</v>
      </c>
      <c r="AF76" s="5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7"/>
      <c r="BK76" s="17"/>
      <c r="BL76" s="17"/>
      <c r="BM76" s="17"/>
      <c r="BN76" s="17"/>
      <c r="BO76" s="17"/>
      <c r="BP76" s="17"/>
      <c r="BQ76" s="17"/>
      <c r="BR76" s="17"/>
      <c r="BS76" s="17"/>
      <c r="BT76" s="17"/>
      <c r="BU76" s="17"/>
      <c r="BV76" s="17"/>
      <c r="BW76" s="17"/>
      <c r="BX76" s="17"/>
      <c r="BY76" s="17"/>
      <c r="BZ76" s="17"/>
      <c r="CA76" s="17"/>
      <c r="CB76" s="17"/>
      <c r="CC76" s="17"/>
      <c r="CD76" s="17"/>
      <c r="CE76" s="17"/>
      <c r="CF76" s="17"/>
      <c r="CG76" s="17"/>
      <c r="CH76" s="17"/>
      <c r="CI76" s="17"/>
      <c r="CJ76" s="17"/>
      <c r="CK76" s="17"/>
      <c r="CL76" s="17"/>
      <c r="CM76" s="17"/>
      <c r="CN76" s="17"/>
      <c r="CO76" s="17"/>
      <c r="CP76" s="17"/>
      <c r="CQ76" s="17"/>
      <c r="CR76" s="17"/>
      <c r="CS76" s="17"/>
      <c r="CT76" s="17"/>
      <c r="CU76" s="17"/>
      <c r="CV76" s="17"/>
      <c r="CW76" s="17"/>
      <c r="CX76" s="17"/>
      <c r="CY76" s="17"/>
      <c r="CZ76" s="17"/>
      <c r="DA76" s="17"/>
      <c r="DB76" s="17"/>
      <c r="DC76" s="17"/>
      <c r="DD76" s="17"/>
      <c r="DE76" s="17"/>
      <c r="DF76" s="17"/>
      <c r="DG76" s="17"/>
      <c r="DH76" s="17"/>
      <c r="DI76" s="17"/>
      <c r="DJ76" s="17"/>
      <c r="DK76" s="17"/>
      <c r="DL76" s="17"/>
      <c r="DM76" s="17"/>
      <c r="DN76" s="17"/>
      <c r="DO76" s="17"/>
      <c r="DP76" s="17"/>
      <c r="DQ76" s="17"/>
      <c r="DR76" s="17"/>
      <c r="DS76" s="17"/>
      <c r="DT76" s="17"/>
      <c r="DU76" s="17"/>
      <c r="DV76" s="17"/>
      <c r="DW76" s="17"/>
      <c r="DX76" s="17"/>
      <c r="DY76" s="17"/>
      <c r="DZ76" s="17"/>
      <c r="EA76" s="17"/>
      <c r="EB76" s="17"/>
      <c r="EC76" s="17"/>
      <c r="ED76" s="17"/>
      <c r="EE76" s="17"/>
      <c r="EF76" s="17"/>
      <c r="EG76" s="17"/>
      <c r="EH76" s="17"/>
      <c r="EI76" s="17"/>
      <c r="EJ76" s="17"/>
      <c r="EK76" s="17"/>
      <c r="EL76" s="17"/>
      <c r="EM76" s="17"/>
      <c r="EN76" s="17"/>
      <c r="EO76" s="17"/>
      <c r="EP76" s="17"/>
      <c r="EQ76" s="17"/>
      <c r="ER76" s="17"/>
      <c r="ES76" s="17"/>
      <c r="ET76" s="17"/>
      <c r="EU76" s="17"/>
      <c r="EV76" s="17"/>
      <c r="EW76" s="17"/>
      <c r="EX76" s="17"/>
      <c r="EY76" s="17"/>
      <c r="EZ76" s="17"/>
      <c r="FA76" s="17"/>
      <c r="FB76" s="17"/>
      <c r="FC76" s="17"/>
      <c r="FD76" s="17"/>
      <c r="FE76" s="17"/>
      <c r="FF76" s="17"/>
      <c r="FG76" s="17"/>
      <c r="FH76" s="17"/>
      <c r="FI76" s="17"/>
      <c r="FJ76" s="17"/>
      <c r="FK76" s="17"/>
      <c r="FL76" s="17"/>
      <c r="FM76" s="17"/>
      <c r="FN76" s="17"/>
      <c r="FO76" s="17"/>
      <c r="FP76" s="17"/>
      <c r="FQ76" s="17"/>
      <c r="FR76" s="17"/>
      <c r="FS76" s="17"/>
      <c r="FT76" s="17"/>
      <c r="FU76" s="17"/>
      <c r="FV76" s="17"/>
      <c r="FW76" s="17"/>
      <c r="FX76" s="17"/>
      <c r="FY76" s="17"/>
      <c r="FZ76" s="17"/>
      <c r="GA76" s="17"/>
      <c r="GB76" s="17"/>
      <c r="GC76" s="17"/>
      <c r="GD76" s="17"/>
      <c r="GE76" s="17"/>
      <c r="GF76" s="17"/>
      <c r="GG76" s="17"/>
      <c r="GH76" s="17"/>
      <c r="GI76" s="17"/>
      <c r="GJ76" s="17"/>
      <c r="GK76" s="17"/>
      <c r="GL76" s="17"/>
      <c r="GM76" s="17"/>
      <c r="GN76" s="17"/>
      <c r="GO76" s="17"/>
      <c r="GP76" s="17"/>
      <c r="GQ76" s="17"/>
      <c r="GR76" s="17"/>
      <c r="GS76" s="17"/>
      <c r="GT76" s="17"/>
      <c r="GU76" s="17"/>
      <c r="GV76" s="17"/>
      <c r="GW76" s="17"/>
      <c r="GX76" s="17"/>
      <c r="GY76" s="17"/>
      <c r="GZ76" s="17"/>
      <c r="HA76" s="17"/>
      <c r="HB76" s="17"/>
      <c r="HC76" s="17"/>
      <c r="HD76" s="17"/>
      <c r="HE76" s="17"/>
      <c r="HF76" s="17"/>
      <c r="HG76" s="17"/>
      <c r="HH76" s="17"/>
      <c r="HI76" s="17"/>
      <c r="HJ76" s="17"/>
      <c r="HK76" s="17"/>
      <c r="HL76" s="17"/>
      <c r="HM76" s="17"/>
      <c r="HN76" s="17"/>
      <c r="HO76" s="17"/>
      <c r="HP76" s="17"/>
      <c r="HQ76" s="17"/>
      <c r="HR76" s="17"/>
      <c r="HS76" s="17"/>
      <c r="HT76" s="17"/>
      <c r="HU76" s="17"/>
      <c r="HV76" s="17"/>
      <c r="HW76" s="17"/>
      <c r="HX76" s="17"/>
      <c r="HY76" s="17"/>
      <c r="HZ76" s="17"/>
      <c r="IA76" s="17"/>
      <c r="IB76" s="17"/>
      <c r="IC76" s="17"/>
      <c r="ID76" s="17"/>
      <c r="IE76" s="17"/>
      <c r="IF76" s="17"/>
      <c r="IG76" s="17"/>
    </row>
    <row r="77" spans="1:241" ht="16.5" customHeight="1" x14ac:dyDescent="0.25">
      <c r="A77" s="47">
        <v>70</v>
      </c>
      <c r="B77" s="43" t="s">
        <v>158</v>
      </c>
      <c r="C77" s="43" t="s">
        <v>23</v>
      </c>
      <c r="D77" s="65"/>
      <c r="E77" s="65"/>
      <c r="F77" s="65">
        <v>6990485893.5200005</v>
      </c>
      <c r="G77" s="65">
        <v>21835009678.849998</v>
      </c>
      <c r="H77" s="65"/>
      <c r="I77" s="65"/>
      <c r="J77" s="65">
        <v>28860773654.57</v>
      </c>
      <c r="K77" s="65">
        <v>299078693.64999998</v>
      </c>
      <c r="L77" s="65">
        <v>44810087.560000002</v>
      </c>
      <c r="M77" s="52">
        <v>254268606.09</v>
      </c>
      <c r="N77" s="65">
        <v>29155067411.150002</v>
      </c>
      <c r="O77" s="50">
        <v>64411105.960000001</v>
      </c>
      <c r="P77" s="69">
        <v>31894836142.73</v>
      </c>
      <c r="Q77" s="55">
        <f t="shared" si="24"/>
        <v>8.3669718314627356E-2</v>
      </c>
      <c r="R77" s="69">
        <v>29090656305.189999</v>
      </c>
      <c r="S77" s="55">
        <f t="shared" si="27"/>
        <v>8.0287926929330289E-2</v>
      </c>
      <c r="T77" s="56">
        <f t="shared" si="28"/>
        <v>-8.7919556162359414E-2</v>
      </c>
      <c r="U77" s="57">
        <f t="shared" si="29"/>
        <v>1.5403601448484865E-3</v>
      </c>
      <c r="V77" s="58">
        <f t="shared" si="30"/>
        <v>8.7405592855131463E-3</v>
      </c>
      <c r="W77" s="59">
        <f t="shared" si="31"/>
        <v>113.61342335824669</v>
      </c>
      <c r="X77" s="59">
        <f t="shared" si="32"/>
        <v>0.99304486249285928</v>
      </c>
      <c r="Y77" s="49">
        <v>113.61</v>
      </c>
      <c r="Z77" s="49">
        <v>113.61</v>
      </c>
      <c r="AA77" s="60">
        <v>3889</v>
      </c>
      <c r="AB77" s="60">
        <v>282995143.66000003</v>
      </c>
      <c r="AC77" s="60">
        <v>14750040.689999999</v>
      </c>
      <c r="AD77" s="60">
        <v>41695719.030000001</v>
      </c>
      <c r="AE77" s="50">
        <v>256049465.33000001</v>
      </c>
      <c r="AF77" s="5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7"/>
      <c r="BK77" s="17"/>
      <c r="BL77" s="17"/>
      <c r="BM77" s="17"/>
      <c r="BN77" s="17"/>
      <c r="BO77" s="17"/>
      <c r="BP77" s="17"/>
      <c r="BQ77" s="17"/>
      <c r="BR77" s="17"/>
      <c r="BS77" s="17"/>
      <c r="BT77" s="17"/>
      <c r="BU77" s="17"/>
      <c r="BV77" s="17"/>
      <c r="BW77" s="17"/>
      <c r="BX77" s="17"/>
      <c r="BY77" s="17"/>
      <c r="BZ77" s="17"/>
      <c r="CA77" s="17"/>
      <c r="CB77" s="17"/>
      <c r="CC77" s="17"/>
      <c r="CD77" s="17"/>
      <c r="CE77" s="17"/>
      <c r="CF77" s="17"/>
      <c r="CG77" s="17"/>
      <c r="CH77" s="17"/>
      <c r="CI77" s="17"/>
      <c r="CJ77" s="17"/>
      <c r="CK77" s="17"/>
      <c r="CL77" s="17"/>
      <c r="CM77" s="17"/>
      <c r="CN77" s="17"/>
      <c r="CO77" s="17"/>
      <c r="CP77" s="17"/>
      <c r="CQ77" s="17"/>
      <c r="CR77" s="17"/>
      <c r="CS77" s="17"/>
      <c r="CT77" s="17"/>
      <c r="CU77" s="17"/>
      <c r="CV77" s="17"/>
      <c r="CW77" s="17"/>
      <c r="CX77" s="17"/>
      <c r="CY77" s="17"/>
      <c r="CZ77" s="17"/>
      <c r="DA77" s="17"/>
      <c r="DB77" s="17"/>
      <c r="DC77" s="17"/>
      <c r="DD77" s="17"/>
      <c r="DE77" s="17"/>
      <c r="DF77" s="17"/>
      <c r="DG77" s="17"/>
      <c r="DH77" s="17"/>
      <c r="DI77" s="17"/>
      <c r="DJ77" s="17"/>
      <c r="DK77" s="17"/>
      <c r="DL77" s="17"/>
      <c r="DM77" s="17"/>
      <c r="DN77" s="17"/>
      <c r="DO77" s="17"/>
      <c r="DP77" s="17"/>
      <c r="DQ77" s="17"/>
      <c r="DR77" s="17"/>
      <c r="DS77" s="17"/>
      <c r="DT77" s="17"/>
      <c r="DU77" s="17"/>
      <c r="DV77" s="17"/>
      <c r="DW77" s="17"/>
      <c r="DX77" s="17"/>
      <c r="DY77" s="17"/>
      <c r="DZ77" s="17"/>
      <c r="EA77" s="17"/>
      <c r="EB77" s="17"/>
      <c r="EC77" s="17"/>
      <c r="ED77" s="17"/>
      <c r="EE77" s="17"/>
      <c r="EF77" s="17"/>
      <c r="EG77" s="17"/>
      <c r="EH77" s="17"/>
      <c r="EI77" s="17"/>
      <c r="EJ77" s="17"/>
      <c r="EK77" s="17"/>
      <c r="EL77" s="17"/>
      <c r="EM77" s="17"/>
      <c r="EN77" s="17"/>
      <c r="EO77" s="17"/>
      <c r="EP77" s="17"/>
      <c r="EQ77" s="17"/>
      <c r="ER77" s="17"/>
      <c r="ES77" s="17"/>
      <c r="ET77" s="17"/>
      <c r="EU77" s="17"/>
      <c r="EV77" s="17"/>
      <c r="EW77" s="17"/>
      <c r="EX77" s="17"/>
      <c r="EY77" s="17"/>
      <c r="EZ77" s="17"/>
      <c r="FA77" s="17"/>
      <c r="FB77" s="17"/>
      <c r="FC77" s="17"/>
      <c r="FD77" s="17"/>
      <c r="FE77" s="17"/>
      <c r="FF77" s="17"/>
      <c r="FG77" s="17"/>
      <c r="FH77" s="17"/>
      <c r="FI77" s="17"/>
      <c r="FJ77" s="17"/>
      <c r="FK77" s="17"/>
      <c r="FL77" s="17"/>
      <c r="FM77" s="17"/>
      <c r="FN77" s="17"/>
      <c r="FO77" s="17"/>
      <c r="FP77" s="17"/>
      <c r="FQ77" s="17"/>
      <c r="FR77" s="17"/>
      <c r="FS77" s="17"/>
      <c r="FT77" s="17"/>
      <c r="FU77" s="17"/>
      <c r="FV77" s="17"/>
      <c r="FW77" s="17"/>
      <c r="FX77" s="17"/>
      <c r="FY77" s="17"/>
      <c r="FZ77" s="17"/>
      <c r="GA77" s="17"/>
      <c r="GB77" s="17"/>
      <c r="GC77" s="17"/>
      <c r="GD77" s="17"/>
      <c r="GE77" s="17"/>
      <c r="GF77" s="17"/>
      <c r="GG77" s="17"/>
      <c r="GH77" s="17"/>
      <c r="GI77" s="17"/>
      <c r="GJ77" s="17"/>
      <c r="GK77" s="17"/>
      <c r="GL77" s="17"/>
      <c r="GM77" s="17"/>
      <c r="GN77" s="17"/>
      <c r="GO77" s="17"/>
      <c r="GP77" s="17"/>
      <c r="GQ77" s="17"/>
      <c r="GR77" s="17"/>
      <c r="GS77" s="17"/>
      <c r="GT77" s="17"/>
      <c r="GU77" s="17"/>
      <c r="GV77" s="17"/>
      <c r="GW77" s="17"/>
      <c r="GX77" s="17"/>
      <c r="GY77" s="17"/>
      <c r="GZ77" s="17"/>
      <c r="HA77" s="17"/>
      <c r="HB77" s="17"/>
      <c r="HC77" s="17"/>
      <c r="HD77" s="17"/>
      <c r="HE77" s="17"/>
      <c r="HF77" s="17"/>
      <c r="HG77" s="17"/>
      <c r="HH77" s="17"/>
      <c r="HI77" s="17"/>
      <c r="HJ77" s="17"/>
      <c r="HK77" s="17"/>
      <c r="HL77" s="17"/>
      <c r="HM77" s="17"/>
      <c r="HN77" s="17"/>
      <c r="HO77" s="17"/>
      <c r="HP77" s="17"/>
      <c r="HQ77" s="17"/>
      <c r="HR77" s="17"/>
      <c r="HS77" s="17"/>
      <c r="HT77" s="17"/>
      <c r="HU77" s="17"/>
      <c r="HV77" s="17"/>
      <c r="HW77" s="17"/>
      <c r="HX77" s="17"/>
      <c r="HY77" s="17"/>
      <c r="HZ77" s="17"/>
      <c r="IA77" s="17"/>
      <c r="IB77" s="17"/>
      <c r="IC77" s="17"/>
      <c r="ID77" s="17"/>
      <c r="IE77" s="17"/>
      <c r="IF77" s="17"/>
      <c r="IG77" s="17"/>
    </row>
    <row r="78" spans="1:241" ht="16.5" customHeight="1" x14ac:dyDescent="0.25">
      <c r="A78" s="47">
        <v>71</v>
      </c>
      <c r="B78" s="43" t="s">
        <v>100</v>
      </c>
      <c r="C78" s="43" t="s">
        <v>23</v>
      </c>
      <c r="D78" s="65">
        <v>11572414.4</v>
      </c>
      <c r="E78" s="65"/>
      <c r="F78" s="65">
        <v>2551716409.3099999</v>
      </c>
      <c r="G78" s="65">
        <v>14176181867.190001</v>
      </c>
      <c r="H78" s="65"/>
      <c r="I78" s="65"/>
      <c r="J78" s="65">
        <v>16769409550.709999</v>
      </c>
      <c r="K78" s="65">
        <v>126707040.42</v>
      </c>
      <c r="L78" s="65">
        <v>29808032.390000001</v>
      </c>
      <c r="M78" s="52">
        <v>99989757.680000007</v>
      </c>
      <c r="N78" s="65">
        <v>16782626098.65</v>
      </c>
      <c r="O78" s="65">
        <v>130777145.72</v>
      </c>
      <c r="P78" s="69">
        <v>17837758672.759998</v>
      </c>
      <c r="Q78" s="55">
        <f t="shared" si="24"/>
        <v>4.6793789340545677E-2</v>
      </c>
      <c r="R78" s="69">
        <v>16651848952.93</v>
      </c>
      <c r="S78" s="55">
        <f t="shared" si="27"/>
        <v>4.5957795449687672E-2</v>
      </c>
      <c r="T78" s="56">
        <f t="shared" si="28"/>
        <v>-6.6483112681695711E-2</v>
      </c>
      <c r="U78" s="57">
        <f t="shared" si="29"/>
        <v>1.790073431140215E-3</v>
      </c>
      <c r="V78" s="58">
        <f t="shared" si="30"/>
        <v>6.0047240377115096E-3</v>
      </c>
      <c r="W78" s="59">
        <f t="shared" si="31"/>
        <v>328.46672277135116</v>
      </c>
      <c r="X78" s="59">
        <f t="shared" si="32"/>
        <v>1.972352025813455</v>
      </c>
      <c r="Y78" s="97">
        <v>328.46</v>
      </c>
      <c r="Z78" s="97">
        <v>328.47</v>
      </c>
      <c r="AA78" s="60">
        <v>9930</v>
      </c>
      <c r="AB78" s="60">
        <v>54557378.719999999</v>
      </c>
      <c r="AC78" s="60">
        <v>1789502.42</v>
      </c>
      <c r="AD78" s="60">
        <v>5651185.6600000001</v>
      </c>
      <c r="AE78" s="50">
        <v>50695695.479999997</v>
      </c>
      <c r="AF78" s="5"/>
    </row>
    <row r="79" spans="1:241" ht="16.5" customHeight="1" x14ac:dyDescent="0.25">
      <c r="A79" s="47">
        <v>72</v>
      </c>
      <c r="B79" s="43" t="s">
        <v>96</v>
      </c>
      <c r="C79" s="43" t="s">
        <v>33</v>
      </c>
      <c r="D79" s="65"/>
      <c r="E79" s="65"/>
      <c r="F79" s="65">
        <v>3366632477</v>
      </c>
      <c r="G79" s="65">
        <v>89648529205</v>
      </c>
      <c r="H79" s="65"/>
      <c r="I79" s="100"/>
      <c r="J79" s="65">
        <v>93015161681</v>
      </c>
      <c r="K79" s="65">
        <v>762603634</v>
      </c>
      <c r="L79" s="65">
        <v>166577263</v>
      </c>
      <c r="M79" s="52">
        <v>596026372</v>
      </c>
      <c r="N79" s="65">
        <v>101780721277.32001</v>
      </c>
      <c r="O79" s="65">
        <v>782873280.99000001</v>
      </c>
      <c r="P79" s="69">
        <v>102897686081</v>
      </c>
      <c r="Q79" s="55">
        <f t="shared" si="24"/>
        <v>0.26993148267314815</v>
      </c>
      <c r="R79" s="69">
        <v>100997847996</v>
      </c>
      <c r="S79" s="55">
        <f t="shared" si="27"/>
        <v>0.27874612916435865</v>
      </c>
      <c r="T79" s="56">
        <f t="shared" si="28"/>
        <v>-1.8463370337642646E-2</v>
      </c>
      <c r="U79" s="57">
        <f t="shared" si="29"/>
        <v>1.6493149735883211E-3</v>
      </c>
      <c r="V79" s="58">
        <f t="shared" si="30"/>
        <v>5.9013769483841428E-3</v>
      </c>
      <c r="W79" s="59">
        <f t="shared" si="31"/>
        <v>1.9366144599839861</v>
      </c>
      <c r="X79" s="59">
        <f t="shared" si="32"/>
        <v>1.1428691932056902E-2</v>
      </c>
      <c r="Y79" s="97">
        <v>1.94</v>
      </c>
      <c r="Z79" s="97">
        <v>1.94</v>
      </c>
      <c r="AA79" s="60">
        <v>2726</v>
      </c>
      <c r="AB79" s="60">
        <v>53185554757</v>
      </c>
      <c r="AC79" s="60">
        <v>154422723</v>
      </c>
      <c r="AD79" s="60">
        <v>1188219822</v>
      </c>
      <c r="AE79" s="50">
        <v>52151757659</v>
      </c>
      <c r="AF79" s="5"/>
      <c r="AG79" s="17"/>
      <c r="AH79" s="17"/>
      <c r="AI79" s="17"/>
      <c r="AJ79" s="17"/>
      <c r="AK79" s="17"/>
      <c r="AL79" s="17"/>
      <c r="AM79" s="17"/>
      <c r="AN79" s="17"/>
      <c r="AO79" s="17"/>
      <c r="AP79" s="17"/>
      <c r="AQ79" s="17"/>
      <c r="AR79" s="17"/>
      <c r="AS79" s="17"/>
      <c r="AT79" s="17"/>
      <c r="AU79" s="17"/>
      <c r="AV79" s="17"/>
      <c r="AW79" s="17"/>
      <c r="AX79" s="17"/>
      <c r="AY79" s="17"/>
      <c r="AZ79" s="17"/>
      <c r="BA79" s="17"/>
      <c r="BB79" s="17"/>
      <c r="BC79" s="17"/>
      <c r="BD79" s="17"/>
      <c r="BE79" s="17"/>
      <c r="BF79" s="17"/>
      <c r="BG79" s="17"/>
      <c r="BH79" s="17"/>
      <c r="BI79" s="17"/>
      <c r="BJ79" s="17"/>
      <c r="BK79" s="17"/>
      <c r="BL79" s="17"/>
      <c r="BM79" s="17"/>
      <c r="BN79" s="17"/>
      <c r="BO79" s="17"/>
      <c r="BP79" s="17"/>
      <c r="BQ79" s="17"/>
      <c r="BR79" s="17"/>
      <c r="BS79" s="17"/>
      <c r="BT79" s="17"/>
      <c r="BU79" s="17"/>
      <c r="BV79" s="17"/>
      <c r="BW79" s="17"/>
      <c r="BX79" s="17"/>
      <c r="BY79" s="17"/>
      <c r="BZ79" s="17"/>
      <c r="CA79" s="17"/>
      <c r="CB79" s="17"/>
      <c r="CC79" s="17"/>
      <c r="CD79" s="17"/>
      <c r="CE79" s="17"/>
      <c r="CF79" s="17"/>
      <c r="CG79" s="17"/>
      <c r="CH79" s="17"/>
      <c r="CI79" s="17"/>
      <c r="CJ79" s="17"/>
      <c r="CK79" s="17"/>
      <c r="CL79" s="17"/>
      <c r="CM79" s="17"/>
      <c r="CN79" s="17"/>
      <c r="CO79" s="17"/>
      <c r="CP79" s="17"/>
      <c r="CQ79" s="17"/>
      <c r="CR79" s="17"/>
      <c r="CS79" s="17"/>
      <c r="CT79" s="17"/>
      <c r="CU79" s="17"/>
      <c r="CV79" s="17"/>
      <c r="CW79" s="17"/>
      <c r="CX79" s="17"/>
      <c r="CY79" s="17"/>
      <c r="CZ79" s="17"/>
      <c r="DA79" s="17"/>
      <c r="DB79" s="17"/>
      <c r="DC79" s="17"/>
      <c r="DD79" s="17"/>
      <c r="DE79" s="17"/>
      <c r="DF79" s="17"/>
      <c r="DG79" s="17"/>
      <c r="DH79" s="17"/>
      <c r="DI79" s="17"/>
      <c r="DJ79" s="17"/>
      <c r="DK79" s="17"/>
      <c r="DL79" s="17"/>
      <c r="DM79" s="17"/>
      <c r="DN79" s="17"/>
      <c r="DO79" s="17"/>
      <c r="DP79" s="17"/>
      <c r="DQ79" s="17"/>
      <c r="DR79" s="17"/>
      <c r="DS79" s="17"/>
      <c r="DT79" s="17"/>
      <c r="DU79" s="17"/>
      <c r="DV79" s="17"/>
      <c r="DW79" s="17"/>
      <c r="DX79" s="17"/>
      <c r="DY79" s="17"/>
      <c r="DZ79" s="17"/>
      <c r="EA79" s="17"/>
      <c r="EB79" s="17"/>
      <c r="EC79" s="17"/>
      <c r="ED79" s="17"/>
      <c r="EE79" s="17"/>
      <c r="EF79" s="17"/>
      <c r="EG79" s="17"/>
      <c r="EH79" s="17"/>
      <c r="EI79" s="17"/>
      <c r="EJ79" s="17"/>
      <c r="EK79" s="17"/>
      <c r="EL79" s="17"/>
      <c r="EM79" s="17"/>
      <c r="EN79" s="17"/>
      <c r="EO79" s="17"/>
      <c r="EP79" s="17"/>
      <c r="EQ79" s="17"/>
      <c r="ER79" s="17"/>
      <c r="ES79" s="17"/>
      <c r="ET79" s="17"/>
      <c r="EU79" s="17"/>
      <c r="EV79" s="17"/>
      <c r="EW79" s="17"/>
      <c r="EX79" s="17"/>
      <c r="EY79" s="17"/>
      <c r="EZ79" s="17"/>
      <c r="FA79" s="17"/>
      <c r="FB79" s="17"/>
      <c r="FC79" s="17"/>
      <c r="FD79" s="17"/>
      <c r="FE79" s="17"/>
      <c r="FF79" s="17"/>
      <c r="FG79" s="17"/>
      <c r="FH79" s="17"/>
      <c r="FI79" s="17"/>
      <c r="FJ79" s="17"/>
      <c r="FK79" s="17"/>
      <c r="FL79" s="17"/>
      <c r="FM79" s="17"/>
      <c r="FN79" s="17"/>
      <c r="FO79" s="17"/>
      <c r="FP79" s="17"/>
      <c r="FQ79" s="17"/>
      <c r="FR79" s="17"/>
      <c r="FS79" s="17"/>
      <c r="FT79" s="17"/>
      <c r="FU79" s="17"/>
      <c r="FV79" s="17"/>
      <c r="FW79" s="17"/>
      <c r="FX79" s="17"/>
      <c r="FY79" s="17"/>
      <c r="FZ79" s="17"/>
      <c r="GA79" s="17"/>
      <c r="GB79" s="17"/>
      <c r="GC79" s="17"/>
      <c r="GD79" s="17"/>
      <c r="GE79" s="17"/>
      <c r="GF79" s="17"/>
      <c r="GG79" s="17"/>
      <c r="GH79" s="17"/>
      <c r="GI79" s="17"/>
      <c r="GJ79" s="17"/>
      <c r="GK79" s="17"/>
      <c r="GL79" s="17"/>
      <c r="GM79" s="17"/>
      <c r="GN79" s="17"/>
      <c r="GO79" s="17"/>
      <c r="GP79" s="17"/>
      <c r="GQ79" s="17"/>
      <c r="GR79" s="17"/>
      <c r="GS79" s="17"/>
      <c r="GT79" s="17"/>
      <c r="GU79" s="17"/>
      <c r="GV79" s="17"/>
      <c r="GW79" s="17"/>
      <c r="GX79" s="17"/>
      <c r="GY79" s="17"/>
      <c r="GZ79" s="17"/>
      <c r="HA79" s="17"/>
      <c r="HB79" s="17"/>
      <c r="HC79" s="17"/>
      <c r="HD79" s="17"/>
      <c r="HE79" s="17"/>
      <c r="HF79" s="17"/>
      <c r="HG79" s="17"/>
      <c r="HH79" s="17"/>
      <c r="HI79" s="17"/>
      <c r="HJ79" s="17"/>
      <c r="HK79" s="17"/>
      <c r="HL79" s="17"/>
      <c r="HM79" s="17"/>
      <c r="HN79" s="17"/>
      <c r="HO79" s="17"/>
      <c r="HP79" s="17"/>
      <c r="HQ79" s="17"/>
      <c r="HR79" s="17"/>
      <c r="HS79" s="17"/>
      <c r="HT79" s="17"/>
      <c r="HU79" s="17"/>
      <c r="HV79" s="17"/>
      <c r="HW79" s="17"/>
      <c r="HX79" s="17"/>
      <c r="HY79" s="17"/>
      <c r="HZ79" s="17"/>
      <c r="IA79" s="17"/>
      <c r="IB79" s="17"/>
      <c r="IC79" s="17"/>
      <c r="ID79" s="17"/>
      <c r="IE79" s="17"/>
      <c r="IF79" s="17"/>
      <c r="IG79" s="17"/>
    </row>
    <row r="80" spans="1:241" ht="16.5" customHeight="1" x14ac:dyDescent="0.25">
      <c r="A80" s="47">
        <v>73</v>
      </c>
      <c r="B80" s="82" t="s">
        <v>97</v>
      </c>
      <c r="C80" s="43" t="s">
        <v>44</v>
      </c>
      <c r="D80" s="65">
        <v>32411830</v>
      </c>
      <c r="E80" s="65"/>
      <c r="F80" s="65">
        <v>514363886.68000001</v>
      </c>
      <c r="G80" s="65">
        <v>9672134393.7099991</v>
      </c>
      <c r="H80" s="65"/>
      <c r="I80" s="100"/>
      <c r="J80" s="65">
        <v>10218910110.389999</v>
      </c>
      <c r="K80" s="65">
        <v>64349937.359999999</v>
      </c>
      <c r="L80" s="65">
        <v>4962136.7</v>
      </c>
      <c r="M80" s="101">
        <v>59412149.399999999</v>
      </c>
      <c r="N80" s="65">
        <v>10252424933.74</v>
      </c>
      <c r="O80" s="65">
        <v>677494815.25</v>
      </c>
      <c r="P80" s="69">
        <v>9724583060.2999992</v>
      </c>
      <c r="Q80" s="55">
        <f t="shared" si="24"/>
        <v>2.5510497114372511E-2</v>
      </c>
      <c r="R80" s="69">
        <v>9574930118.4899998</v>
      </c>
      <c r="S80" s="55">
        <f t="shared" si="27"/>
        <v>2.6426055213117271E-2</v>
      </c>
      <c r="T80" s="56">
        <f t="shared" si="28"/>
        <v>-1.5389137085059021E-2</v>
      </c>
      <c r="U80" s="57">
        <f t="shared" si="29"/>
        <v>5.1824260214888612E-4</v>
      </c>
      <c r="V80" s="58">
        <f t="shared" si="30"/>
        <v>6.2049695052363999E-3</v>
      </c>
      <c r="W80" s="59">
        <f t="shared" si="31"/>
        <v>1</v>
      </c>
      <c r="X80" s="59">
        <f t="shared" si="32"/>
        <v>6.2049695052363999E-3</v>
      </c>
      <c r="Y80" s="97">
        <v>1</v>
      </c>
      <c r="Z80" s="97">
        <v>1</v>
      </c>
      <c r="AA80" s="49">
        <v>4444</v>
      </c>
      <c r="AB80" s="60">
        <v>9584533005.5</v>
      </c>
      <c r="AC80" s="60">
        <v>8232112.5099999998</v>
      </c>
      <c r="AD80" s="60">
        <v>17834999.52</v>
      </c>
      <c r="AE80" s="50">
        <v>9574930118.4899998</v>
      </c>
      <c r="AF80" s="5"/>
      <c r="AG80" s="17"/>
      <c r="AH80" s="17"/>
      <c r="AI80" s="17"/>
      <c r="AJ80" s="17"/>
      <c r="AK80" s="17"/>
      <c r="AL80" s="17"/>
      <c r="AM80" s="17"/>
      <c r="AN80" s="17"/>
      <c r="AO80" s="17"/>
      <c r="AP80" s="17"/>
      <c r="AQ80" s="17"/>
      <c r="AR80" s="17"/>
      <c r="AS80" s="17"/>
      <c r="AT80" s="17"/>
      <c r="AU80" s="17"/>
      <c r="AV80" s="17"/>
      <c r="AW80" s="17"/>
      <c r="AX80" s="17"/>
      <c r="AY80" s="17"/>
      <c r="AZ80" s="17"/>
      <c r="BA80" s="17"/>
      <c r="BB80" s="17"/>
      <c r="BC80" s="17"/>
      <c r="BD80" s="17"/>
      <c r="BE80" s="17"/>
      <c r="BF80" s="17"/>
      <c r="BG80" s="17"/>
      <c r="BH80" s="17"/>
      <c r="BI80" s="17"/>
      <c r="BJ80" s="17"/>
      <c r="BK80" s="17"/>
      <c r="BL80" s="17"/>
      <c r="BM80" s="17"/>
      <c r="BN80" s="17"/>
      <c r="BO80" s="17"/>
      <c r="BP80" s="17"/>
      <c r="BQ80" s="17"/>
      <c r="BR80" s="17"/>
      <c r="BS80" s="17"/>
      <c r="BT80" s="17"/>
      <c r="BU80" s="17"/>
      <c r="BV80" s="17"/>
      <c r="BW80" s="17"/>
      <c r="BX80" s="17"/>
      <c r="BY80" s="17"/>
      <c r="BZ80" s="17"/>
      <c r="CA80" s="17"/>
      <c r="CB80" s="17"/>
      <c r="CC80" s="17"/>
      <c r="CD80" s="17"/>
      <c r="CE80" s="17"/>
      <c r="CF80" s="17"/>
      <c r="CG80" s="17"/>
      <c r="CH80" s="17"/>
      <c r="CI80" s="17"/>
      <c r="CJ80" s="17"/>
      <c r="CK80" s="17"/>
      <c r="CL80" s="17"/>
      <c r="CM80" s="17"/>
      <c r="CN80" s="17"/>
      <c r="CO80" s="17"/>
      <c r="CP80" s="17"/>
      <c r="CQ80" s="17"/>
      <c r="CR80" s="17"/>
      <c r="CS80" s="17"/>
      <c r="CT80" s="17"/>
      <c r="CU80" s="17"/>
      <c r="CV80" s="17"/>
      <c r="CW80" s="17"/>
      <c r="CX80" s="17"/>
      <c r="CY80" s="17"/>
      <c r="CZ80" s="17"/>
      <c r="DA80" s="17"/>
      <c r="DB80" s="17"/>
      <c r="DC80" s="17"/>
      <c r="DD80" s="17"/>
      <c r="DE80" s="17"/>
      <c r="DF80" s="17"/>
      <c r="DG80" s="17"/>
      <c r="DH80" s="17"/>
      <c r="DI80" s="17"/>
      <c r="DJ80" s="17"/>
      <c r="DK80" s="17"/>
      <c r="DL80" s="17"/>
      <c r="DM80" s="17"/>
      <c r="DN80" s="17"/>
      <c r="DO80" s="17"/>
      <c r="DP80" s="17"/>
      <c r="DQ80" s="17"/>
      <c r="DR80" s="17"/>
      <c r="DS80" s="17"/>
      <c r="DT80" s="17"/>
      <c r="DU80" s="17"/>
      <c r="DV80" s="17"/>
      <c r="DW80" s="17"/>
      <c r="DX80" s="17"/>
      <c r="DY80" s="17"/>
      <c r="DZ80" s="17"/>
      <c r="EA80" s="17"/>
      <c r="EB80" s="17"/>
      <c r="EC80" s="17"/>
      <c r="ED80" s="17"/>
      <c r="EE80" s="17"/>
      <c r="EF80" s="17"/>
      <c r="EG80" s="17"/>
      <c r="EH80" s="17"/>
      <c r="EI80" s="17"/>
      <c r="EJ80" s="17"/>
      <c r="EK80" s="17"/>
      <c r="EL80" s="17"/>
      <c r="EM80" s="17"/>
      <c r="EN80" s="17"/>
      <c r="EO80" s="17"/>
      <c r="EP80" s="17"/>
      <c r="EQ80" s="17"/>
      <c r="ER80" s="17"/>
      <c r="ES80" s="17"/>
      <c r="ET80" s="17"/>
      <c r="EU80" s="17"/>
      <c r="EV80" s="17"/>
      <c r="EW80" s="17"/>
      <c r="EX80" s="17"/>
      <c r="EY80" s="17"/>
      <c r="EZ80" s="17"/>
      <c r="FA80" s="17"/>
      <c r="FB80" s="17"/>
      <c r="FC80" s="17"/>
      <c r="FD80" s="17"/>
      <c r="FE80" s="17"/>
      <c r="FF80" s="17"/>
      <c r="FG80" s="17"/>
      <c r="FH80" s="17"/>
      <c r="FI80" s="17"/>
      <c r="FJ80" s="17"/>
      <c r="FK80" s="17"/>
      <c r="FL80" s="17"/>
      <c r="FM80" s="17"/>
      <c r="FN80" s="17"/>
      <c r="FO80" s="17"/>
      <c r="FP80" s="17"/>
      <c r="FQ80" s="17"/>
      <c r="FR80" s="17"/>
      <c r="FS80" s="17"/>
      <c r="FT80" s="17"/>
      <c r="FU80" s="17"/>
      <c r="FV80" s="17"/>
      <c r="FW80" s="17"/>
      <c r="FX80" s="17"/>
      <c r="FY80" s="17"/>
      <c r="FZ80" s="17"/>
      <c r="GA80" s="17"/>
      <c r="GB80" s="17"/>
      <c r="GC80" s="17"/>
      <c r="GD80" s="17"/>
      <c r="GE80" s="17"/>
      <c r="GF80" s="17"/>
      <c r="GG80" s="17"/>
      <c r="GH80" s="17"/>
      <c r="GI80" s="17"/>
      <c r="GJ80" s="17"/>
      <c r="GK80" s="17"/>
      <c r="GL80" s="17"/>
      <c r="GM80" s="17"/>
      <c r="GN80" s="17"/>
      <c r="GO80" s="17"/>
      <c r="GP80" s="17"/>
      <c r="GQ80" s="17"/>
      <c r="GR80" s="17"/>
      <c r="GS80" s="17"/>
      <c r="GT80" s="17"/>
      <c r="GU80" s="17"/>
      <c r="GV80" s="17"/>
      <c r="GW80" s="17"/>
      <c r="GX80" s="17"/>
      <c r="GY80" s="17"/>
      <c r="GZ80" s="17"/>
      <c r="HA80" s="17"/>
      <c r="HB80" s="17"/>
      <c r="HC80" s="17"/>
      <c r="HD80" s="17"/>
      <c r="HE80" s="17"/>
      <c r="HF80" s="17"/>
      <c r="HG80" s="17"/>
      <c r="HH80" s="17"/>
      <c r="HI80" s="17"/>
      <c r="HJ80" s="17"/>
      <c r="HK80" s="17"/>
      <c r="HL80" s="17"/>
      <c r="HM80" s="17"/>
      <c r="HN80" s="17"/>
      <c r="HO80" s="17"/>
      <c r="HP80" s="17"/>
      <c r="HQ80" s="17"/>
      <c r="HR80" s="17"/>
      <c r="HS80" s="17"/>
      <c r="HT80" s="17"/>
      <c r="HU80" s="17"/>
      <c r="HV80" s="17"/>
      <c r="HW80" s="17"/>
      <c r="HX80" s="17"/>
      <c r="HY80" s="17"/>
      <c r="HZ80" s="17"/>
      <c r="IA80" s="17"/>
      <c r="IB80" s="17"/>
      <c r="IC80" s="17"/>
      <c r="ID80" s="17"/>
      <c r="IE80" s="17"/>
      <c r="IF80" s="17"/>
      <c r="IG80" s="17"/>
    </row>
    <row r="81" spans="1:241" ht="16.5" customHeight="1" x14ac:dyDescent="0.25">
      <c r="A81" s="47">
        <v>74</v>
      </c>
      <c r="B81" s="44" t="s">
        <v>109</v>
      </c>
      <c r="C81" s="44" t="s">
        <v>71</v>
      </c>
      <c r="D81" s="65"/>
      <c r="E81" s="65"/>
      <c r="F81" s="65">
        <v>765603168.58000004</v>
      </c>
      <c r="G81" s="65">
        <v>2739698925.1799998</v>
      </c>
      <c r="H81" s="65"/>
      <c r="I81" s="100"/>
      <c r="J81" s="65">
        <v>3505302093.7600002</v>
      </c>
      <c r="K81" s="65">
        <v>30196715.359999999</v>
      </c>
      <c r="L81" s="65">
        <v>6350405</v>
      </c>
      <c r="M81" s="101">
        <v>23846310.359999999</v>
      </c>
      <c r="N81" s="65">
        <v>3635713159.6300001</v>
      </c>
      <c r="O81" s="65">
        <v>4643913.26</v>
      </c>
      <c r="P81" s="69">
        <v>3701849124.8299999</v>
      </c>
      <c r="Q81" s="55">
        <f t="shared" si="24"/>
        <v>9.7110601895465543E-3</v>
      </c>
      <c r="R81" s="69">
        <v>3631069246.3699999</v>
      </c>
      <c r="S81" s="55">
        <f t="shared" si="27"/>
        <v>1.0021465974141035E-2</v>
      </c>
      <c r="T81" s="56">
        <f t="shared" si="28"/>
        <v>-1.9120141332948155E-2</v>
      </c>
      <c r="U81" s="57">
        <f t="shared" si="29"/>
        <v>1.7489077098566863E-3</v>
      </c>
      <c r="V81" s="58">
        <f t="shared" si="30"/>
        <v>6.5672970527453555E-3</v>
      </c>
      <c r="W81" s="59">
        <f t="shared" si="31"/>
        <v>23.269065636393847</v>
      </c>
      <c r="X81" s="59">
        <f t="shared" si="32"/>
        <v>0.15281486617402754</v>
      </c>
      <c r="Y81" s="97">
        <v>23.269200000000001</v>
      </c>
      <c r="Z81" s="97">
        <v>23.269200000000001</v>
      </c>
      <c r="AA81" s="102">
        <v>1362</v>
      </c>
      <c r="AB81" s="60">
        <v>158882120.75999999</v>
      </c>
      <c r="AC81" s="60">
        <v>208933.88</v>
      </c>
      <c r="AD81" s="60">
        <v>3043996.15</v>
      </c>
      <c r="AE81" s="50">
        <v>156047058.49000001</v>
      </c>
      <c r="AF81" s="5"/>
      <c r="AG81" s="17"/>
      <c r="AH81" s="17"/>
      <c r="AI81" s="17"/>
      <c r="AJ81" s="17"/>
      <c r="AK81" s="17"/>
      <c r="AL81" s="17"/>
      <c r="AM81" s="17"/>
      <c r="AN81" s="17"/>
      <c r="AO81" s="17"/>
      <c r="AP81" s="17"/>
      <c r="AQ81" s="17"/>
      <c r="AR81" s="17"/>
      <c r="AS81" s="17"/>
      <c r="AT81" s="17"/>
      <c r="AU81" s="17"/>
      <c r="AV81" s="17"/>
      <c r="AW81" s="17"/>
      <c r="AX81" s="17"/>
      <c r="AY81" s="17"/>
      <c r="AZ81" s="17"/>
      <c r="BA81" s="17"/>
      <c r="BB81" s="17"/>
      <c r="BC81" s="17"/>
      <c r="BD81" s="17"/>
      <c r="BE81" s="17"/>
      <c r="BF81" s="17"/>
      <c r="BG81" s="17"/>
      <c r="BH81" s="17"/>
      <c r="BI81" s="17"/>
      <c r="BJ81" s="17"/>
      <c r="BK81" s="17"/>
      <c r="BL81" s="17"/>
      <c r="BM81" s="17"/>
      <c r="BN81" s="17"/>
      <c r="BO81" s="17"/>
      <c r="BP81" s="17"/>
      <c r="BQ81" s="17"/>
      <c r="BR81" s="17"/>
      <c r="BS81" s="17"/>
      <c r="BT81" s="17"/>
      <c r="BU81" s="17"/>
      <c r="BV81" s="17"/>
      <c r="BW81" s="17"/>
      <c r="BX81" s="17"/>
      <c r="BY81" s="17"/>
      <c r="BZ81" s="17"/>
      <c r="CA81" s="17"/>
      <c r="CB81" s="17"/>
      <c r="CC81" s="17"/>
      <c r="CD81" s="17"/>
      <c r="CE81" s="17"/>
      <c r="CF81" s="17"/>
      <c r="CG81" s="17"/>
      <c r="CH81" s="17"/>
      <c r="CI81" s="17"/>
      <c r="CJ81" s="17"/>
      <c r="CK81" s="17"/>
      <c r="CL81" s="17"/>
      <c r="CM81" s="17"/>
      <c r="CN81" s="17"/>
      <c r="CO81" s="17"/>
      <c r="CP81" s="17"/>
      <c r="CQ81" s="17"/>
      <c r="CR81" s="17"/>
      <c r="CS81" s="17"/>
      <c r="CT81" s="17"/>
      <c r="CU81" s="17"/>
      <c r="CV81" s="17"/>
      <c r="CW81" s="17"/>
      <c r="CX81" s="17"/>
      <c r="CY81" s="17"/>
      <c r="CZ81" s="17"/>
      <c r="DA81" s="17"/>
      <c r="DB81" s="17"/>
      <c r="DC81" s="17"/>
      <c r="DD81" s="17"/>
      <c r="DE81" s="17"/>
      <c r="DF81" s="17"/>
      <c r="DG81" s="17"/>
      <c r="DH81" s="17"/>
      <c r="DI81" s="17"/>
      <c r="DJ81" s="17"/>
      <c r="DK81" s="17"/>
      <c r="DL81" s="17"/>
      <c r="DM81" s="17"/>
      <c r="DN81" s="17"/>
      <c r="DO81" s="17"/>
      <c r="DP81" s="17"/>
      <c r="DQ81" s="17"/>
      <c r="DR81" s="17"/>
      <c r="DS81" s="17"/>
      <c r="DT81" s="17"/>
      <c r="DU81" s="17"/>
      <c r="DV81" s="17"/>
      <c r="DW81" s="17"/>
      <c r="DX81" s="17"/>
      <c r="DY81" s="17"/>
      <c r="DZ81" s="17"/>
      <c r="EA81" s="17"/>
      <c r="EB81" s="17"/>
      <c r="EC81" s="17"/>
      <c r="ED81" s="17"/>
      <c r="EE81" s="17"/>
      <c r="EF81" s="17"/>
      <c r="EG81" s="17"/>
      <c r="EH81" s="17"/>
      <c r="EI81" s="17"/>
      <c r="EJ81" s="17"/>
      <c r="EK81" s="17"/>
      <c r="EL81" s="17"/>
      <c r="EM81" s="17"/>
      <c r="EN81" s="17"/>
      <c r="EO81" s="17"/>
      <c r="EP81" s="17"/>
      <c r="EQ81" s="17"/>
      <c r="ER81" s="17"/>
      <c r="ES81" s="17"/>
      <c r="ET81" s="17"/>
      <c r="EU81" s="17"/>
      <c r="EV81" s="17"/>
      <c r="EW81" s="17"/>
      <c r="EX81" s="17"/>
      <c r="EY81" s="17"/>
      <c r="EZ81" s="17"/>
      <c r="FA81" s="17"/>
      <c r="FB81" s="17"/>
      <c r="FC81" s="17"/>
      <c r="FD81" s="17"/>
      <c r="FE81" s="17"/>
      <c r="FF81" s="17"/>
      <c r="FG81" s="17"/>
      <c r="FH81" s="17"/>
      <c r="FI81" s="17"/>
      <c r="FJ81" s="17"/>
      <c r="FK81" s="17"/>
      <c r="FL81" s="17"/>
      <c r="FM81" s="17"/>
      <c r="FN81" s="17"/>
      <c r="FO81" s="17"/>
      <c r="FP81" s="17"/>
      <c r="FQ81" s="17"/>
      <c r="FR81" s="17"/>
      <c r="FS81" s="17"/>
      <c r="FT81" s="17"/>
      <c r="FU81" s="17"/>
      <c r="FV81" s="17"/>
      <c r="FW81" s="17"/>
      <c r="FX81" s="17"/>
      <c r="FY81" s="17"/>
      <c r="FZ81" s="17"/>
      <c r="GA81" s="17"/>
      <c r="GB81" s="17"/>
      <c r="GC81" s="17"/>
      <c r="GD81" s="17"/>
      <c r="GE81" s="17"/>
      <c r="GF81" s="17"/>
      <c r="GG81" s="17"/>
      <c r="GH81" s="17"/>
      <c r="GI81" s="17"/>
      <c r="GJ81" s="17"/>
      <c r="GK81" s="17"/>
      <c r="GL81" s="17"/>
      <c r="GM81" s="17"/>
      <c r="GN81" s="17"/>
      <c r="GO81" s="17"/>
      <c r="GP81" s="17"/>
      <c r="GQ81" s="17"/>
      <c r="GR81" s="17"/>
      <c r="GS81" s="17"/>
      <c r="GT81" s="17"/>
      <c r="GU81" s="17"/>
      <c r="GV81" s="17"/>
      <c r="GW81" s="17"/>
      <c r="GX81" s="17"/>
      <c r="GY81" s="17"/>
      <c r="GZ81" s="17"/>
      <c r="HA81" s="17"/>
      <c r="HB81" s="17"/>
      <c r="HC81" s="17"/>
      <c r="HD81" s="17"/>
      <c r="HE81" s="17"/>
      <c r="HF81" s="17"/>
      <c r="HG81" s="17"/>
      <c r="HH81" s="17"/>
      <c r="HI81" s="17"/>
      <c r="HJ81" s="17"/>
      <c r="HK81" s="17"/>
      <c r="HL81" s="17"/>
      <c r="HM81" s="17"/>
      <c r="HN81" s="17"/>
      <c r="HO81" s="17"/>
      <c r="HP81" s="17"/>
      <c r="HQ81" s="17"/>
      <c r="HR81" s="17"/>
      <c r="HS81" s="17"/>
      <c r="HT81" s="17"/>
      <c r="HU81" s="17"/>
      <c r="HV81" s="17"/>
      <c r="HW81" s="17"/>
      <c r="HX81" s="17"/>
      <c r="HY81" s="17"/>
      <c r="HZ81" s="17"/>
      <c r="IA81" s="17"/>
      <c r="IB81" s="17"/>
      <c r="IC81" s="17"/>
      <c r="ID81" s="17"/>
      <c r="IE81" s="17"/>
      <c r="IF81" s="17"/>
      <c r="IG81" s="17"/>
    </row>
    <row r="82" spans="1:241" ht="16.5" customHeight="1" x14ac:dyDescent="0.25">
      <c r="A82" s="94" t="s">
        <v>88</v>
      </c>
      <c r="B82" s="23"/>
      <c r="C82" s="73" t="s">
        <v>50</v>
      </c>
      <c r="D82" s="74">
        <f>SUM(D52:D81)</f>
        <v>89645163.170000002</v>
      </c>
      <c r="E82" s="74"/>
      <c r="F82" s="74">
        <f>SUM(F52:F81)</f>
        <v>46656666830.029999</v>
      </c>
      <c r="G82" s="74">
        <f>SUM(G52:G81)</f>
        <v>293461933730.59003</v>
      </c>
      <c r="H82" s="74"/>
      <c r="I82" s="74">
        <f>SUM(I52:I79)</f>
        <v>6343744944.8699999</v>
      </c>
      <c r="J82" s="74">
        <f t="shared" ref="J82:P82" si="33">SUM(J52:J81)</f>
        <v>347689035139.87</v>
      </c>
      <c r="K82" s="74">
        <f t="shared" si="33"/>
        <v>3075029300.9100003</v>
      </c>
      <c r="L82" s="74">
        <f t="shared" si="33"/>
        <v>537904927.8599999</v>
      </c>
      <c r="M82" s="74">
        <f t="shared" si="33"/>
        <v>2530682022.3299999</v>
      </c>
      <c r="N82" s="74">
        <f t="shared" si="33"/>
        <v>367160326668.59998</v>
      </c>
      <c r="O82" s="74">
        <f t="shared" si="33"/>
        <v>5460034000.1199999</v>
      </c>
      <c r="P82" s="95">
        <f t="shared" si="33"/>
        <v>381199277172.10999</v>
      </c>
      <c r="Q82" s="76">
        <f>(P82/$P$153)</f>
        <v>0.25682414567388173</v>
      </c>
      <c r="R82" s="95">
        <f>SUM(R52:R81)</f>
        <v>362329149820.94</v>
      </c>
      <c r="S82" s="55">
        <f t="shared" si="27"/>
        <v>1</v>
      </c>
      <c r="T82" s="56">
        <f t="shared" si="28"/>
        <v>-4.9502001921819472E-2</v>
      </c>
      <c r="U82" s="57">
        <f t="shared" si="29"/>
        <v>1.4845753595200055E-3</v>
      </c>
      <c r="V82" s="58">
        <f t="shared" si="30"/>
        <v>6.9844836485848339E-3</v>
      </c>
      <c r="W82" s="59" t="e">
        <f t="shared" si="31"/>
        <v>#DIV/0!</v>
      </c>
      <c r="X82" s="59" t="e">
        <f t="shared" si="32"/>
        <v>#DIV/0!</v>
      </c>
      <c r="Y82" s="74"/>
      <c r="Z82" s="74"/>
      <c r="AA82" s="81">
        <f>SUM(AA52:AA81)</f>
        <v>48253</v>
      </c>
      <c r="AB82" s="81"/>
      <c r="AC82" s="81"/>
      <c r="AD82" s="81"/>
      <c r="AE82" s="65">
        <v>0</v>
      </c>
      <c r="AF82" s="5"/>
      <c r="AG82" s="17"/>
      <c r="AH82" s="17"/>
      <c r="AI82" s="17"/>
      <c r="AJ82" s="17"/>
      <c r="AK82" s="17"/>
      <c r="AL82" s="17"/>
      <c r="AM82" s="17"/>
      <c r="AN82" s="17"/>
      <c r="AO82" s="17"/>
      <c r="AP82" s="17"/>
      <c r="AQ82" s="17"/>
      <c r="AR82" s="17"/>
      <c r="AS82" s="17"/>
      <c r="AT82" s="17"/>
      <c r="AU82" s="17"/>
      <c r="AV82" s="17"/>
      <c r="AW82" s="17"/>
      <c r="AX82" s="17"/>
      <c r="AY82" s="17"/>
      <c r="AZ82" s="17"/>
      <c r="BA82" s="17"/>
      <c r="BB82" s="17"/>
      <c r="BC82" s="17"/>
      <c r="BD82" s="17"/>
      <c r="BE82" s="17"/>
      <c r="BF82" s="17"/>
      <c r="BG82" s="17"/>
      <c r="BH82" s="17"/>
      <c r="BI82" s="17"/>
      <c r="BJ82" s="17"/>
      <c r="BK82" s="17"/>
      <c r="BL82" s="17"/>
      <c r="BM82" s="17"/>
      <c r="BN82" s="17"/>
      <c r="BO82" s="17"/>
      <c r="BP82" s="17"/>
      <c r="BQ82" s="17"/>
      <c r="BR82" s="17"/>
      <c r="BS82" s="17"/>
      <c r="BT82" s="17"/>
      <c r="BU82" s="17"/>
      <c r="BV82" s="17"/>
      <c r="BW82" s="17"/>
      <c r="BX82" s="17"/>
      <c r="BY82" s="17"/>
      <c r="BZ82" s="17"/>
      <c r="CA82" s="17"/>
      <c r="CB82" s="17"/>
      <c r="CC82" s="17"/>
      <c r="CD82" s="17"/>
      <c r="CE82" s="17"/>
      <c r="CF82" s="17"/>
      <c r="CG82" s="17"/>
      <c r="CH82" s="17"/>
      <c r="CI82" s="17"/>
      <c r="CJ82" s="17"/>
      <c r="CK82" s="17"/>
      <c r="CL82" s="17"/>
      <c r="CM82" s="17"/>
      <c r="CN82" s="17"/>
      <c r="CO82" s="17"/>
      <c r="CP82" s="17"/>
      <c r="CQ82" s="17"/>
      <c r="CR82" s="17"/>
      <c r="CS82" s="17"/>
      <c r="CT82" s="17"/>
      <c r="CU82" s="17"/>
      <c r="CV82" s="17"/>
      <c r="CW82" s="17"/>
      <c r="CX82" s="17"/>
      <c r="CY82" s="17"/>
      <c r="CZ82" s="17"/>
      <c r="DA82" s="17"/>
      <c r="DB82" s="17"/>
      <c r="DC82" s="17"/>
      <c r="DD82" s="17"/>
      <c r="DE82" s="17"/>
      <c r="DF82" s="17"/>
      <c r="DG82" s="17"/>
      <c r="DH82" s="17"/>
      <c r="DI82" s="17"/>
      <c r="DJ82" s="17"/>
      <c r="DK82" s="17"/>
      <c r="DL82" s="17"/>
      <c r="DM82" s="17"/>
      <c r="DN82" s="17"/>
      <c r="DO82" s="17"/>
      <c r="DP82" s="17"/>
      <c r="DQ82" s="17"/>
      <c r="DR82" s="17"/>
      <c r="DS82" s="17"/>
      <c r="DT82" s="17"/>
      <c r="DU82" s="17"/>
      <c r="DV82" s="17"/>
      <c r="DW82" s="17"/>
      <c r="DX82" s="17"/>
      <c r="DY82" s="17"/>
      <c r="DZ82" s="17"/>
      <c r="EA82" s="17"/>
      <c r="EB82" s="17"/>
      <c r="EC82" s="17"/>
      <c r="ED82" s="17"/>
      <c r="EE82" s="17"/>
      <c r="EF82" s="17"/>
      <c r="EG82" s="17"/>
      <c r="EH82" s="17"/>
      <c r="EI82" s="17"/>
      <c r="EJ82" s="17"/>
      <c r="EK82" s="17"/>
      <c r="EL82" s="17"/>
      <c r="EM82" s="17"/>
      <c r="EN82" s="17"/>
      <c r="EO82" s="17"/>
      <c r="EP82" s="17"/>
      <c r="EQ82" s="17"/>
      <c r="ER82" s="17"/>
      <c r="ES82" s="17"/>
      <c r="ET82" s="17"/>
      <c r="EU82" s="17"/>
      <c r="EV82" s="17"/>
      <c r="EW82" s="17"/>
      <c r="EX82" s="17"/>
      <c r="EY82" s="17"/>
      <c r="EZ82" s="17"/>
      <c r="FA82" s="17"/>
      <c r="FB82" s="17"/>
      <c r="FC82" s="17"/>
      <c r="FD82" s="17"/>
      <c r="FE82" s="17"/>
      <c r="FF82" s="17"/>
      <c r="FG82" s="17"/>
      <c r="FH82" s="17"/>
      <c r="FI82" s="17"/>
      <c r="FJ82" s="17"/>
      <c r="FK82" s="17"/>
      <c r="FL82" s="17"/>
      <c r="FM82" s="17"/>
      <c r="FN82" s="17"/>
      <c r="FO82" s="17"/>
      <c r="FP82" s="17"/>
      <c r="FQ82" s="17"/>
      <c r="FR82" s="17"/>
      <c r="FS82" s="17"/>
      <c r="FT82" s="17"/>
      <c r="FU82" s="17"/>
      <c r="FV82" s="17"/>
      <c r="FW82" s="17"/>
      <c r="FX82" s="17"/>
      <c r="FY82" s="17"/>
      <c r="FZ82" s="17"/>
      <c r="GA82" s="17"/>
      <c r="GB82" s="17"/>
      <c r="GC82" s="17"/>
      <c r="GD82" s="17"/>
      <c r="GE82" s="17"/>
      <c r="GF82" s="17"/>
      <c r="GG82" s="17"/>
      <c r="GH82" s="17"/>
      <c r="GI82" s="17"/>
      <c r="GJ82" s="17"/>
      <c r="GK82" s="17"/>
      <c r="GL82" s="17"/>
      <c r="GM82" s="17"/>
      <c r="GN82" s="17"/>
      <c r="GO82" s="17"/>
      <c r="GP82" s="17"/>
      <c r="GQ82" s="17"/>
      <c r="GR82" s="17"/>
      <c r="GS82" s="17"/>
      <c r="GT82" s="17"/>
      <c r="GU82" s="17"/>
      <c r="GV82" s="17"/>
      <c r="GW82" s="17"/>
      <c r="GX82" s="17"/>
      <c r="GY82" s="17"/>
      <c r="GZ82" s="17"/>
      <c r="HA82" s="17"/>
      <c r="HB82" s="17"/>
      <c r="HC82" s="17"/>
      <c r="HD82" s="17"/>
      <c r="HE82" s="17"/>
      <c r="HF82" s="17"/>
      <c r="HG82" s="17"/>
      <c r="HH82" s="17"/>
      <c r="HI82" s="17"/>
      <c r="HJ82" s="17"/>
      <c r="HK82" s="17"/>
      <c r="HL82" s="17"/>
      <c r="HM82" s="17"/>
      <c r="HN82" s="17"/>
      <c r="HO82" s="17"/>
      <c r="HP82" s="17"/>
      <c r="HQ82" s="17"/>
      <c r="HR82" s="17"/>
      <c r="HS82" s="17"/>
      <c r="HT82" s="17"/>
      <c r="HU82" s="17"/>
      <c r="HV82" s="17"/>
      <c r="HW82" s="17"/>
      <c r="HX82" s="17"/>
      <c r="HY82" s="17"/>
      <c r="HZ82" s="17"/>
      <c r="IA82" s="17"/>
      <c r="IB82" s="17"/>
      <c r="IC82" s="17"/>
      <c r="ID82" s="17"/>
      <c r="IE82" s="17"/>
      <c r="IF82" s="17"/>
      <c r="IG82" s="17"/>
    </row>
    <row r="83" spans="1:241" ht="16.5" customHeight="1" x14ac:dyDescent="0.25">
      <c r="A83" s="152" t="s">
        <v>218</v>
      </c>
      <c r="B83" s="153"/>
      <c r="C83" s="153"/>
      <c r="D83" s="153"/>
      <c r="E83" s="153"/>
      <c r="F83" s="153"/>
      <c r="G83" s="153"/>
      <c r="H83" s="153"/>
      <c r="I83" s="153"/>
      <c r="J83" s="153"/>
      <c r="K83" s="153"/>
      <c r="L83" s="153"/>
      <c r="M83" s="153"/>
      <c r="N83" s="153"/>
      <c r="O83" s="153"/>
      <c r="P83" s="153"/>
      <c r="Q83" s="153"/>
      <c r="R83" s="153"/>
      <c r="S83" s="153"/>
      <c r="T83" s="153"/>
      <c r="U83" s="153"/>
      <c r="V83" s="153"/>
      <c r="W83" s="153"/>
      <c r="X83" s="153"/>
      <c r="Y83" s="153"/>
      <c r="Z83" s="153"/>
      <c r="AA83" s="153"/>
      <c r="AB83" s="153"/>
      <c r="AC83" s="153"/>
      <c r="AD83" s="153"/>
      <c r="AE83" s="154"/>
      <c r="AF83" s="5"/>
      <c r="AG83" s="17"/>
      <c r="AH83" s="17"/>
      <c r="AI83" s="17"/>
      <c r="AJ83" s="17"/>
      <c r="AK83" s="17"/>
      <c r="AL83" s="17"/>
      <c r="AM83" s="17"/>
      <c r="AN83" s="17"/>
      <c r="AO83" s="17"/>
      <c r="AP83" s="17"/>
      <c r="AQ83" s="17"/>
      <c r="AR83" s="17"/>
      <c r="AS83" s="17"/>
      <c r="AT83" s="17"/>
      <c r="AU83" s="17"/>
      <c r="AV83" s="17"/>
      <c r="AW83" s="17"/>
      <c r="AX83" s="17"/>
      <c r="AY83" s="17"/>
      <c r="AZ83" s="17"/>
      <c r="BA83" s="17"/>
      <c r="BB83" s="17"/>
      <c r="BC83" s="17"/>
      <c r="BD83" s="17"/>
      <c r="BE83" s="17"/>
      <c r="BF83" s="17"/>
      <c r="BG83" s="17"/>
      <c r="BH83" s="17"/>
      <c r="BI83" s="17"/>
      <c r="BJ83" s="17"/>
      <c r="BK83" s="17"/>
      <c r="BL83" s="17"/>
      <c r="BM83" s="17"/>
      <c r="BN83" s="17"/>
      <c r="BO83" s="17"/>
      <c r="BP83" s="17"/>
      <c r="BQ83" s="17"/>
      <c r="BR83" s="17"/>
      <c r="BS83" s="17"/>
      <c r="BT83" s="17"/>
      <c r="BU83" s="17"/>
      <c r="BV83" s="17"/>
      <c r="BW83" s="17"/>
      <c r="BX83" s="17"/>
      <c r="BY83" s="17"/>
      <c r="BZ83" s="17"/>
      <c r="CA83" s="17"/>
      <c r="CB83" s="17"/>
      <c r="CC83" s="17"/>
      <c r="CD83" s="17"/>
      <c r="CE83" s="17"/>
      <c r="CF83" s="17"/>
      <c r="CG83" s="17"/>
      <c r="CH83" s="17"/>
      <c r="CI83" s="17"/>
      <c r="CJ83" s="17"/>
      <c r="CK83" s="17"/>
      <c r="CL83" s="17"/>
      <c r="CM83" s="17"/>
      <c r="CN83" s="17"/>
      <c r="CO83" s="17"/>
      <c r="CP83" s="17"/>
      <c r="CQ83" s="17"/>
      <c r="CR83" s="17"/>
      <c r="CS83" s="17"/>
      <c r="CT83" s="17"/>
      <c r="CU83" s="17"/>
      <c r="CV83" s="17"/>
      <c r="CW83" s="17"/>
      <c r="CX83" s="17"/>
      <c r="CY83" s="17"/>
      <c r="CZ83" s="17"/>
      <c r="DA83" s="17"/>
      <c r="DB83" s="17"/>
      <c r="DC83" s="17"/>
      <c r="DD83" s="17"/>
      <c r="DE83" s="17"/>
      <c r="DF83" s="17"/>
      <c r="DG83" s="17"/>
      <c r="DH83" s="17"/>
      <c r="DI83" s="17"/>
      <c r="DJ83" s="17"/>
      <c r="DK83" s="17"/>
      <c r="DL83" s="17"/>
      <c r="DM83" s="17"/>
      <c r="DN83" s="17"/>
      <c r="DO83" s="17"/>
      <c r="DP83" s="17"/>
      <c r="DQ83" s="17"/>
      <c r="DR83" s="17"/>
      <c r="DS83" s="17"/>
      <c r="DT83" s="17"/>
      <c r="DU83" s="17"/>
      <c r="DV83" s="17"/>
      <c r="DW83" s="17"/>
      <c r="DX83" s="17"/>
      <c r="DY83" s="17"/>
      <c r="DZ83" s="17"/>
      <c r="EA83" s="17"/>
      <c r="EB83" s="17"/>
      <c r="EC83" s="17"/>
      <c r="ED83" s="17"/>
      <c r="EE83" s="17"/>
      <c r="EF83" s="17"/>
      <c r="EG83" s="17"/>
      <c r="EH83" s="17"/>
      <c r="EI83" s="17"/>
      <c r="EJ83" s="17"/>
      <c r="EK83" s="17"/>
      <c r="EL83" s="17"/>
      <c r="EM83" s="17"/>
      <c r="EN83" s="17"/>
      <c r="EO83" s="17"/>
      <c r="EP83" s="17"/>
      <c r="EQ83" s="17"/>
      <c r="ER83" s="17"/>
      <c r="ES83" s="17"/>
      <c r="ET83" s="17"/>
      <c r="EU83" s="17"/>
      <c r="EV83" s="17"/>
      <c r="EW83" s="17"/>
      <c r="EX83" s="17"/>
      <c r="EY83" s="17"/>
      <c r="EZ83" s="17"/>
      <c r="FA83" s="17"/>
      <c r="FB83" s="17"/>
      <c r="FC83" s="17"/>
      <c r="FD83" s="17"/>
      <c r="FE83" s="17"/>
      <c r="FF83" s="17"/>
      <c r="FG83" s="17"/>
      <c r="FH83" s="17"/>
      <c r="FI83" s="17"/>
      <c r="FJ83" s="17"/>
      <c r="FK83" s="17"/>
      <c r="FL83" s="17"/>
      <c r="FM83" s="17"/>
      <c r="FN83" s="17"/>
      <c r="FO83" s="17"/>
      <c r="FP83" s="17"/>
      <c r="FQ83" s="17"/>
      <c r="FR83" s="17"/>
      <c r="FS83" s="17"/>
      <c r="FT83" s="17"/>
      <c r="FU83" s="17"/>
      <c r="FV83" s="17"/>
      <c r="FW83" s="17"/>
      <c r="FX83" s="17"/>
      <c r="FY83" s="17"/>
      <c r="FZ83" s="17"/>
      <c r="GA83" s="17"/>
      <c r="GB83" s="17"/>
      <c r="GC83" s="17"/>
      <c r="GD83" s="17"/>
      <c r="GE83" s="17"/>
      <c r="GF83" s="17"/>
      <c r="GG83" s="17"/>
      <c r="GH83" s="17"/>
      <c r="GI83" s="17"/>
      <c r="GJ83" s="17"/>
      <c r="GK83" s="17"/>
      <c r="GL83" s="17"/>
      <c r="GM83" s="17"/>
      <c r="GN83" s="17"/>
      <c r="GO83" s="17"/>
      <c r="GP83" s="17"/>
      <c r="GQ83" s="17"/>
      <c r="GR83" s="17"/>
      <c r="GS83" s="17"/>
      <c r="GT83" s="17"/>
      <c r="GU83" s="17"/>
      <c r="GV83" s="17"/>
      <c r="GW83" s="17"/>
      <c r="GX83" s="17"/>
      <c r="GY83" s="17"/>
      <c r="GZ83" s="17"/>
      <c r="HA83" s="17"/>
      <c r="HB83" s="17"/>
      <c r="HC83" s="17"/>
      <c r="HD83" s="17"/>
      <c r="HE83" s="17"/>
      <c r="HF83" s="17"/>
      <c r="HG83" s="17"/>
      <c r="HH83" s="17"/>
      <c r="HI83" s="17"/>
      <c r="HJ83" s="17"/>
      <c r="HK83" s="17"/>
      <c r="HL83" s="17"/>
      <c r="HM83" s="17"/>
      <c r="HN83" s="17"/>
      <c r="HO83" s="17"/>
      <c r="HP83" s="17"/>
      <c r="HQ83" s="17"/>
      <c r="HR83" s="17"/>
      <c r="HS83" s="17"/>
      <c r="HT83" s="17"/>
      <c r="HU83" s="17"/>
      <c r="HV83" s="17"/>
      <c r="HW83" s="17"/>
      <c r="HX83" s="17"/>
      <c r="HY83" s="17"/>
      <c r="HZ83" s="17"/>
      <c r="IA83" s="17"/>
      <c r="IB83" s="17"/>
      <c r="IC83" s="17"/>
      <c r="ID83" s="17"/>
      <c r="IE83" s="17"/>
      <c r="IF83" s="17"/>
      <c r="IG83" s="17"/>
    </row>
    <row r="84" spans="1:241" ht="16.5" customHeight="1" x14ac:dyDescent="0.25">
      <c r="A84" s="163" t="s">
        <v>216</v>
      </c>
      <c r="B84" s="164"/>
      <c r="C84" s="164"/>
      <c r="D84" s="164"/>
      <c r="E84" s="164"/>
      <c r="F84" s="164"/>
      <c r="G84" s="164"/>
      <c r="H84" s="164"/>
      <c r="I84" s="164"/>
      <c r="J84" s="164"/>
      <c r="K84" s="164"/>
      <c r="L84" s="164"/>
      <c r="M84" s="164"/>
      <c r="N84" s="164"/>
      <c r="O84" s="164"/>
      <c r="P84" s="164"/>
      <c r="Q84" s="164"/>
      <c r="R84" s="164"/>
      <c r="S84" s="164"/>
      <c r="T84" s="164"/>
      <c r="U84" s="164"/>
      <c r="V84" s="164"/>
      <c r="W84" s="164"/>
      <c r="X84" s="164"/>
      <c r="Y84" s="164"/>
      <c r="Z84" s="164"/>
      <c r="AA84" s="164"/>
      <c r="AB84" s="164"/>
      <c r="AC84" s="164"/>
      <c r="AD84" s="164"/>
      <c r="AE84" s="165"/>
      <c r="AF84" s="5"/>
      <c r="AG84" s="17"/>
      <c r="AH84" s="17"/>
      <c r="AI84" s="17"/>
      <c r="AJ84" s="17"/>
      <c r="AK84" s="17"/>
      <c r="AL84" s="17"/>
      <c r="AM84" s="17"/>
      <c r="AN84" s="17"/>
      <c r="AO84" s="17"/>
      <c r="AP84" s="17"/>
      <c r="AQ84" s="17"/>
      <c r="AR84" s="17"/>
      <c r="AS84" s="17"/>
      <c r="AT84" s="17"/>
      <c r="AU84" s="17"/>
      <c r="AV84" s="17"/>
      <c r="AW84" s="17"/>
      <c r="AX84" s="17"/>
      <c r="AY84" s="17"/>
      <c r="AZ84" s="17"/>
      <c r="BA84" s="17"/>
      <c r="BB84" s="17"/>
      <c r="BC84" s="17"/>
      <c r="BD84" s="17"/>
      <c r="BE84" s="17"/>
      <c r="BF84" s="17"/>
      <c r="BG84" s="17"/>
      <c r="BH84" s="17"/>
      <c r="BI84" s="17"/>
      <c r="BJ84" s="17"/>
      <c r="BK84" s="17"/>
      <c r="BL84" s="17"/>
      <c r="BM84" s="17"/>
      <c r="BN84" s="17"/>
      <c r="BO84" s="17"/>
      <c r="BP84" s="17"/>
      <c r="BQ84" s="17"/>
      <c r="BR84" s="17"/>
      <c r="BS84" s="17"/>
      <c r="BT84" s="17"/>
      <c r="BU84" s="17"/>
      <c r="BV84" s="17"/>
      <c r="BW84" s="17"/>
      <c r="BX84" s="17"/>
      <c r="BY84" s="17"/>
      <c r="BZ84" s="17"/>
      <c r="CA84" s="17"/>
      <c r="CB84" s="17"/>
      <c r="CC84" s="17"/>
      <c r="CD84" s="17"/>
      <c r="CE84" s="17"/>
      <c r="CF84" s="17"/>
      <c r="CG84" s="17"/>
      <c r="CH84" s="17"/>
      <c r="CI84" s="17"/>
      <c r="CJ84" s="17"/>
      <c r="CK84" s="17"/>
      <c r="CL84" s="17"/>
      <c r="CM84" s="17"/>
      <c r="CN84" s="17"/>
      <c r="CO84" s="17"/>
      <c r="CP84" s="17"/>
      <c r="CQ84" s="17"/>
      <c r="CR84" s="17"/>
      <c r="CS84" s="17"/>
      <c r="CT84" s="17"/>
      <c r="CU84" s="17"/>
      <c r="CV84" s="17"/>
      <c r="CW84" s="17"/>
      <c r="CX84" s="17"/>
      <c r="CY84" s="17"/>
      <c r="CZ84" s="17"/>
      <c r="DA84" s="17"/>
      <c r="DB84" s="17"/>
      <c r="DC84" s="17"/>
      <c r="DD84" s="17"/>
      <c r="DE84" s="17"/>
      <c r="DF84" s="17"/>
      <c r="DG84" s="17"/>
      <c r="DH84" s="17"/>
      <c r="DI84" s="17"/>
      <c r="DJ84" s="17"/>
      <c r="DK84" s="17"/>
      <c r="DL84" s="17"/>
      <c r="DM84" s="17"/>
      <c r="DN84" s="17"/>
      <c r="DO84" s="17"/>
      <c r="DP84" s="17"/>
      <c r="DQ84" s="17"/>
      <c r="DR84" s="17"/>
      <c r="DS84" s="17"/>
      <c r="DT84" s="17"/>
      <c r="DU84" s="17"/>
      <c r="DV84" s="17"/>
      <c r="DW84" s="17"/>
      <c r="DX84" s="17"/>
      <c r="DY84" s="17"/>
      <c r="DZ84" s="17"/>
      <c r="EA84" s="17"/>
      <c r="EB84" s="17"/>
      <c r="EC84" s="17"/>
      <c r="ED84" s="17"/>
      <c r="EE84" s="17"/>
      <c r="EF84" s="17"/>
      <c r="EG84" s="17"/>
      <c r="EH84" s="17"/>
      <c r="EI84" s="17"/>
      <c r="EJ84" s="17"/>
      <c r="EK84" s="17"/>
      <c r="EL84" s="17"/>
      <c r="EM84" s="17"/>
      <c r="EN84" s="17"/>
      <c r="EO84" s="17"/>
      <c r="EP84" s="17"/>
      <c r="EQ84" s="17"/>
      <c r="ER84" s="17"/>
      <c r="ES84" s="17"/>
      <c r="ET84" s="17"/>
      <c r="EU84" s="17"/>
      <c r="EV84" s="17"/>
      <c r="EW84" s="17"/>
      <c r="EX84" s="17"/>
      <c r="EY84" s="17"/>
      <c r="EZ84" s="17"/>
      <c r="FA84" s="17"/>
      <c r="FB84" s="17"/>
      <c r="FC84" s="17"/>
      <c r="FD84" s="17"/>
      <c r="FE84" s="17"/>
      <c r="FF84" s="17"/>
      <c r="FG84" s="17"/>
      <c r="FH84" s="17"/>
      <c r="FI84" s="17"/>
      <c r="FJ84" s="17"/>
      <c r="FK84" s="17"/>
      <c r="FL84" s="17"/>
      <c r="FM84" s="17"/>
      <c r="FN84" s="17"/>
      <c r="FO84" s="17"/>
      <c r="FP84" s="17"/>
      <c r="FQ84" s="17"/>
      <c r="FR84" s="17"/>
      <c r="FS84" s="17"/>
      <c r="FT84" s="17"/>
      <c r="FU84" s="17"/>
      <c r="FV84" s="17"/>
      <c r="FW84" s="17"/>
      <c r="FX84" s="17"/>
      <c r="FY84" s="17"/>
      <c r="FZ84" s="17"/>
      <c r="GA84" s="17"/>
      <c r="GB84" s="17"/>
      <c r="GC84" s="17"/>
      <c r="GD84" s="17"/>
      <c r="GE84" s="17"/>
      <c r="GF84" s="17"/>
      <c r="GG84" s="17"/>
      <c r="GH84" s="17"/>
      <c r="GI84" s="17"/>
      <c r="GJ84" s="17"/>
      <c r="GK84" s="17"/>
      <c r="GL84" s="17"/>
      <c r="GM84" s="17"/>
      <c r="GN84" s="17"/>
      <c r="GO84" s="17"/>
      <c r="GP84" s="17"/>
      <c r="GQ84" s="17"/>
      <c r="GR84" s="17"/>
      <c r="GS84" s="17"/>
      <c r="GT84" s="17"/>
      <c r="GU84" s="17"/>
      <c r="GV84" s="17"/>
      <c r="GW84" s="17"/>
      <c r="GX84" s="17"/>
      <c r="GY84" s="17"/>
      <c r="GZ84" s="17"/>
      <c r="HA84" s="17"/>
      <c r="HB84" s="17"/>
      <c r="HC84" s="17"/>
      <c r="HD84" s="17"/>
      <c r="HE84" s="17"/>
      <c r="HF84" s="17"/>
      <c r="HG84" s="17"/>
      <c r="HH84" s="17"/>
      <c r="HI84" s="17"/>
      <c r="HJ84" s="17"/>
      <c r="HK84" s="17"/>
      <c r="HL84" s="17"/>
      <c r="HM84" s="17"/>
      <c r="HN84" s="17"/>
      <c r="HO84" s="17"/>
      <c r="HP84" s="17"/>
      <c r="HQ84" s="17"/>
      <c r="HR84" s="17"/>
      <c r="HS84" s="17"/>
      <c r="HT84" s="17"/>
      <c r="HU84" s="17"/>
      <c r="HV84" s="17"/>
      <c r="HW84" s="17"/>
      <c r="HX84" s="17"/>
      <c r="HY84" s="17"/>
      <c r="HZ84" s="17"/>
      <c r="IA84" s="17"/>
      <c r="IB84" s="17"/>
      <c r="IC84" s="17"/>
      <c r="ID84" s="17"/>
      <c r="IE84" s="17"/>
      <c r="IF84" s="17"/>
      <c r="IG84" s="17"/>
    </row>
    <row r="85" spans="1:241" ht="16.5" customHeight="1" x14ac:dyDescent="0.25">
      <c r="A85" s="106">
        <v>75</v>
      </c>
      <c r="B85" s="43" t="s">
        <v>93</v>
      </c>
      <c r="C85" s="43" t="s">
        <v>31</v>
      </c>
      <c r="D85" s="98"/>
      <c r="E85" s="98"/>
      <c r="F85" s="98"/>
      <c r="G85" s="53">
        <v>767152935.19000006</v>
      </c>
      <c r="H85" s="98"/>
      <c r="I85" s="98"/>
      <c r="J85" s="53">
        <v>767152935.19000006</v>
      </c>
      <c r="K85" s="53">
        <v>5067370.4800000004</v>
      </c>
      <c r="L85" s="53">
        <v>1537946.65</v>
      </c>
      <c r="M85" s="107">
        <v>3529423.83</v>
      </c>
      <c r="N85" s="65">
        <v>770804210.58000004</v>
      </c>
      <c r="O85" s="99">
        <v>15009245.970000001</v>
      </c>
      <c r="P85" s="54">
        <v>752661062.55999994</v>
      </c>
      <c r="Q85" s="108">
        <f>(P85/$P$103)</f>
        <v>2.2609724626501348E-3</v>
      </c>
      <c r="R85" s="54">
        <v>755794964.61000001</v>
      </c>
      <c r="S85" s="55">
        <f>(R85/$R$103)</f>
        <v>2.3420190447893605E-3</v>
      </c>
      <c r="T85" s="56">
        <f t="shared" ref="T85:T88" si="34">((R85-P85)/P85)</f>
        <v>4.1637626893316886E-3</v>
      </c>
      <c r="U85" s="57">
        <f t="shared" ref="U85" si="35">(L85/R85)</f>
        <v>2.0348728451685312E-3</v>
      </c>
      <c r="V85" s="58">
        <f t="shared" ref="V85" si="36">M85/R85</f>
        <v>4.6698165445190924E-3</v>
      </c>
      <c r="W85" s="59">
        <f t="shared" ref="W85:W88" si="37">R85/AE85</f>
        <v>46649.404540270269</v>
      </c>
      <c r="X85" s="59">
        <f t="shared" ref="X85" si="38">M85/AE85</f>
        <v>217.84416111411818</v>
      </c>
      <c r="Y85" s="109">
        <f>106.3792*439.02</f>
        <v>46702.596383999997</v>
      </c>
      <c r="Z85" s="109">
        <f>106.3792*439.02</f>
        <v>46702.596383999997</v>
      </c>
      <c r="AA85" s="64">
        <v>202</v>
      </c>
      <c r="AB85" s="65">
        <v>16422.196199999998</v>
      </c>
      <c r="AC85" s="65">
        <v>558.89660000000003</v>
      </c>
      <c r="AD85" s="65">
        <v>779.49339999999995</v>
      </c>
      <c r="AE85" s="50">
        <v>16201.599399999999</v>
      </c>
      <c r="AF85" s="5"/>
    </row>
    <row r="86" spans="1:241" ht="16.5" customHeight="1" x14ac:dyDescent="0.25">
      <c r="A86" s="106">
        <v>76</v>
      </c>
      <c r="B86" s="43" t="s">
        <v>94</v>
      </c>
      <c r="C86" s="44" t="s">
        <v>35</v>
      </c>
      <c r="D86" s="98"/>
      <c r="E86" s="65"/>
      <c r="F86" s="83"/>
      <c r="G86" s="65">
        <f>9909925.58*439.02</f>
        <v>4350655528.1315994</v>
      </c>
      <c r="H86" s="65"/>
      <c r="I86" s="99"/>
      <c r="J86" s="65">
        <f>9909925.58*439.02</f>
        <v>4350655528.1315994</v>
      </c>
      <c r="K86" s="99">
        <f>70758.8*439.02</f>
        <v>31064528.375999998</v>
      </c>
      <c r="L86" s="99">
        <f>29108.49*439.02</f>
        <v>12779209.2798</v>
      </c>
      <c r="M86" s="107">
        <f>41650.31*439.02</f>
        <v>18285319.096199997</v>
      </c>
      <c r="N86" s="99">
        <f>11161050.04*439.02</f>
        <v>4899924188.5607996</v>
      </c>
      <c r="O86" s="65">
        <f>338545*439.02</f>
        <v>148628025.90000001</v>
      </c>
      <c r="P86" s="54">
        <f>10605386*432.87</f>
        <v>4590753437.8199997</v>
      </c>
      <c r="Q86" s="108">
        <f>(P86/$P$103)</f>
        <v>1.3790492988203475E-2</v>
      </c>
      <c r="R86" s="54">
        <f>10822505*439.02</f>
        <v>4751296145.0999994</v>
      </c>
      <c r="S86" s="55">
        <f t="shared" ref="S86:S92" si="39">(R86/$R$103)</f>
        <v>1.4723075146445929E-2</v>
      </c>
      <c r="T86" s="56">
        <f t="shared" ref="T86:T92" si="40">((R86-P86)/P86)</f>
        <v>3.4970884290452392E-2</v>
      </c>
      <c r="U86" s="57">
        <f t="shared" ref="U86:U92" si="41">(L86/R86)</f>
        <v>2.6896259230187467E-3</v>
      </c>
      <c r="V86" s="58">
        <f t="shared" ref="V86:V92" si="42">M86/R86</f>
        <v>3.8484907144880043E-3</v>
      </c>
      <c r="W86" s="59">
        <f t="shared" ref="W86:W92" si="43">R86/AE86</f>
        <v>479.25015945598659</v>
      </c>
      <c r="X86" s="59">
        <f t="shared" ref="X86:X92" si="44">M86/AE86</f>
        <v>1.8443897885832596</v>
      </c>
      <c r="Y86" s="65">
        <f>1.0916*439.02</f>
        <v>479.23423199999996</v>
      </c>
      <c r="Z86" s="65">
        <f>1.0916*439.02</f>
        <v>479.23423199999996</v>
      </c>
      <c r="AA86" s="64">
        <v>320</v>
      </c>
      <c r="AB86" s="64">
        <v>9751914</v>
      </c>
      <c r="AC86" s="64">
        <v>428644</v>
      </c>
      <c r="AD86" s="64">
        <v>266538</v>
      </c>
      <c r="AE86" s="50">
        <v>9914021</v>
      </c>
      <c r="AF86" s="5"/>
      <c r="AG86" s="17"/>
      <c r="AH86" s="17"/>
      <c r="AI86" s="17"/>
      <c r="AJ86" s="17"/>
      <c r="AK86" s="17"/>
      <c r="AL86" s="17"/>
      <c r="AM86" s="17"/>
      <c r="AN86" s="17"/>
      <c r="AO86" s="17"/>
      <c r="AP86" s="17"/>
      <c r="AQ86" s="17"/>
      <c r="AR86" s="17"/>
      <c r="AS86" s="17"/>
      <c r="AT86" s="17"/>
      <c r="AU86" s="17"/>
      <c r="AV86" s="17"/>
      <c r="AW86" s="17"/>
      <c r="AX86" s="17"/>
      <c r="AY86" s="17"/>
      <c r="AZ86" s="17"/>
      <c r="BA86" s="17"/>
      <c r="BB86" s="17"/>
      <c r="BC86" s="17"/>
      <c r="BD86" s="17"/>
      <c r="BE86" s="17"/>
      <c r="BF86" s="17"/>
      <c r="BG86" s="17"/>
      <c r="BH86" s="17"/>
      <c r="BI86" s="17"/>
      <c r="BJ86" s="17"/>
      <c r="BK86" s="17"/>
      <c r="BL86" s="17"/>
      <c r="BM86" s="17"/>
      <c r="BN86" s="17"/>
      <c r="BO86" s="17"/>
      <c r="BP86" s="17"/>
      <c r="BQ86" s="17"/>
      <c r="BR86" s="17"/>
      <c r="BS86" s="17"/>
      <c r="BT86" s="17"/>
      <c r="BU86" s="17"/>
      <c r="BV86" s="17"/>
      <c r="BW86" s="17"/>
      <c r="BX86" s="17"/>
      <c r="BY86" s="17"/>
      <c r="BZ86" s="17"/>
      <c r="CA86" s="17"/>
      <c r="CB86" s="17"/>
      <c r="CC86" s="17"/>
      <c r="CD86" s="17"/>
      <c r="CE86" s="17"/>
      <c r="CF86" s="17"/>
      <c r="CG86" s="17"/>
      <c r="CH86" s="17"/>
      <c r="CI86" s="17"/>
      <c r="CJ86" s="17"/>
      <c r="CK86" s="17"/>
      <c r="CL86" s="17"/>
      <c r="CM86" s="17"/>
      <c r="CN86" s="17"/>
      <c r="CO86" s="17"/>
      <c r="CP86" s="17"/>
      <c r="CQ86" s="17"/>
      <c r="CR86" s="17"/>
      <c r="CS86" s="17"/>
      <c r="CT86" s="17"/>
      <c r="CU86" s="17"/>
      <c r="CV86" s="17"/>
      <c r="CW86" s="17"/>
      <c r="CX86" s="17"/>
      <c r="CY86" s="17"/>
      <c r="CZ86" s="17"/>
      <c r="DA86" s="17"/>
      <c r="DB86" s="17"/>
      <c r="DC86" s="17"/>
      <c r="DD86" s="17"/>
      <c r="DE86" s="17"/>
      <c r="DF86" s="17"/>
      <c r="DG86" s="17"/>
      <c r="DH86" s="17"/>
      <c r="DI86" s="17"/>
      <c r="DJ86" s="17"/>
      <c r="DK86" s="17"/>
      <c r="DL86" s="17"/>
      <c r="DM86" s="17"/>
      <c r="DN86" s="17"/>
      <c r="DO86" s="17"/>
      <c r="DP86" s="17"/>
      <c r="DQ86" s="17"/>
      <c r="DR86" s="17"/>
      <c r="DS86" s="17"/>
      <c r="DT86" s="17"/>
      <c r="DU86" s="17"/>
      <c r="DV86" s="17"/>
      <c r="DW86" s="17"/>
      <c r="DX86" s="17"/>
      <c r="DY86" s="17"/>
      <c r="DZ86" s="17"/>
      <c r="EA86" s="17"/>
      <c r="EB86" s="17"/>
      <c r="EC86" s="17"/>
      <c r="ED86" s="17"/>
      <c r="EE86" s="17"/>
      <c r="EF86" s="17"/>
      <c r="EG86" s="17"/>
      <c r="EH86" s="17"/>
      <c r="EI86" s="17"/>
      <c r="EJ86" s="17"/>
      <c r="EK86" s="17"/>
      <c r="EL86" s="17"/>
      <c r="EM86" s="17"/>
      <c r="EN86" s="17"/>
      <c r="EO86" s="17"/>
      <c r="EP86" s="17"/>
      <c r="EQ86" s="17"/>
      <c r="ER86" s="17"/>
      <c r="ES86" s="17"/>
      <c r="ET86" s="17"/>
      <c r="EU86" s="17"/>
      <c r="EV86" s="17"/>
      <c r="EW86" s="17"/>
      <c r="EX86" s="17"/>
      <c r="EY86" s="17"/>
      <c r="EZ86" s="17"/>
      <c r="FA86" s="17"/>
      <c r="FB86" s="17"/>
      <c r="FC86" s="17"/>
      <c r="FD86" s="17"/>
      <c r="FE86" s="17"/>
      <c r="FF86" s="17"/>
      <c r="FG86" s="17"/>
      <c r="FH86" s="17"/>
      <c r="FI86" s="17"/>
      <c r="FJ86" s="17"/>
      <c r="FK86" s="17"/>
      <c r="FL86" s="17"/>
      <c r="FM86" s="17"/>
      <c r="FN86" s="17"/>
      <c r="FO86" s="17"/>
      <c r="FP86" s="17"/>
      <c r="FQ86" s="17"/>
      <c r="FR86" s="17"/>
      <c r="FS86" s="17"/>
      <c r="FT86" s="17"/>
      <c r="FU86" s="17"/>
      <c r="FV86" s="17"/>
      <c r="FW86" s="17"/>
      <c r="FX86" s="17"/>
      <c r="FY86" s="17"/>
      <c r="FZ86" s="17"/>
      <c r="GA86" s="17"/>
      <c r="GB86" s="17"/>
      <c r="GC86" s="17"/>
      <c r="GD86" s="17"/>
      <c r="GE86" s="17"/>
      <c r="GF86" s="17"/>
      <c r="GG86" s="17"/>
      <c r="GH86" s="17"/>
      <c r="GI86" s="17"/>
      <c r="GJ86" s="17"/>
      <c r="GK86" s="17"/>
      <c r="GL86" s="17"/>
      <c r="GM86" s="17"/>
      <c r="GN86" s="17"/>
      <c r="GO86" s="17"/>
      <c r="GP86" s="17"/>
      <c r="GQ86" s="17"/>
      <c r="GR86" s="17"/>
      <c r="GS86" s="17"/>
      <c r="GT86" s="17"/>
      <c r="GU86" s="17"/>
      <c r="GV86" s="17"/>
      <c r="GW86" s="17"/>
      <c r="GX86" s="17"/>
      <c r="GY86" s="17"/>
      <c r="GZ86" s="17"/>
      <c r="HA86" s="17"/>
      <c r="HB86" s="17"/>
      <c r="HC86" s="17"/>
      <c r="HD86" s="17"/>
      <c r="HE86" s="17"/>
      <c r="HF86" s="17"/>
      <c r="HG86" s="17"/>
      <c r="HH86" s="17"/>
      <c r="HI86" s="17"/>
      <c r="HJ86" s="17"/>
      <c r="HK86" s="17"/>
      <c r="HL86" s="17"/>
      <c r="HM86" s="17"/>
      <c r="HN86" s="17"/>
      <c r="HO86" s="17"/>
      <c r="HP86" s="17"/>
      <c r="HQ86" s="17"/>
      <c r="HR86" s="17"/>
      <c r="HS86" s="17"/>
      <c r="HT86" s="17"/>
      <c r="HU86" s="17"/>
      <c r="HV86" s="17"/>
      <c r="HW86" s="17"/>
      <c r="HX86" s="17"/>
      <c r="HY86" s="17"/>
      <c r="HZ86" s="17"/>
      <c r="IA86" s="17"/>
      <c r="IB86" s="17"/>
      <c r="IC86" s="17"/>
      <c r="ID86" s="17"/>
      <c r="IE86" s="17"/>
      <c r="IF86" s="17"/>
      <c r="IG86" s="17"/>
    </row>
    <row r="87" spans="1:241" ht="16.5" customHeight="1" x14ac:dyDescent="0.25">
      <c r="A87" s="106">
        <v>77</v>
      </c>
      <c r="B87" s="43" t="s">
        <v>157</v>
      </c>
      <c r="C87" s="44" t="s">
        <v>154</v>
      </c>
      <c r="D87" s="98"/>
      <c r="E87" s="65"/>
      <c r="F87" s="99"/>
      <c r="G87" s="65">
        <v>874519454.72000003</v>
      </c>
      <c r="H87" s="65"/>
      <c r="I87" s="99">
        <v>7203563.0899999999</v>
      </c>
      <c r="J87" s="65">
        <v>881723017.79999995</v>
      </c>
      <c r="K87" s="99">
        <v>5286516.4000000004</v>
      </c>
      <c r="L87" s="99">
        <v>1643111.37</v>
      </c>
      <c r="M87" s="107">
        <v>3643405.03</v>
      </c>
      <c r="N87" s="65">
        <v>918200008.63999999</v>
      </c>
      <c r="O87" s="99" t="s">
        <v>208</v>
      </c>
      <c r="P87" s="54">
        <v>877258527.85000002</v>
      </c>
      <c r="Q87" s="55">
        <f>(P87/$P$103)</f>
        <v>2.6352597108552176E-3</v>
      </c>
      <c r="R87" s="54">
        <v>892299003.84000003</v>
      </c>
      <c r="S87" s="55">
        <f t="shared" si="39"/>
        <v>2.765010827663041E-3</v>
      </c>
      <c r="T87" s="56">
        <f t="shared" si="40"/>
        <v>1.7144861534559786E-2</v>
      </c>
      <c r="U87" s="57">
        <f t="shared" si="41"/>
        <v>1.8414358448556889E-3</v>
      </c>
      <c r="V87" s="58">
        <f t="shared" si="42"/>
        <v>4.0831660848220626E-3</v>
      </c>
      <c r="W87" s="59">
        <f t="shared" si="43"/>
        <v>44759.972502909426</v>
      </c>
      <c r="X87" s="59">
        <f t="shared" si="44"/>
        <v>182.76240168144787</v>
      </c>
      <c r="Y87" s="99">
        <v>103.97</v>
      </c>
      <c r="Z87" s="99">
        <v>103.97</v>
      </c>
      <c r="AA87" s="64">
        <v>37</v>
      </c>
      <c r="AB87" s="64">
        <v>19563.93</v>
      </c>
      <c r="AC87" s="64">
        <v>5820.92</v>
      </c>
      <c r="AD87" s="64">
        <v>5449.64</v>
      </c>
      <c r="AE87" s="50">
        <v>19935.2</v>
      </c>
      <c r="AF87" s="5"/>
    </row>
    <row r="88" spans="1:241" ht="16.5" customHeight="1" x14ac:dyDescent="0.25">
      <c r="A88" s="106">
        <v>78</v>
      </c>
      <c r="B88" s="43" t="s">
        <v>184</v>
      </c>
      <c r="C88" s="43" t="s">
        <v>170</v>
      </c>
      <c r="D88" s="98"/>
      <c r="E88" s="98"/>
      <c r="F88" s="53">
        <v>2881010991.2800002</v>
      </c>
      <c r="G88" s="53">
        <v>9507156503.1700001</v>
      </c>
      <c r="H88" s="98"/>
      <c r="I88" s="98"/>
      <c r="J88" s="53">
        <v>12807995780.08</v>
      </c>
      <c r="K88" s="53">
        <v>62644710.649999999</v>
      </c>
      <c r="L88" s="53">
        <v>20651348.510000002</v>
      </c>
      <c r="M88" s="107">
        <v>41993362.149999999</v>
      </c>
      <c r="N88" s="65">
        <v>12849371498.709999</v>
      </c>
      <c r="O88" s="99">
        <v>41375718.630000003</v>
      </c>
      <c r="P88" s="54">
        <v>12418197705.18</v>
      </c>
      <c r="Q88" s="55">
        <f>(P88/$P$103)</f>
        <v>3.7303913333392141E-2</v>
      </c>
      <c r="R88" s="54">
        <v>12807995780.08</v>
      </c>
      <c r="S88" s="55">
        <f t="shared" si="39"/>
        <v>3.9688766725255627E-2</v>
      </c>
      <c r="T88" s="56">
        <f t="shared" si="40"/>
        <v>3.1389263092292632E-2</v>
      </c>
      <c r="U88" s="57">
        <f t="shared" si="41"/>
        <v>1.6123793967920102E-3</v>
      </c>
      <c r="V88" s="58">
        <f t="shared" si="42"/>
        <v>3.2786833218130325E-3</v>
      </c>
      <c r="W88" s="59">
        <f t="shared" si="43"/>
        <v>55537.809497011913</v>
      </c>
      <c r="X88" s="59">
        <f t="shared" si="44"/>
        <v>182.09088972788243</v>
      </c>
      <c r="Y88" s="109">
        <v>127.08</v>
      </c>
      <c r="Z88" s="109">
        <v>127.08</v>
      </c>
      <c r="AA88" s="64">
        <v>1880</v>
      </c>
      <c r="AB88" s="65">
        <v>224731.28</v>
      </c>
      <c r="AC88" s="65">
        <v>8773.5</v>
      </c>
      <c r="AD88" s="65">
        <v>2887.19</v>
      </c>
      <c r="AE88" s="50">
        <v>230617.59</v>
      </c>
      <c r="AF88" s="5"/>
    </row>
    <row r="89" spans="1:241" ht="16.5" customHeight="1" x14ac:dyDescent="0.25">
      <c r="A89" s="106">
        <v>79</v>
      </c>
      <c r="B89" s="133" t="s">
        <v>213</v>
      </c>
      <c r="C89" s="134" t="s">
        <v>214</v>
      </c>
      <c r="D89" s="98"/>
      <c r="E89" s="98"/>
      <c r="F89" s="53"/>
      <c r="G89" s="53">
        <f>61735.1335616438*439.02</f>
        <v>27102958.33623286</v>
      </c>
      <c r="H89" s="98"/>
      <c r="I89" s="111">
        <f>18025*439.02</f>
        <v>7913335.5</v>
      </c>
      <c r="J89" s="53">
        <f>G89+I89</f>
        <v>35016293.836232856</v>
      </c>
      <c r="K89" s="53">
        <f>415.51*439.02</f>
        <v>182417.20019999999</v>
      </c>
      <c r="L89" s="53">
        <f>85.77*439.02</f>
        <v>37654.7454</v>
      </c>
      <c r="M89" s="107">
        <f>329.73*439.02</f>
        <v>144758.06460000001</v>
      </c>
      <c r="N89" s="65">
        <f>79760.13*439.02</f>
        <v>35016292.272600003</v>
      </c>
      <c r="O89" s="99">
        <f>2541.27*439.02</f>
        <v>1115668.3554</v>
      </c>
      <c r="P89" s="54">
        <f>76974.26*432.87</f>
        <v>33319847.926199999</v>
      </c>
      <c r="Q89" s="55"/>
      <c r="R89" s="54">
        <f>77218.86*439.02</f>
        <v>33900623.917199999</v>
      </c>
      <c r="S89" s="55">
        <f t="shared" si="39"/>
        <v>1.0504953137031471E-4</v>
      </c>
      <c r="T89" s="56">
        <f t="shared" si="40"/>
        <v>1.7430331383455257E-2</v>
      </c>
      <c r="U89" s="57">
        <f t="shared" si="41"/>
        <v>1.1107390085789922E-3</v>
      </c>
      <c r="V89" s="58">
        <f t="shared" si="42"/>
        <v>4.2700708091261644E-3</v>
      </c>
      <c r="W89" s="59">
        <f t="shared" si="43"/>
        <v>42898.606665232517</v>
      </c>
      <c r="X89" s="59">
        <f t="shared" si="44"/>
        <v>183.1800880733945</v>
      </c>
      <c r="Y89" s="109">
        <f>97.71*439.02</f>
        <v>42896.644199999995</v>
      </c>
      <c r="Z89" s="109">
        <f>97.71*439.02</f>
        <v>42896.644199999995</v>
      </c>
      <c r="AA89" s="64">
        <v>2</v>
      </c>
      <c r="AB89" s="65">
        <v>239.75</v>
      </c>
      <c r="AC89" s="65">
        <v>550.5</v>
      </c>
      <c r="AD89" s="65">
        <v>0</v>
      </c>
      <c r="AE89" s="50">
        <v>790.25</v>
      </c>
      <c r="AF89" s="5"/>
      <c r="AG89" s="17"/>
      <c r="AH89" s="17"/>
      <c r="AI89" s="17"/>
      <c r="AJ89" s="17"/>
      <c r="AK89" s="17"/>
      <c r="AL89" s="17"/>
      <c r="AM89" s="17"/>
      <c r="AN89" s="17"/>
      <c r="AO89" s="17"/>
      <c r="AP89" s="17"/>
      <c r="AQ89" s="17"/>
      <c r="AR89" s="17"/>
      <c r="AS89" s="17"/>
      <c r="AT89" s="17"/>
      <c r="AU89" s="17"/>
      <c r="AV89" s="17"/>
      <c r="AW89" s="17"/>
      <c r="AX89" s="17"/>
      <c r="AY89" s="17"/>
      <c r="AZ89" s="17"/>
      <c r="BA89" s="17"/>
      <c r="BB89" s="17"/>
      <c r="BC89" s="17"/>
      <c r="BD89" s="17"/>
      <c r="BE89" s="17"/>
      <c r="BF89" s="17"/>
      <c r="BG89" s="17"/>
      <c r="BH89" s="17"/>
      <c r="BI89" s="17"/>
      <c r="BJ89" s="17"/>
      <c r="BK89" s="17"/>
      <c r="BL89" s="17"/>
      <c r="BM89" s="17"/>
      <c r="BN89" s="17"/>
      <c r="BO89" s="17"/>
      <c r="BP89" s="17"/>
      <c r="BQ89" s="17"/>
      <c r="BR89" s="17"/>
      <c r="BS89" s="17"/>
      <c r="BT89" s="17"/>
      <c r="BU89" s="17"/>
      <c r="BV89" s="17"/>
      <c r="BW89" s="17"/>
      <c r="BX89" s="17"/>
      <c r="BY89" s="17"/>
      <c r="BZ89" s="17"/>
      <c r="CA89" s="17"/>
      <c r="CB89" s="17"/>
      <c r="CC89" s="17"/>
      <c r="CD89" s="17"/>
      <c r="CE89" s="17"/>
      <c r="CF89" s="17"/>
      <c r="CG89" s="17"/>
      <c r="CH89" s="17"/>
      <c r="CI89" s="17"/>
      <c r="CJ89" s="17"/>
      <c r="CK89" s="17"/>
      <c r="CL89" s="17"/>
      <c r="CM89" s="17"/>
      <c r="CN89" s="17"/>
      <c r="CO89" s="17"/>
      <c r="CP89" s="17"/>
      <c r="CQ89" s="17"/>
      <c r="CR89" s="17"/>
      <c r="CS89" s="17"/>
      <c r="CT89" s="17"/>
      <c r="CU89" s="17"/>
      <c r="CV89" s="17"/>
      <c r="CW89" s="17"/>
      <c r="CX89" s="17"/>
      <c r="CY89" s="17"/>
      <c r="CZ89" s="17"/>
      <c r="DA89" s="17"/>
      <c r="DB89" s="17"/>
      <c r="DC89" s="17"/>
      <c r="DD89" s="17"/>
      <c r="DE89" s="17"/>
      <c r="DF89" s="17"/>
      <c r="DG89" s="17"/>
      <c r="DH89" s="17"/>
      <c r="DI89" s="17"/>
      <c r="DJ89" s="17"/>
      <c r="DK89" s="17"/>
      <c r="DL89" s="17"/>
      <c r="DM89" s="17"/>
      <c r="DN89" s="17"/>
      <c r="DO89" s="17"/>
      <c r="DP89" s="17"/>
      <c r="DQ89" s="17"/>
      <c r="DR89" s="17"/>
      <c r="DS89" s="17"/>
      <c r="DT89" s="17"/>
      <c r="DU89" s="17"/>
      <c r="DV89" s="17"/>
      <c r="DW89" s="17"/>
      <c r="DX89" s="17"/>
      <c r="DY89" s="17"/>
      <c r="DZ89" s="17"/>
      <c r="EA89" s="17"/>
      <c r="EB89" s="17"/>
      <c r="EC89" s="17"/>
      <c r="ED89" s="17"/>
      <c r="EE89" s="17"/>
      <c r="EF89" s="17"/>
      <c r="EG89" s="17"/>
      <c r="EH89" s="17"/>
      <c r="EI89" s="17"/>
      <c r="EJ89" s="17"/>
      <c r="EK89" s="17"/>
      <c r="EL89" s="17"/>
      <c r="EM89" s="17"/>
      <c r="EN89" s="17"/>
      <c r="EO89" s="17"/>
      <c r="EP89" s="17"/>
      <c r="EQ89" s="17"/>
      <c r="ER89" s="17"/>
      <c r="ES89" s="17"/>
      <c r="ET89" s="17"/>
      <c r="EU89" s="17"/>
      <c r="EV89" s="17"/>
      <c r="EW89" s="17"/>
      <c r="EX89" s="17"/>
      <c r="EY89" s="17"/>
      <c r="EZ89" s="17"/>
      <c r="FA89" s="17"/>
      <c r="FB89" s="17"/>
      <c r="FC89" s="17"/>
      <c r="FD89" s="17"/>
      <c r="FE89" s="17"/>
      <c r="FF89" s="17"/>
      <c r="FG89" s="17"/>
      <c r="FH89" s="17"/>
      <c r="FI89" s="17"/>
      <c r="FJ89" s="17"/>
      <c r="FK89" s="17"/>
      <c r="FL89" s="17"/>
      <c r="FM89" s="17"/>
      <c r="FN89" s="17"/>
      <c r="FO89" s="17"/>
      <c r="FP89" s="17"/>
      <c r="FQ89" s="17"/>
      <c r="FR89" s="17"/>
      <c r="FS89" s="17"/>
      <c r="FT89" s="17"/>
      <c r="FU89" s="17"/>
      <c r="FV89" s="17"/>
      <c r="FW89" s="17"/>
      <c r="FX89" s="17"/>
      <c r="FY89" s="17"/>
      <c r="FZ89" s="17"/>
      <c r="GA89" s="17"/>
      <c r="GB89" s="17"/>
      <c r="GC89" s="17"/>
      <c r="GD89" s="17"/>
      <c r="GE89" s="17"/>
      <c r="GF89" s="17"/>
      <c r="GG89" s="17"/>
      <c r="GH89" s="17"/>
      <c r="GI89" s="17"/>
      <c r="GJ89" s="17"/>
      <c r="GK89" s="17"/>
      <c r="GL89" s="17"/>
      <c r="GM89" s="17"/>
      <c r="GN89" s="17"/>
      <c r="GO89" s="17"/>
      <c r="GP89" s="17"/>
      <c r="GQ89" s="17"/>
      <c r="GR89" s="17"/>
      <c r="GS89" s="17"/>
      <c r="GT89" s="17"/>
      <c r="GU89" s="17"/>
      <c r="GV89" s="17"/>
      <c r="GW89" s="17"/>
      <c r="GX89" s="17"/>
      <c r="GY89" s="17"/>
      <c r="GZ89" s="17"/>
      <c r="HA89" s="17"/>
      <c r="HB89" s="17"/>
      <c r="HC89" s="17"/>
      <c r="HD89" s="17"/>
      <c r="HE89" s="17"/>
      <c r="HF89" s="17"/>
      <c r="HG89" s="17"/>
      <c r="HH89" s="17"/>
      <c r="HI89" s="17"/>
      <c r="HJ89" s="17"/>
      <c r="HK89" s="17"/>
      <c r="HL89" s="17"/>
      <c r="HM89" s="17"/>
      <c r="HN89" s="17"/>
      <c r="HO89" s="17"/>
      <c r="HP89" s="17"/>
      <c r="HQ89" s="17"/>
      <c r="HR89" s="17"/>
      <c r="HS89" s="17"/>
      <c r="HT89" s="17"/>
      <c r="HU89" s="17"/>
      <c r="HV89" s="17"/>
      <c r="HW89" s="17"/>
      <c r="HX89" s="17"/>
      <c r="HY89" s="17"/>
      <c r="HZ89" s="17"/>
      <c r="IA89" s="17"/>
      <c r="IB89" s="17"/>
      <c r="IC89" s="17"/>
      <c r="ID89" s="17"/>
      <c r="IE89" s="17"/>
      <c r="IF89" s="17"/>
      <c r="IG89" s="17"/>
    </row>
    <row r="90" spans="1:241" ht="16.5" customHeight="1" x14ac:dyDescent="0.25">
      <c r="A90" s="106">
        <v>80</v>
      </c>
      <c r="B90" s="43" t="s">
        <v>91</v>
      </c>
      <c r="C90" s="43" t="s">
        <v>171</v>
      </c>
      <c r="D90" s="110"/>
      <c r="E90" s="98"/>
      <c r="F90" s="53">
        <f>1868319.71*439.02</f>
        <v>820229719.08419991</v>
      </c>
      <c r="G90" s="53">
        <f>11508891.75*439.02</f>
        <v>5052633656.085</v>
      </c>
      <c r="H90" s="53"/>
      <c r="I90" s="98"/>
      <c r="J90" s="111">
        <f>13653246.01*439.02</f>
        <v>5994048063.3101997</v>
      </c>
      <c r="K90" s="111">
        <f>76301.14*439.02</f>
        <v>33497726.482799999</v>
      </c>
      <c r="L90" s="111">
        <f>22756.21*439.02</f>
        <v>9990431.314199999</v>
      </c>
      <c r="M90" s="112">
        <f>22756.21*439.02</f>
        <v>9990431.314199999</v>
      </c>
      <c r="N90" s="111">
        <f>13653246.01*439.02</f>
        <v>5994048063.3101997</v>
      </c>
      <c r="O90" s="111">
        <f>104189*439.02</f>
        <v>45741054.780000001</v>
      </c>
      <c r="P90" s="54">
        <f>14090982.25*432.87</f>
        <v>6099563486.5574999</v>
      </c>
      <c r="Q90" s="108">
        <f>(P90/$P$103)</f>
        <v>1.8322915537022852E-2</v>
      </c>
      <c r="R90" s="54">
        <f>13549057.26*439.02</f>
        <v>5948307118.2852001</v>
      </c>
      <c r="S90" s="55">
        <f t="shared" si="39"/>
        <v>1.843231194649287E-2</v>
      </c>
      <c r="T90" s="56">
        <f t="shared" si="40"/>
        <v>-2.4797900473639719E-2</v>
      </c>
      <c r="U90" s="57">
        <f t="shared" si="41"/>
        <v>1.6795419462268917E-3</v>
      </c>
      <c r="V90" s="58">
        <f t="shared" si="42"/>
        <v>1.6795419462268917E-3</v>
      </c>
      <c r="W90" s="59">
        <f t="shared" si="43"/>
        <v>538.4780667322741</v>
      </c>
      <c r="X90" s="59">
        <f t="shared" si="44"/>
        <v>0.90439650020001772</v>
      </c>
      <c r="Y90" s="109">
        <f>1.25*439.02</f>
        <v>548.77499999999998</v>
      </c>
      <c r="Z90" s="109">
        <f>1.25*439.02</f>
        <v>548.77499999999998</v>
      </c>
      <c r="AA90" s="64">
        <v>128</v>
      </c>
      <c r="AB90" s="64">
        <v>11522482</v>
      </c>
      <c r="AC90" s="64">
        <v>107363</v>
      </c>
      <c r="AD90" s="64">
        <v>583328</v>
      </c>
      <c r="AE90" s="50">
        <v>11046517</v>
      </c>
      <c r="AF90" s="5"/>
    </row>
    <row r="91" spans="1:241" ht="16.5" customHeight="1" x14ac:dyDescent="0.25">
      <c r="A91" s="106">
        <v>81</v>
      </c>
      <c r="B91" s="43" t="s">
        <v>182</v>
      </c>
      <c r="C91" s="43" t="s">
        <v>33</v>
      </c>
      <c r="D91" s="98"/>
      <c r="E91" s="65"/>
      <c r="F91" s="99"/>
      <c r="G91" s="65">
        <f>155675414*439.02</f>
        <v>68344620254.279999</v>
      </c>
      <c r="H91" s="65"/>
      <c r="I91" s="99"/>
      <c r="J91" s="65">
        <f>155675414*439.02</f>
        <v>68344620254.279999</v>
      </c>
      <c r="K91" s="99">
        <f>1095910*439.02</f>
        <v>481126408.19999999</v>
      </c>
      <c r="L91" s="99">
        <f>298517*439.02</f>
        <v>131054933.33999999</v>
      </c>
      <c r="M91" s="107">
        <f>797393*439.02</f>
        <v>350071474.86000001</v>
      </c>
      <c r="N91" s="65">
        <f>172906215*439.02</f>
        <v>75909286509.300003</v>
      </c>
      <c r="O91" s="99">
        <f>2361363*439.02</f>
        <v>1036685584.26</v>
      </c>
      <c r="P91" s="54">
        <f>185167473*432.87</f>
        <v>80153444037.509995</v>
      </c>
      <c r="Q91" s="55">
        <f>(P91/$P$103)</f>
        <v>0.24077867020114652</v>
      </c>
      <c r="R91" s="54">
        <f>170544852*439.02</f>
        <v>74872600925.039993</v>
      </c>
      <c r="S91" s="55">
        <f t="shared" si="39"/>
        <v>0.23201141249974006</v>
      </c>
      <c r="T91" s="56">
        <f t="shared" si="40"/>
        <v>-6.5884169743207627E-2</v>
      </c>
      <c r="U91" s="57">
        <f t="shared" si="41"/>
        <v>1.7503723888423206E-3</v>
      </c>
      <c r="V91" s="58">
        <f t="shared" si="42"/>
        <v>4.6755618281576752E-3</v>
      </c>
      <c r="W91" s="59">
        <f t="shared" si="43"/>
        <v>124.3249414805867</v>
      </c>
      <c r="X91" s="59">
        <f t="shared" si="44"/>
        <v>0.58128895067456787</v>
      </c>
      <c r="Y91" s="99">
        <f>124.32*439.02</f>
        <v>54578.966399999998</v>
      </c>
      <c r="Z91" s="99">
        <f>124.32*439.02</f>
        <v>54578.966399999998</v>
      </c>
      <c r="AA91" s="64">
        <v>1256</v>
      </c>
      <c r="AB91" s="65">
        <f>1497841*439.02</f>
        <v>657582155.81999993</v>
      </c>
      <c r="AC91" s="64">
        <f>211768*439.02</f>
        <v>92970387.359999999</v>
      </c>
      <c r="AD91" s="64">
        <f>337842*439.02</f>
        <v>148319394.84</v>
      </c>
      <c r="AE91" s="50">
        <f>1371767*439.02</f>
        <v>602233148.34000003</v>
      </c>
      <c r="AF91" s="5"/>
    </row>
    <row r="92" spans="1:241" ht="16.5" customHeight="1" x14ac:dyDescent="0.25">
      <c r="A92" s="106">
        <v>82</v>
      </c>
      <c r="B92" s="43" t="s">
        <v>92</v>
      </c>
      <c r="C92" s="43" t="s">
        <v>46</v>
      </c>
      <c r="D92" s="98"/>
      <c r="E92" s="65"/>
      <c r="F92" s="65"/>
      <c r="G92" s="65">
        <v>721320149.46000004</v>
      </c>
      <c r="H92" s="65"/>
      <c r="I92" s="65"/>
      <c r="J92" s="65">
        <v>721320149.46000004</v>
      </c>
      <c r="K92" s="65">
        <v>13594285.32</v>
      </c>
      <c r="L92" s="65">
        <v>870070.56</v>
      </c>
      <c r="M92" s="107">
        <v>12724214.76</v>
      </c>
      <c r="N92" s="113">
        <v>729784176.60000002</v>
      </c>
      <c r="O92" s="113">
        <v>18607523.579999998</v>
      </c>
      <c r="P92" s="54">
        <v>680236663.44000006</v>
      </c>
      <c r="Q92" s="55">
        <f>(P92/$P$103)</f>
        <v>2.0434116239409464E-3</v>
      </c>
      <c r="R92" s="54">
        <v>711176653.01999998</v>
      </c>
      <c r="S92" s="55">
        <f t="shared" si="39"/>
        <v>2.2037580872768326E-3</v>
      </c>
      <c r="T92" s="56">
        <f t="shared" si="40"/>
        <v>4.5484154622796175E-2</v>
      </c>
      <c r="U92" s="57">
        <f t="shared" si="41"/>
        <v>1.2234239640815819E-3</v>
      </c>
      <c r="V92" s="58">
        <f t="shared" si="42"/>
        <v>1.7891777951324513E-2</v>
      </c>
      <c r="W92" s="59">
        <f t="shared" si="43"/>
        <v>48199.027652998979</v>
      </c>
      <c r="X92" s="59">
        <f t="shared" si="44"/>
        <v>862.36630023720772</v>
      </c>
      <c r="Y92" s="99">
        <v>117.26909999999999</v>
      </c>
      <c r="Z92" s="99">
        <v>120.3374</v>
      </c>
      <c r="AA92" s="64">
        <v>38</v>
      </c>
      <c r="AB92" s="65">
        <v>13741</v>
      </c>
      <c r="AC92" s="65"/>
      <c r="AD92" s="65"/>
      <c r="AE92" s="50">
        <v>14755</v>
      </c>
      <c r="AF92" s="5"/>
      <c r="AG92" s="17"/>
      <c r="AH92" s="17"/>
      <c r="AI92" s="17"/>
      <c r="AJ92" s="17"/>
      <c r="AK92" s="17"/>
      <c r="AL92" s="17"/>
      <c r="AM92" s="17"/>
      <c r="AN92" s="17"/>
      <c r="AO92" s="17"/>
      <c r="AP92" s="17"/>
      <c r="AQ92" s="17"/>
      <c r="AR92" s="17"/>
      <c r="AS92" s="17"/>
      <c r="AT92" s="17"/>
      <c r="AU92" s="17"/>
      <c r="AV92" s="17"/>
      <c r="AW92" s="17"/>
      <c r="AX92" s="17"/>
      <c r="AY92" s="17"/>
      <c r="AZ92" s="17"/>
      <c r="BA92" s="17"/>
      <c r="BB92" s="17"/>
      <c r="BC92" s="17"/>
      <c r="BD92" s="17"/>
      <c r="BE92" s="17"/>
      <c r="BF92" s="17"/>
      <c r="BG92" s="17"/>
      <c r="BH92" s="17"/>
      <c r="BI92" s="17"/>
      <c r="BJ92" s="17"/>
      <c r="BK92" s="17"/>
      <c r="BL92" s="17"/>
      <c r="BM92" s="17"/>
      <c r="BN92" s="17"/>
      <c r="BO92" s="17"/>
      <c r="BP92" s="17"/>
      <c r="BQ92" s="17"/>
      <c r="BR92" s="17"/>
      <c r="BS92" s="17"/>
      <c r="BT92" s="17"/>
      <c r="BU92" s="17"/>
      <c r="BV92" s="17"/>
      <c r="BW92" s="17"/>
      <c r="BX92" s="17"/>
      <c r="BY92" s="17"/>
      <c r="BZ92" s="17"/>
      <c r="CA92" s="17"/>
      <c r="CB92" s="17"/>
      <c r="CC92" s="17"/>
      <c r="CD92" s="17"/>
      <c r="CE92" s="17"/>
      <c r="CF92" s="17"/>
      <c r="CG92" s="17"/>
      <c r="CH92" s="17"/>
      <c r="CI92" s="17"/>
      <c r="CJ92" s="17"/>
      <c r="CK92" s="17"/>
      <c r="CL92" s="17"/>
      <c r="CM92" s="17"/>
      <c r="CN92" s="17"/>
      <c r="CO92" s="17"/>
      <c r="CP92" s="17"/>
      <c r="CQ92" s="17"/>
      <c r="CR92" s="17"/>
      <c r="CS92" s="17"/>
      <c r="CT92" s="17"/>
      <c r="CU92" s="17"/>
      <c r="CV92" s="17"/>
      <c r="CW92" s="17"/>
      <c r="CX92" s="17"/>
      <c r="CY92" s="17"/>
      <c r="CZ92" s="17"/>
      <c r="DA92" s="17"/>
      <c r="DB92" s="17"/>
      <c r="DC92" s="17"/>
      <c r="DD92" s="17"/>
      <c r="DE92" s="17"/>
      <c r="DF92" s="17"/>
      <c r="DG92" s="17"/>
      <c r="DH92" s="17"/>
      <c r="DI92" s="17"/>
      <c r="DJ92" s="17"/>
      <c r="DK92" s="17"/>
      <c r="DL92" s="17"/>
      <c r="DM92" s="17"/>
      <c r="DN92" s="17"/>
      <c r="DO92" s="17"/>
      <c r="DP92" s="17"/>
      <c r="DQ92" s="17"/>
      <c r="DR92" s="17"/>
      <c r="DS92" s="17"/>
      <c r="DT92" s="17"/>
      <c r="DU92" s="17"/>
      <c r="DV92" s="17"/>
      <c r="DW92" s="17"/>
      <c r="DX92" s="17"/>
      <c r="DY92" s="17"/>
      <c r="DZ92" s="17"/>
      <c r="EA92" s="17"/>
      <c r="EB92" s="17"/>
      <c r="EC92" s="17"/>
      <c r="ED92" s="17"/>
      <c r="EE92" s="17"/>
      <c r="EF92" s="17"/>
      <c r="EG92" s="17"/>
      <c r="EH92" s="17"/>
      <c r="EI92" s="17"/>
      <c r="EJ92" s="17"/>
      <c r="EK92" s="17"/>
      <c r="EL92" s="17"/>
      <c r="EM92" s="17"/>
      <c r="EN92" s="17"/>
      <c r="EO92" s="17"/>
      <c r="EP92" s="17"/>
      <c r="EQ92" s="17"/>
      <c r="ER92" s="17"/>
      <c r="ES92" s="17"/>
      <c r="ET92" s="17"/>
      <c r="EU92" s="17"/>
      <c r="EV92" s="17"/>
      <c r="EW92" s="17"/>
      <c r="EX92" s="17"/>
      <c r="EY92" s="17"/>
      <c r="EZ92" s="17"/>
      <c r="FA92" s="17"/>
      <c r="FB92" s="17"/>
      <c r="FC92" s="17"/>
      <c r="FD92" s="17"/>
      <c r="FE92" s="17"/>
      <c r="FF92" s="17"/>
      <c r="FG92" s="17"/>
      <c r="FH92" s="17"/>
      <c r="FI92" s="17"/>
      <c r="FJ92" s="17"/>
      <c r="FK92" s="17"/>
      <c r="FL92" s="17"/>
      <c r="FM92" s="17"/>
      <c r="FN92" s="17"/>
      <c r="FO92" s="17"/>
      <c r="FP92" s="17"/>
      <c r="FQ92" s="17"/>
      <c r="FR92" s="17"/>
      <c r="FS92" s="17"/>
      <c r="FT92" s="17"/>
      <c r="FU92" s="17"/>
      <c r="FV92" s="17"/>
      <c r="FW92" s="17"/>
      <c r="FX92" s="17"/>
      <c r="FY92" s="17"/>
      <c r="FZ92" s="17"/>
      <c r="GA92" s="17"/>
      <c r="GB92" s="17"/>
      <c r="GC92" s="17"/>
      <c r="GD92" s="17"/>
      <c r="GE92" s="17"/>
      <c r="GF92" s="17"/>
      <c r="GG92" s="17"/>
      <c r="GH92" s="17"/>
      <c r="GI92" s="17"/>
      <c r="GJ92" s="17"/>
      <c r="GK92" s="17"/>
      <c r="GL92" s="17"/>
      <c r="GM92" s="17"/>
      <c r="GN92" s="17"/>
      <c r="GO92" s="17"/>
      <c r="GP92" s="17"/>
      <c r="GQ92" s="17"/>
      <c r="GR92" s="17"/>
      <c r="GS92" s="17"/>
      <c r="GT92" s="17"/>
      <c r="GU92" s="17"/>
      <c r="GV92" s="17"/>
      <c r="GW92" s="17"/>
      <c r="GX92" s="17"/>
      <c r="GY92" s="17"/>
      <c r="GZ92" s="17"/>
      <c r="HA92" s="17"/>
      <c r="HB92" s="17"/>
      <c r="HC92" s="17"/>
      <c r="HD92" s="17"/>
      <c r="HE92" s="17"/>
      <c r="HF92" s="17"/>
      <c r="HG92" s="17"/>
      <c r="HH92" s="17"/>
      <c r="HI92" s="17"/>
      <c r="HJ92" s="17"/>
      <c r="HK92" s="17"/>
      <c r="HL92" s="17"/>
      <c r="HM92" s="17"/>
      <c r="HN92" s="17"/>
      <c r="HO92" s="17"/>
      <c r="HP92" s="17"/>
      <c r="HQ92" s="17"/>
      <c r="HR92" s="17"/>
      <c r="HS92" s="17"/>
      <c r="HT92" s="17"/>
      <c r="HU92" s="17"/>
      <c r="HV92" s="17"/>
      <c r="HW92" s="17"/>
      <c r="HX92" s="17"/>
      <c r="HY92" s="17"/>
      <c r="HZ92" s="17"/>
      <c r="IA92" s="17"/>
      <c r="IB92" s="17"/>
      <c r="IC92" s="17"/>
      <c r="ID92" s="17"/>
      <c r="IE92" s="17"/>
      <c r="IF92" s="17"/>
      <c r="IG92" s="17"/>
    </row>
    <row r="93" spans="1:241" ht="6" customHeight="1" x14ac:dyDescent="0.25">
      <c r="A93" s="114"/>
      <c r="B93" s="115"/>
      <c r="C93" s="116"/>
      <c r="D93" s="49"/>
      <c r="E93" s="49"/>
      <c r="F93" s="49"/>
      <c r="G93" s="49"/>
      <c r="H93" s="49"/>
      <c r="I93" s="50"/>
      <c r="J93" s="117"/>
      <c r="K93" s="117"/>
      <c r="L93" s="117"/>
      <c r="M93" s="107"/>
      <c r="N93" s="65"/>
      <c r="O93" s="65"/>
      <c r="P93" s="88"/>
      <c r="Q93" s="55"/>
      <c r="R93" s="69"/>
      <c r="S93" s="55"/>
      <c r="T93" s="56"/>
      <c r="U93" s="57"/>
      <c r="V93" s="58"/>
      <c r="W93" s="59"/>
      <c r="X93" s="59"/>
      <c r="Y93" s="65"/>
      <c r="Z93" s="65"/>
      <c r="AA93" s="64"/>
      <c r="AB93" s="64"/>
      <c r="AC93" s="64"/>
      <c r="AD93" s="64"/>
      <c r="AE93" s="53"/>
      <c r="AF93" s="5"/>
    </row>
    <row r="94" spans="1:241" ht="16.5" customHeight="1" x14ac:dyDescent="0.25">
      <c r="A94" s="166" t="s">
        <v>217</v>
      </c>
      <c r="B94" s="167"/>
      <c r="C94" s="167"/>
      <c r="D94" s="167"/>
      <c r="E94" s="167"/>
      <c r="F94" s="167"/>
      <c r="G94" s="167"/>
      <c r="H94" s="167"/>
      <c r="I94" s="167"/>
      <c r="J94" s="167"/>
      <c r="K94" s="167"/>
      <c r="L94" s="167"/>
      <c r="M94" s="167"/>
      <c r="N94" s="167"/>
      <c r="O94" s="167"/>
      <c r="P94" s="167"/>
      <c r="Q94" s="167"/>
      <c r="R94" s="167"/>
      <c r="S94" s="167"/>
      <c r="T94" s="167"/>
      <c r="U94" s="167"/>
      <c r="V94" s="167"/>
      <c r="W94" s="167"/>
      <c r="X94" s="167"/>
      <c r="Y94" s="167"/>
      <c r="Z94" s="167"/>
      <c r="AA94" s="167"/>
      <c r="AB94" s="167"/>
      <c r="AC94" s="167"/>
      <c r="AD94" s="167"/>
      <c r="AE94" s="168"/>
      <c r="AF94" s="5"/>
    </row>
    <row r="95" spans="1:241" ht="16.5" customHeight="1" x14ac:dyDescent="0.25">
      <c r="A95" s="47">
        <v>83</v>
      </c>
      <c r="B95" s="43" t="s">
        <v>119</v>
      </c>
      <c r="C95" s="44" t="s">
        <v>118</v>
      </c>
      <c r="D95" s="50"/>
      <c r="E95" s="50"/>
      <c r="F95" s="50"/>
      <c r="G95" s="50">
        <f>580022.73*439.02</f>
        <v>254641578.92459998</v>
      </c>
      <c r="H95" s="50"/>
      <c r="I95" s="50"/>
      <c r="J95" s="50">
        <f>580022.73*439.02</f>
        <v>254641578.92459998</v>
      </c>
      <c r="K95" s="50">
        <f>5279.42*439.02</f>
        <v>2317770.9684000001</v>
      </c>
      <c r="L95" s="50">
        <f>1190.11*439.02</f>
        <v>522482.09219999996</v>
      </c>
      <c r="M95" s="112">
        <f>4089.31*439.02</f>
        <v>1795288.8761999998</v>
      </c>
      <c r="N95" s="50">
        <f>752592.4*439.02</f>
        <v>330403115.44800001</v>
      </c>
      <c r="O95" s="50">
        <f>15053.75*439.02</f>
        <v>6608897.3250000002</v>
      </c>
      <c r="P95" s="69">
        <f>732311.89*432.87</f>
        <v>316995847.82429999</v>
      </c>
      <c r="Q95" s="55">
        <f>(P95/$P$103)</f>
        <v>9.5224652683297299E-4</v>
      </c>
      <c r="R95" s="69">
        <f>737538.65*439.02</f>
        <v>323794218.12300003</v>
      </c>
      <c r="S95" s="55">
        <f>(R95/$R$103)</f>
        <v>1.0033570755900122E-3</v>
      </c>
      <c r="T95" s="56">
        <f t="shared" ref="T95:T103" si="45">((R95-P95)/P95)</f>
        <v>2.1446243997707313E-2</v>
      </c>
      <c r="U95" s="57">
        <f t="shared" ref="U95:U102" si="46">(L95/R95)</f>
        <v>1.6136239097435771E-3</v>
      </c>
      <c r="V95" s="58">
        <f>M95/R95</f>
        <v>5.5445365473389078E-3</v>
      </c>
      <c r="W95" s="59">
        <f t="shared" ref="W95:W102" si="47">R95/AE95</f>
        <v>38455.370323396681</v>
      </c>
      <c r="X95" s="59">
        <f>M95/AE95</f>
        <v>213.21720619952492</v>
      </c>
      <c r="Y95" s="65">
        <f>87.59*439.02</f>
        <v>38453.7618</v>
      </c>
      <c r="Z95" s="65">
        <f>87.59*439.02</f>
        <v>38453.7618</v>
      </c>
      <c r="AA95" s="118">
        <v>29</v>
      </c>
      <c r="AB95" s="118">
        <v>8420</v>
      </c>
      <c r="AC95" s="118"/>
      <c r="AD95" s="118"/>
      <c r="AE95" s="118">
        <v>8420</v>
      </c>
      <c r="AF95" s="5"/>
    </row>
    <row r="96" spans="1:241" ht="16.5" customHeight="1" x14ac:dyDescent="0.25">
      <c r="A96" s="47">
        <v>84</v>
      </c>
      <c r="B96" s="43" t="s">
        <v>189</v>
      </c>
      <c r="C96" s="44" t="s">
        <v>42</v>
      </c>
      <c r="D96" s="50"/>
      <c r="E96" s="50"/>
      <c r="F96" s="50"/>
      <c r="G96" s="50">
        <f>4666667.64*439.02</f>
        <v>2048760427.3127997</v>
      </c>
      <c r="H96" s="50"/>
      <c r="I96" s="50"/>
      <c r="J96" s="50">
        <f>4666667.64*439.02</f>
        <v>2048760427.3127997</v>
      </c>
      <c r="K96" s="50">
        <f>84165.54*439.02</f>
        <v>36950355.370799996</v>
      </c>
      <c r="L96" s="50">
        <f>6629.9*439.02</f>
        <v>2910658.6979999999</v>
      </c>
      <c r="M96" s="112">
        <f>77535.64*439.02</f>
        <v>34039696.672799997</v>
      </c>
      <c r="N96" s="50">
        <f>6085486.2*439.02</f>
        <v>2671650151.5240002</v>
      </c>
      <c r="O96" s="50">
        <f>59707.5*439.02</f>
        <v>26212786.649999999</v>
      </c>
      <c r="P96" s="54">
        <f>6686532.97*432.87</f>
        <v>2894399526.7238998</v>
      </c>
      <c r="Q96" s="55"/>
      <c r="R96" s="69">
        <f>6025778.7*439.02</f>
        <v>2645437364.8740001</v>
      </c>
      <c r="S96" s="55">
        <f t="shared" ref="S96:S102" si="48">(R96/$R$103)</f>
        <v>8.1975469279943289E-3</v>
      </c>
      <c r="T96" s="56">
        <f t="shared" ref="T96:T102" si="49">((R96-P96)/P96)</f>
        <v>-8.6015133554037698E-2</v>
      </c>
      <c r="U96" s="57">
        <f t="shared" ref="U96:U102" si="50">(L96/R96)</f>
        <v>1.1002561378498682E-3</v>
      </c>
      <c r="V96" s="58">
        <f t="shared" ref="V96:V102" si="51">M96/R96</f>
        <v>1.2867322857376092E-2</v>
      </c>
      <c r="W96" s="59">
        <f t="shared" ref="W96:W102" si="52">R96/AE96</f>
        <v>53815.188811749584</v>
      </c>
      <c r="X96" s="59">
        <f t="shared" ref="X96:X102" si="53">M96/AE96</f>
        <v>692.45740907143556</v>
      </c>
      <c r="Y96" s="65">
        <f xml:space="preserve"> 122.58*439.02</f>
        <v>53815.071599999996</v>
      </c>
      <c r="Z96" s="65">
        <f xml:space="preserve"> 122.58*439.02</f>
        <v>53815.071599999996</v>
      </c>
      <c r="AA96" s="118">
        <v>317</v>
      </c>
      <c r="AB96" s="118">
        <v>54278.21</v>
      </c>
      <c r="AC96" s="118">
        <v>6619.55</v>
      </c>
      <c r="AD96" s="118">
        <v>11739.94</v>
      </c>
      <c r="AE96" s="50">
        <v>49157.82</v>
      </c>
      <c r="AF96" s="5"/>
      <c r="AG96" s="17"/>
      <c r="AH96" s="17"/>
      <c r="AI96" s="17"/>
      <c r="AJ96" s="17"/>
      <c r="AK96" s="17"/>
      <c r="AL96" s="17"/>
      <c r="AM96" s="17"/>
      <c r="AN96" s="17"/>
      <c r="AO96" s="17"/>
      <c r="AP96" s="17"/>
      <c r="AQ96" s="17"/>
      <c r="AR96" s="17"/>
      <c r="AS96" s="17"/>
      <c r="AT96" s="17"/>
      <c r="AU96" s="17"/>
      <c r="AV96" s="17"/>
      <c r="AW96" s="17"/>
      <c r="AX96" s="17"/>
      <c r="AY96" s="17"/>
      <c r="AZ96" s="17"/>
      <c r="BA96" s="17"/>
      <c r="BB96" s="17"/>
      <c r="BC96" s="17"/>
      <c r="BD96" s="17"/>
      <c r="BE96" s="17"/>
      <c r="BF96" s="17"/>
      <c r="BG96" s="17"/>
      <c r="BH96" s="17"/>
      <c r="BI96" s="17"/>
      <c r="BJ96" s="17"/>
      <c r="BK96" s="17"/>
      <c r="BL96" s="17"/>
      <c r="BM96" s="17"/>
      <c r="BN96" s="17"/>
      <c r="BO96" s="17"/>
      <c r="BP96" s="17"/>
      <c r="BQ96" s="17"/>
      <c r="BR96" s="17"/>
      <c r="BS96" s="17"/>
      <c r="BT96" s="17"/>
      <c r="BU96" s="17"/>
      <c r="BV96" s="17"/>
      <c r="BW96" s="17"/>
      <c r="BX96" s="17"/>
      <c r="BY96" s="17"/>
      <c r="BZ96" s="17"/>
      <c r="CA96" s="17"/>
      <c r="CB96" s="17"/>
      <c r="CC96" s="17"/>
      <c r="CD96" s="17"/>
      <c r="CE96" s="17"/>
      <c r="CF96" s="17"/>
      <c r="CG96" s="17"/>
      <c r="CH96" s="17"/>
      <c r="CI96" s="17"/>
      <c r="CJ96" s="17"/>
      <c r="CK96" s="17"/>
      <c r="CL96" s="17"/>
      <c r="CM96" s="17"/>
      <c r="CN96" s="17"/>
      <c r="CO96" s="17"/>
      <c r="CP96" s="17"/>
      <c r="CQ96" s="17"/>
      <c r="CR96" s="17"/>
      <c r="CS96" s="17"/>
      <c r="CT96" s="17"/>
      <c r="CU96" s="17"/>
      <c r="CV96" s="17"/>
      <c r="CW96" s="17"/>
      <c r="CX96" s="17"/>
      <c r="CY96" s="17"/>
      <c r="CZ96" s="17"/>
      <c r="DA96" s="17"/>
      <c r="DB96" s="17"/>
      <c r="DC96" s="17"/>
      <c r="DD96" s="17"/>
      <c r="DE96" s="17"/>
      <c r="DF96" s="17"/>
      <c r="DG96" s="17"/>
      <c r="DH96" s="17"/>
      <c r="DI96" s="17"/>
      <c r="DJ96" s="17"/>
      <c r="DK96" s="17"/>
      <c r="DL96" s="17"/>
      <c r="DM96" s="17"/>
      <c r="DN96" s="17"/>
      <c r="DO96" s="17"/>
      <c r="DP96" s="17"/>
      <c r="DQ96" s="17"/>
      <c r="DR96" s="17"/>
      <c r="DS96" s="17"/>
      <c r="DT96" s="17"/>
      <c r="DU96" s="17"/>
      <c r="DV96" s="17"/>
      <c r="DW96" s="17"/>
      <c r="DX96" s="17"/>
      <c r="DY96" s="17"/>
      <c r="DZ96" s="17"/>
      <c r="EA96" s="17"/>
      <c r="EB96" s="17"/>
      <c r="EC96" s="17"/>
      <c r="ED96" s="17"/>
      <c r="EE96" s="17"/>
      <c r="EF96" s="17"/>
      <c r="EG96" s="17"/>
      <c r="EH96" s="17"/>
      <c r="EI96" s="17"/>
      <c r="EJ96" s="17"/>
      <c r="EK96" s="17"/>
      <c r="EL96" s="17"/>
      <c r="EM96" s="17"/>
      <c r="EN96" s="17"/>
      <c r="EO96" s="17"/>
      <c r="EP96" s="17"/>
      <c r="EQ96" s="17"/>
      <c r="ER96" s="17"/>
      <c r="ES96" s="17"/>
      <c r="ET96" s="17"/>
      <c r="EU96" s="17"/>
      <c r="EV96" s="17"/>
      <c r="EW96" s="17"/>
      <c r="EX96" s="17"/>
      <c r="EY96" s="17"/>
      <c r="EZ96" s="17"/>
      <c r="FA96" s="17"/>
      <c r="FB96" s="17"/>
      <c r="FC96" s="17"/>
      <c r="FD96" s="17"/>
      <c r="FE96" s="17"/>
      <c r="FF96" s="17"/>
      <c r="FG96" s="17"/>
      <c r="FH96" s="17"/>
      <c r="FI96" s="17"/>
      <c r="FJ96" s="17"/>
      <c r="FK96" s="17"/>
      <c r="FL96" s="17"/>
      <c r="FM96" s="17"/>
      <c r="FN96" s="17"/>
      <c r="FO96" s="17"/>
      <c r="FP96" s="17"/>
      <c r="FQ96" s="17"/>
      <c r="FR96" s="17"/>
      <c r="FS96" s="17"/>
      <c r="FT96" s="17"/>
      <c r="FU96" s="17"/>
      <c r="FV96" s="17"/>
      <c r="FW96" s="17"/>
      <c r="FX96" s="17"/>
      <c r="FY96" s="17"/>
      <c r="FZ96" s="17"/>
      <c r="GA96" s="17"/>
      <c r="GB96" s="17"/>
      <c r="GC96" s="17"/>
      <c r="GD96" s="17"/>
      <c r="GE96" s="17"/>
      <c r="GF96" s="17"/>
      <c r="GG96" s="17"/>
      <c r="GH96" s="17"/>
      <c r="GI96" s="17"/>
      <c r="GJ96" s="17"/>
      <c r="GK96" s="17"/>
      <c r="GL96" s="17"/>
      <c r="GM96" s="17"/>
      <c r="GN96" s="17"/>
      <c r="GO96" s="17"/>
      <c r="GP96" s="17"/>
      <c r="GQ96" s="17"/>
      <c r="GR96" s="17"/>
      <c r="GS96" s="17"/>
      <c r="GT96" s="17"/>
      <c r="GU96" s="17"/>
      <c r="GV96" s="17"/>
      <c r="GW96" s="17"/>
      <c r="GX96" s="17"/>
      <c r="GY96" s="17"/>
      <c r="GZ96" s="17"/>
      <c r="HA96" s="17"/>
      <c r="HB96" s="17"/>
      <c r="HC96" s="17"/>
      <c r="HD96" s="17"/>
      <c r="HE96" s="17"/>
      <c r="HF96" s="17"/>
      <c r="HG96" s="17"/>
      <c r="HH96" s="17"/>
      <c r="HI96" s="17"/>
      <c r="HJ96" s="17"/>
      <c r="HK96" s="17"/>
      <c r="HL96" s="17"/>
      <c r="HM96" s="17"/>
      <c r="HN96" s="17"/>
      <c r="HO96" s="17"/>
      <c r="HP96" s="17"/>
      <c r="HQ96" s="17"/>
      <c r="HR96" s="17"/>
      <c r="HS96" s="17"/>
      <c r="HT96" s="17"/>
      <c r="HU96" s="17"/>
      <c r="HV96" s="17"/>
      <c r="HW96" s="17"/>
      <c r="HX96" s="17"/>
      <c r="HY96" s="17"/>
      <c r="HZ96" s="17"/>
      <c r="IA96" s="17"/>
      <c r="IB96" s="17"/>
      <c r="IC96" s="17"/>
      <c r="ID96" s="17"/>
      <c r="IE96" s="17"/>
      <c r="IF96" s="17"/>
      <c r="IG96" s="17"/>
    </row>
    <row r="97" spans="1:241" ht="16.5" customHeight="1" x14ac:dyDescent="0.25">
      <c r="A97" s="47">
        <v>85</v>
      </c>
      <c r="B97" s="43" t="s">
        <v>116</v>
      </c>
      <c r="C97" s="43" t="s">
        <v>63</v>
      </c>
      <c r="D97" s="84"/>
      <c r="E97" s="50"/>
      <c r="F97" s="50"/>
      <c r="G97" s="50">
        <f>49157.82*439.02</f>
        <v>21581266.136399999</v>
      </c>
      <c r="H97" s="50"/>
      <c r="I97" s="50"/>
      <c r="J97" s="50">
        <f>49157.82*439.02</f>
        <v>21581266.136399999</v>
      </c>
      <c r="K97" s="50">
        <f>77488.58*439.02</f>
        <v>34019036.391599998</v>
      </c>
      <c r="L97" s="50">
        <f>26085.28*439.02</f>
        <v>11451959.625599999</v>
      </c>
      <c r="M97" s="112">
        <f>51403.3*439.02</f>
        <v>22567076.765999999</v>
      </c>
      <c r="N97" s="50">
        <f>14639265.41*439.02</f>
        <v>6426930300.2981997</v>
      </c>
      <c r="O97" s="50">
        <f>113632.51*439.02</f>
        <v>49886944.540199995</v>
      </c>
      <c r="P97" s="69">
        <f>14014853.67*432.87</f>
        <v>6066609708.1329002</v>
      </c>
      <c r="Q97" s="55">
        <f t="shared" ref="Q97:Q102" si="54">(P97/$P$103)</f>
        <v>1.822392332224709E-2</v>
      </c>
      <c r="R97" s="69">
        <f>14525632.9*439.02</f>
        <v>6377043355.7580004</v>
      </c>
      <c r="S97" s="55">
        <f t="shared" si="48"/>
        <v>1.9760858020983804E-2</v>
      </c>
      <c r="T97" s="56">
        <f t="shared" si="49"/>
        <v>5.1170861908082302E-2</v>
      </c>
      <c r="U97" s="57">
        <f t="shared" si="50"/>
        <v>1.7958102190507648E-3</v>
      </c>
      <c r="V97" s="58">
        <f t="shared" si="51"/>
        <v>3.538799331766122E-3</v>
      </c>
      <c r="W97" s="59">
        <f t="shared" si="52"/>
        <v>49398.831507192495</v>
      </c>
      <c r="X97" s="59">
        <f t="shared" si="53"/>
        <v>174.81255192768003</v>
      </c>
      <c r="Y97" s="65">
        <f>112.13*439.02</f>
        <v>49227.312599999997</v>
      </c>
      <c r="Z97" s="65">
        <f>112.13*439.02</f>
        <v>49227.312599999997</v>
      </c>
      <c r="AA97" s="118">
        <v>507</v>
      </c>
      <c r="AB97" s="118">
        <v>125076</v>
      </c>
      <c r="AC97" s="118">
        <v>13133</v>
      </c>
      <c r="AD97" s="118">
        <v>17150</v>
      </c>
      <c r="AE97" s="50">
        <v>129093</v>
      </c>
      <c r="AF97" s="5"/>
    </row>
    <row r="98" spans="1:241" ht="16.5" customHeight="1" x14ac:dyDescent="0.25">
      <c r="A98" s="47">
        <v>86</v>
      </c>
      <c r="B98" s="43" t="s">
        <v>120</v>
      </c>
      <c r="C98" s="44" t="s">
        <v>79</v>
      </c>
      <c r="D98" s="50"/>
      <c r="E98" s="50"/>
      <c r="F98" s="50">
        <f>434127.7*439.02</f>
        <v>190590742.854</v>
      </c>
      <c r="G98" s="50">
        <f>3412435.14*439.02</f>
        <v>1498127275.1628001</v>
      </c>
      <c r="H98" s="50"/>
      <c r="I98" s="50"/>
      <c r="J98" s="50">
        <f>3846562.85*439.02</f>
        <v>1688718022.4070001</v>
      </c>
      <c r="K98" s="50">
        <f>20766.14*439.02</f>
        <v>9116750.7828000002</v>
      </c>
      <c r="L98" s="50">
        <f>5846.74*439.02</f>
        <v>2566835.7947999998</v>
      </c>
      <c r="M98" s="112">
        <f>15678.67*439.02</f>
        <v>6883249.7034</v>
      </c>
      <c r="N98" s="50">
        <f>3998306.21*439.02</f>
        <v>1755336392.3141999</v>
      </c>
      <c r="O98" s="50">
        <f>31564.37*439.02</f>
        <v>13857389.717399999</v>
      </c>
      <c r="P98" s="69">
        <f>4504802.02*432.87</f>
        <v>1949993650.3973999</v>
      </c>
      <c r="Q98" s="55">
        <f t="shared" si="54"/>
        <v>5.8577255622807934E-3</v>
      </c>
      <c r="R98" s="69">
        <f>3966741.84*439.02</f>
        <v>1741479002.5967999</v>
      </c>
      <c r="S98" s="55">
        <f t="shared" si="48"/>
        <v>5.3964066726576885E-3</v>
      </c>
      <c r="T98" s="56">
        <f t="shared" si="49"/>
        <v>-0.10693093680489971</v>
      </c>
      <c r="U98" s="57">
        <f t="shared" si="50"/>
        <v>1.4739401342034398E-3</v>
      </c>
      <c r="V98" s="58">
        <f t="shared" si="51"/>
        <v>3.9525309769087476E-3</v>
      </c>
      <c r="W98" s="59">
        <f t="shared" si="52"/>
        <v>492.22078214686826</v>
      </c>
      <c r="X98" s="59">
        <f t="shared" si="53"/>
        <v>1.9455178889137488</v>
      </c>
      <c r="Y98" s="65">
        <f>1.12*439.02</f>
        <v>491.70240000000001</v>
      </c>
      <c r="Z98" s="65">
        <f>1.12*439.02</f>
        <v>491.70240000000001</v>
      </c>
      <c r="AA98" s="118">
        <v>130</v>
      </c>
      <c r="AB98" s="118">
        <v>4031174.17</v>
      </c>
      <c r="AC98" s="118">
        <v>37536.300000000003</v>
      </c>
      <c r="AD98" s="118">
        <v>530706.66</v>
      </c>
      <c r="AE98" s="50">
        <v>3538003.81</v>
      </c>
      <c r="AF98" s="5"/>
    </row>
    <row r="99" spans="1:241" ht="16.5" customHeight="1" x14ac:dyDescent="0.25">
      <c r="A99" s="47">
        <v>87</v>
      </c>
      <c r="B99" s="44" t="s">
        <v>172</v>
      </c>
      <c r="C99" s="44" t="s">
        <v>29</v>
      </c>
      <c r="D99" s="50"/>
      <c r="E99" s="50"/>
      <c r="F99" s="50">
        <f>304199.9*439.02</f>
        <v>133549840.098</v>
      </c>
      <c r="G99" s="50">
        <f>8294703.7*439.02</f>
        <v>3641540818.3740001</v>
      </c>
      <c r="H99" s="50"/>
      <c r="I99" s="50"/>
      <c r="J99" s="50">
        <f>8598903.6*439.02</f>
        <v>3775090658.4719996</v>
      </c>
      <c r="K99" s="50">
        <f>72197.3*439.02</f>
        <v>31696058.646000002</v>
      </c>
      <c r="L99" s="50">
        <f>15321.4*439.02</f>
        <v>6726401.0279999999</v>
      </c>
      <c r="M99" s="112">
        <f>56875.9*439.02</f>
        <v>24969657.618000001</v>
      </c>
      <c r="N99" s="50">
        <f>8709994.1*439.02</f>
        <v>3823861609.7819996</v>
      </c>
      <c r="O99" s="50">
        <f>28283.9*439.02</f>
        <v>12417197.778000001</v>
      </c>
      <c r="P99" s="69">
        <f>8555072.2*432.87</f>
        <v>3703234103.2139997</v>
      </c>
      <c r="Q99" s="55">
        <f t="shared" si="54"/>
        <v>1.1124410105174341E-2</v>
      </c>
      <c r="R99" s="69">
        <f>8681710.2*439.02</f>
        <v>3811444412.0039997</v>
      </c>
      <c r="S99" s="55">
        <f t="shared" si="48"/>
        <v>1.1810710336864351E-2</v>
      </c>
      <c r="T99" s="56">
        <f t="shared" si="49"/>
        <v>2.9220488301316225E-2</v>
      </c>
      <c r="U99" s="57">
        <f t="shared" si="50"/>
        <v>1.7647905363162204E-3</v>
      </c>
      <c r="V99" s="58">
        <f t="shared" si="51"/>
        <v>6.5512322675778797E-3</v>
      </c>
      <c r="W99" s="59">
        <f t="shared" si="52"/>
        <v>456.00137088393984</v>
      </c>
      <c r="X99" s="59">
        <f t="shared" si="53"/>
        <v>2.9873708949946152</v>
      </c>
      <c r="Y99" s="65">
        <f>1.0387*439.02</f>
        <v>456.01007399999997</v>
      </c>
      <c r="Z99" s="65">
        <f>1.0387*439.02</f>
        <v>456.01007399999997</v>
      </c>
      <c r="AA99" s="118">
        <v>279</v>
      </c>
      <c r="AB99" s="118">
        <v>8291187.5</v>
      </c>
      <c r="AC99" s="118">
        <v>199684.8</v>
      </c>
      <c r="AD99" s="118">
        <v>132466.6</v>
      </c>
      <c r="AE99" s="50">
        <v>8358405.5999999996</v>
      </c>
      <c r="AF99" s="5"/>
    </row>
    <row r="100" spans="1:241" ht="15.75" customHeight="1" x14ac:dyDescent="0.25">
      <c r="A100" s="47">
        <v>88</v>
      </c>
      <c r="B100" s="43" t="s">
        <v>121</v>
      </c>
      <c r="C100" s="44" t="s">
        <v>86</v>
      </c>
      <c r="D100" s="50"/>
      <c r="E100" s="50"/>
      <c r="F100" s="50"/>
      <c r="G100" s="50">
        <f>151768.04*439.02</f>
        <v>66629204.9208</v>
      </c>
      <c r="H100" s="50"/>
      <c r="I100" s="50"/>
      <c r="J100" s="50">
        <f>151768.04*439.02</f>
        <v>66629204.9208</v>
      </c>
      <c r="K100" s="50">
        <f>1287.91*439.02</f>
        <v>565418.24820000003</v>
      </c>
      <c r="L100" s="50">
        <f>86.11*439.02</f>
        <v>37804.012199999997</v>
      </c>
      <c r="M100" s="112">
        <f>1201.8*439.02</f>
        <v>527614.23599999992</v>
      </c>
      <c r="N100" s="50">
        <f>197755.63*439.02</f>
        <v>86818676.682599992</v>
      </c>
      <c r="O100" s="50">
        <f>3162.64*439.02</f>
        <v>1388462.2127999999</v>
      </c>
      <c r="P100" s="69">
        <f>192133.73*432.87</f>
        <v>83168927.7051</v>
      </c>
      <c r="Q100" s="55">
        <f t="shared" si="54"/>
        <v>2.4983709752406748E-4</v>
      </c>
      <c r="R100" s="69">
        <f>195209.85*439.02</f>
        <v>85701028.347000003</v>
      </c>
      <c r="S100" s="55">
        <f t="shared" si="48"/>
        <v>2.6556599335148733E-4</v>
      </c>
      <c r="T100" s="56">
        <f t="shared" si="49"/>
        <v>3.0445272192017599E-2</v>
      </c>
      <c r="U100" s="57">
        <f t="shared" si="50"/>
        <v>4.4111503594721266E-4</v>
      </c>
      <c r="V100" s="58">
        <f t="shared" si="51"/>
        <v>6.1564516339723627E-3</v>
      </c>
      <c r="W100" s="59">
        <f t="shared" si="52"/>
        <v>335.44446189404465</v>
      </c>
      <c r="X100" s="59">
        <f t="shared" si="53"/>
        <v>2.065147605534571</v>
      </c>
      <c r="Y100" s="65">
        <f>0.7641*439.02</f>
        <v>335.45518199999998</v>
      </c>
      <c r="Z100" s="65">
        <f>0.7641*439.02</f>
        <v>335.45518199999998</v>
      </c>
      <c r="AA100" s="118">
        <v>5</v>
      </c>
      <c r="AB100" s="50">
        <v>255485</v>
      </c>
      <c r="AC100" s="53"/>
      <c r="AD100" s="53"/>
      <c r="AE100" s="50">
        <v>255485</v>
      </c>
      <c r="AF100" s="5"/>
    </row>
    <row r="101" spans="1:241" ht="16.5" customHeight="1" x14ac:dyDescent="0.25">
      <c r="A101" s="47">
        <v>89</v>
      </c>
      <c r="B101" s="43" t="s">
        <v>107</v>
      </c>
      <c r="C101" s="43" t="s">
        <v>23</v>
      </c>
      <c r="D101" s="50"/>
      <c r="E101" s="50"/>
      <c r="F101" s="50">
        <f>86424976.53*439.02</f>
        <v>37942293196.2006</v>
      </c>
      <c r="G101" s="50">
        <f>312760263.72*439.02</f>
        <v>137308010978.3544</v>
      </c>
      <c r="H101" s="50"/>
      <c r="I101" s="50"/>
      <c r="J101" s="50">
        <f>400251171.76*439.02</f>
        <v>175718269426.0752</v>
      </c>
      <c r="K101" s="50">
        <f>2861842.93*439.02</f>
        <v>1256406283.1286001</v>
      </c>
      <c r="L101" s="50">
        <f>701823.76*439.02</f>
        <v>308114667.11519998</v>
      </c>
      <c r="M101" s="112">
        <f>2160019.17*439.02</f>
        <v>948291616.01339996</v>
      </c>
      <c r="N101" s="50">
        <f>415187585.58*439.02</f>
        <v>182275653821.33157</v>
      </c>
      <c r="O101" s="50">
        <f>830869.88*439.02</f>
        <v>364768494.71759999</v>
      </c>
      <c r="P101" s="69">
        <f>432901560.27*433.87</f>
        <v>187822999954.34488</v>
      </c>
      <c r="Q101" s="55">
        <f t="shared" si="54"/>
        <v>0.56421495926030907</v>
      </c>
      <c r="R101" s="69">
        <f>414356715.7*439.02</f>
        <v>181910885326.61398</v>
      </c>
      <c r="S101" s="55">
        <f t="shared" si="48"/>
        <v>0.56369621106071388</v>
      </c>
      <c r="T101" s="56">
        <f t="shared" si="49"/>
        <v>-3.1477053551311529E-2</v>
      </c>
      <c r="U101" s="57">
        <f t="shared" si="50"/>
        <v>1.6937670693097447E-3</v>
      </c>
      <c r="V101" s="58">
        <f t="shared" si="51"/>
        <v>5.2129459669814637E-3</v>
      </c>
      <c r="W101" s="59">
        <f t="shared" si="52"/>
        <v>592.61847074901993</v>
      </c>
      <c r="X101" s="59">
        <f t="shared" si="53"/>
        <v>3.0892880670498264</v>
      </c>
      <c r="Y101" s="65">
        <f>1.3499*439.02</f>
        <v>592.63309800000002</v>
      </c>
      <c r="Z101" s="65">
        <f>1.3499*439.02</f>
        <v>592.63309800000002</v>
      </c>
      <c r="AA101" s="118">
        <v>4402</v>
      </c>
      <c r="AB101" s="118">
        <v>322448532.25999999</v>
      </c>
      <c r="AC101" s="118">
        <v>8235601.0300000003</v>
      </c>
      <c r="AD101" s="118">
        <v>23722919.100000001</v>
      </c>
      <c r="AE101" s="118">
        <v>306961214.18000001</v>
      </c>
      <c r="AF101" s="5"/>
    </row>
    <row r="102" spans="1:241" ht="16.5" customHeight="1" x14ac:dyDescent="0.25">
      <c r="A102" s="47">
        <v>90</v>
      </c>
      <c r="B102" s="44" t="s">
        <v>110</v>
      </c>
      <c r="C102" s="44" t="s">
        <v>44</v>
      </c>
      <c r="D102" s="50"/>
      <c r="E102" s="50"/>
      <c r="F102" s="119">
        <f>1738128.31*439.02</f>
        <v>763073090.65620005</v>
      </c>
      <c r="G102" s="50">
        <f>55517517.88*439.02</f>
        <v>24373300699.677601</v>
      </c>
      <c r="H102" s="50"/>
      <c r="I102" s="50"/>
      <c r="J102" s="50">
        <f>57255646.19*439.02</f>
        <v>25136373790.333797</v>
      </c>
      <c r="K102" s="50">
        <f>655924.45*439.02</f>
        <v>287963952.03899997</v>
      </c>
      <c r="L102" s="50">
        <f>63295.88*439.02</f>
        <v>27788157.237599999</v>
      </c>
      <c r="M102" s="112">
        <f>719220.33*439.02</f>
        <v>315752109.27659994</v>
      </c>
      <c r="N102" s="50">
        <f>57326380.36*439.02</f>
        <v>25167427505.647198</v>
      </c>
      <c r="O102" s="50">
        <f>286387.94*439.02</f>
        <v>125730033.4188</v>
      </c>
      <c r="P102" s="69">
        <f>56482986.73*432.87</f>
        <v>24449790465.815098</v>
      </c>
      <c r="Q102" s="108">
        <f t="shared" si="54"/>
        <v>7.3446476389718865E-2</v>
      </c>
      <c r="R102" s="69">
        <f>57039992.42*439.02</f>
        <v>25041697472.228401</v>
      </c>
      <c r="S102" s="55">
        <f t="shared" si="48"/>
        <v>7.7597940102810417E-2</v>
      </c>
      <c r="T102" s="56">
        <f t="shared" si="49"/>
        <v>2.4209082987475435E-2</v>
      </c>
      <c r="U102" s="57">
        <f t="shared" si="50"/>
        <v>1.1096754630319076E-3</v>
      </c>
      <c r="V102" s="58">
        <f t="shared" si="51"/>
        <v>1.2609053744330771E-2</v>
      </c>
      <c r="W102" s="59">
        <f t="shared" si="52"/>
        <v>441.3342101293303</v>
      </c>
      <c r="X102" s="59">
        <f t="shared" si="53"/>
        <v>5.5648067747324959</v>
      </c>
      <c r="Y102" s="65">
        <f>1.07*439.02</f>
        <v>469.75139999999999</v>
      </c>
      <c r="Z102" s="65">
        <f>1.07*439.02</f>
        <v>469.75139999999999</v>
      </c>
      <c r="AA102" s="118">
        <v>343</v>
      </c>
      <c r="AB102" s="53">
        <v>56213195.729999997</v>
      </c>
      <c r="AC102" s="118">
        <v>554908</v>
      </c>
      <c r="AD102" s="120">
        <v>27210.1</v>
      </c>
      <c r="AE102" s="50">
        <v>56740893.630000003</v>
      </c>
      <c r="AF102" s="5"/>
    </row>
    <row r="103" spans="1:241" ht="16.5" customHeight="1" x14ac:dyDescent="0.25">
      <c r="A103" s="121"/>
      <c r="B103" s="23"/>
      <c r="C103" s="122" t="s">
        <v>50</v>
      </c>
      <c r="D103" s="123">
        <f>SUM(D84:D102)</f>
        <v>0</v>
      </c>
      <c r="E103" s="123"/>
      <c r="F103" s="123">
        <f>SUM(F84:F102)</f>
        <v>42730747580.172997</v>
      </c>
      <c r="G103" s="123">
        <f>SUM(G84:G102)</f>
        <v>258857753688.23627</v>
      </c>
      <c r="H103" s="123"/>
      <c r="I103" s="123"/>
      <c r="J103" s="123">
        <f t="shared" ref="J103:O103" si="55">SUM(J84:J102)</f>
        <v>302612596396.67065</v>
      </c>
      <c r="K103" s="123">
        <f t="shared" si="55"/>
        <v>2291499588.6844001</v>
      </c>
      <c r="L103" s="123">
        <f t="shared" si="55"/>
        <v>538683671.37300003</v>
      </c>
      <c r="M103" s="123">
        <f t="shared" si="55"/>
        <v>1795208698.2673998</v>
      </c>
      <c r="N103" s="123">
        <f t="shared" si="55"/>
        <v>324644516521.0014</v>
      </c>
      <c r="O103" s="123">
        <f t="shared" si="55"/>
        <v>1908033027.8352003</v>
      </c>
      <c r="P103" s="96">
        <f>SUM(P85:P102)</f>
        <v>332892626953.00128</v>
      </c>
      <c r="Q103" s="76">
        <f>(P103/$P$153)</f>
        <v>0.22427866378072425</v>
      </c>
      <c r="R103" s="96">
        <f>SUM(R85:R102)</f>
        <v>322710853394.43756</v>
      </c>
      <c r="S103" s="76">
        <f>(R103/$R$153)</f>
        <v>0.23477726414517144</v>
      </c>
      <c r="T103" s="77">
        <f t="shared" si="45"/>
        <v>-3.0585758692700672E-2</v>
      </c>
      <c r="U103" s="78"/>
      <c r="V103" s="79"/>
      <c r="W103" s="80"/>
      <c r="X103" s="80"/>
      <c r="Y103" s="74"/>
      <c r="Z103" s="74"/>
      <c r="AA103" s="124">
        <f>SUM(AA85:AA102)</f>
        <v>9875</v>
      </c>
      <c r="AB103" s="124"/>
      <c r="AC103" s="124"/>
      <c r="AD103" s="124"/>
      <c r="AE103" s="74"/>
      <c r="AF103" s="5"/>
      <c r="AG103" s="17"/>
      <c r="AH103" s="17"/>
      <c r="AI103" s="17"/>
      <c r="AJ103" s="17"/>
      <c r="AK103" s="17"/>
      <c r="AL103" s="17"/>
      <c r="AM103" s="17"/>
      <c r="AN103" s="17"/>
      <c r="AO103" s="17"/>
      <c r="AP103" s="17"/>
      <c r="AQ103" s="17"/>
      <c r="AR103" s="17"/>
      <c r="AS103" s="17"/>
      <c r="AT103" s="17"/>
      <c r="AU103" s="17"/>
      <c r="AV103" s="17"/>
      <c r="AW103" s="17"/>
      <c r="AX103" s="17"/>
      <c r="AY103" s="17"/>
      <c r="AZ103" s="17"/>
      <c r="BA103" s="17"/>
      <c r="BB103" s="17"/>
      <c r="BC103" s="17"/>
      <c r="BD103" s="17"/>
      <c r="BE103" s="17"/>
      <c r="BF103" s="17"/>
      <c r="BG103" s="17"/>
      <c r="BH103" s="17"/>
      <c r="BI103" s="17"/>
      <c r="BJ103" s="17"/>
      <c r="BK103" s="17"/>
      <c r="BL103" s="17"/>
      <c r="BM103" s="17"/>
      <c r="BN103" s="17"/>
      <c r="BO103" s="17"/>
      <c r="BP103" s="17"/>
      <c r="BQ103" s="17"/>
      <c r="BR103" s="17"/>
      <c r="BS103" s="17"/>
      <c r="BT103" s="17"/>
      <c r="BU103" s="17"/>
      <c r="BV103" s="17"/>
      <c r="BW103" s="17"/>
      <c r="BX103" s="17"/>
      <c r="BY103" s="17"/>
      <c r="BZ103" s="17"/>
      <c r="CA103" s="17"/>
      <c r="CB103" s="17"/>
      <c r="CC103" s="17"/>
      <c r="CD103" s="17"/>
      <c r="CE103" s="17"/>
      <c r="CF103" s="17"/>
      <c r="CG103" s="17"/>
      <c r="CH103" s="17"/>
      <c r="CI103" s="17"/>
      <c r="CJ103" s="17"/>
      <c r="CK103" s="17"/>
      <c r="CL103" s="17"/>
      <c r="CM103" s="17"/>
      <c r="CN103" s="17"/>
      <c r="CO103" s="17"/>
      <c r="CP103" s="17"/>
      <c r="CQ103" s="17"/>
      <c r="CR103" s="17"/>
      <c r="CS103" s="17"/>
      <c r="CT103" s="17"/>
      <c r="CU103" s="17"/>
      <c r="CV103" s="17"/>
      <c r="CW103" s="17"/>
      <c r="CX103" s="17"/>
      <c r="CY103" s="17"/>
      <c r="CZ103" s="17"/>
      <c r="DA103" s="17"/>
      <c r="DB103" s="17"/>
      <c r="DC103" s="17"/>
      <c r="DD103" s="17"/>
      <c r="DE103" s="17"/>
      <c r="DF103" s="17"/>
      <c r="DG103" s="17"/>
      <c r="DH103" s="17"/>
      <c r="DI103" s="17"/>
      <c r="DJ103" s="17"/>
      <c r="DK103" s="17"/>
      <c r="DL103" s="17"/>
      <c r="DM103" s="17"/>
      <c r="DN103" s="17"/>
      <c r="DO103" s="17"/>
      <c r="DP103" s="17"/>
      <c r="DQ103" s="17"/>
      <c r="DR103" s="17"/>
      <c r="DS103" s="17"/>
      <c r="DT103" s="17"/>
      <c r="DU103" s="17"/>
      <c r="DV103" s="17"/>
      <c r="DW103" s="17"/>
      <c r="DX103" s="17"/>
      <c r="DY103" s="17"/>
      <c r="DZ103" s="17"/>
      <c r="EA103" s="17"/>
      <c r="EB103" s="17"/>
      <c r="EC103" s="17"/>
      <c r="ED103" s="17"/>
      <c r="EE103" s="17"/>
      <c r="EF103" s="17"/>
      <c r="EG103" s="17"/>
      <c r="EH103" s="17"/>
      <c r="EI103" s="17"/>
      <c r="EJ103" s="17"/>
      <c r="EK103" s="17"/>
      <c r="EL103" s="17"/>
      <c r="EM103" s="17"/>
      <c r="EN103" s="17"/>
      <c r="EO103" s="17"/>
      <c r="EP103" s="17"/>
      <c r="EQ103" s="17"/>
      <c r="ER103" s="17"/>
      <c r="ES103" s="17"/>
      <c r="ET103" s="17"/>
      <c r="EU103" s="17"/>
      <c r="EV103" s="17"/>
      <c r="EW103" s="17"/>
      <c r="EX103" s="17"/>
      <c r="EY103" s="17"/>
      <c r="EZ103" s="17"/>
      <c r="FA103" s="17"/>
      <c r="FB103" s="17"/>
      <c r="FC103" s="17"/>
      <c r="FD103" s="17"/>
      <c r="FE103" s="17"/>
      <c r="FF103" s="17"/>
      <c r="FG103" s="17"/>
      <c r="FH103" s="17"/>
      <c r="FI103" s="17"/>
      <c r="FJ103" s="17"/>
      <c r="FK103" s="17"/>
      <c r="FL103" s="17"/>
      <c r="FM103" s="17"/>
      <c r="FN103" s="17"/>
      <c r="FO103" s="17"/>
      <c r="FP103" s="17"/>
      <c r="FQ103" s="17"/>
      <c r="FR103" s="17"/>
      <c r="FS103" s="17"/>
      <c r="FT103" s="17"/>
      <c r="FU103" s="17"/>
      <c r="FV103" s="17"/>
      <c r="FW103" s="17"/>
      <c r="FX103" s="17"/>
      <c r="FY103" s="17"/>
      <c r="FZ103" s="17"/>
      <c r="GA103" s="17"/>
      <c r="GB103" s="17"/>
      <c r="GC103" s="17"/>
      <c r="GD103" s="17"/>
      <c r="GE103" s="17"/>
      <c r="GF103" s="17"/>
      <c r="GG103" s="17"/>
      <c r="GH103" s="17"/>
      <c r="GI103" s="17"/>
      <c r="GJ103" s="17"/>
      <c r="GK103" s="17"/>
      <c r="GL103" s="17"/>
      <c r="GM103" s="17"/>
      <c r="GN103" s="17"/>
      <c r="GO103" s="17"/>
      <c r="GP103" s="17"/>
      <c r="GQ103" s="17"/>
      <c r="GR103" s="17"/>
      <c r="GS103" s="17"/>
      <c r="GT103" s="17"/>
      <c r="GU103" s="17"/>
      <c r="GV103" s="17"/>
      <c r="GW103" s="17"/>
      <c r="GX103" s="17"/>
      <c r="GY103" s="17"/>
      <c r="GZ103" s="17"/>
      <c r="HA103" s="17"/>
      <c r="HB103" s="17"/>
      <c r="HC103" s="17"/>
      <c r="HD103" s="17"/>
      <c r="HE103" s="17"/>
      <c r="HF103" s="17"/>
      <c r="HG103" s="17"/>
      <c r="HH103" s="17"/>
      <c r="HI103" s="17"/>
      <c r="HJ103" s="17"/>
      <c r="HK103" s="17"/>
      <c r="HL103" s="17"/>
      <c r="HM103" s="17"/>
      <c r="HN103" s="17"/>
      <c r="HO103" s="17"/>
      <c r="HP103" s="17"/>
      <c r="HQ103" s="17"/>
      <c r="HR103" s="17"/>
      <c r="HS103" s="17"/>
      <c r="HT103" s="17"/>
      <c r="HU103" s="17"/>
      <c r="HV103" s="17"/>
      <c r="HW103" s="17"/>
      <c r="HX103" s="17"/>
      <c r="HY103" s="17"/>
      <c r="HZ103" s="17"/>
      <c r="IA103" s="17"/>
      <c r="IB103" s="17"/>
      <c r="IC103" s="17"/>
      <c r="ID103" s="17"/>
      <c r="IE103" s="17"/>
      <c r="IF103" s="17"/>
      <c r="IG103" s="17"/>
    </row>
    <row r="104" spans="1:241" s="22" customFormat="1" ht="16.5" customHeight="1" x14ac:dyDescent="0.3">
      <c r="A104" s="152" t="s">
        <v>122</v>
      </c>
      <c r="B104" s="153"/>
      <c r="C104" s="153"/>
      <c r="D104" s="153"/>
      <c r="E104" s="153"/>
      <c r="F104" s="153"/>
      <c r="G104" s="153"/>
      <c r="H104" s="153"/>
      <c r="I104" s="153"/>
      <c r="J104" s="153"/>
      <c r="K104" s="153"/>
      <c r="L104" s="153"/>
      <c r="M104" s="153"/>
      <c r="N104" s="153"/>
      <c r="O104" s="153"/>
      <c r="P104" s="153"/>
      <c r="Q104" s="153"/>
      <c r="R104" s="153"/>
      <c r="S104" s="153"/>
      <c r="T104" s="153"/>
      <c r="U104" s="153"/>
      <c r="V104" s="153"/>
      <c r="W104" s="153"/>
      <c r="X104" s="153"/>
      <c r="Y104" s="153"/>
      <c r="Z104" s="153"/>
      <c r="AA104" s="153"/>
      <c r="AB104" s="153"/>
      <c r="AC104" s="153"/>
      <c r="AD104" s="153"/>
      <c r="AE104" s="154"/>
      <c r="AF104" s="20"/>
      <c r="AG104" s="21"/>
      <c r="AH104" s="21"/>
      <c r="AI104" s="21"/>
      <c r="AJ104" s="21"/>
      <c r="AK104" s="21"/>
      <c r="AL104" s="21"/>
      <c r="AM104" s="21"/>
      <c r="AN104" s="21"/>
      <c r="AO104" s="21"/>
      <c r="AP104" s="21"/>
      <c r="AQ104" s="21"/>
      <c r="AR104" s="21"/>
      <c r="AS104" s="21"/>
      <c r="AT104" s="21"/>
      <c r="AU104" s="21"/>
      <c r="AV104" s="21"/>
      <c r="AW104" s="21"/>
      <c r="AX104" s="21"/>
      <c r="AY104" s="21"/>
      <c r="AZ104" s="21"/>
      <c r="BA104" s="21"/>
      <c r="BB104" s="21"/>
      <c r="BC104" s="21"/>
      <c r="BD104" s="21"/>
      <c r="BE104" s="21"/>
      <c r="BF104" s="21"/>
      <c r="BG104" s="21"/>
      <c r="BH104" s="21"/>
      <c r="BI104" s="21"/>
      <c r="BJ104" s="21"/>
      <c r="BK104" s="21"/>
      <c r="BL104" s="21"/>
      <c r="BM104" s="21"/>
      <c r="BN104" s="21"/>
      <c r="BO104" s="21"/>
      <c r="BP104" s="21"/>
      <c r="BQ104" s="21"/>
      <c r="BR104" s="21"/>
      <c r="BS104" s="21"/>
      <c r="BT104" s="21"/>
      <c r="BU104" s="21"/>
      <c r="BV104" s="21"/>
      <c r="BW104" s="21"/>
      <c r="BX104" s="21"/>
      <c r="BY104" s="21"/>
      <c r="BZ104" s="21"/>
      <c r="CA104" s="21"/>
      <c r="CB104" s="21"/>
      <c r="CC104" s="21"/>
      <c r="CD104" s="21"/>
      <c r="CE104" s="21"/>
      <c r="CF104" s="21"/>
      <c r="CG104" s="21"/>
      <c r="CH104" s="21"/>
      <c r="CI104" s="21"/>
      <c r="CJ104" s="21"/>
      <c r="CK104" s="21"/>
      <c r="CL104" s="21"/>
      <c r="CM104" s="21"/>
      <c r="CN104" s="21"/>
      <c r="CO104" s="21"/>
      <c r="CP104" s="21"/>
      <c r="CQ104" s="21"/>
      <c r="CR104" s="21"/>
      <c r="CS104" s="21"/>
      <c r="CT104" s="21"/>
      <c r="CU104" s="21"/>
      <c r="CV104" s="21"/>
      <c r="CW104" s="21"/>
      <c r="CX104" s="21"/>
      <c r="CY104" s="21"/>
      <c r="CZ104" s="21"/>
      <c r="DA104" s="21"/>
      <c r="DB104" s="21"/>
      <c r="DC104" s="21"/>
      <c r="DD104" s="21"/>
      <c r="DE104" s="21"/>
      <c r="DF104" s="21"/>
      <c r="DG104" s="21"/>
      <c r="DH104" s="21"/>
      <c r="DI104" s="21"/>
      <c r="DJ104" s="21"/>
      <c r="DK104" s="21"/>
      <c r="DL104" s="21"/>
      <c r="DM104" s="21"/>
      <c r="DN104" s="21"/>
      <c r="DO104" s="21"/>
      <c r="DP104" s="21"/>
      <c r="DQ104" s="21"/>
      <c r="DR104" s="21"/>
      <c r="DS104" s="21"/>
      <c r="DT104" s="21"/>
      <c r="DU104" s="21"/>
      <c r="DV104" s="21"/>
      <c r="DW104" s="21"/>
      <c r="DX104" s="21"/>
      <c r="DY104" s="21"/>
      <c r="DZ104" s="21"/>
      <c r="EA104" s="21"/>
      <c r="EB104" s="21"/>
      <c r="EC104" s="21"/>
      <c r="ED104" s="21"/>
      <c r="EE104" s="21"/>
      <c r="EF104" s="21"/>
      <c r="EG104" s="21"/>
      <c r="EH104" s="21"/>
      <c r="EI104" s="21"/>
      <c r="EJ104" s="21"/>
      <c r="EK104" s="21"/>
      <c r="EL104" s="21"/>
      <c r="EM104" s="21"/>
      <c r="EN104" s="21"/>
      <c r="EO104" s="21"/>
      <c r="EP104" s="21"/>
      <c r="EQ104" s="21"/>
      <c r="ER104" s="21"/>
      <c r="ES104" s="21"/>
      <c r="ET104" s="21"/>
      <c r="EU104" s="21"/>
      <c r="EV104" s="21"/>
      <c r="EW104" s="21"/>
      <c r="EX104" s="21"/>
      <c r="EY104" s="21"/>
      <c r="EZ104" s="21"/>
      <c r="FA104" s="21"/>
      <c r="FB104" s="21"/>
      <c r="FC104" s="21"/>
      <c r="FD104" s="21"/>
      <c r="FE104" s="21"/>
      <c r="FF104" s="21"/>
      <c r="FG104" s="21"/>
      <c r="FH104" s="21"/>
      <c r="FI104" s="21"/>
      <c r="FJ104" s="21"/>
      <c r="FK104" s="21"/>
      <c r="FL104" s="21"/>
      <c r="FM104" s="21"/>
      <c r="FN104" s="21"/>
      <c r="FO104" s="21"/>
      <c r="FP104" s="21"/>
      <c r="FQ104" s="21"/>
      <c r="FR104" s="21"/>
      <c r="FS104" s="21"/>
      <c r="FT104" s="21"/>
      <c r="FU104" s="21"/>
      <c r="FV104" s="21"/>
      <c r="FW104" s="21"/>
      <c r="FX104" s="21"/>
      <c r="FY104" s="21"/>
      <c r="FZ104" s="21"/>
      <c r="GA104" s="21"/>
      <c r="GB104" s="21"/>
      <c r="GC104" s="21"/>
      <c r="GD104" s="21"/>
      <c r="GE104" s="21"/>
      <c r="GF104" s="21"/>
      <c r="GG104" s="21"/>
      <c r="GH104" s="21"/>
      <c r="GI104" s="21"/>
      <c r="GJ104" s="21"/>
      <c r="GK104" s="21"/>
      <c r="GL104" s="21"/>
      <c r="GM104" s="21"/>
      <c r="GN104" s="21"/>
      <c r="GO104" s="21"/>
      <c r="GP104" s="21"/>
      <c r="GQ104" s="21"/>
      <c r="GR104" s="21"/>
      <c r="GS104" s="21"/>
      <c r="GT104" s="21"/>
      <c r="GU104" s="21"/>
      <c r="GV104" s="21"/>
      <c r="GW104" s="21"/>
      <c r="GX104" s="21"/>
      <c r="GY104" s="21"/>
      <c r="GZ104" s="21"/>
      <c r="HA104" s="21"/>
      <c r="HB104" s="21"/>
      <c r="HC104" s="21"/>
      <c r="HD104" s="21"/>
      <c r="HE104" s="21"/>
      <c r="HF104" s="21"/>
      <c r="HG104" s="21"/>
      <c r="HH104" s="21"/>
      <c r="HI104" s="21"/>
      <c r="HJ104" s="21"/>
      <c r="HK104" s="21"/>
      <c r="HL104" s="21"/>
      <c r="HM104" s="21"/>
      <c r="HN104" s="21"/>
      <c r="HO104" s="21"/>
      <c r="HP104" s="21"/>
      <c r="HQ104" s="21"/>
      <c r="HR104" s="21"/>
      <c r="HS104" s="21"/>
      <c r="HT104" s="21"/>
      <c r="HU104" s="21"/>
      <c r="HV104" s="21"/>
      <c r="HW104" s="21"/>
      <c r="HX104" s="21"/>
      <c r="HY104" s="21"/>
      <c r="HZ104" s="21"/>
      <c r="IA104" s="21"/>
      <c r="IB104" s="21"/>
      <c r="IC104" s="21"/>
      <c r="ID104" s="21"/>
      <c r="IE104" s="21"/>
      <c r="IF104" s="21"/>
      <c r="IG104" s="21"/>
    </row>
    <row r="105" spans="1:241" ht="16.5" customHeight="1" x14ac:dyDescent="0.25">
      <c r="A105" s="47">
        <v>90</v>
      </c>
      <c r="B105" s="43" t="s">
        <v>126</v>
      </c>
      <c r="C105" s="43" t="s">
        <v>29</v>
      </c>
      <c r="D105" s="65"/>
      <c r="E105" s="125"/>
      <c r="F105" s="125" t="s">
        <v>209</v>
      </c>
      <c r="G105" s="65"/>
      <c r="H105" s="65">
        <v>784411468</v>
      </c>
      <c r="I105" s="126"/>
      <c r="J105" s="65">
        <v>7709195010</v>
      </c>
      <c r="K105" s="65">
        <v>49715314</v>
      </c>
      <c r="L105" s="53">
        <v>13108513</v>
      </c>
      <c r="M105" s="127">
        <v>36606801</v>
      </c>
      <c r="N105" s="65">
        <v>7973461526</v>
      </c>
      <c r="O105" s="65">
        <v>419806212</v>
      </c>
      <c r="P105" s="69">
        <v>7517048512</v>
      </c>
      <c r="Q105" s="55">
        <f>(P105/$P$109)</f>
        <v>0.16409603864936548</v>
      </c>
      <c r="R105" s="69">
        <v>7553655314</v>
      </c>
      <c r="S105" s="55">
        <f>(R105/$R$109)</f>
        <v>0.16603413993656224</v>
      </c>
      <c r="T105" s="56">
        <f>((R105-P105)/P105)</f>
        <v>4.8698371364188954E-3</v>
      </c>
      <c r="U105" s="57">
        <f>(L105/R105)</f>
        <v>1.7353867041966537E-3</v>
      </c>
      <c r="V105" s="58">
        <f>M105/R105</f>
        <v>4.8462366203224404E-3</v>
      </c>
      <c r="W105" s="59">
        <f>R105/AE105</f>
        <v>101.86993006068779</v>
      </c>
      <c r="X105" s="59">
        <f>M105/AE105</f>
        <v>0.49368578556979098</v>
      </c>
      <c r="Y105" s="65">
        <v>101.87</v>
      </c>
      <c r="Z105" s="65">
        <v>101.87</v>
      </c>
      <c r="AA105" s="65">
        <v>55</v>
      </c>
      <c r="AB105" s="65">
        <v>74150000</v>
      </c>
      <c r="AC105" s="65"/>
      <c r="AD105" s="65"/>
      <c r="AE105" s="65">
        <v>74150000</v>
      </c>
      <c r="AF105" s="5"/>
    </row>
    <row r="106" spans="1:241" ht="16.5" customHeight="1" x14ac:dyDescent="0.25">
      <c r="A106" s="47">
        <v>91</v>
      </c>
      <c r="B106" s="43" t="s">
        <v>123</v>
      </c>
      <c r="C106" s="43" t="s">
        <v>101</v>
      </c>
      <c r="D106" s="65"/>
      <c r="E106" s="125"/>
      <c r="F106" s="125"/>
      <c r="G106" s="65">
        <v>316113762.82999998</v>
      </c>
      <c r="H106" s="65">
        <v>1820390000</v>
      </c>
      <c r="I106" s="126">
        <v>1017080.74</v>
      </c>
      <c r="J106" s="65">
        <v>2137520843.5699999</v>
      </c>
      <c r="K106" s="65">
        <v>21112781.539999999</v>
      </c>
      <c r="L106" s="53">
        <v>5708941.3600000003</v>
      </c>
      <c r="M106" s="127">
        <v>15403840.18</v>
      </c>
      <c r="N106" s="65">
        <v>2527501079.1599998</v>
      </c>
      <c r="O106" s="65">
        <v>116827867.01000001</v>
      </c>
      <c r="P106" s="69">
        <v>2395269371.9699998</v>
      </c>
      <c r="Q106" s="55">
        <f>(P106/$P$109)</f>
        <v>5.228837020420582E-2</v>
      </c>
      <c r="R106" s="69">
        <v>2410673212.1500001</v>
      </c>
      <c r="S106" s="55">
        <f>(R106/$R$109)</f>
        <v>5.2988127841311655E-2</v>
      </c>
      <c r="T106" s="56">
        <f>((R106-P106)/P106)</f>
        <v>6.430942740828915E-3</v>
      </c>
      <c r="U106" s="57">
        <f>(L106/R106)</f>
        <v>2.3681938021405994E-3</v>
      </c>
      <c r="V106" s="58">
        <f>M106/R106</f>
        <v>6.3898499814754326E-3</v>
      </c>
      <c r="W106" s="59">
        <f>R106/AE106</f>
        <v>120.53366060750001</v>
      </c>
      <c r="X106" s="59">
        <f>M106/AE106</f>
        <v>0.77019200899999996</v>
      </c>
      <c r="Y106" s="65">
        <v>69.3</v>
      </c>
      <c r="Z106" s="65">
        <v>69.3</v>
      </c>
      <c r="AA106" s="128">
        <v>2698</v>
      </c>
      <c r="AB106" s="65">
        <v>20000000</v>
      </c>
      <c r="AC106" s="64">
        <v>0</v>
      </c>
      <c r="AD106" s="64">
        <v>0</v>
      </c>
      <c r="AE106" s="65">
        <v>20000000</v>
      </c>
      <c r="AF106" s="5"/>
    </row>
    <row r="107" spans="1:241" ht="16.5" customHeight="1" x14ac:dyDescent="0.25">
      <c r="A107" s="47">
        <v>92</v>
      </c>
      <c r="B107" s="43" t="s">
        <v>124</v>
      </c>
      <c r="C107" s="43" t="s">
        <v>101</v>
      </c>
      <c r="D107" s="65"/>
      <c r="E107" s="125"/>
      <c r="F107" s="65">
        <v>83270544.730000004</v>
      </c>
      <c r="G107" s="65">
        <v>390627507.20999998</v>
      </c>
      <c r="H107" s="65">
        <v>9820058627.3999996</v>
      </c>
      <c r="I107" s="126">
        <f>34525276.58+140469334.94</f>
        <v>174994611.51999998</v>
      </c>
      <c r="J107" s="65">
        <v>10468951290.91</v>
      </c>
      <c r="K107" s="65">
        <v>70180753.450000003</v>
      </c>
      <c r="L107" s="125" t="s">
        <v>210</v>
      </c>
      <c r="M107" s="127">
        <v>48375831.399999999</v>
      </c>
      <c r="N107" s="65">
        <v>11060922409.33</v>
      </c>
      <c r="O107" s="65">
        <v>1178152964.5</v>
      </c>
      <c r="P107" s="69">
        <v>9834393613.4300003</v>
      </c>
      <c r="Q107" s="55">
        <f>(P107/$P$109)</f>
        <v>0.2146833337454564</v>
      </c>
      <c r="R107" s="69">
        <v>9882769444.8299999</v>
      </c>
      <c r="S107" s="55">
        <f>(R107/$R$109)</f>
        <v>0.21722954738515435</v>
      </c>
      <c r="T107" s="56">
        <f>((R107-P107)/P107)</f>
        <v>4.9190456780107755E-3</v>
      </c>
      <c r="U107" s="57">
        <f>(L107/R107)</f>
        <v>2.2063574559464069E-3</v>
      </c>
      <c r="V107" s="58">
        <f>M107/R107</f>
        <v>4.8949671111984689E-3</v>
      </c>
      <c r="W107" s="59">
        <f>R107/AE107</f>
        <v>52.53241681252819</v>
      </c>
      <c r="X107" s="59">
        <f>M107/AE107</f>
        <v>0.25714445256909496</v>
      </c>
      <c r="Y107" s="128">
        <v>36.6</v>
      </c>
      <c r="Z107" s="128">
        <v>36.6</v>
      </c>
      <c r="AA107" s="64">
        <v>5256</v>
      </c>
      <c r="AB107" s="64">
        <v>188127066</v>
      </c>
      <c r="AC107" s="64"/>
      <c r="AD107" s="64"/>
      <c r="AE107" s="64">
        <v>188127066</v>
      </c>
      <c r="AF107" s="5"/>
    </row>
    <row r="108" spans="1:241" ht="16.5" customHeight="1" x14ac:dyDescent="0.25">
      <c r="A108" s="47">
        <v>93</v>
      </c>
      <c r="B108" s="43" t="s">
        <v>125</v>
      </c>
      <c r="C108" s="44" t="s">
        <v>181</v>
      </c>
      <c r="D108" s="65"/>
      <c r="E108" s="125" t="s">
        <v>211</v>
      </c>
      <c r="F108" s="65">
        <v>1660977364.05</v>
      </c>
      <c r="G108" s="129">
        <v>1561543597.21</v>
      </c>
      <c r="H108" s="65">
        <v>21480000000</v>
      </c>
      <c r="I108" s="126"/>
      <c r="J108" s="65">
        <v>25619801438.82</v>
      </c>
      <c r="K108" s="65">
        <v>139950351.46000001</v>
      </c>
      <c r="L108" s="126">
        <v>56900618.329999998</v>
      </c>
      <c r="M108" s="127">
        <v>83049733.129999995</v>
      </c>
      <c r="N108" s="65">
        <v>25745192117.040001</v>
      </c>
      <c r="O108" s="65">
        <v>97698934.140000001</v>
      </c>
      <c r="P108" s="69">
        <v>26062124437.16</v>
      </c>
      <c r="Q108" s="55">
        <f>(P108/$P$109)</f>
        <v>0.56893225740097231</v>
      </c>
      <c r="R108" s="69">
        <v>25647493182.900002</v>
      </c>
      <c r="S108" s="55">
        <f>(R108/$R$109)</f>
        <v>0.56374818483697164</v>
      </c>
      <c r="T108" s="56">
        <f>((R108-P108)/P108)</f>
        <v>-1.5909342128257477E-2</v>
      </c>
      <c r="U108" s="57">
        <f>(L108/R108)</f>
        <v>2.2185645171722843E-3</v>
      </c>
      <c r="V108" s="58">
        <f>M108/R108</f>
        <v>3.2381228269658686E-3</v>
      </c>
      <c r="W108" s="59">
        <f>R108/AE108</f>
        <v>9.6120325112961797</v>
      </c>
      <c r="X108" s="59">
        <f>M108/AE108</f>
        <v>3.1124941888366221E-2</v>
      </c>
      <c r="Y108" s="128">
        <v>9.59</v>
      </c>
      <c r="Z108" s="128">
        <v>9.59</v>
      </c>
      <c r="AA108" s="64">
        <v>28836</v>
      </c>
      <c r="AB108" s="64">
        <v>2668269500</v>
      </c>
      <c r="AC108" s="64"/>
      <c r="AD108" s="64"/>
      <c r="AE108" s="64">
        <v>2668269500</v>
      </c>
      <c r="AF108" s="5"/>
    </row>
    <row r="109" spans="1:241" ht="16.5" customHeight="1" x14ac:dyDescent="0.25">
      <c r="A109" s="130"/>
      <c r="B109" s="23"/>
      <c r="C109" s="73" t="s">
        <v>50</v>
      </c>
      <c r="D109" s="74"/>
      <c r="E109" s="74"/>
      <c r="F109" s="74">
        <f t="shared" ref="F109:O109" si="56">SUM(F105:F108)</f>
        <v>1744247908.78</v>
      </c>
      <c r="G109" s="74">
        <f t="shared" si="56"/>
        <v>2268284867.25</v>
      </c>
      <c r="H109" s="74">
        <f t="shared" si="56"/>
        <v>33904860095.400002</v>
      </c>
      <c r="I109" s="74">
        <f t="shared" si="56"/>
        <v>176011692.25999999</v>
      </c>
      <c r="J109" s="74">
        <f t="shared" si="56"/>
        <v>45935468583.300003</v>
      </c>
      <c r="K109" s="74">
        <f t="shared" si="56"/>
        <v>280959200.45000005</v>
      </c>
      <c r="L109" s="74">
        <f t="shared" si="56"/>
        <v>75718072.689999998</v>
      </c>
      <c r="M109" s="74">
        <f t="shared" si="56"/>
        <v>183436205.70999998</v>
      </c>
      <c r="N109" s="74">
        <f t="shared" si="56"/>
        <v>47307077131.529999</v>
      </c>
      <c r="O109" s="74">
        <f t="shared" si="56"/>
        <v>1812485977.6500001</v>
      </c>
      <c r="P109" s="96">
        <f>SUM(P105:P108)</f>
        <v>45808835934.559998</v>
      </c>
      <c r="Q109" s="76">
        <f>(P109/$P$153)</f>
        <v>3.0862637622202562E-2</v>
      </c>
      <c r="R109" s="96">
        <f>SUM(R105:R108)</f>
        <v>45494591153.880005</v>
      </c>
      <c r="S109" s="76">
        <f>(R109/$R$153)</f>
        <v>3.3098036623689125E-2</v>
      </c>
      <c r="T109" s="77">
        <f>((R109-P109)/P109)</f>
        <v>-6.8599163080438367E-3</v>
      </c>
      <c r="U109" s="78"/>
      <c r="V109" s="79"/>
      <c r="W109" s="80"/>
      <c r="X109" s="80"/>
      <c r="Y109" s="74"/>
      <c r="Z109" s="74"/>
      <c r="AA109" s="81">
        <f>SUM(AA105:AA108)</f>
        <v>36845</v>
      </c>
      <c r="AB109" s="81"/>
      <c r="AC109" s="81"/>
      <c r="AD109" s="81"/>
      <c r="AE109" s="74"/>
      <c r="AF109" s="5"/>
    </row>
    <row r="110" spans="1:241" ht="16.5" customHeight="1" x14ac:dyDescent="0.25">
      <c r="A110" s="152" t="s">
        <v>173</v>
      </c>
      <c r="B110" s="153"/>
      <c r="C110" s="153"/>
      <c r="D110" s="153"/>
      <c r="E110" s="153"/>
      <c r="F110" s="153"/>
      <c r="G110" s="153"/>
      <c r="H110" s="153"/>
      <c r="I110" s="153"/>
      <c r="J110" s="153"/>
      <c r="K110" s="153"/>
      <c r="L110" s="153"/>
      <c r="M110" s="153"/>
      <c r="N110" s="153"/>
      <c r="O110" s="153"/>
      <c r="P110" s="153"/>
      <c r="Q110" s="153"/>
      <c r="R110" s="153"/>
      <c r="S110" s="153"/>
      <c r="T110" s="153"/>
      <c r="U110" s="153"/>
      <c r="V110" s="153"/>
      <c r="W110" s="153"/>
      <c r="X110" s="153"/>
      <c r="Y110" s="153"/>
      <c r="Z110" s="153"/>
      <c r="AA110" s="153"/>
      <c r="AB110" s="153"/>
      <c r="AC110" s="153"/>
      <c r="AD110" s="153"/>
      <c r="AE110" s="154"/>
      <c r="AF110" s="5"/>
    </row>
    <row r="111" spans="1:241" s="33" customFormat="1" ht="16.5" customHeight="1" x14ac:dyDescent="0.25">
      <c r="A111" s="47">
        <v>94</v>
      </c>
      <c r="B111" s="43" t="s">
        <v>130</v>
      </c>
      <c r="C111" s="43" t="s">
        <v>56</v>
      </c>
      <c r="D111" s="65">
        <v>52672974.93</v>
      </c>
      <c r="E111" s="65"/>
      <c r="F111" s="65">
        <v>59556586.899999999</v>
      </c>
      <c r="G111" s="65">
        <v>33466206.280000001</v>
      </c>
      <c r="H111" s="98"/>
      <c r="I111" s="99"/>
      <c r="J111" s="99">
        <v>166015617.71000001</v>
      </c>
      <c r="K111" s="99">
        <v>1366405.14</v>
      </c>
      <c r="L111" s="65">
        <v>413547.96</v>
      </c>
      <c r="M111" s="52">
        <v>952857.18</v>
      </c>
      <c r="N111" s="65">
        <v>166015617.71000001</v>
      </c>
      <c r="O111" s="65">
        <v>11028029.1</v>
      </c>
      <c r="P111" s="151">
        <v>162719265.52000001</v>
      </c>
      <c r="Q111" s="55">
        <f t="shared" ref="Q111:Q134" si="57">(P111/$P$153)</f>
        <v>1.0962832002692228E-4</v>
      </c>
      <c r="R111" s="88">
        <v>154987588.61000001</v>
      </c>
      <c r="S111" s="55">
        <f>(R111/$R$134)</f>
        <v>5.5108293469171175E-3</v>
      </c>
      <c r="T111" s="56">
        <f>((R111-P111)/P111)</f>
        <v>-4.751543638850611E-2</v>
      </c>
      <c r="U111" s="57">
        <f>(L111/R111)</f>
        <v>2.6682650121141204E-3</v>
      </c>
      <c r="V111" s="58">
        <f t="shared" ref="V111:V121" si="58">M111/R111</f>
        <v>6.1479579658323714E-3</v>
      </c>
      <c r="W111" s="59">
        <f>R111/AE111</f>
        <v>3.5290558760847386</v>
      </c>
      <c r="X111" s="59">
        <f>M111/AE111</f>
        <v>2.1696487185242707E-2</v>
      </c>
      <c r="Y111" s="65">
        <v>3.5038999999999998</v>
      </c>
      <c r="Z111" s="65">
        <v>3.5453000000000001</v>
      </c>
      <c r="AA111" s="64">
        <v>11818</v>
      </c>
      <c r="AB111" s="64">
        <v>43917578.539999999</v>
      </c>
      <c r="AC111" s="64"/>
      <c r="AD111" s="64"/>
      <c r="AE111" s="65">
        <v>43917578.539999999</v>
      </c>
      <c r="AF111" s="32"/>
      <c r="AG111" s="23"/>
      <c r="AH111" s="23"/>
      <c r="AI111" s="23"/>
      <c r="AJ111" s="23"/>
      <c r="AK111" s="23"/>
      <c r="AL111" s="23"/>
      <c r="AM111" s="23"/>
      <c r="AN111" s="23"/>
      <c r="AO111" s="23"/>
      <c r="AP111" s="23"/>
      <c r="AQ111" s="23"/>
      <c r="AR111" s="23"/>
      <c r="AS111" s="23"/>
      <c r="AT111" s="23"/>
      <c r="AU111" s="23"/>
      <c r="AV111" s="23"/>
      <c r="AW111" s="23"/>
      <c r="AX111" s="23"/>
      <c r="AY111" s="23"/>
      <c r="AZ111" s="23"/>
      <c r="BA111" s="23"/>
      <c r="BB111" s="23"/>
      <c r="BC111" s="23"/>
      <c r="BD111" s="23"/>
      <c r="BE111" s="23"/>
      <c r="BF111" s="23"/>
      <c r="BG111" s="23"/>
      <c r="BH111" s="23"/>
      <c r="BI111" s="23"/>
      <c r="BJ111" s="23"/>
      <c r="BK111" s="23"/>
      <c r="BL111" s="23"/>
      <c r="BM111" s="23"/>
      <c r="BN111" s="23"/>
      <c r="BO111" s="23"/>
      <c r="BP111" s="23"/>
      <c r="BQ111" s="23"/>
      <c r="BR111" s="23"/>
      <c r="BS111" s="23"/>
      <c r="BT111" s="23"/>
      <c r="BU111" s="23"/>
      <c r="BV111" s="23"/>
      <c r="BW111" s="23"/>
      <c r="BX111" s="23"/>
      <c r="BY111" s="23"/>
      <c r="BZ111" s="23"/>
      <c r="CA111" s="23"/>
      <c r="CB111" s="23"/>
      <c r="CC111" s="23"/>
      <c r="CD111" s="23"/>
      <c r="CE111" s="23"/>
      <c r="CF111" s="23"/>
      <c r="CG111" s="23"/>
      <c r="CH111" s="23"/>
      <c r="CI111" s="23"/>
      <c r="CJ111" s="23"/>
      <c r="CK111" s="23"/>
      <c r="CL111" s="23"/>
      <c r="CM111" s="23"/>
      <c r="CN111" s="23"/>
      <c r="CO111" s="23"/>
      <c r="CP111" s="23"/>
      <c r="CQ111" s="23"/>
      <c r="CR111" s="23"/>
      <c r="CS111" s="23"/>
      <c r="CT111" s="23"/>
      <c r="CU111" s="23"/>
      <c r="CV111" s="23"/>
      <c r="CW111" s="23"/>
      <c r="CX111" s="23"/>
      <c r="CY111" s="23"/>
      <c r="CZ111" s="23"/>
      <c r="DA111" s="23"/>
      <c r="DB111" s="23"/>
      <c r="DC111" s="23"/>
      <c r="DD111" s="23"/>
      <c r="DE111" s="23"/>
      <c r="DF111" s="23"/>
      <c r="DG111" s="23"/>
      <c r="DH111" s="23"/>
      <c r="DI111" s="23"/>
      <c r="DJ111" s="23"/>
      <c r="DK111" s="23"/>
      <c r="DL111" s="23"/>
      <c r="DM111" s="23"/>
      <c r="DN111" s="23"/>
      <c r="DO111" s="23"/>
      <c r="DP111" s="23"/>
      <c r="DQ111" s="23"/>
      <c r="DR111" s="23"/>
      <c r="DS111" s="23"/>
      <c r="DT111" s="23"/>
      <c r="DU111" s="23"/>
      <c r="DV111" s="23"/>
      <c r="DW111" s="23"/>
      <c r="DX111" s="23"/>
      <c r="DY111" s="23"/>
      <c r="DZ111" s="23"/>
      <c r="EA111" s="23"/>
      <c r="EB111" s="23"/>
      <c r="EC111" s="23"/>
      <c r="ED111" s="23"/>
      <c r="EE111" s="23"/>
      <c r="EF111" s="23"/>
      <c r="EG111" s="23"/>
      <c r="EH111" s="23"/>
      <c r="EI111" s="23"/>
      <c r="EJ111" s="23"/>
      <c r="EK111" s="23"/>
      <c r="EL111" s="23"/>
      <c r="EM111" s="23"/>
      <c r="EN111" s="23"/>
      <c r="EO111" s="23"/>
      <c r="EP111" s="23"/>
      <c r="EQ111" s="23"/>
      <c r="ER111" s="23"/>
      <c r="ES111" s="23"/>
      <c r="ET111" s="23"/>
      <c r="EU111" s="23"/>
      <c r="EV111" s="23"/>
      <c r="EW111" s="23"/>
      <c r="EX111" s="23"/>
      <c r="EY111" s="23"/>
      <c r="EZ111" s="23"/>
      <c r="FA111" s="23"/>
      <c r="FB111" s="23"/>
      <c r="FC111" s="23"/>
      <c r="FD111" s="23"/>
      <c r="FE111" s="23"/>
      <c r="FF111" s="23"/>
      <c r="FG111" s="23"/>
      <c r="FH111" s="23"/>
      <c r="FI111" s="23"/>
      <c r="FJ111" s="23"/>
      <c r="FK111" s="23"/>
      <c r="FL111" s="23"/>
      <c r="FM111" s="23"/>
      <c r="FN111" s="23"/>
      <c r="FO111" s="23"/>
      <c r="FP111" s="23"/>
      <c r="FQ111" s="23"/>
      <c r="FR111" s="23"/>
      <c r="FS111" s="23"/>
      <c r="FT111" s="23"/>
      <c r="FU111" s="23"/>
      <c r="FV111" s="23"/>
      <c r="FW111" s="23"/>
      <c r="FX111" s="23"/>
      <c r="FY111" s="23"/>
      <c r="FZ111" s="23"/>
      <c r="GA111" s="23"/>
      <c r="GB111" s="23"/>
      <c r="GC111" s="23"/>
      <c r="GD111" s="23"/>
      <c r="GE111" s="23"/>
      <c r="GF111" s="23"/>
      <c r="GG111" s="23"/>
      <c r="GH111" s="23"/>
      <c r="GI111" s="23"/>
      <c r="GJ111" s="23"/>
      <c r="GK111" s="23"/>
      <c r="GL111" s="23"/>
      <c r="GM111" s="23"/>
      <c r="GN111" s="23"/>
      <c r="GO111" s="23"/>
      <c r="GP111" s="23"/>
      <c r="GQ111" s="23"/>
      <c r="GR111" s="23"/>
      <c r="GS111" s="23"/>
      <c r="GT111" s="23"/>
      <c r="GU111" s="23"/>
      <c r="GV111" s="23"/>
      <c r="GW111" s="23"/>
      <c r="GX111" s="23"/>
      <c r="GY111" s="23"/>
      <c r="GZ111" s="23"/>
      <c r="HA111" s="23"/>
      <c r="HB111" s="23"/>
      <c r="HC111" s="23"/>
      <c r="HD111" s="23"/>
      <c r="HE111" s="23"/>
      <c r="HF111" s="23"/>
      <c r="HG111" s="23"/>
      <c r="HH111" s="23"/>
      <c r="HI111" s="23"/>
      <c r="HJ111" s="23"/>
      <c r="HK111" s="23"/>
      <c r="HL111" s="23"/>
      <c r="HM111" s="23"/>
      <c r="HN111" s="23"/>
      <c r="HO111" s="23"/>
      <c r="HP111" s="23"/>
      <c r="HQ111" s="23"/>
      <c r="HR111" s="23"/>
      <c r="HS111" s="23"/>
      <c r="HT111" s="23"/>
      <c r="HU111" s="23"/>
      <c r="HV111" s="23"/>
      <c r="HW111" s="23"/>
      <c r="HX111" s="23"/>
      <c r="HY111" s="23"/>
      <c r="HZ111" s="23"/>
      <c r="IA111" s="23"/>
      <c r="IB111" s="23"/>
      <c r="IC111" s="23"/>
      <c r="ID111" s="23"/>
      <c r="IE111" s="23"/>
      <c r="IF111" s="23"/>
      <c r="IG111" s="23"/>
    </row>
    <row r="112" spans="1:241" ht="16.5" customHeight="1" x14ac:dyDescent="0.25">
      <c r="A112" s="47">
        <v>95</v>
      </c>
      <c r="B112" s="43" t="s">
        <v>161</v>
      </c>
      <c r="C112" s="44" t="s">
        <v>35</v>
      </c>
      <c r="D112" s="65">
        <v>2484598289.25</v>
      </c>
      <c r="E112" s="74"/>
      <c r="F112" s="65">
        <v>504344183.50999999</v>
      </c>
      <c r="G112" s="65">
        <v>458354755.67000002</v>
      </c>
      <c r="H112" s="131">
        <v>3551352.9</v>
      </c>
      <c r="I112" s="99"/>
      <c r="J112" s="99">
        <v>3450848581.3299999</v>
      </c>
      <c r="K112" s="99">
        <v>23854635.66</v>
      </c>
      <c r="L112" s="65">
        <v>10948297.390000001</v>
      </c>
      <c r="M112" s="52">
        <v>-260619451.78</v>
      </c>
      <c r="N112" s="65">
        <v>4511133917</v>
      </c>
      <c r="O112" s="65">
        <v>128952375</v>
      </c>
      <c r="P112" s="88">
        <v>4647907350</v>
      </c>
      <c r="Q112" s="55">
        <f t="shared" si="57"/>
        <v>3.1314194591091971E-3</v>
      </c>
      <c r="R112" s="88">
        <v>4382181541</v>
      </c>
      <c r="S112" s="55">
        <f t="shared" ref="S112:S133" si="59">(R112/$R$134)</f>
        <v>0.15581540984181183</v>
      </c>
      <c r="T112" s="56">
        <f t="shared" ref="T112:T133" si="60">((R112-P112)/P112)</f>
        <v>-5.717106409188643E-2</v>
      </c>
      <c r="U112" s="57">
        <f t="shared" ref="U112:U133" si="61">(L112/R112)</f>
        <v>2.4983669178391989E-3</v>
      </c>
      <c r="V112" s="58">
        <f t="shared" ref="V112:V133" si="62">M112/R112</f>
        <v>-5.9472536530407516E-2</v>
      </c>
      <c r="W112" s="59">
        <f t="shared" ref="W112:W133" si="63">R112/AE112</f>
        <v>479.74492257235534</v>
      </c>
      <c r="X112" s="59">
        <f t="shared" ref="X112:X133" si="64">M112/AE112</f>
        <v>-28.531647432961929</v>
      </c>
      <c r="Y112" s="65">
        <v>477.34620000000001</v>
      </c>
      <c r="Z112" s="65">
        <v>491.73849999999999</v>
      </c>
      <c r="AA112" s="64">
        <v>1877</v>
      </c>
      <c r="AB112" s="64">
        <v>9152053</v>
      </c>
      <c r="AC112" s="64">
        <v>40235</v>
      </c>
      <c r="AD112" s="64">
        <v>57889</v>
      </c>
      <c r="AE112" s="65">
        <v>9134399</v>
      </c>
      <c r="AF112" s="5"/>
      <c r="AG112" s="17"/>
      <c r="AH112" s="17"/>
      <c r="AI112" s="17"/>
      <c r="AJ112" s="17"/>
      <c r="AK112" s="17"/>
      <c r="AL112" s="17"/>
      <c r="AM112" s="17"/>
      <c r="AN112" s="17"/>
      <c r="AO112" s="17"/>
      <c r="AP112" s="17"/>
      <c r="AQ112" s="17"/>
      <c r="AR112" s="17"/>
      <c r="AS112" s="17"/>
      <c r="AT112" s="17"/>
      <c r="AU112" s="17"/>
      <c r="AV112" s="17"/>
      <c r="AW112" s="17"/>
      <c r="AX112" s="17"/>
      <c r="AY112" s="17"/>
      <c r="AZ112" s="17"/>
      <c r="BA112" s="17"/>
      <c r="BB112" s="17"/>
      <c r="BC112" s="17"/>
      <c r="BD112" s="17"/>
      <c r="BE112" s="17"/>
      <c r="BF112" s="17"/>
      <c r="BG112" s="17"/>
      <c r="BH112" s="17"/>
      <c r="BI112" s="17"/>
      <c r="BJ112" s="17"/>
      <c r="BK112" s="17"/>
      <c r="BL112" s="17"/>
      <c r="BM112" s="17"/>
      <c r="BN112" s="17"/>
      <c r="BO112" s="17"/>
      <c r="BP112" s="17"/>
      <c r="BQ112" s="17"/>
      <c r="BR112" s="17"/>
      <c r="BS112" s="17"/>
      <c r="BT112" s="17"/>
      <c r="BU112" s="17"/>
      <c r="BV112" s="17"/>
      <c r="BW112" s="17"/>
      <c r="BX112" s="17"/>
      <c r="BY112" s="17"/>
      <c r="BZ112" s="17"/>
      <c r="CA112" s="17"/>
      <c r="CB112" s="17"/>
      <c r="CC112" s="17"/>
      <c r="CD112" s="17"/>
      <c r="CE112" s="17"/>
      <c r="CF112" s="17"/>
      <c r="CG112" s="17"/>
      <c r="CH112" s="17"/>
      <c r="CI112" s="17"/>
      <c r="CJ112" s="17"/>
      <c r="CK112" s="17"/>
      <c r="CL112" s="17"/>
      <c r="CM112" s="17"/>
      <c r="CN112" s="17"/>
      <c r="CO112" s="17"/>
      <c r="CP112" s="17"/>
      <c r="CQ112" s="17"/>
      <c r="CR112" s="17"/>
      <c r="CS112" s="17"/>
      <c r="CT112" s="17"/>
      <c r="CU112" s="17"/>
      <c r="CV112" s="17"/>
      <c r="CW112" s="17"/>
      <c r="CX112" s="17"/>
      <c r="CY112" s="17"/>
      <c r="CZ112" s="17"/>
      <c r="DA112" s="17"/>
      <c r="DB112" s="17"/>
      <c r="DC112" s="17"/>
      <c r="DD112" s="17"/>
      <c r="DE112" s="17"/>
      <c r="DF112" s="17"/>
      <c r="DG112" s="17"/>
      <c r="DH112" s="17"/>
      <c r="DI112" s="17"/>
      <c r="DJ112" s="17"/>
      <c r="DK112" s="17"/>
      <c r="DL112" s="17"/>
      <c r="DM112" s="17"/>
      <c r="DN112" s="17"/>
      <c r="DO112" s="17"/>
      <c r="DP112" s="17"/>
      <c r="DQ112" s="17"/>
      <c r="DR112" s="17"/>
      <c r="DS112" s="17"/>
      <c r="DT112" s="17"/>
      <c r="DU112" s="17"/>
      <c r="DV112" s="17"/>
      <c r="DW112" s="17"/>
      <c r="DX112" s="17"/>
      <c r="DY112" s="17"/>
      <c r="DZ112" s="17"/>
      <c r="EA112" s="17"/>
      <c r="EB112" s="17"/>
      <c r="EC112" s="17"/>
      <c r="ED112" s="17"/>
      <c r="EE112" s="17"/>
      <c r="EF112" s="17"/>
      <c r="EG112" s="17"/>
      <c r="EH112" s="17"/>
      <c r="EI112" s="17"/>
      <c r="EJ112" s="17"/>
      <c r="EK112" s="17"/>
      <c r="EL112" s="17"/>
      <c r="EM112" s="17"/>
      <c r="EN112" s="17"/>
      <c r="EO112" s="17"/>
      <c r="EP112" s="17"/>
      <c r="EQ112" s="17"/>
      <c r="ER112" s="17"/>
      <c r="ES112" s="17"/>
      <c r="ET112" s="17"/>
      <c r="EU112" s="17"/>
      <c r="EV112" s="17"/>
      <c r="EW112" s="17"/>
      <c r="EX112" s="17"/>
      <c r="EY112" s="17"/>
      <c r="EZ112" s="17"/>
      <c r="FA112" s="17"/>
      <c r="FB112" s="17"/>
      <c r="FC112" s="17"/>
      <c r="FD112" s="17"/>
      <c r="FE112" s="17"/>
      <c r="FF112" s="17"/>
      <c r="FG112" s="17"/>
      <c r="FH112" s="17"/>
      <c r="FI112" s="17"/>
      <c r="FJ112" s="17"/>
      <c r="FK112" s="17"/>
      <c r="FL112" s="17"/>
      <c r="FM112" s="17"/>
      <c r="FN112" s="17"/>
      <c r="FO112" s="17"/>
      <c r="FP112" s="17"/>
      <c r="FQ112" s="17"/>
      <c r="FR112" s="17"/>
      <c r="FS112" s="17"/>
      <c r="FT112" s="17"/>
      <c r="FU112" s="17"/>
      <c r="FV112" s="17"/>
      <c r="FW112" s="17"/>
      <c r="FX112" s="17"/>
      <c r="FY112" s="17"/>
      <c r="FZ112" s="17"/>
      <c r="GA112" s="17"/>
      <c r="GB112" s="17"/>
      <c r="GC112" s="17"/>
      <c r="GD112" s="17"/>
      <c r="GE112" s="17"/>
      <c r="GF112" s="17"/>
      <c r="GG112" s="17"/>
      <c r="GH112" s="17"/>
      <c r="GI112" s="17"/>
      <c r="GJ112" s="17"/>
      <c r="GK112" s="17"/>
      <c r="GL112" s="17"/>
      <c r="GM112" s="17"/>
      <c r="GN112" s="17"/>
      <c r="GO112" s="17"/>
      <c r="GP112" s="17"/>
      <c r="GQ112" s="17"/>
      <c r="GR112" s="17"/>
      <c r="GS112" s="17"/>
      <c r="GT112" s="17"/>
      <c r="GU112" s="17"/>
      <c r="GV112" s="17"/>
      <c r="GW112" s="17"/>
      <c r="GX112" s="17"/>
      <c r="GY112" s="17"/>
      <c r="GZ112" s="17"/>
      <c r="HA112" s="17"/>
      <c r="HB112" s="17"/>
      <c r="HC112" s="17"/>
      <c r="HD112" s="17"/>
      <c r="HE112" s="17"/>
      <c r="HF112" s="17"/>
      <c r="HG112" s="17"/>
      <c r="HH112" s="17"/>
      <c r="HI112" s="17"/>
      <c r="HJ112" s="17"/>
      <c r="HK112" s="17"/>
      <c r="HL112" s="17"/>
      <c r="HM112" s="17"/>
      <c r="HN112" s="17"/>
      <c r="HO112" s="17"/>
      <c r="HP112" s="17"/>
      <c r="HQ112" s="17"/>
      <c r="HR112" s="17"/>
      <c r="HS112" s="17"/>
      <c r="HT112" s="17"/>
      <c r="HU112" s="17"/>
      <c r="HV112" s="17"/>
      <c r="HW112" s="17"/>
      <c r="HX112" s="17"/>
      <c r="HY112" s="17"/>
      <c r="HZ112" s="17"/>
      <c r="IA112" s="17"/>
      <c r="IB112" s="17"/>
      <c r="IC112" s="17"/>
      <c r="ID112" s="17"/>
      <c r="IE112" s="17"/>
      <c r="IF112" s="17"/>
      <c r="IG112" s="17"/>
    </row>
    <row r="113" spans="1:241" s="33" customFormat="1" ht="16.5" customHeight="1" x14ac:dyDescent="0.25">
      <c r="A113" s="47">
        <v>96</v>
      </c>
      <c r="B113" s="43" t="s">
        <v>129</v>
      </c>
      <c r="C113" s="43" t="s">
        <v>98</v>
      </c>
      <c r="D113" s="65">
        <v>418444379.70999998</v>
      </c>
      <c r="E113" s="38"/>
      <c r="F113" s="39">
        <v>220476547.72999999</v>
      </c>
      <c r="G113" s="65">
        <v>362920453.25999999</v>
      </c>
      <c r="H113" s="40">
        <v>21989626.609999999</v>
      </c>
      <c r="I113" s="38"/>
      <c r="J113" s="39">
        <v>1023831007.3099999</v>
      </c>
      <c r="K113" s="39">
        <v>4870590.3</v>
      </c>
      <c r="L113" s="39">
        <v>1523478.48</v>
      </c>
      <c r="M113" s="52">
        <v>-20225116.23</v>
      </c>
      <c r="N113" s="39">
        <v>1026259169.51</v>
      </c>
      <c r="O113" s="39">
        <v>61582665.090000004</v>
      </c>
      <c r="P113" s="88">
        <v>984901620.64999998</v>
      </c>
      <c r="Q113" s="55">
        <f t="shared" si="57"/>
        <v>6.6355455648477906E-4</v>
      </c>
      <c r="R113" s="88">
        <v>964676504.42999995</v>
      </c>
      <c r="S113" s="55">
        <f t="shared" si="59"/>
        <v>3.43006019938248E-2</v>
      </c>
      <c r="T113" s="56">
        <f t="shared" si="60"/>
        <v>-2.0535163914800113E-2</v>
      </c>
      <c r="U113" s="57">
        <f t="shared" si="61"/>
        <v>1.5792635904407978E-3</v>
      </c>
      <c r="V113" s="58">
        <f t="shared" si="62"/>
        <v>-2.0965697969342011E-2</v>
      </c>
      <c r="W113" s="59">
        <f t="shared" si="63"/>
        <v>2.2113501500048596</v>
      </c>
      <c r="X113" s="59">
        <f t="shared" si="64"/>
        <v>-4.6362499349461038E-2</v>
      </c>
      <c r="Y113" s="38">
        <v>2.2084999999999999</v>
      </c>
      <c r="Z113" s="38">
        <v>2.2513000000000001</v>
      </c>
      <c r="AA113" s="64">
        <v>2771</v>
      </c>
      <c r="AB113" s="64">
        <v>436238695.3635</v>
      </c>
      <c r="AC113" s="39"/>
      <c r="AD113" s="39"/>
      <c r="AE113" s="39">
        <v>436238695.3635</v>
      </c>
      <c r="AF113" s="32"/>
      <c r="AG113" s="23"/>
      <c r="AH113" s="23"/>
      <c r="AI113" s="23"/>
      <c r="AJ113" s="23"/>
      <c r="AK113" s="23"/>
      <c r="AL113" s="23"/>
      <c r="AM113" s="23"/>
      <c r="AN113" s="23"/>
      <c r="AO113" s="23"/>
      <c r="AP113" s="23"/>
      <c r="AQ113" s="23"/>
      <c r="AR113" s="23"/>
      <c r="AS113" s="23"/>
      <c r="AT113" s="23"/>
      <c r="AU113" s="23"/>
      <c r="AV113" s="23"/>
      <c r="AW113" s="23"/>
      <c r="AX113" s="23"/>
      <c r="AY113" s="23"/>
      <c r="AZ113" s="23"/>
      <c r="BA113" s="23"/>
      <c r="BB113" s="23"/>
      <c r="BC113" s="23"/>
      <c r="BD113" s="23"/>
      <c r="BE113" s="23"/>
      <c r="BF113" s="23"/>
      <c r="BG113" s="23"/>
      <c r="BH113" s="23"/>
      <c r="BI113" s="23"/>
      <c r="BJ113" s="23"/>
      <c r="BK113" s="23"/>
      <c r="BL113" s="23"/>
      <c r="BM113" s="23"/>
      <c r="BN113" s="23"/>
      <c r="BO113" s="23"/>
      <c r="BP113" s="23"/>
      <c r="BQ113" s="23"/>
      <c r="BR113" s="23"/>
      <c r="BS113" s="23"/>
      <c r="BT113" s="23"/>
      <c r="BU113" s="23"/>
      <c r="BV113" s="23"/>
      <c r="BW113" s="23"/>
      <c r="BX113" s="23"/>
      <c r="BY113" s="23"/>
      <c r="BZ113" s="23"/>
      <c r="CA113" s="23"/>
      <c r="CB113" s="23"/>
      <c r="CC113" s="23"/>
      <c r="CD113" s="23"/>
      <c r="CE113" s="23"/>
      <c r="CF113" s="23"/>
      <c r="CG113" s="23"/>
      <c r="CH113" s="23"/>
      <c r="CI113" s="23"/>
      <c r="CJ113" s="23"/>
      <c r="CK113" s="23"/>
      <c r="CL113" s="23"/>
      <c r="CM113" s="23"/>
      <c r="CN113" s="23"/>
      <c r="CO113" s="23"/>
      <c r="CP113" s="23"/>
      <c r="CQ113" s="23"/>
      <c r="CR113" s="23"/>
      <c r="CS113" s="23"/>
      <c r="CT113" s="23"/>
      <c r="CU113" s="23"/>
      <c r="CV113" s="23"/>
      <c r="CW113" s="23"/>
      <c r="CX113" s="23"/>
      <c r="CY113" s="23"/>
      <c r="CZ113" s="23"/>
      <c r="DA113" s="23"/>
      <c r="DB113" s="23"/>
      <c r="DC113" s="23"/>
      <c r="DD113" s="23"/>
      <c r="DE113" s="23"/>
      <c r="DF113" s="23"/>
      <c r="DG113" s="23"/>
      <c r="DH113" s="23"/>
      <c r="DI113" s="23"/>
      <c r="DJ113" s="23"/>
      <c r="DK113" s="23"/>
      <c r="DL113" s="23"/>
      <c r="DM113" s="23"/>
      <c r="DN113" s="23"/>
      <c r="DO113" s="23"/>
      <c r="DP113" s="23"/>
      <c r="DQ113" s="23"/>
      <c r="DR113" s="23"/>
      <c r="DS113" s="23"/>
      <c r="DT113" s="23"/>
      <c r="DU113" s="23"/>
      <c r="DV113" s="23"/>
      <c r="DW113" s="23"/>
      <c r="DX113" s="23"/>
      <c r="DY113" s="23"/>
      <c r="DZ113" s="23"/>
      <c r="EA113" s="23"/>
      <c r="EB113" s="23"/>
      <c r="EC113" s="23"/>
      <c r="ED113" s="23"/>
      <c r="EE113" s="23"/>
      <c r="EF113" s="23"/>
      <c r="EG113" s="23"/>
      <c r="EH113" s="23"/>
      <c r="EI113" s="23"/>
      <c r="EJ113" s="23"/>
      <c r="EK113" s="23"/>
      <c r="EL113" s="23"/>
      <c r="EM113" s="23"/>
      <c r="EN113" s="23"/>
      <c r="EO113" s="23"/>
      <c r="EP113" s="23"/>
      <c r="EQ113" s="23"/>
      <c r="ER113" s="23"/>
      <c r="ES113" s="23"/>
      <c r="ET113" s="23"/>
      <c r="EU113" s="23"/>
      <c r="EV113" s="23"/>
      <c r="EW113" s="23"/>
      <c r="EX113" s="23"/>
      <c r="EY113" s="23"/>
      <c r="EZ113" s="23"/>
      <c r="FA113" s="23"/>
      <c r="FB113" s="23"/>
      <c r="FC113" s="23"/>
      <c r="FD113" s="23"/>
      <c r="FE113" s="23"/>
      <c r="FF113" s="23"/>
      <c r="FG113" s="23"/>
      <c r="FH113" s="23"/>
      <c r="FI113" s="23"/>
      <c r="FJ113" s="23"/>
      <c r="FK113" s="23"/>
      <c r="FL113" s="23"/>
      <c r="FM113" s="23"/>
      <c r="FN113" s="23"/>
      <c r="FO113" s="23"/>
      <c r="FP113" s="23"/>
      <c r="FQ113" s="23"/>
      <c r="FR113" s="23"/>
      <c r="FS113" s="23"/>
      <c r="FT113" s="23"/>
      <c r="FU113" s="23"/>
      <c r="FV113" s="23"/>
      <c r="FW113" s="23"/>
      <c r="FX113" s="23"/>
      <c r="FY113" s="23"/>
      <c r="FZ113" s="23"/>
      <c r="GA113" s="23"/>
      <c r="GB113" s="23"/>
      <c r="GC113" s="23"/>
      <c r="GD113" s="23"/>
      <c r="GE113" s="23"/>
      <c r="GF113" s="23"/>
      <c r="GG113" s="23"/>
      <c r="GH113" s="23"/>
      <c r="GI113" s="23"/>
      <c r="GJ113" s="23"/>
      <c r="GK113" s="23"/>
      <c r="GL113" s="23"/>
      <c r="GM113" s="23"/>
      <c r="GN113" s="23"/>
      <c r="GO113" s="23"/>
      <c r="GP113" s="23"/>
      <c r="GQ113" s="23"/>
      <c r="GR113" s="23"/>
      <c r="GS113" s="23"/>
      <c r="GT113" s="23"/>
      <c r="GU113" s="23"/>
      <c r="GV113" s="23"/>
      <c r="GW113" s="23"/>
      <c r="GX113" s="23"/>
      <c r="GY113" s="23"/>
      <c r="GZ113" s="23"/>
      <c r="HA113" s="23"/>
      <c r="HB113" s="23"/>
      <c r="HC113" s="23"/>
      <c r="HD113" s="23"/>
      <c r="HE113" s="23"/>
      <c r="HF113" s="23"/>
      <c r="HG113" s="23"/>
      <c r="HH113" s="23"/>
      <c r="HI113" s="23"/>
      <c r="HJ113" s="23"/>
      <c r="HK113" s="23"/>
      <c r="HL113" s="23"/>
      <c r="HM113" s="23"/>
      <c r="HN113" s="23"/>
      <c r="HO113" s="23"/>
      <c r="HP113" s="23"/>
      <c r="HQ113" s="23"/>
      <c r="HR113" s="23"/>
      <c r="HS113" s="23"/>
      <c r="HT113" s="23"/>
      <c r="HU113" s="23"/>
      <c r="HV113" s="23"/>
      <c r="HW113" s="23"/>
      <c r="HX113" s="23"/>
      <c r="HY113" s="23"/>
      <c r="HZ113" s="23"/>
      <c r="IA113" s="23"/>
      <c r="IB113" s="23"/>
      <c r="IC113" s="23"/>
      <c r="ID113" s="23"/>
      <c r="IE113" s="23"/>
      <c r="IF113" s="23"/>
      <c r="IG113" s="23"/>
    </row>
    <row r="114" spans="1:241" s="33" customFormat="1" ht="16.5" customHeight="1" x14ac:dyDescent="0.25">
      <c r="A114" s="47">
        <v>97</v>
      </c>
      <c r="B114" s="43" t="s">
        <v>167</v>
      </c>
      <c r="C114" s="43" t="s">
        <v>79</v>
      </c>
      <c r="D114" s="65">
        <v>893740591.25999999</v>
      </c>
      <c r="E114" s="65"/>
      <c r="F114" s="65">
        <v>835799585.90999997</v>
      </c>
      <c r="G114" s="65">
        <v>484264860.55000001</v>
      </c>
      <c r="H114" s="111"/>
      <c r="I114" s="99"/>
      <c r="J114" s="99">
        <v>2213805037.7199998</v>
      </c>
      <c r="K114" s="99">
        <v>16622747.48</v>
      </c>
      <c r="L114" s="65">
        <v>5863346.9000000004</v>
      </c>
      <c r="M114" s="52">
        <v>11121419.720000001</v>
      </c>
      <c r="N114" s="65">
        <v>2216187242.8800001</v>
      </c>
      <c r="O114" s="65">
        <v>38053474.75</v>
      </c>
      <c r="P114" s="88">
        <v>2194078084.5900002</v>
      </c>
      <c r="Q114" s="55">
        <f t="shared" si="57"/>
        <v>1.4782090716352514E-3</v>
      </c>
      <c r="R114" s="88">
        <v>2178133768.1300001</v>
      </c>
      <c r="S114" s="55">
        <f t="shared" si="59"/>
        <v>7.7446998166584138E-2</v>
      </c>
      <c r="T114" s="56">
        <f t="shared" si="60"/>
        <v>-7.2669776759469789E-3</v>
      </c>
      <c r="U114" s="57">
        <f t="shared" si="61"/>
        <v>2.6919131349007449E-3</v>
      </c>
      <c r="V114" s="58">
        <f t="shared" si="62"/>
        <v>5.1059397190045437E-3</v>
      </c>
      <c r="W114" s="59">
        <f t="shared" si="63"/>
        <v>4000.8254054260574</v>
      </c>
      <c r="X114" s="59">
        <f t="shared" si="64"/>
        <v>20.427973346367363</v>
      </c>
      <c r="Y114" s="65">
        <v>4000.83</v>
      </c>
      <c r="Z114" s="65">
        <v>4027.74</v>
      </c>
      <c r="AA114" s="64">
        <v>826</v>
      </c>
      <c r="AB114" s="64">
        <v>545207.76</v>
      </c>
      <c r="AC114" s="64">
        <v>14.91</v>
      </c>
      <c r="AD114" s="64">
        <v>801.56</v>
      </c>
      <c r="AE114" s="65">
        <v>544421.1</v>
      </c>
      <c r="AF114" s="32"/>
      <c r="AG114" s="23"/>
      <c r="AH114" s="23"/>
      <c r="AI114" s="23"/>
      <c r="AJ114" s="23"/>
      <c r="AK114" s="23"/>
      <c r="AL114" s="23"/>
      <c r="AM114" s="23"/>
      <c r="AN114" s="23"/>
      <c r="AO114" s="23"/>
      <c r="AP114" s="23"/>
      <c r="AQ114" s="23"/>
      <c r="AR114" s="23"/>
      <c r="AS114" s="23"/>
      <c r="AT114" s="23"/>
      <c r="AU114" s="23"/>
      <c r="AV114" s="23"/>
      <c r="AW114" s="23"/>
      <c r="AX114" s="23"/>
      <c r="AY114" s="23"/>
      <c r="AZ114" s="23"/>
      <c r="BA114" s="23"/>
      <c r="BB114" s="23"/>
      <c r="BC114" s="23"/>
      <c r="BD114" s="23"/>
      <c r="BE114" s="23"/>
      <c r="BF114" s="23"/>
      <c r="BG114" s="23"/>
      <c r="BH114" s="23"/>
      <c r="BI114" s="23"/>
      <c r="BJ114" s="23"/>
      <c r="BK114" s="23"/>
      <c r="BL114" s="23"/>
      <c r="BM114" s="23"/>
      <c r="BN114" s="23"/>
      <c r="BO114" s="23"/>
      <c r="BP114" s="23"/>
      <c r="BQ114" s="23"/>
      <c r="BR114" s="23"/>
      <c r="BS114" s="23"/>
      <c r="BT114" s="23"/>
      <c r="BU114" s="23"/>
      <c r="BV114" s="23"/>
      <c r="BW114" s="23"/>
      <c r="BX114" s="23"/>
      <c r="BY114" s="23"/>
      <c r="BZ114" s="23"/>
      <c r="CA114" s="23"/>
      <c r="CB114" s="23"/>
      <c r="CC114" s="23"/>
      <c r="CD114" s="23"/>
      <c r="CE114" s="23"/>
      <c r="CF114" s="23"/>
      <c r="CG114" s="23"/>
      <c r="CH114" s="23"/>
      <c r="CI114" s="23"/>
      <c r="CJ114" s="23"/>
      <c r="CK114" s="23"/>
      <c r="CL114" s="23"/>
      <c r="CM114" s="23"/>
      <c r="CN114" s="23"/>
      <c r="CO114" s="23"/>
      <c r="CP114" s="23"/>
      <c r="CQ114" s="23"/>
      <c r="CR114" s="23"/>
      <c r="CS114" s="23"/>
      <c r="CT114" s="23"/>
      <c r="CU114" s="23"/>
      <c r="CV114" s="23"/>
      <c r="CW114" s="23"/>
      <c r="CX114" s="23"/>
      <c r="CY114" s="23"/>
      <c r="CZ114" s="23"/>
      <c r="DA114" s="23"/>
      <c r="DB114" s="23"/>
      <c r="DC114" s="23"/>
      <c r="DD114" s="23"/>
      <c r="DE114" s="23"/>
      <c r="DF114" s="23"/>
      <c r="DG114" s="23"/>
      <c r="DH114" s="23"/>
      <c r="DI114" s="23"/>
      <c r="DJ114" s="23"/>
      <c r="DK114" s="23"/>
      <c r="DL114" s="23"/>
      <c r="DM114" s="23"/>
      <c r="DN114" s="23"/>
      <c r="DO114" s="23"/>
      <c r="DP114" s="23"/>
      <c r="DQ114" s="23"/>
      <c r="DR114" s="23"/>
      <c r="DS114" s="23"/>
      <c r="DT114" s="23"/>
      <c r="DU114" s="23"/>
      <c r="DV114" s="23"/>
      <c r="DW114" s="23"/>
      <c r="DX114" s="23"/>
      <c r="DY114" s="23"/>
      <c r="DZ114" s="23"/>
      <c r="EA114" s="23"/>
      <c r="EB114" s="23"/>
      <c r="EC114" s="23"/>
      <c r="ED114" s="23"/>
      <c r="EE114" s="23"/>
      <c r="EF114" s="23"/>
      <c r="EG114" s="23"/>
      <c r="EH114" s="23"/>
      <c r="EI114" s="23"/>
      <c r="EJ114" s="23"/>
      <c r="EK114" s="23"/>
      <c r="EL114" s="23"/>
      <c r="EM114" s="23"/>
      <c r="EN114" s="23"/>
      <c r="EO114" s="23"/>
      <c r="EP114" s="23"/>
      <c r="EQ114" s="23"/>
      <c r="ER114" s="23"/>
      <c r="ES114" s="23"/>
      <c r="ET114" s="23"/>
      <c r="EU114" s="23"/>
      <c r="EV114" s="23"/>
      <c r="EW114" s="23"/>
      <c r="EX114" s="23"/>
      <c r="EY114" s="23"/>
      <c r="EZ114" s="23"/>
      <c r="FA114" s="23"/>
      <c r="FB114" s="23"/>
      <c r="FC114" s="23"/>
      <c r="FD114" s="23"/>
      <c r="FE114" s="23"/>
      <c r="FF114" s="23"/>
      <c r="FG114" s="23"/>
      <c r="FH114" s="23"/>
      <c r="FI114" s="23"/>
      <c r="FJ114" s="23"/>
      <c r="FK114" s="23"/>
      <c r="FL114" s="23"/>
      <c r="FM114" s="23"/>
      <c r="FN114" s="23"/>
      <c r="FO114" s="23"/>
      <c r="FP114" s="23"/>
      <c r="FQ114" s="23"/>
      <c r="FR114" s="23"/>
      <c r="FS114" s="23"/>
      <c r="FT114" s="23"/>
      <c r="FU114" s="23"/>
      <c r="FV114" s="23"/>
      <c r="FW114" s="23"/>
      <c r="FX114" s="23"/>
      <c r="FY114" s="23"/>
      <c r="FZ114" s="23"/>
      <c r="GA114" s="23"/>
      <c r="GB114" s="23"/>
      <c r="GC114" s="23"/>
      <c r="GD114" s="23"/>
      <c r="GE114" s="23"/>
      <c r="GF114" s="23"/>
      <c r="GG114" s="23"/>
      <c r="GH114" s="23"/>
      <c r="GI114" s="23"/>
      <c r="GJ114" s="23"/>
      <c r="GK114" s="23"/>
      <c r="GL114" s="23"/>
      <c r="GM114" s="23"/>
      <c r="GN114" s="23"/>
      <c r="GO114" s="23"/>
      <c r="GP114" s="23"/>
      <c r="GQ114" s="23"/>
      <c r="GR114" s="23"/>
      <c r="GS114" s="23"/>
      <c r="GT114" s="23"/>
      <c r="GU114" s="23"/>
      <c r="GV114" s="23"/>
      <c r="GW114" s="23"/>
      <c r="GX114" s="23"/>
      <c r="GY114" s="23"/>
      <c r="GZ114" s="23"/>
      <c r="HA114" s="23"/>
      <c r="HB114" s="23"/>
      <c r="HC114" s="23"/>
      <c r="HD114" s="23"/>
      <c r="HE114" s="23"/>
      <c r="HF114" s="23"/>
      <c r="HG114" s="23"/>
      <c r="HH114" s="23"/>
      <c r="HI114" s="23"/>
      <c r="HJ114" s="23"/>
      <c r="HK114" s="23"/>
      <c r="HL114" s="23"/>
      <c r="HM114" s="23"/>
      <c r="HN114" s="23"/>
      <c r="HO114" s="23"/>
      <c r="HP114" s="23"/>
      <c r="HQ114" s="23"/>
      <c r="HR114" s="23"/>
      <c r="HS114" s="23"/>
      <c r="HT114" s="23"/>
      <c r="HU114" s="23"/>
      <c r="HV114" s="23"/>
      <c r="HW114" s="23"/>
      <c r="HX114" s="23"/>
      <c r="HY114" s="23"/>
      <c r="HZ114" s="23"/>
      <c r="IA114" s="23"/>
      <c r="IB114" s="23"/>
      <c r="IC114" s="23"/>
      <c r="ID114" s="23"/>
      <c r="IE114" s="23"/>
      <c r="IF114" s="23"/>
      <c r="IG114" s="23"/>
    </row>
    <row r="115" spans="1:241" s="33" customFormat="1" ht="16.5" customHeight="1" x14ac:dyDescent="0.25">
      <c r="A115" s="47">
        <v>98</v>
      </c>
      <c r="B115" s="43" t="s">
        <v>135</v>
      </c>
      <c r="C115" s="44" t="s">
        <v>63</v>
      </c>
      <c r="D115" s="65">
        <v>132812579.2</v>
      </c>
      <c r="E115" s="65"/>
      <c r="F115" s="65">
        <v>58666974.640000001</v>
      </c>
      <c r="G115" s="65">
        <v>78023277.700000003</v>
      </c>
      <c r="H115" s="98"/>
      <c r="I115" s="99"/>
      <c r="J115" s="99">
        <v>269502831.54000002</v>
      </c>
      <c r="K115" s="99">
        <v>2164985.5299999998</v>
      </c>
      <c r="L115" s="99">
        <v>742004.04</v>
      </c>
      <c r="M115" s="52">
        <v>-2591400.94</v>
      </c>
      <c r="N115" s="65">
        <v>306994375.37</v>
      </c>
      <c r="O115" s="65">
        <v>7273904.6799999997</v>
      </c>
      <c r="P115" s="88">
        <v>322552653.48000002</v>
      </c>
      <c r="Q115" s="55">
        <f t="shared" si="57"/>
        <v>2.1731234717804304E-4</v>
      </c>
      <c r="R115" s="88">
        <v>299720470.69</v>
      </c>
      <c r="S115" s="55">
        <f t="shared" si="59"/>
        <v>1.0657036350868765E-2</v>
      </c>
      <c r="T115" s="56">
        <f t="shared" si="60"/>
        <v>-7.0785909040477754E-2</v>
      </c>
      <c r="U115" s="57">
        <f t="shared" si="61"/>
        <v>2.475653525739497E-3</v>
      </c>
      <c r="V115" s="58">
        <f t="shared" si="62"/>
        <v>-8.6460592232296286E-3</v>
      </c>
      <c r="W115" s="59">
        <f t="shared" si="63"/>
        <v>121.03110924683976</v>
      </c>
      <c r="X115" s="59">
        <f t="shared" si="64"/>
        <v>-1.0464421384013516</v>
      </c>
      <c r="Y115" s="65">
        <v>128.1</v>
      </c>
      <c r="Z115" s="65">
        <v>128.93</v>
      </c>
      <c r="AA115" s="64">
        <v>697</v>
      </c>
      <c r="AB115" s="64">
        <v>2606499</v>
      </c>
      <c r="AC115" s="64">
        <v>8030</v>
      </c>
      <c r="AD115" s="64">
        <v>138137</v>
      </c>
      <c r="AE115" s="65">
        <v>2476392</v>
      </c>
      <c r="AF115" s="32"/>
      <c r="AG115" s="23"/>
      <c r="AH115" s="23"/>
      <c r="AI115" s="23"/>
      <c r="AJ115" s="23"/>
      <c r="AK115" s="23"/>
      <c r="AL115" s="23"/>
      <c r="AM115" s="23"/>
      <c r="AN115" s="23"/>
      <c r="AO115" s="23"/>
      <c r="AP115" s="23"/>
      <c r="AQ115" s="23"/>
      <c r="AR115" s="23"/>
      <c r="AS115" s="23"/>
      <c r="AT115" s="23"/>
      <c r="AU115" s="23"/>
      <c r="AV115" s="23"/>
      <c r="AW115" s="23"/>
      <c r="AX115" s="23"/>
      <c r="AY115" s="23"/>
      <c r="AZ115" s="23"/>
      <c r="BA115" s="23"/>
      <c r="BB115" s="23"/>
      <c r="BC115" s="23"/>
      <c r="BD115" s="23"/>
      <c r="BE115" s="23"/>
      <c r="BF115" s="23"/>
      <c r="BG115" s="23"/>
      <c r="BH115" s="23"/>
      <c r="BI115" s="23"/>
      <c r="BJ115" s="23"/>
      <c r="BK115" s="23"/>
      <c r="BL115" s="23"/>
      <c r="BM115" s="23"/>
      <c r="BN115" s="23"/>
      <c r="BO115" s="23"/>
      <c r="BP115" s="23"/>
      <c r="BQ115" s="23"/>
      <c r="BR115" s="23"/>
      <c r="BS115" s="23"/>
      <c r="BT115" s="23"/>
      <c r="BU115" s="23"/>
      <c r="BV115" s="23"/>
      <c r="BW115" s="23"/>
      <c r="BX115" s="23"/>
      <c r="BY115" s="23"/>
      <c r="BZ115" s="23"/>
      <c r="CA115" s="23"/>
      <c r="CB115" s="23"/>
      <c r="CC115" s="23"/>
      <c r="CD115" s="23"/>
      <c r="CE115" s="23"/>
      <c r="CF115" s="23"/>
      <c r="CG115" s="23"/>
      <c r="CH115" s="23"/>
      <c r="CI115" s="23"/>
      <c r="CJ115" s="23"/>
      <c r="CK115" s="23"/>
      <c r="CL115" s="23"/>
      <c r="CM115" s="23"/>
      <c r="CN115" s="23"/>
      <c r="CO115" s="23"/>
      <c r="CP115" s="23"/>
      <c r="CQ115" s="23"/>
      <c r="CR115" s="23"/>
      <c r="CS115" s="23"/>
      <c r="CT115" s="23"/>
      <c r="CU115" s="23"/>
      <c r="CV115" s="23"/>
      <c r="CW115" s="23"/>
      <c r="CX115" s="23"/>
      <c r="CY115" s="23"/>
      <c r="CZ115" s="23"/>
      <c r="DA115" s="23"/>
      <c r="DB115" s="23"/>
      <c r="DC115" s="23"/>
      <c r="DD115" s="23"/>
      <c r="DE115" s="23"/>
      <c r="DF115" s="23"/>
      <c r="DG115" s="23"/>
      <c r="DH115" s="23"/>
      <c r="DI115" s="23"/>
      <c r="DJ115" s="23"/>
      <c r="DK115" s="23"/>
      <c r="DL115" s="23"/>
      <c r="DM115" s="23"/>
      <c r="DN115" s="23"/>
      <c r="DO115" s="23"/>
      <c r="DP115" s="23"/>
      <c r="DQ115" s="23"/>
      <c r="DR115" s="23"/>
      <c r="DS115" s="23"/>
      <c r="DT115" s="23"/>
      <c r="DU115" s="23"/>
      <c r="DV115" s="23"/>
      <c r="DW115" s="23"/>
      <c r="DX115" s="23"/>
      <c r="DY115" s="23"/>
      <c r="DZ115" s="23"/>
      <c r="EA115" s="23"/>
      <c r="EB115" s="23"/>
      <c r="EC115" s="23"/>
      <c r="ED115" s="23"/>
      <c r="EE115" s="23"/>
      <c r="EF115" s="23"/>
      <c r="EG115" s="23"/>
      <c r="EH115" s="23"/>
      <c r="EI115" s="23"/>
      <c r="EJ115" s="23"/>
      <c r="EK115" s="23"/>
      <c r="EL115" s="23"/>
      <c r="EM115" s="23"/>
      <c r="EN115" s="23"/>
      <c r="EO115" s="23"/>
      <c r="EP115" s="23"/>
      <c r="EQ115" s="23"/>
      <c r="ER115" s="23"/>
      <c r="ES115" s="23"/>
      <c r="ET115" s="23"/>
      <c r="EU115" s="23"/>
      <c r="EV115" s="23"/>
      <c r="EW115" s="23"/>
      <c r="EX115" s="23"/>
      <c r="EY115" s="23"/>
      <c r="EZ115" s="23"/>
      <c r="FA115" s="23"/>
      <c r="FB115" s="23"/>
      <c r="FC115" s="23"/>
      <c r="FD115" s="23"/>
      <c r="FE115" s="23"/>
      <c r="FF115" s="23"/>
      <c r="FG115" s="23"/>
      <c r="FH115" s="23"/>
      <c r="FI115" s="23"/>
      <c r="FJ115" s="23"/>
      <c r="FK115" s="23"/>
      <c r="FL115" s="23"/>
      <c r="FM115" s="23"/>
      <c r="FN115" s="23"/>
      <c r="FO115" s="23"/>
      <c r="FP115" s="23"/>
      <c r="FQ115" s="23"/>
      <c r="FR115" s="23"/>
      <c r="FS115" s="23"/>
      <c r="FT115" s="23"/>
      <c r="FU115" s="23"/>
      <c r="FV115" s="23"/>
      <c r="FW115" s="23"/>
      <c r="FX115" s="23"/>
      <c r="FY115" s="23"/>
      <c r="FZ115" s="23"/>
      <c r="GA115" s="23"/>
      <c r="GB115" s="23"/>
      <c r="GC115" s="23"/>
      <c r="GD115" s="23"/>
      <c r="GE115" s="23"/>
      <c r="GF115" s="23"/>
      <c r="GG115" s="23"/>
      <c r="GH115" s="23"/>
      <c r="GI115" s="23"/>
      <c r="GJ115" s="23"/>
      <c r="GK115" s="23"/>
      <c r="GL115" s="23"/>
      <c r="GM115" s="23"/>
      <c r="GN115" s="23"/>
      <c r="GO115" s="23"/>
      <c r="GP115" s="23"/>
      <c r="GQ115" s="23"/>
      <c r="GR115" s="23"/>
      <c r="GS115" s="23"/>
      <c r="GT115" s="23"/>
      <c r="GU115" s="23"/>
      <c r="GV115" s="23"/>
      <c r="GW115" s="23"/>
      <c r="GX115" s="23"/>
      <c r="GY115" s="23"/>
      <c r="GZ115" s="23"/>
      <c r="HA115" s="23"/>
      <c r="HB115" s="23"/>
      <c r="HC115" s="23"/>
      <c r="HD115" s="23"/>
      <c r="HE115" s="23"/>
      <c r="HF115" s="23"/>
      <c r="HG115" s="23"/>
      <c r="HH115" s="23"/>
      <c r="HI115" s="23"/>
      <c r="HJ115" s="23"/>
      <c r="HK115" s="23"/>
      <c r="HL115" s="23"/>
      <c r="HM115" s="23"/>
      <c r="HN115" s="23"/>
      <c r="HO115" s="23"/>
      <c r="HP115" s="23"/>
      <c r="HQ115" s="23"/>
      <c r="HR115" s="23"/>
      <c r="HS115" s="23"/>
      <c r="HT115" s="23"/>
      <c r="HU115" s="23"/>
      <c r="HV115" s="23"/>
      <c r="HW115" s="23"/>
      <c r="HX115" s="23"/>
      <c r="HY115" s="23"/>
      <c r="HZ115" s="23"/>
      <c r="IA115" s="23"/>
      <c r="IB115" s="23"/>
      <c r="IC115" s="23"/>
      <c r="ID115" s="23"/>
      <c r="IE115" s="23"/>
      <c r="IF115" s="23"/>
      <c r="IG115" s="23"/>
    </row>
    <row r="116" spans="1:241" ht="16.5" customHeight="1" x14ac:dyDescent="0.25">
      <c r="A116" s="47">
        <v>99</v>
      </c>
      <c r="B116" s="43" t="s">
        <v>152</v>
      </c>
      <c r="C116" s="44" t="s">
        <v>150</v>
      </c>
      <c r="D116" s="65">
        <v>484564.7</v>
      </c>
      <c r="E116" s="65"/>
      <c r="F116" s="40">
        <v>1979600</v>
      </c>
      <c r="G116" s="65">
        <v>991522.11</v>
      </c>
      <c r="H116" s="85"/>
      <c r="I116" s="86"/>
      <c r="J116" s="99">
        <v>3455686.81</v>
      </c>
      <c r="K116" s="99">
        <v>20279.060000000001</v>
      </c>
      <c r="L116" s="65">
        <v>8413.9699999999993</v>
      </c>
      <c r="M116" s="52">
        <v>11865.09</v>
      </c>
      <c r="N116" s="65">
        <v>3950781.88</v>
      </c>
      <c r="O116" s="65">
        <v>263055.71000000002</v>
      </c>
      <c r="P116" s="88">
        <v>3680649.49</v>
      </c>
      <c r="Q116" s="55">
        <f t="shared" si="57"/>
        <v>2.4797519759395255E-6</v>
      </c>
      <c r="R116" s="88">
        <v>3687726.17</v>
      </c>
      <c r="S116" s="55">
        <f t="shared" si="59"/>
        <v>1.3112294851020756E-4</v>
      </c>
      <c r="T116" s="56">
        <f t="shared" si="60"/>
        <v>1.9226715337133885E-3</v>
      </c>
      <c r="U116" s="57">
        <f t="shared" si="61"/>
        <v>2.2816146351777524E-3</v>
      </c>
      <c r="V116" s="58">
        <f t="shared" si="62"/>
        <v>3.2174541853252623E-3</v>
      </c>
      <c r="W116" s="59">
        <f t="shared" si="63"/>
        <v>107.444967367869</v>
      </c>
      <c r="X116" s="59">
        <f t="shared" si="64"/>
        <v>0.34569925994988637</v>
      </c>
      <c r="Y116" s="65">
        <v>101.62</v>
      </c>
      <c r="Z116" s="65">
        <v>101.38</v>
      </c>
      <c r="AA116" s="64">
        <v>87</v>
      </c>
      <c r="AB116" s="64">
        <v>34322</v>
      </c>
      <c r="AC116" s="64"/>
      <c r="AD116" s="64"/>
      <c r="AE116" s="65">
        <v>34322</v>
      </c>
      <c r="AF116" s="5"/>
      <c r="AG116" s="17"/>
      <c r="AH116" s="17"/>
      <c r="AI116" s="17"/>
      <c r="AJ116" s="17"/>
      <c r="AK116" s="17"/>
      <c r="AL116" s="17"/>
      <c r="AM116" s="17"/>
      <c r="AN116" s="17"/>
      <c r="AO116" s="17"/>
      <c r="AP116" s="17"/>
      <c r="AQ116" s="17"/>
      <c r="AR116" s="17"/>
      <c r="AS116" s="17"/>
      <c r="AT116" s="17"/>
      <c r="AU116" s="17"/>
      <c r="AV116" s="17"/>
      <c r="AW116" s="17"/>
      <c r="AX116" s="17"/>
      <c r="AY116" s="17"/>
      <c r="AZ116" s="17"/>
      <c r="BA116" s="17"/>
      <c r="BB116" s="17"/>
      <c r="BC116" s="17"/>
      <c r="BD116" s="17"/>
      <c r="BE116" s="17"/>
      <c r="BF116" s="17"/>
      <c r="BG116" s="17"/>
      <c r="BH116" s="17"/>
      <c r="BI116" s="17"/>
      <c r="BJ116" s="17"/>
      <c r="BK116" s="17"/>
      <c r="BL116" s="17"/>
      <c r="BM116" s="17"/>
      <c r="BN116" s="17"/>
      <c r="BO116" s="17"/>
      <c r="BP116" s="17"/>
      <c r="BQ116" s="17"/>
      <c r="BR116" s="17"/>
      <c r="BS116" s="17"/>
      <c r="BT116" s="17"/>
      <c r="BU116" s="17"/>
      <c r="BV116" s="17"/>
      <c r="BW116" s="17"/>
      <c r="BX116" s="17"/>
      <c r="BY116" s="17"/>
      <c r="BZ116" s="17"/>
      <c r="CA116" s="17"/>
      <c r="CB116" s="17"/>
      <c r="CC116" s="17"/>
      <c r="CD116" s="17"/>
      <c r="CE116" s="17"/>
      <c r="CF116" s="17"/>
      <c r="CG116" s="17"/>
      <c r="CH116" s="17"/>
      <c r="CI116" s="17"/>
      <c r="CJ116" s="17"/>
      <c r="CK116" s="17"/>
      <c r="CL116" s="17"/>
      <c r="CM116" s="17"/>
      <c r="CN116" s="17"/>
      <c r="CO116" s="17"/>
      <c r="CP116" s="17"/>
      <c r="CQ116" s="17"/>
      <c r="CR116" s="17"/>
      <c r="CS116" s="17"/>
      <c r="CT116" s="17"/>
      <c r="CU116" s="17"/>
      <c r="CV116" s="17"/>
      <c r="CW116" s="17"/>
      <c r="CX116" s="17"/>
      <c r="CY116" s="17"/>
      <c r="CZ116" s="17"/>
      <c r="DA116" s="17"/>
      <c r="DB116" s="17"/>
      <c r="DC116" s="17"/>
      <c r="DD116" s="17"/>
      <c r="DE116" s="17"/>
      <c r="DF116" s="17"/>
      <c r="DG116" s="17"/>
      <c r="DH116" s="17"/>
      <c r="DI116" s="17"/>
      <c r="DJ116" s="17"/>
      <c r="DK116" s="17"/>
      <c r="DL116" s="17"/>
      <c r="DM116" s="17"/>
      <c r="DN116" s="17"/>
      <c r="DO116" s="17"/>
      <c r="DP116" s="17"/>
      <c r="DQ116" s="17"/>
      <c r="DR116" s="17"/>
      <c r="DS116" s="17"/>
      <c r="DT116" s="17"/>
      <c r="DU116" s="17"/>
      <c r="DV116" s="17"/>
      <c r="DW116" s="17"/>
      <c r="DX116" s="17"/>
      <c r="DY116" s="17"/>
      <c r="DZ116" s="17"/>
      <c r="EA116" s="17"/>
      <c r="EB116" s="17"/>
      <c r="EC116" s="17"/>
      <c r="ED116" s="17"/>
      <c r="EE116" s="17"/>
      <c r="EF116" s="17"/>
      <c r="EG116" s="17"/>
      <c r="EH116" s="17"/>
      <c r="EI116" s="17"/>
      <c r="EJ116" s="17"/>
      <c r="EK116" s="17"/>
      <c r="EL116" s="17"/>
      <c r="EM116" s="17"/>
      <c r="EN116" s="17"/>
      <c r="EO116" s="17"/>
      <c r="EP116" s="17"/>
      <c r="EQ116" s="17"/>
      <c r="ER116" s="17"/>
      <c r="ES116" s="17"/>
      <c r="ET116" s="17"/>
      <c r="EU116" s="17"/>
      <c r="EV116" s="17"/>
      <c r="EW116" s="17"/>
      <c r="EX116" s="17"/>
      <c r="EY116" s="17"/>
      <c r="EZ116" s="17"/>
      <c r="FA116" s="17"/>
      <c r="FB116" s="17"/>
      <c r="FC116" s="17"/>
      <c r="FD116" s="17"/>
      <c r="FE116" s="17"/>
      <c r="FF116" s="17"/>
      <c r="FG116" s="17"/>
      <c r="FH116" s="17"/>
      <c r="FI116" s="17"/>
      <c r="FJ116" s="17"/>
      <c r="FK116" s="17"/>
      <c r="FL116" s="17"/>
      <c r="FM116" s="17"/>
      <c r="FN116" s="17"/>
      <c r="FO116" s="17"/>
      <c r="FP116" s="17"/>
      <c r="FQ116" s="17"/>
      <c r="FR116" s="17"/>
      <c r="FS116" s="17"/>
      <c r="FT116" s="17"/>
      <c r="FU116" s="17"/>
      <c r="FV116" s="17"/>
      <c r="FW116" s="17"/>
      <c r="FX116" s="17"/>
      <c r="FY116" s="17"/>
      <c r="FZ116" s="17"/>
      <c r="GA116" s="17"/>
      <c r="GB116" s="17"/>
      <c r="GC116" s="17"/>
      <c r="GD116" s="17"/>
      <c r="GE116" s="17"/>
      <c r="GF116" s="17"/>
      <c r="GG116" s="17"/>
      <c r="GH116" s="17"/>
      <c r="GI116" s="17"/>
      <c r="GJ116" s="17"/>
      <c r="GK116" s="17"/>
      <c r="GL116" s="17"/>
      <c r="GM116" s="17"/>
      <c r="GN116" s="17"/>
      <c r="GO116" s="17"/>
      <c r="GP116" s="17"/>
      <c r="GQ116" s="17"/>
      <c r="GR116" s="17"/>
      <c r="GS116" s="17"/>
      <c r="GT116" s="17"/>
      <c r="GU116" s="17"/>
      <c r="GV116" s="17"/>
      <c r="GW116" s="17"/>
      <c r="GX116" s="17"/>
      <c r="GY116" s="17"/>
      <c r="GZ116" s="17"/>
      <c r="HA116" s="17"/>
      <c r="HB116" s="17"/>
      <c r="HC116" s="17"/>
      <c r="HD116" s="17"/>
      <c r="HE116" s="17"/>
      <c r="HF116" s="17"/>
      <c r="HG116" s="17"/>
      <c r="HH116" s="17"/>
      <c r="HI116" s="17"/>
      <c r="HJ116" s="17"/>
      <c r="HK116" s="17"/>
      <c r="HL116" s="17"/>
      <c r="HM116" s="17"/>
      <c r="HN116" s="17"/>
      <c r="HO116" s="17"/>
      <c r="HP116" s="17"/>
      <c r="HQ116" s="17"/>
      <c r="HR116" s="17"/>
      <c r="HS116" s="17"/>
      <c r="HT116" s="17"/>
      <c r="HU116" s="17"/>
      <c r="HV116" s="17"/>
      <c r="HW116" s="17"/>
      <c r="HX116" s="17"/>
      <c r="HY116" s="17"/>
      <c r="HZ116" s="17"/>
      <c r="IA116" s="17"/>
      <c r="IB116" s="17"/>
      <c r="IC116" s="17"/>
      <c r="ID116" s="17"/>
      <c r="IE116" s="17"/>
      <c r="IF116" s="17"/>
      <c r="IG116" s="17"/>
    </row>
    <row r="117" spans="1:241" s="33" customFormat="1" ht="16.5" customHeight="1" x14ac:dyDescent="0.25">
      <c r="A117" s="47">
        <v>100</v>
      </c>
      <c r="B117" s="43" t="s">
        <v>134</v>
      </c>
      <c r="C117" s="44" t="s">
        <v>69</v>
      </c>
      <c r="D117" s="65">
        <v>51513289.299999997</v>
      </c>
      <c r="E117" s="65"/>
      <c r="F117" s="65">
        <v>54887790.93</v>
      </c>
      <c r="G117" s="65">
        <v>3236305.03</v>
      </c>
      <c r="H117" s="98"/>
      <c r="I117" s="99"/>
      <c r="J117" s="99">
        <v>109637385.25</v>
      </c>
      <c r="K117" s="99">
        <v>451657.79</v>
      </c>
      <c r="L117" s="99">
        <v>341230.22</v>
      </c>
      <c r="M117" s="52">
        <v>-1820899.04</v>
      </c>
      <c r="N117" s="65">
        <v>120194150.48999999</v>
      </c>
      <c r="O117" s="65">
        <v>1794614.44</v>
      </c>
      <c r="P117" s="88">
        <v>120367785.54000001</v>
      </c>
      <c r="Q117" s="55">
        <f t="shared" si="57"/>
        <v>8.1094995555330645E-5</v>
      </c>
      <c r="R117" s="88">
        <v>118399536.06</v>
      </c>
      <c r="S117" s="55">
        <f t="shared" si="59"/>
        <v>4.2098831514997877E-3</v>
      </c>
      <c r="T117" s="56">
        <f t="shared" si="60"/>
        <v>-1.6351962206249324E-2</v>
      </c>
      <c r="U117" s="57">
        <f t="shared" si="61"/>
        <v>2.8820232861983394E-3</v>
      </c>
      <c r="V117" s="58">
        <f t="shared" si="62"/>
        <v>-1.5379275127203568E-2</v>
      </c>
      <c r="W117" s="59">
        <f t="shared" si="63"/>
        <v>1.1534488938567495</v>
      </c>
      <c r="X117" s="59">
        <f t="shared" si="64"/>
        <v>-1.7739207883791578E-2</v>
      </c>
      <c r="Y117" s="65">
        <v>1.1471</v>
      </c>
      <c r="Z117" s="132">
        <v>1.1579999999999999</v>
      </c>
      <c r="AA117" s="64">
        <v>194</v>
      </c>
      <c r="AB117" s="64">
        <v>102778087.88</v>
      </c>
      <c r="AC117" s="65">
        <v>82036.62</v>
      </c>
      <c r="AD117" s="65">
        <v>211852.26</v>
      </c>
      <c r="AE117" s="50">
        <v>102648272.23</v>
      </c>
      <c r="AF117" s="32"/>
      <c r="AG117" s="23"/>
      <c r="AH117" s="23"/>
      <c r="AI117" s="23"/>
      <c r="AJ117" s="23"/>
      <c r="AK117" s="23"/>
      <c r="AL117" s="23"/>
      <c r="AM117" s="23"/>
      <c r="AN117" s="23"/>
      <c r="AO117" s="23"/>
      <c r="AP117" s="23"/>
      <c r="AQ117" s="23"/>
      <c r="AR117" s="23"/>
      <c r="AS117" s="23"/>
      <c r="AT117" s="23"/>
      <c r="AU117" s="23"/>
      <c r="AV117" s="23"/>
      <c r="AW117" s="23"/>
      <c r="AX117" s="23"/>
      <c r="AY117" s="23"/>
      <c r="AZ117" s="23"/>
      <c r="BA117" s="23"/>
      <c r="BB117" s="23"/>
      <c r="BC117" s="23"/>
      <c r="BD117" s="23"/>
      <c r="BE117" s="23"/>
      <c r="BF117" s="23"/>
      <c r="BG117" s="23"/>
      <c r="BH117" s="23"/>
      <c r="BI117" s="23"/>
      <c r="BJ117" s="23"/>
      <c r="BK117" s="23"/>
      <c r="BL117" s="23"/>
      <c r="BM117" s="23"/>
      <c r="BN117" s="23"/>
      <c r="BO117" s="23"/>
      <c r="BP117" s="23"/>
      <c r="BQ117" s="23"/>
      <c r="BR117" s="23"/>
      <c r="BS117" s="23"/>
      <c r="BT117" s="23"/>
      <c r="BU117" s="23"/>
      <c r="BV117" s="23"/>
      <c r="BW117" s="23"/>
      <c r="BX117" s="23"/>
      <c r="BY117" s="23"/>
      <c r="BZ117" s="23"/>
      <c r="CA117" s="23"/>
      <c r="CB117" s="23"/>
      <c r="CC117" s="23"/>
      <c r="CD117" s="23"/>
      <c r="CE117" s="23"/>
      <c r="CF117" s="23"/>
      <c r="CG117" s="23"/>
      <c r="CH117" s="23"/>
      <c r="CI117" s="23"/>
      <c r="CJ117" s="23"/>
      <c r="CK117" s="23"/>
      <c r="CL117" s="23"/>
      <c r="CM117" s="23"/>
      <c r="CN117" s="23"/>
      <c r="CO117" s="23"/>
      <c r="CP117" s="23"/>
      <c r="CQ117" s="23"/>
      <c r="CR117" s="23"/>
      <c r="CS117" s="23"/>
      <c r="CT117" s="23"/>
      <c r="CU117" s="23"/>
      <c r="CV117" s="23"/>
      <c r="CW117" s="23"/>
      <c r="CX117" s="23"/>
      <c r="CY117" s="23"/>
      <c r="CZ117" s="23"/>
      <c r="DA117" s="23"/>
      <c r="DB117" s="23"/>
      <c r="DC117" s="23"/>
      <c r="DD117" s="23"/>
      <c r="DE117" s="23"/>
      <c r="DF117" s="23"/>
      <c r="DG117" s="23"/>
      <c r="DH117" s="23"/>
      <c r="DI117" s="23"/>
      <c r="DJ117" s="23"/>
      <c r="DK117" s="23"/>
      <c r="DL117" s="23"/>
      <c r="DM117" s="23"/>
      <c r="DN117" s="23"/>
      <c r="DO117" s="23"/>
      <c r="DP117" s="23"/>
      <c r="DQ117" s="23"/>
      <c r="DR117" s="23"/>
      <c r="DS117" s="23"/>
      <c r="DT117" s="23"/>
      <c r="DU117" s="23"/>
      <c r="DV117" s="23"/>
      <c r="DW117" s="23"/>
      <c r="DX117" s="23"/>
      <c r="DY117" s="23"/>
      <c r="DZ117" s="23"/>
      <c r="EA117" s="23"/>
      <c r="EB117" s="23"/>
      <c r="EC117" s="23"/>
      <c r="ED117" s="23"/>
      <c r="EE117" s="23"/>
      <c r="EF117" s="23"/>
      <c r="EG117" s="23"/>
      <c r="EH117" s="23"/>
      <c r="EI117" s="23"/>
      <c r="EJ117" s="23"/>
      <c r="EK117" s="23"/>
      <c r="EL117" s="23"/>
      <c r="EM117" s="23"/>
      <c r="EN117" s="23"/>
      <c r="EO117" s="23"/>
      <c r="EP117" s="23"/>
      <c r="EQ117" s="23"/>
      <c r="ER117" s="23"/>
      <c r="ES117" s="23"/>
      <c r="ET117" s="23"/>
      <c r="EU117" s="23"/>
      <c r="EV117" s="23"/>
      <c r="EW117" s="23"/>
      <c r="EX117" s="23"/>
      <c r="EY117" s="23"/>
      <c r="EZ117" s="23"/>
      <c r="FA117" s="23"/>
      <c r="FB117" s="23"/>
      <c r="FC117" s="23"/>
      <c r="FD117" s="23"/>
      <c r="FE117" s="23"/>
      <c r="FF117" s="23"/>
      <c r="FG117" s="23"/>
      <c r="FH117" s="23"/>
      <c r="FI117" s="23"/>
      <c r="FJ117" s="23"/>
      <c r="FK117" s="23"/>
      <c r="FL117" s="23"/>
      <c r="FM117" s="23"/>
      <c r="FN117" s="23"/>
      <c r="FO117" s="23"/>
      <c r="FP117" s="23"/>
      <c r="FQ117" s="23"/>
      <c r="FR117" s="23"/>
      <c r="FS117" s="23"/>
      <c r="FT117" s="23"/>
      <c r="FU117" s="23"/>
      <c r="FV117" s="23"/>
      <c r="FW117" s="23"/>
      <c r="FX117" s="23"/>
      <c r="FY117" s="23"/>
      <c r="FZ117" s="23"/>
      <c r="GA117" s="23"/>
      <c r="GB117" s="23"/>
      <c r="GC117" s="23"/>
      <c r="GD117" s="23"/>
      <c r="GE117" s="23"/>
      <c r="GF117" s="23"/>
      <c r="GG117" s="23"/>
      <c r="GH117" s="23"/>
      <c r="GI117" s="23"/>
      <c r="GJ117" s="23"/>
      <c r="GK117" s="23"/>
      <c r="GL117" s="23"/>
      <c r="GM117" s="23"/>
      <c r="GN117" s="23"/>
      <c r="GO117" s="23"/>
      <c r="GP117" s="23"/>
      <c r="GQ117" s="23"/>
      <c r="GR117" s="23"/>
      <c r="GS117" s="23"/>
      <c r="GT117" s="23"/>
      <c r="GU117" s="23"/>
      <c r="GV117" s="23"/>
      <c r="GW117" s="23"/>
      <c r="GX117" s="23"/>
      <c r="GY117" s="23"/>
      <c r="GZ117" s="23"/>
      <c r="HA117" s="23"/>
      <c r="HB117" s="23"/>
      <c r="HC117" s="23"/>
      <c r="HD117" s="23"/>
      <c r="HE117" s="23"/>
      <c r="HF117" s="23"/>
      <c r="HG117" s="23"/>
      <c r="HH117" s="23"/>
      <c r="HI117" s="23"/>
      <c r="HJ117" s="23"/>
      <c r="HK117" s="23"/>
      <c r="HL117" s="23"/>
      <c r="HM117" s="23"/>
      <c r="HN117" s="23"/>
      <c r="HO117" s="23"/>
      <c r="HP117" s="23"/>
      <c r="HQ117" s="23"/>
      <c r="HR117" s="23"/>
      <c r="HS117" s="23"/>
      <c r="HT117" s="23"/>
      <c r="HU117" s="23"/>
      <c r="HV117" s="23"/>
      <c r="HW117" s="23"/>
      <c r="HX117" s="23"/>
      <c r="HY117" s="23"/>
      <c r="HZ117" s="23"/>
      <c r="IA117" s="23"/>
      <c r="IB117" s="23"/>
      <c r="IC117" s="23"/>
      <c r="ID117" s="23"/>
      <c r="IE117" s="23"/>
      <c r="IF117" s="23"/>
      <c r="IG117" s="23"/>
    </row>
    <row r="118" spans="1:241" s="33" customFormat="1" ht="16.5" customHeight="1" x14ac:dyDescent="0.25">
      <c r="A118" s="47">
        <v>101</v>
      </c>
      <c r="B118" s="133" t="s">
        <v>206</v>
      </c>
      <c r="C118" s="134" t="s">
        <v>207</v>
      </c>
      <c r="D118" s="65"/>
      <c r="E118" s="65"/>
      <c r="F118" s="65">
        <v>20905082.329999998</v>
      </c>
      <c r="G118" s="65"/>
      <c r="H118" s="98"/>
      <c r="I118" s="99">
        <v>11533884.199999999</v>
      </c>
      <c r="J118" s="99">
        <v>161043907.15000001</v>
      </c>
      <c r="K118" s="99">
        <v>1055140.51</v>
      </c>
      <c r="L118" s="65">
        <v>362285.53</v>
      </c>
      <c r="M118" s="112">
        <v>692854.98</v>
      </c>
      <c r="N118" s="65">
        <v>161043907.15000001</v>
      </c>
      <c r="O118" s="65">
        <v>1337838.1100000001</v>
      </c>
      <c r="P118" s="88">
        <v>0</v>
      </c>
      <c r="Q118" s="55">
        <f t="shared" si="57"/>
        <v>0</v>
      </c>
      <c r="R118" s="88">
        <v>159706069.03999999</v>
      </c>
      <c r="S118" s="55">
        <f t="shared" si="59"/>
        <v>5.6786023967445422E-3</v>
      </c>
      <c r="T118" s="56" t="e">
        <f t="shared" si="60"/>
        <v>#DIV/0!</v>
      </c>
      <c r="U118" s="57">
        <f t="shared" si="61"/>
        <v>2.2684518639630529E-3</v>
      </c>
      <c r="V118" s="58">
        <f t="shared" si="62"/>
        <v>4.3383134038974275E-3</v>
      </c>
      <c r="W118" s="59">
        <f t="shared" si="63"/>
        <v>100.98692091386845</v>
      </c>
      <c r="X118" s="59">
        <f t="shared" si="64"/>
        <v>0.43811291261896496</v>
      </c>
      <c r="Y118" s="65">
        <v>100.99</v>
      </c>
      <c r="Z118" s="65">
        <v>100</v>
      </c>
      <c r="AA118" s="64">
        <v>46</v>
      </c>
      <c r="AB118" s="64">
        <v>1617015</v>
      </c>
      <c r="AC118" s="64">
        <v>5339</v>
      </c>
      <c r="AD118" s="64">
        <v>40900</v>
      </c>
      <c r="AE118" s="65">
        <v>1581453</v>
      </c>
      <c r="AF118" s="32"/>
      <c r="AG118" s="23"/>
      <c r="AH118" s="23"/>
      <c r="AI118" s="23"/>
      <c r="AJ118" s="23"/>
      <c r="AK118" s="23"/>
      <c r="AL118" s="23"/>
      <c r="AM118" s="23"/>
      <c r="AN118" s="23"/>
      <c r="AO118" s="23"/>
      <c r="AP118" s="23"/>
      <c r="AQ118" s="23"/>
      <c r="AR118" s="23"/>
      <c r="AS118" s="23"/>
      <c r="AT118" s="23"/>
      <c r="AU118" s="23"/>
      <c r="AV118" s="23"/>
      <c r="AW118" s="23"/>
      <c r="AX118" s="23"/>
      <c r="AY118" s="23"/>
      <c r="AZ118" s="23"/>
      <c r="BA118" s="23"/>
      <c r="BB118" s="23"/>
      <c r="BC118" s="23"/>
      <c r="BD118" s="23"/>
      <c r="BE118" s="23"/>
      <c r="BF118" s="23"/>
      <c r="BG118" s="23"/>
      <c r="BH118" s="23"/>
      <c r="BI118" s="23"/>
      <c r="BJ118" s="23"/>
      <c r="BK118" s="23"/>
      <c r="BL118" s="23"/>
      <c r="BM118" s="23"/>
      <c r="BN118" s="23"/>
      <c r="BO118" s="23"/>
      <c r="BP118" s="23"/>
      <c r="BQ118" s="23"/>
      <c r="BR118" s="23"/>
      <c r="BS118" s="23"/>
      <c r="BT118" s="23"/>
      <c r="BU118" s="23"/>
      <c r="BV118" s="23"/>
      <c r="BW118" s="23"/>
      <c r="BX118" s="23"/>
      <c r="BY118" s="23"/>
      <c r="BZ118" s="23"/>
      <c r="CA118" s="23"/>
      <c r="CB118" s="23"/>
      <c r="CC118" s="23"/>
      <c r="CD118" s="23"/>
      <c r="CE118" s="23"/>
      <c r="CF118" s="23"/>
      <c r="CG118" s="23"/>
      <c r="CH118" s="23"/>
      <c r="CI118" s="23"/>
      <c r="CJ118" s="23"/>
      <c r="CK118" s="23"/>
      <c r="CL118" s="23"/>
      <c r="CM118" s="23"/>
      <c r="CN118" s="23"/>
      <c r="CO118" s="23"/>
      <c r="CP118" s="23"/>
      <c r="CQ118" s="23"/>
      <c r="CR118" s="23"/>
      <c r="CS118" s="23"/>
      <c r="CT118" s="23"/>
      <c r="CU118" s="23"/>
      <c r="CV118" s="23"/>
      <c r="CW118" s="23"/>
      <c r="CX118" s="23"/>
      <c r="CY118" s="23"/>
      <c r="CZ118" s="23"/>
      <c r="DA118" s="23"/>
      <c r="DB118" s="23"/>
      <c r="DC118" s="23"/>
      <c r="DD118" s="23"/>
      <c r="DE118" s="23"/>
      <c r="DF118" s="23"/>
      <c r="DG118" s="23"/>
      <c r="DH118" s="23"/>
      <c r="DI118" s="23"/>
      <c r="DJ118" s="23"/>
      <c r="DK118" s="23"/>
      <c r="DL118" s="23"/>
      <c r="DM118" s="23"/>
      <c r="DN118" s="23"/>
      <c r="DO118" s="23"/>
      <c r="DP118" s="23"/>
      <c r="DQ118" s="23"/>
      <c r="DR118" s="23"/>
      <c r="DS118" s="23"/>
      <c r="DT118" s="23"/>
      <c r="DU118" s="23"/>
      <c r="DV118" s="23"/>
      <c r="DW118" s="23"/>
      <c r="DX118" s="23"/>
      <c r="DY118" s="23"/>
      <c r="DZ118" s="23"/>
      <c r="EA118" s="23"/>
      <c r="EB118" s="23"/>
      <c r="EC118" s="23"/>
      <c r="ED118" s="23"/>
      <c r="EE118" s="23"/>
      <c r="EF118" s="23"/>
      <c r="EG118" s="23"/>
      <c r="EH118" s="23"/>
      <c r="EI118" s="23"/>
      <c r="EJ118" s="23"/>
      <c r="EK118" s="23"/>
      <c r="EL118" s="23"/>
      <c r="EM118" s="23"/>
      <c r="EN118" s="23"/>
      <c r="EO118" s="23"/>
      <c r="EP118" s="23"/>
      <c r="EQ118" s="23"/>
      <c r="ER118" s="23"/>
      <c r="ES118" s="23"/>
      <c r="ET118" s="23"/>
      <c r="EU118" s="23"/>
      <c r="EV118" s="23"/>
      <c r="EW118" s="23"/>
      <c r="EX118" s="23"/>
      <c r="EY118" s="23"/>
      <c r="EZ118" s="23"/>
      <c r="FA118" s="23"/>
      <c r="FB118" s="23"/>
      <c r="FC118" s="23"/>
      <c r="FD118" s="23"/>
      <c r="FE118" s="23"/>
      <c r="FF118" s="23"/>
      <c r="FG118" s="23"/>
      <c r="FH118" s="23"/>
      <c r="FI118" s="23"/>
      <c r="FJ118" s="23"/>
      <c r="FK118" s="23"/>
      <c r="FL118" s="23"/>
      <c r="FM118" s="23"/>
      <c r="FN118" s="23"/>
      <c r="FO118" s="23"/>
      <c r="FP118" s="23"/>
      <c r="FQ118" s="23"/>
      <c r="FR118" s="23"/>
      <c r="FS118" s="23"/>
      <c r="FT118" s="23"/>
      <c r="FU118" s="23"/>
      <c r="FV118" s="23"/>
      <c r="FW118" s="23"/>
      <c r="FX118" s="23"/>
      <c r="FY118" s="23"/>
      <c r="FZ118" s="23"/>
      <c r="GA118" s="23"/>
      <c r="GB118" s="23"/>
      <c r="GC118" s="23"/>
      <c r="GD118" s="23"/>
      <c r="GE118" s="23"/>
      <c r="GF118" s="23"/>
      <c r="GG118" s="23"/>
      <c r="GH118" s="23"/>
      <c r="GI118" s="23"/>
      <c r="GJ118" s="23"/>
      <c r="GK118" s="23"/>
      <c r="GL118" s="23"/>
      <c r="GM118" s="23"/>
      <c r="GN118" s="23"/>
      <c r="GO118" s="23"/>
      <c r="GP118" s="23"/>
      <c r="GQ118" s="23"/>
      <c r="GR118" s="23"/>
      <c r="GS118" s="23"/>
      <c r="GT118" s="23"/>
      <c r="GU118" s="23"/>
      <c r="GV118" s="23"/>
      <c r="GW118" s="23"/>
      <c r="GX118" s="23"/>
      <c r="GY118" s="23"/>
      <c r="GZ118" s="23"/>
      <c r="HA118" s="23"/>
      <c r="HB118" s="23"/>
      <c r="HC118" s="23"/>
      <c r="HD118" s="23"/>
      <c r="HE118" s="23"/>
      <c r="HF118" s="23"/>
      <c r="HG118" s="23"/>
      <c r="HH118" s="23"/>
      <c r="HI118" s="23"/>
      <c r="HJ118" s="23"/>
      <c r="HK118" s="23"/>
      <c r="HL118" s="23"/>
      <c r="HM118" s="23"/>
      <c r="HN118" s="23"/>
      <c r="HO118" s="23"/>
      <c r="HP118" s="23"/>
      <c r="HQ118" s="23"/>
      <c r="HR118" s="23"/>
      <c r="HS118" s="23"/>
      <c r="HT118" s="23"/>
      <c r="HU118" s="23"/>
      <c r="HV118" s="23"/>
      <c r="HW118" s="23"/>
      <c r="HX118" s="23"/>
      <c r="HY118" s="23"/>
      <c r="HZ118" s="23"/>
      <c r="IA118" s="23"/>
      <c r="IB118" s="23"/>
      <c r="IC118" s="23"/>
      <c r="ID118" s="23"/>
      <c r="IE118" s="23"/>
      <c r="IF118" s="23"/>
      <c r="IG118" s="23"/>
    </row>
    <row r="119" spans="1:241" s="33" customFormat="1" ht="16.5" customHeight="1" x14ac:dyDescent="0.25">
      <c r="A119" s="47">
        <v>102</v>
      </c>
      <c r="B119" s="43" t="s">
        <v>219</v>
      </c>
      <c r="C119" s="44" t="s">
        <v>154</v>
      </c>
      <c r="D119" s="65">
        <v>94782111.700000003</v>
      </c>
      <c r="E119" s="65"/>
      <c r="F119" s="65"/>
      <c r="G119" s="65">
        <v>71553739.030000001</v>
      </c>
      <c r="H119" s="98"/>
      <c r="I119" s="99">
        <v>472767.11</v>
      </c>
      <c r="J119" s="99">
        <v>166808617.84</v>
      </c>
      <c r="K119" s="99">
        <v>1589914.56</v>
      </c>
      <c r="L119" s="65">
        <v>385844.6</v>
      </c>
      <c r="M119" s="52">
        <v>1204069.96</v>
      </c>
      <c r="N119" s="65">
        <v>207957544.78</v>
      </c>
      <c r="O119" s="65">
        <v>201427589.06</v>
      </c>
      <c r="P119" s="88">
        <v>202563775.33000001</v>
      </c>
      <c r="Q119" s="55">
        <f t="shared" si="57"/>
        <v>1.3647263166271712E-4</v>
      </c>
      <c r="R119" s="88">
        <v>201990659.66</v>
      </c>
      <c r="S119" s="55">
        <f t="shared" si="59"/>
        <v>7.1820980314655624E-3</v>
      </c>
      <c r="T119" s="56">
        <f t="shared" si="60"/>
        <v>-2.829309776964536E-3</v>
      </c>
      <c r="U119" s="57">
        <f t="shared" si="61"/>
        <v>1.9102101089697484E-3</v>
      </c>
      <c r="V119" s="58">
        <f t="shared" si="62"/>
        <v>5.961018009578988E-3</v>
      </c>
      <c r="W119" s="59">
        <f t="shared" si="63"/>
        <v>1.0092089139292175</v>
      </c>
      <c r="X119" s="59">
        <f t="shared" si="64"/>
        <v>6.0159125113597167E-3</v>
      </c>
      <c r="Y119" s="65">
        <v>1.01</v>
      </c>
      <c r="Z119" s="65">
        <v>1.01</v>
      </c>
      <c r="AA119" s="64">
        <v>80</v>
      </c>
      <c r="AB119" s="64">
        <v>200096830.77000001</v>
      </c>
      <c r="AC119" s="64">
        <v>98931.54</v>
      </c>
      <c r="AD119" s="64">
        <v>48243.92</v>
      </c>
      <c r="AE119" s="65">
        <v>200147518.38999999</v>
      </c>
      <c r="AF119" s="32"/>
      <c r="AG119" s="23"/>
      <c r="AH119" s="23"/>
      <c r="AI119" s="23"/>
      <c r="AJ119" s="23"/>
      <c r="AK119" s="23"/>
      <c r="AL119" s="23"/>
      <c r="AM119" s="23"/>
      <c r="AN119" s="23"/>
      <c r="AO119" s="23"/>
      <c r="AP119" s="23"/>
      <c r="AQ119" s="23"/>
      <c r="AR119" s="23"/>
      <c r="AS119" s="23"/>
      <c r="AT119" s="23"/>
      <c r="AU119" s="23"/>
      <c r="AV119" s="23"/>
      <c r="AW119" s="23"/>
      <c r="AX119" s="23"/>
      <c r="AY119" s="23"/>
      <c r="AZ119" s="23"/>
      <c r="BA119" s="23"/>
      <c r="BB119" s="23"/>
      <c r="BC119" s="23"/>
      <c r="BD119" s="23"/>
      <c r="BE119" s="23"/>
      <c r="BF119" s="23"/>
      <c r="BG119" s="23"/>
      <c r="BH119" s="23"/>
      <c r="BI119" s="23"/>
      <c r="BJ119" s="23"/>
      <c r="BK119" s="23"/>
      <c r="BL119" s="23"/>
      <c r="BM119" s="23"/>
      <c r="BN119" s="23"/>
      <c r="BO119" s="23"/>
      <c r="BP119" s="23"/>
      <c r="BQ119" s="23"/>
      <c r="BR119" s="23"/>
      <c r="BS119" s="23"/>
      <c r="BT119" s="23"/>
      <c r="BU119" s="23"/>
      <c r="BV119" s="23"/>
      <c r="BW119" s="23"/>
      <c r="BX119" s="23"/>
      <c r="BY119" s="23"/>
      <c r="BZ119" s="23"/>
      <c r="CA119" s="23"/>
      <c r="CB119" s="23"/>
      <c r="CC119" s="23"/>
      <c r="CD119" s="23"/>
      <c r="CE119" s="23"/>
      <c r="CF119" s="23"/>
      <c r="CG119" s="23"/>
      <c r="CH119" s="23"/>
      <c r="CI119" s="23"/>
      <c r="CJ119" s="23"/>
      <c r="CK119" s="23"/>
      <c r="CL119" s="23"/>
      <c r="CM119" s="23"/>
      <c r="CN119" s="23"/>
      <c r="CO119" s="23"/>
      <c r="CP119" s="23"/>
      <c r="CQ119" s="23"/>
      <c r="CR119" s="23"/>
      <c r="CS119" s="23"/>
      <c r="CT119" s="23"/>
      <c r="CU119" s="23"/>
      <c r="CV119" s="23"/>
      <c r="CW119" s="23"/>
      <c r="CX119" s="23"/>
      <c r="CY119" s="23"/>
      <c r="CZ119" s="23"/>
      <c r="DA119" s="23"/>
      <c r="DB119" s="23"/>
      <c r="DC119" s="23"/>
      <c r="DD119" s="23"/>
      <c r="DE119" s="23"/>
      <c r="DF119" s="23"/>
      <c r="DG119" s="23"/>
      <c r="DH119" s="23"/>
      <c r="DI119" s="23"/>
      <c r="DJ119" s="23"/>
      <c r="DK119" s="23"/>
      <c r="DL119" s="23"/>
      <c r="DM119" s="23"/>
      <c r="DN119" s="23"/>
      <c r="DO119" s="23"/>
      <c r="DP119" s="23"/>
      <c r="DQ119" s="23"/>
      <c r="DR119" s="23"/>
      <c r="DS119" s="23"/>
      <c r="DT119" s="23"/>
      <c r="DU119" s="23"/>
      <c r="DV119" s="23"/>
      <c r="DW119" s="23"/>
      <c r="DX119" s="23"/>
      <c r="DY119" s="23"/>
      <c r="DZ119" s="23"/>
      <c r="EA119" s="23"/>
      <c r="EB119" s="23"/>
      <c r="EC119" s="23"/>
      <c r="ED119" s="23"/>
      <c r="EE119" s="23"/>
      <c r="EF119" s="23"/>
      <c r="EG119" s="23"/>
      <c r="EH119" s="23"/>
      <c r="EI119" s="23"/>
      <c r="EJ119" s="23"/>
      <c r="EK119" s="23"/>
      <c r="EL119" s="23"/>
      <c r="EM119" s="23"/>
      <c r="EN119" s="23"/>
      <c r="EO119" s="23"/>
      <c r="EP119" s="23"/>
      <c r="EQ119" s="23"/>
      <c r="ER119" s="23"/>
      <c r="ES119" s="23"/>
      <c r="ET119" s="23"/>
      <c r="EU119" s="23"/>
      <c r="EV119" s="23"/>
      <c r="EW119" s="23"/>
      <c r="EX119" s="23"/>
      <c r="EY119" s="23"/>
      <c r="EZ119" s="23"/>
      <c r="FA119" s="23"/>
      <c r="FB119" s="23"/>
      <c r="FC119" s="23"/>
      <c r="FD119" s="23"/>
      <c r="FE119" s="23"/>
      <c r="FF119" s="23"/>
      <c r="FG119" s="23"/>
      <c r="FH119" s="23"/>
      <c r="FI119" s="23"/>
      <c r="FJ119" s="23"/>
      <c r="FK119" s="23"/>
      <c r="FL119" s="23"/>
      <c r="FM119" s="23"/>
      <c r="FN119" s="23"/>
      <c r="FO119" s="23"/>
      <c r="FP119" s="23"/>
      <c r="FQ119" s="23"/>
      <c r="FR119" s="23"/>
      <c r="FS119" s="23"/>
      <c r="FT119" s="23"/>
      <c r="FU119" s="23"/>
      <c r="FV119" s="23"/>
      <c r="FW119" s="23"/>
      <c r="FX119" s="23"/>
      <c r="FY119" s="23"/>
      <c r="FZ119" s="23"/>
      <c r="GA119" s="23"/>
      <c r="GB119" s="23"/>
      <c r="GC119" s="23"/>
      <c r="GD119" s="23"/>
      <c r="GE119" s="23"/>
      <c r="GF119" s="23"/>
      <c r="GG119" s="23"/>
      <c r="GH119" s="23"/>
      <c r="GI119" s="23"/>
      <c r="GJ119" s="23"/>
      <c r="GK119" s="23"/>
      <c r="GL119" s="23"/>
      <c r="GM119" s="23"/>
      <c r="GN119" s="23"/>
      <c r="GO119" s="23"/>
      <c r="GP119" s="23"/>
      <c r="GQ119" s="23"/>
      <c r="GR119" s="23"/>
      <c r="GS119" s="23"/>
      <c r="GT119" s="23"/>
      <c r="GU119" s="23"/>
      <c r="GV119" s="23"/>
      <c r="GW119" s="23"/>
      <c r="GX119" s="23"/>
      <c r="GY119" s="23"/>
      <c r="GZ119" s="23"/>
      <c r="HA119" s="23"/>
      <c r="HB119" s="23"/>
      <c r="HC119" s="23"/>
      <c r="HD119" s="23"/>
      <c r="HE119" s="23"/>
      <c r="HF119" s="23"/>
      <c r="HG119" s="23"/>
      <c r="HH119" s="23"/>
      <c r="HI119" s="23"/>
      <c r="HJ119" s="23"/>
      <c r="HK119" s="23"/>
      <c r="HL119" s="23"/>
      <c r="HM119" s="23"/>
      <c r="HN119" s="23"/>
      <c r="HO119" s="23"/>
      <c r="HP119" s="23"/>
      <c r="HQ119" s="23"/>
      <c r="HR119" s="23"/>
      <c r="HS119" s="23"/>
      <c r="HT119" s="23"/>
      <c r="HU119" s="23"/>
      <c r="HV119" s="23"/>
      <c r="HW119" s="23"/>
      <c r="HX119" s="23"/>
      <c r="HY119" s="23"/>
      <c r="HZ119" s="23"/>
      <c r="IA119" s="23"/>
      <c r="IB119" s="23"/>
      <c r="IC119" s="23"/>
      <c r="ID119" s="23"/>
      <c r="IE119" s="23"/>
      <c r="IF119" s="23"/>
      <c r="IG119" s="23"/>
    </row>
    <row r="120" spans="1:241" s="33" customFormat="1" ht="16.5" customHeight="1" x14ac:dyDescent="0.25">
      <c r="A120" s="47">
        <v>103</v>
      </c>
      <c r="B120" s="44" t="s">
        <v>131</v>
      </c>
      <c r="C120" s="44" t="s">
        <v>53</v>
      </c>
      <c r="D120" s="65">
        <v>1848350746.51</v>
      </c>
      <c r="E120" s="65"/>
      <c r="F120" s="65">
        <v>1618346038.52</v>
      </c>
      <c r="G120" s="65">
        <v>1232765133.7</v>
      </c>
      <c r="H120" s="98"/>
      <c r="I120" s="99"/>
      <c r="J120" s="99">
        <v>4681397963.8199997</v>
      </c>
      <c r="K120" s="99">
        <v>31531891.16</v>
      </c>
      <c r="L120" s="65">
        <v>7724788.2400000002</v>
      </c>
      <c r="M120" s="52">
        <v>-48072036</v>
      </c>
      <c r="N120" s="65">
        <v>4699522982.1000004</v>
      </c>
      <c r="O120" s="65">
        <v>18125018.280000001</v>
      </c>
      <c r="P120" s="88">
        <v>4723332811.9700003</v>
      </c>
      <c r="Q120" s="55">
        <f t="shared" si="57"/>
        <v>3.1822356095914479E-3</v>
      </c>
      <c r="R120" s="88">
        <v>4681397963.8199997</v>
      </c>
      <c r="S120" s="55">
        <f t="shared" si="59"/>
        <v>0.16645452397181656</v>
      </c>
      <c r="T120" s="56">
        <f t="shared" si="60"/>
        <v>-8.8782327689736623E-3</v>
      </c>
      <c r="U120" s="57">
        <f t="shared" si="61"/>
        <v>1.6501028751882926E-3</v>
      </c>
      <c r="V120" s="58">
        <f t="shared" si="62"/>
        <v>-1.0268735187976507E-2</v>
      </c>
      <c r="W120" s="59">
        <f t="shared" si="63"/>
        <v>190.97770754850401</v>
      </c>
      <c r="X120" s="59">
        <f t="shared" si="64"/>
        <v>-1.9610995056224096</v>
      </c>
      <c r="Y120" s="65">
        <v>190.98</v>
      </c>
      <c r="Z120" s="65">
        <v>183.16</v>
      </c>
      <c r="AA120" s="64">
        <v>5460</v>
      </c>
      <c r="AB120" s="64">
        <v>24495515.109999999</v>
      </c>
      <c r="AC120" s="65">
        <v>23426.48</v>
      </c>
      <c r="AD120" s="65">
        <v>6143.61</v>
      </c>
      <c r="AE120" s="50">
        <v>24512797.98</v>
      </c>
      <c r="AF120" s="32"/>
      <c r="AG120" s="23"/>
      <c r="AH120" s="23"/>
      <c r="AI120" s="23"/>
      <c r="AJ120" s="23"/>
      <c r="AK120" s="23"/>
      <c r="AL120" s="23"/>
      <c r="AM120" s="23"/>
      <c r="AN120" s="23"/>
      <c r="AO120" s="23"/>
      <c r="AP120" s="23"/>
      <c r="AQ120" s="23"/>
      <c r="AR120" s="23"/>
      <c r="AS120" s="23"/>
      <c r="AT120" s="23"/>
      <c r="AU120" s="23"/>
      <c r="AV120" s="23"/>
      <c r="AW120" s="23"/>
      <c r="AX120" s="23"/>
      <c r="AY120" s="23"/>
      <c r="AZ120" s="23"/>
      <c r="BA120" s="23"/>
      <c r="BB120" s="23"/>
      <c r="BC120" s="23"/>
      <c r="BD120" s="23"/>
      <c r="BE120" s="23"/>
      <c r="BF120" s="23"/>
      <c r="BG120" s="23"/>
      <c r="BH120" s="23"/>
      <c r="BI120" s="23"/>
      <c r="BJ120" s="23"/>
      <c r="BK120" s="23"/>
      <c r="BL120" s="23"/>
      <c r="BM120" s="23"/>
      <c r="BN120" s="23"/>
      <c r="BO120" s="23"/>
      <c r="BP120" s="23"/>
      <c r="BQ120" s="23"/>
      <c r="BR120" s="23"/>
      <c r="BS120" s="23"/>
      <c r="BT120" s="23"/>
      <c r="BU120" s="23"/>
      <c r="BV120" s="23"/>
      <c r="BW120" s="23"/>
      <c r="BX120" s="23"/>
      <c r="BY120" s="23"/>
      <c r="BZ120" s="23"/>
      <c r="CA120" s="23"/>
      <c r="CB120" s="23"/>
      <c r="CC120" s="23"/>
      <c r="CD120" s="23"/>
      <c r="CE120" s="23"/>
      <c r="CF120" s="23"/>
      <c r="CG120" s="23"/>
      <c r="CH120" s="23"/>
      <c r="CI120" s="23"/>
      <c r="CJ120" s="23"/>
      <c r="CK120" s="23"/>
      <c r="CL120" s="23"/>
      <c r="CM120" s="23"/>
      <c r="CN120" s="23"/>
      <c r="CO120" s="23"/>
      <c r="CP120" s="23"/>
      <c r="CQ120" s="23"/>
      <c r="CR120" s="23"/>
      <c r="CS120" s="23"/>
      <c r="CT120" s="23"/>
      <c r="CU120" s="23"/>
      <c r="CV120" s="23"/>
      <c r="CW120" s="23"/>
      <c r="CX120" s="23"/>
      <c r="CY120" s="23"/>
      <c r="CZ120" s="23"/>
      <c r="DA120" s="23"/>
      <c r="DB120" s="23"/>
      <c r="DC120" s="23"/>
      <c r="DD120" s="23"/>
      <c r="DE120" s="23"/>
      <c r="DF120" s="23"/>
      <c r="DG120" s="23"/>
      <c r="DH120" s="23"/>
      <c r="DI120" s="23"/>
      <c r="DJ120" s="23"/>
      <c r="DK120" s="23"/>
      <c r="DL120" s="23"/>
      <c r="DM120" s="23"/>
      <c r="DN120" s="23"/>
      <c r="DO120" s="23"/>
      <c r="DP120" s="23"/>
      <c r="DQ120" s="23"/>
      <c r="DR120" s="23"/>
      <c r="DS120" s="23"/>
      <c r="DT120" s="23"/>
      <c r="DU120" s="23"/>
      <c r="DV120" s="23"/>
      <c r="DW120" s="23"/>
      <c r="DX120" s="23"/>
      <c r="DY120" s="23"/>
      <c r="DZ120" s="23"/>
      <c r="EA120" s="23"/>
      <c r="EB120" s="23"/>
      <c r="EC120" s="23"/>
      <c r="ED120" s="23"/>
      <c r="EE120" s="23"/>
      <c r="EF120" s="23"/>
      <c r="EG120" s="23"/>
      <c r="EH120" s="23"/>
      <c r="EI120" s="23"/>
      <c r="EJ120" s="23"/>
      <c r="EK120" s="23"/>
      <c r="EL120" s="23"/>
      <c r="EM120" s="23"/>
      <c r="EN120" s="23"/>
      <c r="EO120" s="23"/>
      <c r="EP120" s="23"/>
      <c r="EQ120" s="23"/>
      <c r="ER120" s="23"/>
      <c r="ES120" s="23"/>
      <c r="ET120" s="23"/>
      <c r="EU120" s="23"/>
      <c r="EV120" s="23"/>
      <c r="EW120" s="23"/>
      <c r="EX120" s="23"/>
      <c r="EY120" s="23"/>
      <c r="EZ120" s="23"/>
      <c r="FA120" s="23"/>
      <c r="FB120" s="23"/>
      <c r="FC120" s="23"/>
      <c r="FD120" s="23"/>
      <c r="FE120" s="23"/>
      <c r="FF120" s="23"/>
      <c r="FG120" s="23"/>
      <c r="FH120" s="23"/>
      <c r="FI120" s="23"/>
      <c r="FJ120" s="23"/>
      <c r="FK120" s="23"/>
      <c r="FL120" s="23"/>
      <c r="FM120" s="23"/>
      <c r="FN120" s="23"/>
      <c r="FO120" s="23"/>
      <c r="FP120" s="23"/>
      <c r="FQ120" s="23"/>
      <c r="FR120" s="23"/>
      <c r="FS120" s="23"/>
      <c r="FT120" s="23"/>
      <c r="FU120" s="23"/>
      <c r="FV120" s="23"/>
      <c r="FW120" s="23"/>
      <c r="FX120" s="23"/>
      <c r="FY120" s="23"/>
      <c r="FZ120" s="23"/>
      <c r="GA120" s="23"/>
      <c r="GB120" s="23"/>
      <c r="GC120" s="23"/>
      <c r="GD120" s="23"/>
      <c r="GE120" s="23"/>
      <c r="GF120" s="23"/>
      <c r="GG120" s="23"/>
      <c r="GH120" s="23"/>
      <c r="GI120" s="23"/>
      <c r="GJ120" s="23"/>
      <c r="GK120" s="23"/>
      <c r="GL120" s="23"/>
      <c r="GM120" s="23"/>
      <c r="GN120" s="23"/>
      <c r="GO120" s="23"/>
      <c r="GP120" s="23"/>
      <c r="GQ120" s="23"/>
      <c r="GR120" s="23"/>
      <c r="GS120" s="23"/>
      <c r="GT120" s="23"/>
      <c r="GU120" s="23"/>
      <c r="GV120" s="23"/>
      <c r="GW120" s="23"/>
      <c r="GX120" s="23"/>
      <c r="GY120" s="23"/>
      <c r="GZ120" s="23"/>
      <c r="HA120" s="23"/>
      <c r="HB120" s="23"/>
      <c r="HC120" s="23"/>
      <c r="HD120" s="23"/>
      <c r="HE120" s="23"/>
      <c r="HF120" s="23"/>
      <c r="HG120" s="23"/>
      <c r="HH120" s="23"/>
      <c r="HI120" s="23"/>
      <c r="HJ120" s="23"/>
      <c r="HK120" s="23"/>
      <c r="HL120" s="23"/>
      <c r="HM120" s="23"/>
      <c r="HN120" s="23"/>
      <c r="HO120" s="23"/>
      <c r="HP120" s="23"/>
      <c r="HQ120" s="23"/>
      <c r="HR120" s="23"/>
      <c r="HS120" s="23"/>
      <c r="HT120" s="23"/>
      <c r="HU120" s="23"/>
      <c r="HV120" s="23"/>
      <c r="HW120" s="23"/>
      <c r="HX120" s="23"/>
      <c r="HY120" s="23"/>
      <c r="HZ120" s="23"/>
      <c r="IA120" s="23"/>
      <c r="IB120" s="23"/>
      <c r="IC120" s="23"/>
      <c r="ID120" s="23"/>
      <c r="IE120" s="23"/>
      <c r="IF120" s="23"/>
      <c r="IG120" s="23"/>
    </row>
    <row r="121" spans="1:241" s="33" customFormat="1" ht="16.5" customHeight="1" x14ac:dyDescent="0.25">
      <c r="A121" s="47">
        <v>104</v>
      </c>
      <c r="B121" s="135" t="s">
        <v>169</v>
      </c>
      <c r="C121" s="43" t="s">
        <v>75</v>
      </c>
      <c r="D121" s="65">
        <v>894091377.48000002</v>
      </c>
      <c r="E121" s="65">
        <f>63259235+111531.45</f>
        <v>63370766.450000003</v>
      </c>
      <c r="F121" s="65">
        <v>92218168.650000006</v>
      </c>
      <c r="G121" s="65">
        <v>834186550.24000001</v>
      </c>
      <c r="H121" s="98"/>
      <c r="I121" s="99"/>
      <c r="J121" s="99">
        <v>1957797845.76</v>
      </c>
      <c r="K121" s="99">
        <v>15839618.43</v>
      </c>
      <c r="L121" s="65">
        <v>6396820.4199999999</v>
      </c>
      <c r="M121" s="52">
        <v>9442798.0099999998</v>
      </c>
      <c r="N121" s="65">
        <v>1980585900.6900001</v>
      </c>
      <c r="O121" s="65">
        <v>79583003.760000005</v>
      </c>
      <c r="P121" s="88">
        <v>1934077192.52</v>
      </c>
      <c r="Q121" s="55">
        <f t="shared" si="57"/>
        <v>1.3030395186505628E-3</v>
      </c>
      <c r="R121" s="88">
        <v>1901002896.9300001</v>
      </c>
      <c r="S121" s="55">
        <f t="shared" si="59"/>
        <v>6.7593170826972707E-2</v>
      </c>
      <c r="T121" s="56">
        <f t="shared" si="60"/>
        <v>-1.7100814650994289E-2</v>
      </c>
      <c r="U121" s="57">
        <f t="shared" si="61"/>
        <v>3.3649714213115941E-3</v>
      </c>
      <c r="V121" s="58">
        <f t="shared" si="62"/>
        <v>4.9672717623153147E-3</v>
      </c>
      <c r="W121" s="59">
        <f t="shared" si="63"/>
        <v>1.3026046705797141</v>
      </c>
      <c r="X121" s="59">
        <f t="shared" si="64"/>
        <v>6.4703913976306556E-3</v>
      </c>
      <c r="Y121" s="65">
        <v>1.2912999999999999</v>
      </c>
      <c r="Z121" s="65">
        <v>1.3139000000000001</v>
      </c>
      <c r="AA121" s="64">
        <v>10335</v>
      </c>
      <c r="AB121" s="64">
        <v>1479432858.0599999</v>
      </c>
      <c r="AC121" s="64"/>
      <c r="AD121" s="64">
        <v>20046952.370000001</v>
      </c>
      <c r="AE121" s="64">
        <f>AB121-AD121</f>
        <v>1459385905.6900001</v>
      </c>
      <c r="AF121" s="32"/>
      <c r="AG121" s="23"/>
      <c r="AH121" s="23"/>
      <c r="AI121" s="23"/>
      <c r="AJ121" s="23"/>
      <c r="AK121" s="23"/>
      <c r="AL121" s="23"/>
      <c r="AM121" s="23"/>
      <c r="AN121" s="23"/>
      <c r="AO121" s="23"/>
      <c r="AP121" s="23"/>
      <c r="AQ121" s="23"/>
      <c r="AR121" s="23"/>
      <c r="AS121" s="23"/>
      <c r="AT121" s="23"/>
      <c r="AU121" s="23"/>
      <c r="AV121" s="23"/>
      <c r="AW121" s="23"/>
      <c r="AX121" s="23"/>
      <c r="AY121" s="23"/>
      <c r="AZ121" s="23"/>
      <c r="BA121" s="23"/>
      <c r="BB121" s="23"/>
      <c r="BC121" s="23"/>
      <c r="BD121" s="23"/>
      <c r="BE121" s="23"/>
      <c r="BF121" s="23"/>
      <c r="BG121" s="23"/>
      <c r="BH121" s="23"/>
      <c r="BI121" s="23"/>
      <c r="BJ121" s="23"/>
      <c r="BK121" s="23"/>
      <c r="BL121" s="23"/>
      <c r="BM121" s="23"/>
      <c r="BN121" s="23"/>
      <c r="BO121" s="23"/>
      <c r="BP121" s="23"/>
      <c r="BQ121" s="23"/>
      <c r="BR121" s="23"/>
      <c r="BS121" s="23"/>
      <c r="BT121" s="23"/>
      <c r="BU121" s="23"/>
      <c r="BV121" s="23"/>
      <c r="BW121" s="23"/>
      <c r="BX121" s="23"/>
      <c r="BY121" s="23"/>
      <c r="BZ121" s="23"/>
      <c r="CA121" s="23"/>
      <c r="CB121" s="23"/>
      <c r="CC121" s="23"/>
      <c r="CD121" s="23"/>
      <c r="CE121" s="23"/>
      <c r="CF121" s="23"/>
      <c r="CG121" s="23"/>
      <c r="CH121" s="23"/>
      <c r="CI121" s="23"/>
      <c r="CJ121" s="23"/>
      <c r="CK121" s="23"/>
      <c r="CL121" s="23"/>
      <c r="CM121" s="23"/>
      <c r="CN121" s="23"/>
      <c r="CO121" s="23"/>
      <c r="CP121" s="23"/>
      <c r="CQ121" s="23"/>
      <c r="CR121" s="23"/>
      <c r="CS121" s="23"/>
      <c r="CT121" s="23"/>
      <c r="CU121" s="23"/>
      <c r="CV121" s="23"/>
      <c r="CW121" s="23"/>
      <c r="CX121" s="23"/>
      <c r="CY121" s="23"/>
      <c r="CZ121" s="23"/>
      <c r="DA121" s="23"/>
      <c r="DB121" s="23"/>
      <c r="DC121" s="23"/>
      <c r="DD121" s="23"/>
      <c r="DE121" s="23"/>
      <c r="DF121" s="23"/>
      <c r="DG121" s="23"/>
      <c r="DH121" s="23"/>
      <c r="DI121" s="23"/>
      <c r="DJ121" s="23"/>
      <c r="DK121" s="23"/>
      <c r="DL121" s="23"/>
      <c r="DM121" s="23"/>
      <c r="DN121" s="23"/>
      <c r="DO121" s="23"/>
      <c r="DP121" s="23"/>
      <c r="DQ121" s="23"/>
      <c r="DR121" s="23"/>
      <c r="DS121" s="23"/>
      <c r="DT121" s="23"/>
      <c r="DU121" s="23"/>
      <c r="DV121" s="23"/>
      <c r="DW121" s="23"/>
      <c r="DX121" s="23"/>
      <c r="DY121" s="23"/>
      <c r="DZ121" s="23"/>
      <c r="EA121" s="23"/>
      <c r="EB121" s="23"/>
      <c r="EC121" s="23"/>
      <c r="ED121" s="23"/>
      <c r="EE121" s="23"/>
      <c r="EF121" s="23"/>
      <c r="EG121" s="23"/>
      <c r="EH121" s="23"/>
      <c r="EI121" s="23"/>
      <c r="EJ121" s="23"/>
      <c r="EK121" s="23"/>
      <c r="EL121" s="23"/>
      <c r="EM121" s="23"/>
      <c r="EN121" s="23"/>
      <c r="EO121" s="23"/>
      <c r="EP121" s="23"/>
      <c r="EQ121" s="23"/>
      <c r="ER121" s="23"/>
      <c r="ES121" s="23"/>
      <c r="ET121" s="23"/>
      <c r="EU121" s="23"/>
      <c r="EV121" s="23"/>
      <c r="EW121" s="23"/>
      <c r="EX121" s="23"/>
      <c r="EY121" s="23"/>
      <c r="EZ121" s="23"/>
      <c r="FA121" s="23"/>
      <c r="FB121" s="23"/>
      <c r="FC121" s="23"/>
      <c r="FD121" s="23"/>
      <c r="FE121" s="23"/>
      <c r="FF121" s="23"/>
      <c r="FG121" s="23"/>
      <c r="FH121" s="23"/>
      <c r="FI121" s="23"/>
      <c r="FJ121" s="23"/>
      <c r="FK121" s="23"/>
      <c r="FL121" s="23"/>
      <c r="FM121" s="23"/>
      <c r="FN121" s="23"/>
      <c r="FO121" s="23"/>
      <c r="FP121" s="23"/>
      <c r="FQ121" s="23"/>
      <c r="FR121" s="23"/>
      <c r="FS121" s="23"/>
      <c r="FT121" s="23"/>
      <c r="FU121" s="23"/>
      <c r="FV121" s="23"/>
      <c r="FW121" s="23"/>
      <c r="FX121" s="23"/>
      <c r="FY121" s="23"/>
      <c r="FZ121" s="23"/>
      <c r="GA121" s="23"/>
      <c r="GB121" s="23"/>
      <c r="GC121" s="23"/>
      <c r="GD121" s="23"/>
      <c r="GE121" s="23"/>
      <c r="GF121" s="23"/>
      <c r="GG121" s="23"/>
      <c r="GH121" s="23"/>
      <c r="GI121" s="23"/>
      <c r="GJ121" s="23"/>
      <c r="GK121" s="23"/>
      <c r="GL121" s="23"/>
      <c r="GM121" s="23"/>
      <c r="GN121" s="23"/>
      <c r="GO121" s="23"/>
      <c r="GP121" s="23"/>
      <c r="GQ121" s="23"/>
      <c r="GR121" s="23"/>
      <c r="GS121" s="23"/>
      <c r="GT121" s="23"/>
      <c r="GU121" s="23"/>
      <c r="GV121" s="23"/>
      <c r="GW121" s="23"/>
      <c r="GX121" s="23"/>
      <c r="GY121" s="23"/>
      <c r="GZ121" s="23"/>
      <c r="HA121" s="23"/>
      <c r="HB121" s="23"/>
      <c r="HC121" s="23"/>
      <c r="HD121" s="23"/>
      <c r="HE121" s="23"/>
      <c r="HF121" s="23"/>
      <c r="HG121" s="23"/>
      <c r="HH121" s="23"/>
      <c r="HI121" s="23"/>
      <c r="HJ121" s="23"/>
      <c r="HK121" s="23"/>
      <c r="HL121" s="23"/>
      <c r="HM121" s="23"/>
      <c r="HN121" s="23"/>
      <c r="HO121" s="23"/>
      <c r="HP121" s="23"/>
      <c r="HQ121" s="23"/>
      <c r="HR121" s="23"/>
      <c r="HS121" s="23"/>
      <c r="HT121" s="23"/>
      <c r="HU121" s="23"/>
      <c r="HV121" s="23"/>
      <c r="HW121" s="23"/>
      <c r="HX121" s="23"/>
      <c r="HY121" s="23"/>
      <c r="HZ121" s="23"/>
      <c r="IA121" s="23"/>
      <c r="IB121" s="23"/>
      <c r="IC121" s="23"/>
      <c r="ID121" s="23"/>
      <c r="IE121" s="23"/>
      <c r="IF121" s="23"/>
      <c r="IG121" s="23"/>
    </row>
    <row r="122" spans="1:241" s="33" customFormat="1" ht="16.5" customHeight="1" x14ac:dyDescent="0.25">
      <c r="A122" s="47">
        <v>105</v>
      </c>
      <c r="B122" s="44" t="s">
        <v>138</v>
      </c>
      <c r="C122" s="44" t="s">
        <v>111</v>
      </c>
      <c r="D122" s="65">
        <v>60347586.109999999</v>
      </c>
      <c r="E122" s="65"/>
      <c r="F122" s="65">
        <v>49012008.990000002</v>
      </c>
      <c r="G122" s="65">
        <v>22769765.719999999</v>
      </c>
      <c r="H122" s="98"/>
      <c r="I122" s="99"/>
      <c r="J122" s="99">
        <v>151509494.87</v>
      </c>
      <c r="K122" s="99">
        <v>2135156.31</v>
      </c>
      <c r="L122" s="65">
        <v>4038888.04</v>
      </c>
      <c r="M122" s="52">
        <v>1903731.73</v>
      </c>
      <c r="N122" s="65">
        <v>151509494.87</v>
      </c>
      <c r="O122" s="65">
        <v>5448299.2800000003</v>
      </c>
      <c r="P122" s="88">
        <v>228808246.66</v>
      </c>
      <c r="Q122" s="55">
        <f t="shared" si="57"/>
        <v>1.5415423373182793E-4</v>
      </c>
      <c r="R122" s="88">
        <v>146061195.59</v>
      </c>
      <c r="S122" s="55">
        <f t="shared" si="59"/>
        <v>5.1934372959928652E-3</v>
      </c>
      <c r="T122" s="56">
        <f t="shared" si="60"/>
        <v>-0.36164365698304063</v>
      </c>
      <c r="U122" s="57">
        <f t="shared" si="61"/>
        <v>2.7652026424166285E-2</v>
      </c>
      <c r="V122" s="58">
        <f t="shared" si="62"/>
        <v>1.303379533701652E-2</v>
      </c>
      <c r="W122" s="59">
        <f t="shared" si="63"/>
        <v>133.88946376737024</v>
      </c>
      <c r="X122" s="59">
        <f t="shared" si="64"/>
        <v>1.7450878685267928</v>
      </c>
      <c r="Y122" s="65">
        <v>133.8895</v>
      </c>
      <c r="Z122" s="65">
        <v>138.8837</v>
      </c>
      <c r="AA122" s="64">
        <v>131</v>
      </c>
      <c r="AB122" s="64">
        <v>1102615.08</v>
      </c>
      <c r="AC122" s="64">
        <v>2290.19</v>
      </c>
      <c r="AD122" s="64">
        <v>13996.46</v>
      </c>
      <c r="AE122" s="65">
        <v>1090908.81</v>
      </c>
      <c r="AF122" s="32"/>
      <c r="AG122" s="23"/>
      <c r="AH122" s="23"/>
      <c r="AI122" s="23"/>
      <c r="AJ122" s="23"/>
      <c r="AK122" s="23"/>
      <c r="AL122" s="23"/>
      <c r="AM122" s="23"/>
      <c r="AN122" s="23"/>
      <c r="AO122" s="23"/>
      <c r="AP122" s="23"/>
      <c r="AQ122" s="23"/>
      <c r="AR122" s="23"/>
      <c r="AS122" s="23"/>
      <c r="AT122" s="23"/>
      <c r="AU122" s="23"/>
      <c r="AV122" s="23"/>
      <c r="AW122" s="23"/>
      <c r="AX122" s="23"/>
      <c r="AY122" s="23"/>
      <c r="AZ122" s="23"/>
      <c r="BA122" s="23"/>
      <c r="BB122" s="23"/>
      <c r="BC122" s="23"/>
      <c r="BD122" s="23"/>
      <c r="BE122" s="23"/>
      <c r="BF122" s="23"/>
      <c r="BG122" s="23"/>
      <c r="BH122" s="23"/>
      <c r="BI122" s="23"/>
      <c r="BJ122" s="23"/>
      <c r="BK122" s="23"/>
      <c r="BL122" s="23"/>
      <c r="BM122" s="23"/>
      <c r="BN122" s="23"/>
      <c r="BO122" s="23"/>
      <c r="BP122" s="23"/>
      <c r="BQ122" s="23"/>
      <c r="BR122" s="23"/>
      <c r="BS122" s="23"/>
      <c r="BT122" s="23"/>
      <c r="BU122" s="23"/>
      <c r="BV122" s="23"/>
      <c r="BW122" s="23"/>
      <c r="BX122" s="23"/>
      <c r="BY122" s="23"/>
      <c r="BZ122" s="23"/>
      <c r="CA122" s="23"/>
      <c r="CB122" s="23"/>
      <c r="CC122" s="23"/>
      <c r="CD122" s="23"/>
      <c r="CE122" s="23"/>
      <c r="CF122" s="23"/>
      <c r="CG122" s="23"/>
      <c r="CH122" s="23"/>
      <c r="CI122" s="23"/>
      <c r="CJ122" s="23"/>
      <c r="CK122" s="23"/>
      <c r="CL122" s="23"/>
      <c r="CM122" s="23"/>
      <c r="CN122" s="23"/>
      <c r="CO122" s="23"/>
      <c r="CP122" s="23"/>
      <c r="CQ122" s="23"/>
      <c r="CR122" s="23"/>
      <c r="CS122" s="23"/>
      <c r="CT122" s="23"/>
      <c r="CU122" s="23"/>
      <c r="CV122" s="23"/>
      <c r="CW122" s="23"/>
      <c r="CX122" s="23"/>
      <c r="CY122" s="23"/>
      <c r="CZ122" s="23"/>
      <c r="DA122" s="23"/>
      <c r="DB122" s="23"/>
      <c r="DC122" s="23"/>
      <c r="DD122" s="23"/>
      <c r="DE122" s="23"/>
      <c r="DF122" s="23"/>
      <c r="DG122" s="23"/>
      <c r="DH122" s="23"/>
      <c r="DI122" s="23"/>
      <c r="DJ122" s="23"/>
      <c r="DK122" s="23"/>
      <c r="DL122" s="23"/>
      <c r="DM122" s="23"/>
      <c r="DN122" s="23"/>
      <c r="DO122" s="23"/>
      <c r="DP122" s="23"/>
      <c r="DQ122" s="23"/>
      <c r="DR122" s="23"/>
      <c r="DS122" s="23"/>
      <c r="DT122" s="23"/>
      <c r="DU122" s="23"/>
      <c r="DV122" s="23"/>
      <c r="DW122" s="23"/>
      <c r="DX122" s="23"/>
      <c r="DY122" s="23"/>
      <c r="DZ122" s="23"/>
      <c r="EA122" s="23"/>
      <c r="EB122" s="23"/>
      <c r="EC122" s="23"/>
      <c r="ED122" s="23"/>
      <c r="EE122" s="23"/>
      <c r="EF122" s="23"/>
      <c r="EG122" s="23"/>
      <c r="EH122" s="23"/>
      <c r="EI122" s="23"/>
      <c r="EJ122" s="23"/>
      <c r="EK122" s="23"/>
      <c r="EL122" s="23"/>
      <c r="EM122" s="23"/>
      <c r="EN122" s="23"/>
      <c r="EO122" s="23"/>
      <c r="EP122" s="23"/>
      <c r="EQ122" s="23"/>
      <c r="ER122" s="23"/>
      <c r="ES122" s="23"/>
      <c r="ET122" s="23"/>
      <c r="EU122" s="23"/>
      <c r="EV122" s="23"/>
      <c r="EW122" s="23"/>
      <c r="EX122" s="23"/>
      <c r="EY122" s="23"/>
      <c r="EZ122" s="23"/>
      <c r="FA122" s="23"/>
      <c r="FB122" s="23"/>
      <c r="FC122" s="23"/>
      <c r="FD122" s="23"/>
      <c r="FE122" s="23"/>
      <c r="FF122" s="23"/>
      <c r="FG122" s="23"/>
      <c r="FH122" s="23"/>
      <c r="FI122" s="23"/>
      <c r="FJ122" s="23"/>
      <c r="FK122" s="23"/>
      <c r="FL122" s="23"/>
      <c r="FM122" s="23"/>
      <c r="FN122" s="23"/>
      <c r="FO122" s="23"/>
      <c r="FP122" s="23"/>
      <c r="FQ122" s="23"/>
      <c r="FR122" s="23"/>
      <c r="FS122" s="23"/>
      <c r="FT122" s="23"/>
      <c r="FU122" s="23"/>
      <c r="FV122" s="23"/>
      <c r="FW122" s="23"/>
      <c r="FX122" s="23"/>
      <c r="FY122" s="23"/>
      <c r="FZ122" s="23"/>
      <c r="GA122" s="23"/>
      <c r="GB122" s="23"/>
      <c r="GC122" s="23"/>
      <c r="GD122" s="23"/>
      <c r="GE122" s="23"/>
      <c r="GF122" s="23"/>
      <c r="GG122" s="23"/>
      <c r="GH122" s="23"/>
      <c r="GI122" s="23"/>
      <c r="GJ122" s="23"/>
      <c r="GK122" s="23"/>
      <c r="GL122" s="23"/>
      <c r="GM122" s="23"/>
      <c r="GN122" s="23"/>
      <c r="GO122" s="23"/>
      <c r="GP122" s="23"/>
      <c r="GQ122" s="23"/>
      <c r="GR122" s="23"/>
      <c r="GS122" s="23"/>
      <c r="GT122" s="23"/>
      <c r="GU122" s="23"/>
      <c r="GV122" s="23"/>
      <c r="GW122" s="23"/>
      <c r="GX122" s="23"/>
      <c r="GY122" s="23"/>
      <c r="GZ122" s="23"/>
      <c r="HA122" s="23"/>
      <c r="HB122" s="23"/>
      <c r="HC122" s="23"/>
      <c r="HD122" s="23"/>
      <c r="HE122" s="23"/>
      <c r="HF122" s="23"/>
      <c r="HG122" s="23"/>
      <c r="HH122" s="23"/>
      <c r="HI122" s="23"/>
      <c r="HJ122" s="23"/>
      <c r="HK122" s="23"/>
      <c r="HL122" s="23"/>
      <c r="HM122" s="23"/>
      <c r="HN122" s="23"/>
      <c r="HO122" s="23"/>
      <c r="HP122" s="23"/>
      <c r="HQ122" s="23"/>
      <c r="HR122" s="23"/>
      <c r="HS122" s="23"/>
      <c r="HT122" s="23"/>
      <c r="HU122" s="23"/>
      <c r="HV122" s="23"/>
      <c r="HW122" s="23"/>
      <c r="HX122" s="23"/>
      <c r="HY122" s="23"/>
      <c r="HZ122" s="23"/>
      <c r="IA122" s="23"/>
      <c r="IB122" s="23"/>
      <c r="IC122" s="23"/>
      <c r="ID122" s="23"/>
      <c r="IE122" s="23"/>
      <c r="IF122" s="23"/>
      <c r="IG122" s="23"/>
    </row>
    <row r="123" spans="1:241" s="33" customFormat="1" ht="16.5" customHeight="1" x14ac:dyDescent="0.25">
      <c r="A123" s="47">
        <v>106</v>
      </c>
      <c r="B123" s="43" t="s">
        <v>133</v>
      </c>
      <c r="C123" s="44" t="s">
        <v>27</v>
      </c>
      <c r="D123" s="65">
        <v>264146363.09999999</v>
      </c>
      <c r="E123" s="65"/>
      <c r="F123" s="65">
        <v>875242683.36000001</v>
      </c>
      <c r="G123" s="65"/>
      <c r="H123" s="111"/>
      <c r="I123" s="99"/>
      <c r="J123" s="99">
        <v>1139389046.46</v>
      </c>
      <c r="K123" s="99">
        <v>8690255.7799999993</v>
      </c>
      <c r="L123" s="65">
        <v>2010400.39</v>
      </c>
      <c r="M123" s="52">
        <v>6679855.3899999997</v>
      </c>
      <c r="N123" s="65">
        <v>1141447491.6700001</v>
      </c>
      <c r="O123" s="65">
        <v>1106119751.22</v>
      </c>
      <c r="P123" s="88">
        <v>148870727.12</v>
      </c>
      <c r="Q123" s="55">
        <f t="shared" si="57"/>
        <v>1.0029818941965426E-4</v>
      </c>
      <c r="R123" s="88">
        <v>35327740.450000003</v>
      </c>
      <c r="S123" s="55">
        <f t="shared" si="59"/>
        <v>1.2561338012814891E-3</v>
      </c>
      <c r="T123" s="56">
        <f t="shared" si="60"/>
        <v>-0.76269518438286776</v>
      </c>
      <c r="U123" s="57">
        <f t="shared" si="61"/>
        <v>5.6907132026894174E-2</v>
      </c>
      <c r="V123" s="58">
        <f t="shared" si="62"/>
        <v>0.18908244073673836</v>
      </c>
      <c r="W123" s="59">
        <f t="shared" si="63"/>
        <v>47.359394664521751</v>
      </c>
      <c r="X123" s="59">
        <f t="shared" si="64"/>
        <v>8.9548299349822376</v>
      </c>
      <c r="Y123" s="65"/>
      <c r="Z123" s="65"/>
      <c r="AA123" s="64">
        <v>830</v>
      </c>
      <c r="AB123" s="64">
        <v>745950</v>
      </c>
      <c r="AC123" s="64"/>
      <c r="AD123" s="64"/>
      <c r="AE123" s="64">
        <v>745950</v>
      </c>
      <c r="AF123" s="32"/>
      <c r="AG123" s="23"/>
      <c r="AH123" s="23"/>
      <c r="AI123" s="23"/>
      <c r="AJ123" s="23"/>
      <c r="AK123" s="23"/>
      <c r="AL123" s="23"/>
      <c r="AM123" s="23"/>
      <c r="AN123" s="23"/>
      <c r="AO123" s="23"/>
      <c r="AP123" s="23"/>
      <c r="AQ123" s="23"/>
      <c r="AR123" s="23"/>
      <c r="AS123" s="23"/>
      <c r="AT123" s="23"/>
      <c r="AU123" s="23"/>
      <c r="AV123" s="23"/>
      <c r="AW123" s="23"/>
      <c r="AX123" s="23"/>
      <c r="AY123" s="23"/>
      <c r="AZ123" s="23"/>
      <c r="BA123" s="23"/>
      <c r="BB123" s="23"/>
      <c r="BC123" s="23"/>
      <c r="BD123" s="23"/>
      <c r="BE123" s="23"/>
      <c r="BF123" s="23"/>
      <c r="BG123" s="23"/>
      <c r="BH123" s="23"/>
      <c r="BI123" s="23"/>
      <c r="BJ123" s="23"/>
      <c r="BK123" s="23"/>
      <c r="BL123" s="23"/>
      <c r="BM123" s="23"/>
      <c r="BN123" s="23"/>
      <c r="BO123" s="23"/>
      <c r="BP123" s="23"/>
      <c r="BQ123" s="23"/>
      <c r="BR123" s="23"/>
      <c r="BS123" s="23"/>
      <c r="BT123" s="23"/>
      <c r="BU123" s="23"/>
      <c r="BV123" s="23"/>
      <c r="BW123" s="23"/>
      <c r="BX123" s="23"/>
      <c r="BY123" s="23"/>
      <c r="BZ123" s="23"/>
      <c r="CA123" s="23"/>
      <c r="CB123" s="23"/>
      <c r="CC123" s="23"/>
      <c r="CD123" s="23"/>
      <c r="CE123" s="23"/>
      <c r="CF123" s="23"/>
      <c r="CG123" s="23"/>
      <c r="CH123" s="23"/>
      <c r="CI123" s="23"/>
      <c r="CJ123" s="23"/>
      <c r="CK123" s="23"/>
      <c r="CL123" s="23"/>
      <c r="CM123" s="23"/>
      <c r="CN123" s="23"/>
      <c r="CO123" s="23"/>
      <c r="CP123" s="23"/>
      <c r="CQ123" s="23"/>
      <c r="CR123" s="23"/>
      <c r="CS123" s="23"/>
      <c r="CT123" s="23"/>
      <c r="CU123" s="23"/>
      <c r="CV123" s="23"/>
      <c r="CW123" s="23"/>
      <c r="CX123" s="23"/>
      <c r="CY123" s="23"/>
      <c r="CZ123" s="23"/>
      <c r="DA123" s="23"/>
      <c r="DB123" s="23"/>
      <c r="DC123" s="23"/>
      <c r="DD123" s="23"/>
      <c r="DE123" s="23"/>
      <c r="DF123" s="23"/>
      <c r="DG123" s="23"/>
      <c r="DH123" s="23"/>
      <c r="DI123" s="23"/>
      <c r="DJ123" s="23"/>
      <c r="DK123" s="23"/>
      <c r="DL123" s="23"/>
      <c r="DM123" s="23"/>
      <c r="DN123" s="23"/>
      <c r="DO123" s="23"/>
      <c r="DP123" s="23"/>
      <c r="DQ123" s="23"/>
      <c r="DR123" s="23"/>
      <c r="DS123" s="23"/>
      <c r="DT123" s="23"/>
      <c r="DU123" s="23"/>
      <c r="DV123" s="23"/>
      <c r="DW123" s="23"/>
      <c r="DX123" s="23"/>
      <c r="DY123" s="23"/>
      <c r="DZ123" s="23"/>
      <c r="EA123" s="23"/>
      <c r="EB123" s="23"/>
      <c r="EC123" s="23"/>
      <c r="ED123" s="23"/>
      <c r="EE123" s="23"/>
      <c r="EF123" s="23"/>
      <c r="EG123" s="23"/>
      <c r="EH123" s="23"/>
      <c r="EI123" s="23"/>
      <c r="EJ123" s="23"/>
      <c r="EK123" s="23"/>
      <c r="EL123" s="23"/>
      <c r="EM123" s="23"/>
      <c r="EN123" s="23"/>
      <c r="EO123" s="23"/>
      <c r="EP123" s="23"/>
      <c r="EQ123" s="23"/>
      <c r="ER123" s="23"/>
      <c r="ES123" s="23"/>
      <c r="ET123" s="23"/>
      <c r="EU123" s="23"/>
      <c r="EV123" s="23"/>
      <c r="EW123" s="23"/>
      <c r="EX123" s="23"/>
      <c r="EY123" s="23"/>
      <c r="EZ123" s="23"/>
      <c r="FA123" s="23"/>
      <c r="FB123" s="23"/>
      <c r="FC123" s="23"/>
      <c r="FD123" s="23"/>
      <c r="FE123" s="23"/>
      <c r="FF123" s="23"/>
      <c r="FG123" s="23"/>
      <c r="FH123" s="23"/>
      <c r="FI123" s="23"/>
      <c r="FJ123" s="23"/>
      <c r="FK123" s="23"/>
      <c r="FL123" s="23"/>
      <c r="FM123" s="23"/>
      <c r="FN123" s="23"/>
      <c r="FO123" s="23"/>
      <c r="FP123" s="23"/>
      <c r="FQ123" s="23"/>
      <c r="FR123" s="23"/>
      <c r="FS123" s="23"/>
      <c r="FT123" s="23"/>
      <c r="FU123" s="23"/>
      <c r="FV123" s="23"/>
      <c r="FW123" s="23"/>
      <c r="FX123" s="23"/>
      <c r="FY123" s="23"/>
      <c r="FZ123" s="23"/>
      <c r="GA123" s="23"/>
      <c r="GB123" s="23"/>
      <c r="GC123" s="23"/>
      <c r="GD123" s="23"/>
      <c r="GE123" s="23"/>
      <c r="GF123" s="23"/>
      <c r="GG123" s="23"/>
      <c r="GH123" s="23"/>
      <c r="GI123" s="23"/>
      <c r="GJ123" s="23"/>
      <c r="GK123" s="23"/>
      <c r="GL123" s="23"/>
      <c r="GM123" s="23"/>
      <c r="GN123" s="23"/>
      <c r="GO123" s="23"/>
      <c r="GP123" s="23"/>
      <c r="GQ123" s="23"/>
      <c r="GR123" s="23"/>
      <c r="GS123" s="23"/>
      <c r="GT123" s="23"/>
      <c r="GU123" s="23"/>
      <c r="GV123" s="23"/>
      <c r="GW123" s="23"/>
      <c r="GX123" s="23"/>
      <c r="GY123" s="23"/>
      <c r="GZ123" s="23"/>
      <c r="HA123" s="23"/>
      <c r="HB123" s="23"/>
      <c r="HC123" s="23"/>
      <c r="HD123" s="23"/>
      <c r="HE123" s="23"/>
      <c r="HF123" s="23"/>
      <c r="HG123" s="23"/>
      <c r="HH123" s="23"/>
      <c r="HI123" s="23"/>
      <c r="HJ123" s="23"/>
      <c r="HK123" s="23"/>
      <c r="HL123" s="23"/>
      <c r="HM123" s="23"/>
      <c r="HN123" s="23"/>
      <c r="HO123" s="23"/>
      <c r="HP123" s="23"/>
      <c r="HQ123" s="23"/>
      <c r="HR123" s="23"/>
      <c r="HS123" s="23"/>
      <c r="HT123" s="23"/>
      <c r="HU123" s="23"/>
      <c r="HV123" s="23"/>
      <c r="HW123" s="23"/>
      <c r="HX123" s="23"/>
      <c r="HY123" s="23"/>
      <c r="HZ123" s="23"/>
      <c r="IA123" s="23"/>
      <c r="IB123" s="23"/>
      <c r="IC123" s="23"/>
      <c r="ID123" s="23"/>
      <c r="IE123" s="23"/>
      <c r="IF123" s="23"/>
      <c r="IG123" s="23"/>
    </row>
    <row r="124" spans="1:241" s="33" customFormat="1" ht="16.5" customHeight="1" x14ac:dyDescent="0.25">
      <c r="A124" s="47">
        <v>107</v>
      </c>
      <c r="B124" s="43" t="s">
        <v>198</v>
      </c>
      <c r="C124" s="44" t="s">
        <v>61</v>
      </c>
      <c r="D124" s="65">
        <v>50586581.399999999</v>
      </c>
      <c r="E124" s="65"/>
      <c r="F124" s="65"/>
      <c r="G124" s="65"/>
      <c r="H124" s="98"/>
      <c r="I124" s="99"/>
      <c r="J124" s="65">
        <v>50586581.399999999</v>
      </c>
      <c r="K124" s="99">
        <v>2022578.79</v>
      </c>
      <c r="L124" s="65">
        <v>333449.86</v>
      </c>
      <c r="M124" s="52">
        <v>1689128.93</v>
      </c>
      <c r="N124" s="65">
        <v>235273118.88999999</v>
      </c>
      <c r="O124" s="65">
        <v>3233792.24</v>
      </c>
      <c r="P124" s="88">
        <v>1226263539.5799999</v>
      </c>
      <c r="Q124" s="55">
        <f t="shared" si="57"/>
        <v>8.2616653488949883E-4</v>
      </c>
      <c r="R124" s="88">
        <v>230452733.38999999</v>
      </c>
      <c r="S124" s="55">
        <f t="shared" si="59"/>
        <v>8.1941121713854249E-3</v>
      </c>
      <c r="T124" s="56">
        <f t="shared" si="60"/>
        <v>-0.81206916298846255</v>
      </c>
      <c r="U124" s="57">
        <f t="shared" si="61"/>
        <v>1.4469338466716983E-3</v>
      </c>
      <c r="V124" s="58">
        <f t="shared" si="62"/>
        <v>7.3296111751534393E-3</v>
      </c>
      <c r="W124" s="59">
        <f t="shared" si="63"/>
        <v>151.03295840859221</v>
      </c>
      <c r="X124" s="59">
        <f t="shared" si="64"/>
        <v>1.1070128597681022</v>
      </c>
      <c r="Y124" s="65">
        <v>150.54</v>
      </c>
      <c r="Z124" s="65">
        <v>153.69</v>
      </c>
      <c r="AA124" s="64">
        <v>39</v>
      </c>
      <c r="AB124" s="64">
        <v>1525844</v>
      </c>
      <c r="AC124" s="64"/>
      <c r="AD124" s="64"/>
      <c r="AE124" s="64">
        <v>1525844</v>
      </c>
      <c r="AF124" s="32"/>
      <c r="AG124" s="23"/>
      <c r="AH124" s="23"/>
      <c r="AI124" s="23"/>
      <c r="AJ124" s="23"/>
      <c r="AK124" s="23"/>
      <c r="AL124" s="23"/>
      <c r="AM124" s="23"/>
      <c r="AN124" s="23"/>
      <c r="AO124" s="23"/>
      <c r="AP124" s="23"/>
      <c r="AQ124" s="23"/>
      <c r="AR124" s="23"/>
      <c r="AS124" s="23"/>
      <c r="AT124" s="23"/>
      <c r="AU124" s="23"/>
      <c r="AV124" s="23"/>
      <c r="AW124" s="23"/>
      <c r="AX124" s="23"/>
      <c r="AY124" s="23"/>
      <c r="AZ124" s="23"/>
      <c r="BA124" s="23"/>
      <c r="BB124" s="23"/>
      <c r="BC124" s="23"/>
      <c r="BD124" s="23"/>
      <c r="BE124" s="23"/>
      <c r="BF124" s="23"/>
      <c r="BG124" s="23"/>
      <c r="BH124" s="23"/>
      <c r="BI124" s="23"/>
      <c r="BJ124" s="23"/>
      <c r="BK124" s="23"/>
      <c r="BL124" s="23"/>
      <c r="BM124" s="23"/>
      <c r="BN124" s="23"/>
      <c r="BO124" s="23"/>
      <c r="BP124" s="23"/>
      <c r="BQ124" s="23"/>
      <c r="BR124" s="23"/>
      <c r="BS124" s="23"/>
      <c r="BT124" s="23"/>
      <c r="BU124" s="23"/>
      <c r="BV124" s="23"/>
      <c r="BW124" s="23"/>
      <c r="BX124" s="23"/>
      <c r="BY124" s="23"/>
      <c r="BZ124" s="23"/>
      <c r="CA124" s="23"/>
      <c r="CB124" s="23"/>
      <c r="CC124" s="23"/>
      <c r="CD124" s="23"/>
      <c r="CE124" s="23"/>
      <c r="CF124" s="23"/>
      <c r="CG124" s="23"/>
      <c r="CH124" s="23"/>
      <c r="CI124" s="23"/>
      <c r="CJ124" s="23"/>
      <c r="CK124" s="23"/>
      <c r="CL124" s="23"/>
      <c r="CM124" s="23"/>
      <c r="CN124" s="23"/>
      <c r="CO124" s="23"/>
      <c r="CP124" s="23"/>
      <c r="CQ124" s="23"/>
      <c r="CR124" s="23"/>
      <c r="CS124" s="23"/>
      <c r="CT124" s="23"/>
      <c r="CU124" s="23"/>
      <c r="CV124" s="23"/>
      <c r="CW124" s="23"/>
      <c r="CX124" s="23"/>
      <c r="CY124" s="23"/>
      <c r="CZ124" s="23"/>
      <c r="DA124" s="23"/>
      <c r="DB124" s="23"/>
      <c r="DC124" s="23"/>
      <c r="DD124" s="23"/>
      <c r="DE124" s="23"/>
      <c r="DF124" s="23"/>
      <c r="DG124" s="23"/>
      <c r="DH124" s="23"/>
      <c r="DI124" s="23"/>
      <c r="DJ124" s="23"/>
      <c r="DK124" s="23"/>
      <c r="DL124" s="23"/>
      <c r="DM124" s="23"/>
      <c r="DN124" s="23"/>
      <c r="DO124" s="23"/>
      <c r="DP124" s="23"/>
      <c r="DQ124" s="23"/>
      <c r="DR124" s="23"/>
      <c r="DS124" s="23"/>
      <c r="DT124" s="23"/>
      <c r="DU124" s="23"/>
      <c r="DV124" s="23"/>
      <c r="DW124" s="23"/>
      <c r="DX124" s="23"/>
      <c r="DY124" s="23"/>
      <c r="DZ124" s="23"/>
      <c r="EA124" s="23"/>
      <c r="EB124" s="23"/>
      <c r="EC124" s="23"/>
      <c r="ED124" s="23"/>
      <c r="EE124" s="23"/>
      <c r="EF124" s="23"/>
      <c r="EG124" s="23"/>
      <c r="EH124" s="23"/>
      <c r="EI124" s="23"/>
      <c r="EJ124" s="23"/>
      <c r="EK124" s="23"/>
      <c r="EL124" s="23"/>
      <c r="EM124" s="23"/>
      <c r="EN124" s="23"/>
      <c r="EO124" s="23"/>
      <c r="EP124" s="23"/>
      <c r="EQ124" s="23"/>
      <c r="ER124" s="23"/>
      <c r="ES124" s="23"/>
      <c r="ET124" s="23"/>
      <c r="EU124" s="23"/>
      <c r="EV124" s="23"/>
      <c r="EW124" s="23"/>
      <c r="EX124" s="23"/>
      <c r="EY124" s="23"/>
      <c r="EZ124" s="23"/>
      <c r="FA124" s="23"/>
      <c r="FB124" s="23"/>
      <c r="FC124" s="23"/>
      <c r="FD124" s="23"/>
      <c r="FE124" s="23"/>
      <c r="FF124" s="23"/>
      <c r="FG124" s="23"/>
      <c r="FH124" s="23"/>
      <c r="FI124" s="23"/>
      <c r="FJ124" s="23"/>
      <c r="FK124" s="23"/>
      <c r="FL124" s="23"/>
      <c r="FM124" s="23"/>
      <c r="FN124" s="23"/>
      <c r="FO124" s="23"/>
      <c r="FP124" s="23"/>
      <c r="FQ124" s="23"/>
      <c r="FR124" s="23"/>
      <c r="FS124" s="23"/>
      <c r="FT124" s="23"/>
      <c r="FU124" s="23"/>
      <c r="FV124" s="23"/>
      <c r="FW124" s="23"/>
      <c r="FX124" s="23"/>
      <c r="FY124" s="23"/>
      <c r="FZ124" s="23"/>
      <c r="GA124" s="23"/>
      <c r="GB124" s="23"/>
      <c r="GC124" s="23"/>
      <c r="GD124" s="23"/>
      <c r="GE124" s="23"/>
      <c r="GF124" s="23"/>
      <c r="GG124" s="23"/>
      <c r="GH124" s="23"/>
      <c r="GI124" s="23"/>
      <c r="GJ124" s="23"/>
      <c r="GK124" s="23"/>
      <c r="GL124" s="23"/>
      <c r="GM124" s="23"/>
      <c r="GN124" s="23"/>
      <c r="GO124" s="23"/>
      <c r="GP124" s="23"/>
      <c r="GQ124" s="23"/>
      <c r="GR124" s="23"/>
      <c r="GS124" s="23"/>
      <c r="GT124" s="23"/>
      <c r="GU124" s="23"/>
      <c r="GV124" s="23"/>
      <c r="GW124" s="23"/>
      <c r="GX124" s="23"/>
      <c r="GY124" s="23"/>
      <c r="GZ124" s="23"/>
      <c r="HA124" s="23"/>
      <c r="HB124" s="23"/>
      <c r="HC124" s="23"/>
      <c r="HD124" s="23"/>
      <c r="HE124" s="23"/>
      <c r="HF124" s="23"/>
      <c r="HG124" s="23"/>
      <c r="HH124" s="23"/>
      <c r="HI124" s="23"/>
      <c r="HJ124" s="23"/>
      <c r="HK124" s="23"/>
      <c r="HL124" s="23"/>
      <c r="HM124" s="23"/>
      <c r="HN124" s="23"/>
      <c r="HO124" s="23"/>
      <c r="HP124" s="23"/>
      <c r="HQ124" s="23"/>
      <c r="HR124" s="23"/>
      <c r="HS124" s="23"/>
      <c r="HT124" s="23"/>
      <c r="HU124" s="23"/>
      <c r="HV124" s="23"/>
      <c r="HW124" s="23"/>
      <c r="HX124" s="23"/>
      <c r="HY124" s="23"/>
      <c r="HZ124" s="23"/>
      <c r="IA124" s="23"/>
      <c r="IB124" s="23"/>
      <c r="IC124" s="23"/>
      <c r="ID124" s="23"/>
      <c r="IE124" s="23"/>
      <c r="IF124" s="23"/>
      <c r="IG124" s="23"/>
    </row>
    <row r="125" spans="1:241" s="33" customFormat="1" ht="16.5" customHeight="1" x14ac:dyDescent="0.25">
      <c r="A125" s="47">
        <v>108</v>
      </c>
      <c r="B125" s="43" t="s">
        <v>179</v>
      </c>
      <c r="C125" s="44" t="s">
        <v>86</v>
      </c>
      <c r="D125" s="65">
        <v>6833196.1500000004</v>
      </c>
      <c r="E125" s="65"/>
      <c r="F125" s="65">
        <v>6233238.5499999998</v>
      </c>
      <c r="G125" s="65">
        <v>3558950.69</v>
      </c>
      <c r="H125" s="98"/>
      <c r="I125" s="99"/>
      <c r="J125" s="99">
        <f>6833196.15+6233238.55+3558950.69</f>
        <v>16625385.389999999</v>
      </c>
      <c r="K125" s="99">
        <v>236703.8</v>
      </c>
      <c r="L125" s="65">
        <v>8309.0400000000009</v>
      </c>
      <c r="M125" s="52">
        <v>19894.04</v>
      </c>
      <c r="N125" s="65">
        <v>19393747.050000001</v>
      </c>
      <c r="O125" s="65">
        <v>440277.51</v>
      </c>
      <c r="P125" s="88">
        <v>18669275.899999999</v>
      </c>
      <c r="Q125" s="55">
        <f t="shared" si="57"/>
        <v>1.257799035962676E-5</v>
      </c>
      <c r="R125" s="88">
        <v>18669741.719999999</v>
      </c>
      <c r="S125" s="55">
        <f t="shared" si="59"/>
        <v>6.6383225581264716E-4</v>
      </c>
      <c r="T125" s="56">
        <f t="shared" si="60"/>
        <v>2.4951155175777229E-5</v>
      </c>
      <c r="U125" s="57">
        <f t="shared" si="61"/>
        <v>4.4505382691496608E-4</v>
      </c>
      <c r="V125" s="58">
        <f t="shared" si="62"/>
        <v>1.0655766050951026E-3</v>
      </c>
      <c r="W125" s="59">
        <f t="shared" si="63"/>
        <v>1.1524445741567801</v>
      </c>
      <c r="X125" s="59">
        <f t="shared" si="64"/>
        <v>1.228017976890253E-3</v>
      </c>
      <c r="Y125" s="65">
        <v>1.1524000000000001</v>
      </c>
      <c r="Z125" s="65">
        <v>1.1524000000000001</v>
      </c>
      <c r="AA125" s="64">
        <v>10</v>
      </c>
      <c r="AB125" s="64">
        <v>14974817.890000001</v>
      </c>
      <c r="AC125" s="65">
        <v>341787</v>
      </c>
      <c r="AD125" s="65">
        <v>0</v>
      </c>
      <c r="AE125" s="50">
        <v>16200121.15</v>
      </c>
      <c r="AF125" s="32"/>
      <c r="AG125" s="23"/>
      <c r="AH125" s="23"/>
      <c r="AI125" s="23"/>
      <c r="AJ125" s="23"/>
      <c r="AK125" s="23"/>
      <c r="AL125" s="23"/>
      <c r="AM125" s="23"/>
      <c r="AN125" s="23"/>
      <c r="AO125" s="23"/>
      <c r="AP125" s="23"/>
      <c r="AQ125" s="23"/>
      <c r="AR125" s="23"/>
      <c r="AS125" s="23"/>
      <c r="AT125" s="23"/>
      <c r="AU125" s="23"/>
      <c r="AV125" s="23"/>
      <c r="AW125" s="23"/>
      <c r="AX125" s="23"/>
      <c r="AY125" s="23"/>
      <c r="AZ125" s="23"/>
      <c r="BA125" s="23"/>
      <c r="BB125" s="23"/>
      <c r="BC125" s="23"/>
      <c r="BD125" s="23"/>
      <c r="BE125" s="23"/>
      <c r="BF125" s="23"/>
      <c r="BG125" s="23"/>
      <c r="BH125" s="23"/>
      <c r="BI125" s="23"/>
      <c r="BJ125" s="23"/>
      <c r="BK125" s="23"/>
      <c r="BL125" s="23"/>
      <c r="BM125" s="23"/>
      <c r="BN125" s="23"/>
      <c r="BO125" s="23"/>
      <c r="BP125" s="23"/>
      <c r="BQ125" s="23"/>
      <c r="BR125" s="23"/>
      <c r="BS125" s="23"/>
      <c r="BT125" s="23"/>
      <c r="BU125" s="23"/>
      <c r="BV125" s="23"/>
      <c r="BW125" s="23"/>
      <c r="BX125" s="23"/>
      <c r="BY125" s="23"/>
      <c r="BZ125" s="23"/>
      <c r="CA125" s="23"/>
      <c r="CB125" s="23"/>
      <c r="CC125" s="23"/>
      <c r="CD125" s="23"/>
      <c r="CE125" s="23"/>
      <c r="CF125" s="23"/>
      <c r="CG125" s="23"/>
      <c r="CH125" s="23"/>
      <c r="CI125" s="23"/>
      <c r="CJ125" s="23"/>
      <c r="CK125" s="23"/>
      <c r="CL125" s="23"/>
      <c r="CM125" s="23"/>
      <c r="CN125" s="23"/>
      <c r="CO125" s="23"/>
      <c r="CP125" s="23"/>
      <c r="CQ125" s="23"/>
      <c r="CR125" s="23"/>
      <c r="CS125" s="23"/>
      <c r="CT125" s="23"/>
      <c r="CU125" s="23"/>
      <c r="CV125" s="23"/>
      <c r="CW125" s="23"/>
      <c r="CX125" s="23"/>
      <c r="CY125" s="23"/>
      <c r="CZ125" s="23"/>
      <c r="DA125" s="23"/>
      <c r="DB125" s="23"/>
      <c r="DC125" s="23"/>
      <c r="DD125" s="23"/>
      <c r="DE125" s="23"/>
      <c r="DF125" s="23"/>
      <c r="DG125" s="23"/>
      <c r="DH125" s="23"/>
      <c r="DI125" s="23"/>
      <c r="DJ125" s="23"/>
      <c r="DK125" s="23"/>
      <c r="DL125" s="23"/>
      <c r="DM125" s="23"/>
      <c r="DN125" s="23"/>
      <c r="DO125" s="23"/>
      <c r="DP125" s="23"/>
      <c r="DQ125" s="23"/>
      <c r="DR125" s="23"/>
      <c r="DS125" s="23"/>
      <c r="DT125" s="23"/>
      <c r="DU125" s="23"/>
      <c r="DV125" s="23"/>
      <c r="DW125" s="23"/>
      <c r="DX125" s="23"/>
      <c r="DY125" s="23"/>
      <c r="DZ125" s="23"/>
      <c r="EA125" s="23"/>
      <c r="EB125" s="23"/>
      <c r="EC125" s="23"/>
      <c r="ED125" s="23"/>
      <c r="EE125" s="23"/>
      <c r="EF125" s="23"/>
      <c r="EG125" s="23"/>
      <c r="EH125" s="23"/>
      <c r="EI125" s="23"/>
      <c r="EJ125" s="23"/>
      <c r="EK125" s="23"/>
      <c r="EL125" s="23"/>
      <c r="EM125" s="23"/>
      <c r="EN125" s="23"/>
      <c r="EO125" s="23"/>
      <c r="EP125" s="23"/>
      <c r="EQ125" s="23"/>
      <c r="ER125" s="23"/>
      <c r="ES125" s="23"/>
      <c r="ET125" s="23"/>
      <c r="EU125" s="23"/>
      <c r="EV125" s="23"/>
      <c r="EW125" s="23"/>
      <c r="EX125" s="23"/>
      <c r="EY125" s="23"/>
      <c r="EZ125" s="23"/>
      <c r="FA125" s="23"/>
      <c r="FB125" s="23"/>
      <c r="FC125" s="23"/>
      <c r="FD125" s="23"/>
      <c r="FE125" s="23"/>
      <c r="FF125" s="23"/>
      <c r="FG125" s="23"/>
      <c r="FH125" s="23"/>
      <c r="FI125" s="23"/>
      <c r="FJ125" s="23"/>
      <c r="FK125" s="23"/>
      <c r="FL125" s="23"/>
      <c r="FM125" s="23"/>
      <c r="FN125" s="23"/>
      <c r="FO125" s="23"/>
      <c r="FP125" s="23"/>
      <c r="FQ125" s="23"/>
      <c r="FR125" s="23"/>
      <c r="FS125" s="23"/>
      <c r="FT125" s="23"/>
      <c r="FU125" s="23"/>
      <c r="FV125" s="23"/>
      <c r="FW125" s="23"/>
      <c r="FX125" s="23"/>
      <c r="FY125" s="23"/>
      <c r="FZ125" s="23"/>
      <c r="GA125" s="23"/>
      <c r="GB125" s="23"/>
      <c r="GC125" s="23"/>
      <c r="GD125" s="23"/>
      <c r="GE125" s="23"/>
      <c r="GF125" s="23"/>
      <c r="GG125" s="23"/>
      <c r="GH125" s="23"/>
      <c r="GI125" s="23"/>
      <c r="GJ125" s="23"/>
      <c r="GK125" s="23"/>
      <c r="GL125" s="23"/>
      <c r="GM125" s="23"/>
      <c r="GN125" s="23"/>
      <c r="GO125" s="23"/>
      <c r="GP125" s="23"/>
      <c r="GQ125" s="23"/>
      <c r="GR125" s="23"/>
      <c r="GS125" s="23"/>
      <c r="GT125" s="23"/>
      <c r="GU125" s="23"/>
      <c r="GV125" s="23"/>
      <c r="GW125" s="23"/>
      <c r="GX125" s="23"/>
      <c r="GY125" s="23"/>
      <c r="GZ125" s="23"/>
      <c r="HA125" s="23"/>
      <c r="HB125" s="23"/>
      <c r="HC125" s="23"/>
      <c r="HD125" s="23"/>
      <c r="HE125" s="23"/>
      <c r="HF125" s="23"/>
      <c r="HG125" s="23"/>
      <c r="HH125" s="23"/>
      <c r="HI125" s="23"/>
      <c r="HJ125" s="23"/>
      <c r="HK125" s="23"/>
      <c r="HL125" s="23"/>
      <c r="HM125" s="23"/>
      <c r="HN125" s="23"/>
      <c r="HO125" s="23"/>
      <c r="HP125" s="23"/>
      <c r="HQ125" s="23"/>
      <c r="HR125" s="23"/>
      <c r="HS125" s="23"/>
      <c r="HT125" s="23"/>
      <c r="HU125" s="23"/>
      <c r="HV125" s="23"/>
      <c r="HW125" s="23"/>
      <c r="HX125" s="23"/>
      <c r="HY125" s="23"/>
      <c r="HZ125" s="23"/>
      <c r="IA125" s="23"/>
      <c r="IB125" s="23"/>
      <c r="IC125" s="23"/>
      <c r="ID125" s="23"/>
      <c r="IE125" s="23"/>
      <c r="IF125" s="23"/>
      <c r="IG125" s="23"/>
    </row>
    <row r="126" spans="1:241" s="33" customFormat="1" ht="16.5" customHeight="1" x14ac:dyDescent="0.25">
      <c r="A126" s="47">
        <v>109</v>
      </c>
      <c r="B126" s="44" t="s">
        <v>137</v>
      </c>
      <c r="C126" s="44" t="s">
        <v>46</v>
      </c>
      <c r="D126" s="65">
        <v>62619573.75</v>
      </c>
      <c r="E126" s="65"/>
      <c r="F126" s="65">
        <v>47099691.090000004</v>
      </c>
      <c r="G126" s="65">
        <v>46812850.299999997</v>
      </c>
      <c r="H126" s="131">
        <v>924000</v>
      </c>
      <c r="I126" s="99"/>
      <c r="J126" s="99">
        <v>157456115.13999999</v>
      </c>
      <c r="K126" s="99">
        <v>543406.42000000004</v>
      </c>
      <c r="L126" s="65">
        <v>263667.61</v>
      </c>
      <c r="M126" s="52">
        <v>279738.81</v>
      </c>
      <c r="N126" s="65">
        <v>160710150.47999999</v>
      </c>
      <c r="O126" s="65">
        <v>3401456.24</v>
      </c>
      <c r="P126" s="88">
        <v>158676589.81999999</v>
      </c>
      <c r="Q126" s="55">
        <f t="shared" si="57"/>
        <v>1.0690466131331905E-4</v>
      </c>
      <c r="R126" s="88">
        <v>157308694.24000001</v>
      </c>
      <c r="S126" s="55">
        <f t="shared" si="59"/>
        <v>5.5933599362231129E-3</v>
      </c>
      <c r="T126" s="56">
        <f t="shared" si="60"/>
        <v>-8.6206514871015362E-3</v>
      </c>
      <c r="U126" s="57">
        <f t="shared" si="61"/>
        <v>1.6761159405323913E-3</v>
      </c>
      <c r="V126" s="58">
        <f t="shared" si="62"/>
        <v>1.7782793974070684E-3</v>
      </c>
      <c r="W126" s="59">
        <f t="shared" si="63"/>
        <v>1.6111230111181418</v>
      </c>
      <c r="X126" s="59">
        <f t="shared" si="64"/>
        <v>2.8650268573598308E-3</v>
      </c>
      <c r="Y126" s="65">
        <v>1.6111</v>
      </c>
      <c r="Z126" s="65">
        <v>1.6459999999999999</v>
      </c>
      <c r="AA126" s="64">
        <v>111</v>
      </c>
      <c r="AB126" s="64">
        <v>98034586</v>
      </c>
      <c r="AC126" s="64">
        <v>314951</v>
      </c>
      <c r="AD126" s="64">
        <v>1300182</v>
      </c>
      <c r="AE126" s="64">
        <v>97639158</v>
      </c>
      <c r="AF126" s="32"/>
      <c r="AG126" s="23"/>
      <c r="AH126" s="23"/>
      <c r="AI126" s="23"/>
      <c r="AJ126" s="23"/>
      <c r="AK126" s="23"/>
      <c r="AL126" s="23"/>
      <c r="AM126" s="23"/>
      <c r="AN126" s="23"/>
      <c r="AO126" s="23"/>
      <c r="AP126" s="23"/>
      <c r="AQ126" s="23"/>
      <c r="AR126" s="23"/>
      <c r="AS126" s="23"/>
      <c r="AT126" s="23"/>
      <c r="AU126" s="23"/>
      <c r="AV126" s="23"/>
      <c r="AW126" s="23"/>
      <c r="AX126" s="23"/>
      <c r="AY126" s="23"/>
      <c r="AZ126" s="23"/>
      <c r="BA126" s="23"/>
      <c r="BB126" s="23"/>
      <c r="BC126" s="23"/>
      <c r="BD126" s="23"/>
      <c r="BE126" s="23"/>
      <c r="BF126" s="23"/>
      <c r="BG126" s="23"/>
      <c r="BH126" s="23"/>
      <c r="BI126" s="23"/>
      <c r="BJ126" s="23"/>
      <c r="BK126" s="23"/>
      <c r="BL126" s="23"/>
      <c r="BM126" s="23"/>
      <c r="BN126" s="23"/>
      <c r="BO126" s="23"/>
      <c r="BP126" s="23"/>
      <c r="BQ126" s="23"/>
      <c r="BR126" s="23"/>
      <c r="BS126" s="23"/>
      <c r="BT126" s="23"/>
      <c r="BU126" s="23"/>
      <c r="BV126" s="23"/>
      <c r="BW126" s="23"/>
      <c r="BX126" s="23"/>
      <c r="BY126" s="23"/>
      <c r="BZ126" s="23"/>
      <c r="CA126" s="23"/>
      <c r="CB126" s="23"/>
      <c r="CC126" s="23"/>
      <c r="CD126" s="23"/>
      <c r="CE126" s="23"/>
      <c r="CF126" s="23"/>
      <c r="CG126" s="23"/>
      <c r="CH126" s="23"/>
      <c r="CI126" s="23"/>
      <c r="CJ126" s="23"/>
      <c r="CK126" s="23"/>
      <c r="CL126" s="23"/>
      <c r="CM126" s="23"/>
      <c r="CN126" s="23"/>
      <c r="CO126" s="23"/>
      <c r="CP126" s="23"/>
      <c r="CQ126" s="23"/>
      <c r="CR126" s="23"/>
      <c r="CS126" s="23"/>
      <c r="CT126" s="23"/>
      <c r="CU126" s="23"/>
      <c r="CV126" s="23"/>
      <c r="CW126" s="23"/>
      <c r="CX126" s="23"/>
      <c r="CY126" s="23"/>
      <c r="CZ126" s="23"/>
      <c r="DA126" s="23"/>
      <c r="DB126" s="23"/>
      <c r="DC126" s="23"/>
      <c r="DD126" s="23"/>
      <c r="DE126" s="23"/>
      <c r="DF126" s="23"/>
      <c r="DG126" s="23"/>
      <c r="DH126" s="23"/>
      <c r="DI126" s="23"/>
      <c r="DJ126" s="23"/>
      <c r="DK126" s="23"/>
      <c r="DL126" s="23"/>
      <c r="DM126" s="23"/>
      <c r="DN126" s="23"/>
      <c r="DO126" s="23"/>
      <c r="DP126" s="23"/>
      <c r="DQ126" s="23"/>
      <c r="DR126" s="23"/>
      <c r="DS126" s="23"/>
      <c r="DT126" s="23"/>
      <c r="DU126" s="23"/>
      <c r="DV126" s="23"/>
      <c r="DW126" s="23"/>
      <c r="DX126" s="23"/>
      <c r="DY126" s="23"/>
      <c r="DZ126" s="23"/>
      <c r="EA126" s="23"/>
      <c r="EB126" s="23"/>
      <c r="EC126" s="23"/>
      <c r="ED126" s="23"/>
      <c r="EE126" s="23"/>
      <c r="EF126" s="23"/>
      <c r="EG126" s="23"/>
      <c r="EH126" s="23"/>
      <c r="EI126" s="23"/>
      <c r="EJ126" s="23"/>
      <c r="EK126" s="23"/>
      <c r="EL126" s="23"/>
      <c r="EM126" s="23"/>
      <c r="EN126" s="23"/>
      <c r="EO126" s="23"/>
      <c r="EP126" s="23"/>
      <c r="EQ126" s="23"/>
      <c r="ER126" s="23"/>
      <c r="ES126" s="23"/>
      <c r="ET126" s="23"/>
      <c r="EU126" s="23"/>
      <c r="EV126" s="23"/>
      <c r="EW126" s="23"/>
      <c r="EX126" s="23"/>
      <c r="EY126" s="23"/>
      <c r="EZ126" s="23"/>
      <c r="FA126" s="23"/>
      <c r="FB126" s="23"/>
      <c r="FC126" s="23"/>
      <c r="FD126" s="23"/>
      <c r="FE126" s="23"/>
      <c r="FF126" s="23"/>
      <c r="FG126" s="23"/>
      <c r="FH126" s="23"/>
      <c r="FI126" s="23"/>
      <c r="FJ126" s="23"/>
      <c r="FK126" s="23"/>
      <c r="FL126" s="23"/>
      <c r="FM126" s="23"/>
      <c r="FN126" s="23"/>
      <c r="FO126" s="23"/>
      <c r="FP126" s="23"/>
      <c r="FQ126" s="23"/>
      <c r="FR126" s="23"/>
      <c r="FS126" s="23"/>
      <c r="FT126" s="23"/>
      <c r="FU126" s="23"/>
      <c r="FV126" s="23"/>
      <c r="FW126" s="23"/>
      <c r="FX126" s="23"/>
      <c r="FY126" s="23"/>
      <c r="FZ126" s="23"/>
      <c r="GA126" s="23"/>
      <c r="GB126" s="23"/>
      <c r="GC126" s="23"/>
      <c r="GD126" s="23"/>
      <c r="GE126" s="23"/>
      <c r="GF126" s="23"/>
      <c r="GG126" s="23"/>
      <c r="GH126" s="23"/>
      <c r="GI126" s="23"/>
      <c r="GJ126" s="23"/>
      <c r="GK126" s="23"/>
      <c r="GL126" s="23"/>
      <c r="GM126" s="23"/>
      <c r="GN126" s="23"/>
      <c r="GO126" s="23"/>
      <c r="GP126" s="23"/>
      <c r="GQ126" s="23"/>
      <c r="GR126" s="23"/>
      <c r="GS126" s="23"/>
      <c r="GT126" s="23"/>
      <c r="GU126" s="23"/>
      <c r="GV126" s="23"/>
      <c r="GW126" s="23"/>
      <c r="GX126" s="23"/>
      <c r="GY126" s="23"/>
      <c r="GZ126" s="23"/>
      <c r="HA126" s="23"/>
      <c r="HB126" s="23"/>
      <c r="HC126" s="23"/>
      <c r="HD126" s="23"/>
      <c r="HE126" s="23"/>
      <c r="HF126" s="23"/>
      <c r="HG126" s="23"/>
      <c r="HH126" s="23"/>
      <c r="HI126" s="23"/>
      <c r="HJ126" s="23"/>
      <c r="HK126" s="23"/>
      <c r="HL126" s="23"/>
      <c r="HM126" s="23"/>
      <c r="HN126" s="23"/>
      <c r="HO126" s="23"/>
      <c r="HP126" s="23"/>
      <c r="HQ126" s="23"/>
      <c r="HR126" s="23"/>
      <c r="HS126" s="23"/>
      <c r="HT126" s="23"/>
      <c r="HU126" s="23"/>
      <c r="HV126" s="23"/>
      <c r="HW126" s="23"/>
      <c r="HX126" s="23"/>
      <c r="HY126" s="23"/>
      <c r="HZ126" s="23"/>
      <c r="IA126" s="23"/>
      <c r="IB126" s="23"/>
      <c r="IC126" s="23"/>
      <c r="ID126" s="23"/>
      <c r="IE126" s="23"/>
      <c r="IF126" s="23"/>
      <c r="IG126" s="23"/>
    </row>
    <row r="127" spans="1:241" s="33" customFormat="1" ht="16.5" customHeight="1" x14ac:dyDescent="0.25">
      <c r="A127" s="47">
        <v>110</v>
      </c>
      <c r="B127" s="43" t="s">
        <v>127</v>
      </c>
      <c r="C127" s="43" t="s">
        <v>23</v>
      </c>
      <c r="D127" s="65">
        <v>685789489.29999995</v>
      </c>
      <c r="E127" s="65"/>
      <c r="F127" s="65">
        <v>463509002.01999998</v>
      </c>
      <c r="G127" s="65">
        <v>311509304.97000003</v>
      </c>
      <c r="H127" s="98"/>
      <c r="I127" s="99">
        <v>1529301.59</v>
      </c>
      <c r="J127" s="99">
        <v>1462364097.8800001</v>
      </c>
      <c r="K127" s="99">
        <v>8215659.2999999998</v>
      </c>
      <c r="L127" s="65">
        <v>2409860.1</v>
      </c>
      <c r="M127" s="52">
        <v>-22054003.25</v>
      </c>
      <c r="N127" s="65">
        <v>1496812596.4000001</v>
      </c>
      <c r="O127" s="65">
        <v>6019533.8499999996</v>
      </c>
      <c r="P127" s="88">
        <v>1550068922.54</v>
      </c>
      <c r="Q127" s="55">
        <f t="shared" si="57"/>
        <v>1.0443228794141481E-3</v>
      </c>
      <c r="R127" s="88">
        <v>1490793062.55</v>
      </c>
      <c r="S127" s="55">
        <f t="shared" si="59"/>
        <v>5.3007510039748497E-2</v>
      </c>
      <c r="T127" s="56">
        <f t="shared" si="60"/>
        <v>-3.8240789895244404E-2</v>
      </c>
      <c r="U127" s="57">
        <f t="shared" si="61"/>
        <v>1.6164953812422074E-3</v>
      </c>
      <c r="V127" s="58">
        <f t="shared" si="62"/>
        <v>-1.479347053861161E-2</v>
      </c>
      <c r="W127" s="59">
        <f t="shared" si="63"/>
        <v>3461.0656109469733</v>
      </c>
      <c r="X127" s="59">
        <f t="shared" si="64"/>
        <v>-51.201172147745844</v>
      </c>
      <c r="Y127" s="65">
        <v>3439.97</v>
      </c>
      <c r="Z127" s="65">
        <v>3472.61</v>
      </c>
      <c r="AA127" s="64">
        <v>1389</v>
      </c>
      <c r="AB127" s="64">
        <v>439822.61</v>
      </c>
      <c r="AC127" s="64">
        <v>4841.79</v>
      </c>
      <c r="AD127" s="64">
        <v>13932.01</v>
      </c>
      <c r="AE127" s="65">
        <v>430732.39</v>
      </c>
      <c r="AF127" s="32"/>
      <c r="AG127" s="23"/>
      <c r="AH127" s="23"/>
      <c r="AI127" s="23"/>
      <c r="AJ127" s="23"/>
      <c r="AK127" s="23"/>
      <c r="AL127" s="23"/>
      <c r="AM127" s="23"/>
      <c r="AN127" s="23"/>
      <c r="AO127" s="23"/>
      <c r="AP127" s="23"/>
      <c r="AQ127" s="23"/>
      <c r="AR127" s="23"/>
      <c r="AS127" s="23"/>
      <c r="AT127" s="23"/>
      <c r="AU127" s="23"/>
      <c r="AV127" s="23"/>
      <c r="AW127" s="23"/>
      <c r="AX127" s="23"/>
      <c r="AY127" s="23"/>
      <c r="AZ127" s="23"/>
      <c r="BA127" s="23"/>
      <c r="BB127" s="23"/>
      <c r="BC127" s="23"/>
      <c r="BD127" s="23"/>
      <c r="BE127" s="23"/>
      <c r="BF127" s="23"/>
      <c r="BG127" s="23"/>
      <c r="BH127" s="23"/>
      <c r="BI127" s="23"/>
      <c r="BJ127" s="23"/>
      <c r="BK127" s="23"/>
      <c r="BL127" s="23"/>
      <c r="BM127" s="23"/>
      <c r="BN127" s="23"/>
      <c r="BO127" s="23"/>
      <c r="BP127" s="23"/>
      <c r="BQ127" s="23"/>
      <c r="BR127" s="23"/>
      <c r="BS127" s="23"/>
      <c r="BT127" s="23"/>
      <c r="BU127" s="23"/>
      <c r="BV127" s="23"/>
      <c r="BW127" s="23"/>
      <c r="BX127" s="23"/>
      <c r="BY127" s="23"/>
      <c r="BZ127" s="23"/>
      <c r="CA127" s="23"/>
      <c r="CB127" s="23"/>
      <c r="CC127" s="23"/>
      <c r="CD127" s="23"/>
      <c r="CE127" s="23"/>
      <c r="CF127" s="23"/>
      <c r="CG127" s="23"/>
      <c r="CH127" s="23"/>
      <c r="CI127" s="23"/>
      <c r="CJ127" s="23"/>
      <c r="CK127" s="23"/>
      <c r="CL127" s="23"/>
      <c r="CM127" s="23"/>
      <c r="CN127" s="23"/>
      <c r="CO127" s="23"/>
      <c r="CP127" s="23"/>
      <c r="CQ127" s="23"/>
      <c r="CR127" s="23"/>
      <c r="CS127" s="23"/>
      <c r="CT127" s="23"/>
      <c r="CU127" s="23"/>
      <c r="CV127" s="23"/>
      <c r="CW127" s="23"/>
      <c r="CX127" s="23"/>
      <c r="CY127" s="23"/>
      <c r="CZ127" s="23"/>
      <c r="DA127" s="23"/>
      <c r="DB127" s="23"/>
      <c r="DC127" s="23"/>
      <c r="DD127" s="23"/>
      <c r="DE127" s="23"/>
      <c r="DF127" s="23"/>
      <c r="DG127" s="23"/>
      <c r="DH127" s="23"/>
      <c r="DI127" s="23"/>
      <c r="DJ127" s="23"/>
      <c r="DK127" s="23"/>
      <c r="DL127" s="23"/>
      <c r="DM127" s="23"/>
      <c r="DN127" s="23"/>
      <c r="DO127" s="23"/>
      <c r="DP127" s="23"/>
      <c r="DQ127" s="23"/>
      <c r="DR127" s="23"/>
      <c r="DS127" s="23"/>
      <c r="DT127" s="23"/>
      <c r="DU127" s="23"/>
      <c r="DV127" s="23"/>
      <c r="DW127" s="23"/>
      <c r="DX127" s="23"/>
      <c r="DY127" s="23"/>
      <c r="DZ127" s="23"/>
      <c r="EA127" s="23"/>
      <c r="EB127" s="23"/>
      <c r="EC127" s="23"/>
      <c r="ED127" s="23"/>
      <c r="EE127" s="23"/>
      <c r="EF127" s="23"/>
      <c r="EG127" s="23"/>
      <c r="EH127" s="23"/>
      <c r="EI127" s="23"/>
      <c r="EJ127" s="23"/>
      <c r="EK127" s="23"/>
      <c r="EL127" s="23"/>
      <c r="EM127" s="23"/>
      <c r="EN127" s="23"/>
      <c r="EO127" s="23"/>
      <c r="EP127" s="23"/>
      <c r="EQ127" s="23"/>
      <c r="ER127" s="23"/>
      <c r="ES127" s="23"/>
      <c r="ET127" s="23"/>
      <c r="EU127" s="23"/>
      <c r="EV127" s="23"/>
      <c r="EW127" s="23"/>
      <c r="EX127" s="23"/>
      <c r="EY127" s="23"/>
      <c r="EZ127" s="23"/>
      <c r="FA127" s="23"/>
      <c r="FB127" s="23"/>
      <c r="FC127" s="23"/>
      <c r="FD127" s="23"/>
      <c r="FE127" s="23"/>
      <c r="FF127" s="23"/>
      <c r="FG127" s="23"/>
      <c r="FH127" s="23"/>
      <c r="FI127" s="23"/>
      <c r="FJ127" s="23"/>
      <c r="FK127" s="23"/>
      <c r="FL127" s="23"/>
      <c r="FM127" s="23"/>
      <c r="FN127" s="23"/>
      <c r="FO127" s="23"/>
      <c r="FP127" s="23"/>
      <c r="FQ127" s="23"/>
      <c r="FR127" s="23"/>
      <c r="FS127" s="23"/>
      <c r="FT127" s="23"/>
      <c r="FU127" s="23"/>
      <c r="FV127" s="23"/>
      <c r="FW127" s="23"/>
      <c r="FX127" s="23"/>
      <c r="FY127" s="23"/>
      <c r="FZ127" s="23"/>
      <c r="GA127" s="23"/>
      <c r="GB127" s="23"/>
      <c r="GC127" s="23"/>
      <c r="GD127" s="23"/>
      <c r="GE127" s="23"/>
      <c r="GF127" s="23"/>
      <c r="GG127" s="23"/>
      <c r="GH127" s="23"/>
      <c r="GI127" s="23"/>
      <c r="GJ127" s="23"/>
      <c r="GK127" s="23"/>
      <c r="GL127" s="23"/>
      <c r="GM127" s="23"/>
      <c r="GN127" s="23"/>
      <c r="GO127" s="23"/>
      <c r="GP127" s="23"/>
      <c r="GQ127" s="23"/>
      <c r="GR127" s="23"/>
      <c r="GS127" s="23"/>
      <c r="GT127" s="23"/>
      <c r="GU127" s="23"/>
      <c r="GV127" s="23"/>
      <c r="GW127" s="23"/>
      <c r="GX127" s="23"/>
      <c r="GY127" s="23"/>
      <c r="GZ127" s="23"/>
      <c r="HA127" s="23"/>
      <c r="HB127" s="23"/>
      <c r="HC127" s="23"/>
      <c r="HD127" s="23"/>
      <c r="HE127" s="23"/>
      <c r="HF127" s="23"/>
      <c r="HG127" s="23"/>
      <c r="HH127" s="23"/>
      <c r="HI127" s="23"/>
      <c r="HJ127" s="23"/>
      <c r="HK127" s="23"/>
      <c r="HL127" s="23"/>
      <c r="HM127" s="23"/>
      <c r="HN127" s="23"/>
      <c r="HO127" s="23"/>
      <c r="HP127" s="23"/>
      <c r="HQ127" s="23"/>
      <c r="HR127" s="23"/>
      <c r="HS127" s="23"/>
      <c r="HT127" s="23"/>
      <c r="HU127" s="23"/>
      <c r="HV127" s="23"/>
      <c r="HW127" s="23"/>
      <c r="HX127" s="23"/>
      <c r="HY127" s="23"/>
      <c r="HZ127" s="23"/>
      <c r="IA127" s="23"/>
      <c r="IB127" s="23"/>
      <c r="IC127" s="23"/>
      <c r="ID127" s="23"/>
      <c r="IE127" s="23"/>
      <c r="IF127" s="23"/>
      <c r="IG127" s="23"/>
    </row>
    <row r="128" spans="1:241" ht="16.5" customHeight="1" x14ac:dyDescent="0.25">
      <c r="A128" s="47">
        <v>111</v>
      </c>
      <c r="B128" s="43" t="s">
        <v>128</v>
      </c>
      <c r="C128" s="43" t="s">
        <v>33</v>
      </c>
      <c r="D128" s="65">
        <v>426959777.69999999</v>
      </c>
      <c r="E128" s="65"/>
      <c r="F128" s="65">
        <v>9887866</v>
      </c>
      <c r="G128" s="65">
        <v>296975424</v>
      </c>
      <c r="H128" s="98"/>
      <c r="I128" s="99"/>
      <c r="J128" s="99">
        <v>733823067</v>
      </c>
      <c r="K128" s="99">
        <v>7174160</v>
      </c>
      <c r="L128" s="99">
        <v>1993564</v>
      </c>
      <c r="M128" s="52">
        <v>-16680726</v>
      </c>
      <c r="N128" s="65">
        <v>1095827233</v>
      </c>
      <c r="O128" s="65">
        <v>19984108</v>
      </c>
      <c r="P128" s="88">
        <v>1037079465.48</v>
      </c>
      <c r="Q128" s="55">
        <f t="shared" si="57"/>
        <v>6.9870816569668427E-4</v>
      </c>
      <c r="R128" s="88">
        <v>1016892308.79</v>
      </c>
      <c r="S128" s="55">
        <f t="shared" si="59"/>
        <v>3.6157217672671514E-2</v>
      </c>
      <c r="T128" s="56">
        <f t="shared" si="60"/>
        <v>-1.946539041794321E-2</v>
      </c>
      <c r="U128" s="57">
        <f t="shared" si="61"/>
        <v>1.9604475152065429E-3</v>
      </c>
      <c r="V128" s="58">
        <f t="shared" si="62"/>
        <v>-1.640363080319527E-2</v>
      </c>
      <c r="W128" s="59">
        <f t="shared" si="63"/>
        <v>1.3199779091348685</v>
      </c>
      <c r="X128" s="59">
        <f t="shared" si="64"/>
        <v>-2.1652430289822014E-2</v>
      </c>
      <c r="Y128" s="65">
        <v>1.32</v>
      </c>
      <c r="Z128" s="65">
        <v>1.34</v>
      </c>
      <c r="AA128" s="64">
        <v>1325</v>
      </c>
      <c r="AB128" s="64">
        <v>770107676</v>
      </c>
      <c r="AC128" s="64">
        <v>1059000</v>
      </c>
      <c r="AD128" s="64">
        <v>780823</v>
      </c>
      <c r="AE128" s="65">
        <v>770385854</v>
      </c>
      <c r="AF128" s="5"/>
      <c r="AG128" s="17"/>
      <c r="AH128" s="17"/>
      <c r="AI128" s="17"/>
      <c r="AJ128" s="17"/>
      <c r="AK128" s="17"/>
      <c r="AL128" s="17"/>
      <c r="AM128" s="17"/>
      <c r="AN128" s="17"/>
      <c r="AO128" s="17"/>
      <c r="AP128" s="17"/>
      <c r="AQ128" s="17"/>
      <c r="AR128" s="17"/>
      <c r="AS128" s="17"/>
      <c r="AT128" s="17"/>
      <c r="AU128" s="17"/>
      <c r="AV128" s="17"/>
      <c r="AW128" s="17"/>
      <c r="AX128" s="17"/>
      <c r="AY128" s="17"/>
      <c r="AZ128" s="17"/>
      <c r="BA128" s="17"/>
      <c r="BB128" s="17"/>
      <c r="BC128" s="17"/>
      <c r="BD128" s="17"/>
      <c r="BE128" s="17"/>
      <c r="BF128" s="17"/>
      <c r="BG128" s="17"/>
      <c r="BH128" s="17"/>
      <c r="BI128" s="17"/>
      <c r="BJ128" s="17"/>
      <c r="BK128" s="17"/>
      <c r="BL128" s="17"/>
      <c r="BM128" s="17"/>
      <c r="BN128" s="17"/>
      <c r="BO128" s="17"/>
      <c r="BP128" s="17"/>
      <c r="BQ128" s="17"/>
      <c r="BR128" s="17"/>
      <c r="BS128" s="17"/>
      <c r="BT128" s="17"/>
      <c r="BU128" s="17"/>
      <c r="BV128" s="17"/>
      <c r="BW128" s="17"/>
      <c r="BX128" s="17"/>
      <c r="BY128" s="17"/>
      <c r="BZ128" s="17"/>
      <c r="CA128" s="17"/>
      <c r="CB128" s="17"/>
      <c r="CC128" s="17"/>
      <c r="CD128" s="17"/>
      <c r="CE128" s="17"/>
      <c r="CF128" s="17"/>
      <c r="CG128" s="17"/>
      <c r="CH128" s="17"/>
      <c r="CI128" s="17"/>
      <c r="CJ128" s="17"/>
      <c r="CK128" s="17"/>
      <c r="CL128" s="17"/>
      <c r="CM128" s="17"/>
      <c r="CN128" s="17"/>
      <c r="CO128" s="17"/>
      <c r="CP128" s="17"/>
      <c r="CQ128" s="17"/>
      <c r="CR128" s="17"/>
      <c r="CS128" s="17"/>
      <c r="CT128" s="17"/>
      <c r="CU128" s="17"/>
      <c r="CV128" s="17"/>
      <c r="CW128" s="17"/>
      <c r="CX128" s="17"/>
      <c r="CY128" s="17"/>
      <c r="CZ128" s="17"/>
      <c r="DA128" s="17"/>
      <c r="DB128" s="17"/>
      <c r="DC128" s="17"/>
      <c r="DD128" s="17"/>
      <c r="DE128" s="17"/>
      <c r="DF128" s="17"/>
      <c r="DG128" s="17"/>
      <c r="DH128" s="17"/>
      <c r="DI128" s="17"/>
      <c r="DJ128" s="17"/>
      <c r="DK128" s="17"/>
      <c r="DL128" s="17"/>
      <c r="DM128" s="17"/>
      <c r="DN128" s="17"/>
      <c r="DO128" s="17"/>
      <c r="DP128" s="17"/>
      <c r="DQ128" s="17"/>
      <c r="DR128" s="17"/>
      <c r="DS128" s="17"/>
      <c r="DT128" s="17"/>
      <c r="DU128" s="17"/>
      <c r="DV128" s="17"/>
      <c r="DW128" s="17"/>
      <c r="DX128" s="17"/>
      <c r="DY128" s="17"/>
      <c r="DZ128" s="17"/>
      <c r="EA128" s="17"/>
      <c r="EB128" s="17"/>
      <c r="EC128" s="17"/>
      <c r="ED128" s="17"/>
      <c r="EE128" s="17"/>
      <c r="EF128" s="17"/>
      <c r="EG128" s="17"/>
      <c r="EH128" s="17"/>
      <c r="EI128" s="17"/>
      <c r="EJ128" s="17"/>
      <c r="EK128" s="17"/>
      <c r="EL128" s="17"/>
      <c r="EM128" s="17"/>
      <c r="EN128" s="17"/>
      <c r="EO128" s="17"/>
      <c r="EP128" s="17"/>
      <c r="EQ128" s="17"/>
      <c r="ER128" s="17"/>
      <c r="ES128" s="17"/>
      <c r="ET128" s="17"/>
      <c r="EU128" s="17"/>
      <c r="EV128" s="17"/>
      <c r="EW128" s="17"/>
      <c r="EX128" s="17"/>
      <c r="EY128" s="17"/>
      <c r="EZ128" s="17"/>
      <c r="FA128" s="17"/>
      <c r="FB128" s="17"/>
      <c r="FC128" s="17"/>
      <c r="FD128" s="17"/>
      <c r="FE128" s="17"/>
      <c r="FF128" s="17"/>
      <c r="FG128" s="17"/>
      <c r="FH128" s="17"/>
      <c r="FI128" s="17"/>
      <c r="FJ128" s="17"/>
      <c r="FK128" s="17"/>
      <c r="FL128" s="17"/>
      <c r="FM128" s="17"/>
      <c r="FN128" s="17"/>
      <c r="FO128" s="17"/>
      <c r="FP128" s="17"/>
      <c r="FQ128" s="17"/>
      <c r="FR128" s="17"/>
      <c r="FS128" s="17"/>
      <c r="FT128" s="17"/>
      <c r="FU128" s="17"/>
      <c r="FV128" s="17"/>
      <c r="FW128" s="17"/>
      <c r="FX128" s="17"/>
      <c r="FY128" s="17"/>
      <c r="FZ128" s="17"/>
      <c r="GA128" s="17"/>
      <c r="GB128" s="17"/>
      <c r="GC128" s="17"/>
      <c r="GD128" s="17"/>
      <c r="GE128" s="17"/>
      <c r="GF128" s="17"/>
      <c r="GG128" s="17"/>
      <c r="GH128" s="17"/>
      <c r="GI128" s="17"/>
      <c r="GJ128" s="17"/>
      <c r="GK128" s="17"/>
      <c r="GL128" s="17"/>
      <c r="GM128" s="17"/>
      <c r="GN128" s="17"/>
      <c r="GO128" s="17"/>
      <c r="GP128" s="17"/>
      <c r="GQ128" s="17"/>
      <c r="GR128" s="17"/>
      <c r="GS128" s="17"/>
      <c r="GT128" s="17"/>
      <c r="GU128" s="17"/>
      <c r="GV128" s="17"/>
      <c r="GW128" s="17"/>
      <c r="GX128" s="17"/>
      <c r="GY128" s="17"/>
      <c r="GZ128" s="17"/>
      <c r="HA128" s="17"/>
      <c r="HB128" s="17"/>
      <c r="HC128" s="17"/>
      <c r="HD128" s="17"/>
      <c r="HE128" s="17"/>
      <c r="HF128" s="17"/>
      <c r="HG128" s="17"/>
      <c r="HH128" s="17"/>
      <c r="HI128" s="17"/>
      <c r="HJ128" s="17"/>
      <c r="HK128" s="17"/>
      <c r="HL128" s="17"/>
      <c r="HM128" s="17"/>
      <c r="HN128" s="17"/>
      <c r="HO128" s="17"/>
      <c r="HP128" s="17"/>
      <c r="HQ128" s="17"/>
      <c r="HR128" s="17"/>
      <c r="HS128" s="17"/>
      <c r="HT128" s="17"/>
      <c r="HU128" s="17"/>
      <c r="HV128" s="17"/>
      <c r="HW128" s="17"/>
      <c r="HX128" s="17"/>
      <c r="HY128" s="17"/>
      <c r="HZ128" s="17"/>
      <c r="IA128" s="17"/>
      <c r="IB128" s="17"/>
      <c r="IC128" s="17"/>
      <c r="ID128" s="17"/>
      <c r="IE128" s="17"/>
      <c r="IF128" s="17"/>
      <c r="IG128" s="17"/>
    </row>
    <row r="129" spans="1:241" ht="16.5" customHeight="1" x14ac:dyDescent="0.25">
      <c r="A129" s="47">
        <v>112</v>
      </c>
      <c r="B129" s="93" t="s">
        <v>132</v>
      </c>
      <c r="C129" s="43" t="s">
        <v>84</v>
      </c>
      <c r="D129" s="65">
        <v>2588583324.25</v>
      </c>
      <c r="E129" s="65"/>
      <c r="F129" s="65">
        <v>282961501.75999999</v>
      </c>
      <c r="G129" s="65">
        <v>1005807311.73</v>
      </c>
      <c r="H129" s="98"/>
      <c r="I129" s="86"/>
      <c r="J129" s="99">
        <v>3877573624.23</v>
      </c>
      <c r="K129" s="99">
        <v>17914246.960000001</v>
      </c>
      <c r="L129" s="65">
        <v>6345227.25</v>
      </c>
      <c r="M129" s="52">
        <v>66568845.530000001</v>
      </c>
      <c r="N129" s="65">
        <v>4640700137.4300003</v>
      </c>
      <c r="O129" s="65">
        <v>10446200.289999999</v>
      </c>
      <c r="P129" s="88">
        <v>4710203291.3699999</v>
      </c>
      <c r="Q129" s="55">
        <f t="shared" si="57"/>
        <v>3.1733899005013957E-3</v>
      </c>
      <c r="R129" s="88">
        <v>4630253937.1400003</v>
      </c>
      <c r="S129" s="55">
        <f t="shared" si="59"/>
        <v>0.16463601704700165</v>
      </c>
      <c r="T129" s="56">
        <f t="shared" si="60"/>
        <v>-1.6973652575990119E-2</v>
      </c>
      <c r="U129" s="57">
        <f t="shared" si="61"/>
        <v>1.3703842890999836E-3</v>
      </c>
      <c r="V129" s="58">
        <f t="shared" si="62"/>
        <v>1.4376931899142884E-2</v>
      </c>
      <c r="W129" s="59">
        <f t="shared" si="63"/>
        <v>186.72064534939264</v>
      </c>
      <c r="X129" s="59">
        <f t="shared" si="64"/>
        <v>2.6844700023522283</v>
      </c>
      <c r="Y129" s="65">
        <v>184.52850000000001</v>
      </c>
      <c r="Z129" s="65">
        <v>188.12989999999999</v>
      </c>
      <c r="AA129" s="64">
        <v>27</v>
      </c>
      <c r="AB129" s="64">
        <v>24797761</v>
      </c>
      <c r="AC129" s="65"/>
      <c r="AD129" s="65"/>
      <c r="AE129" s="65">
        <v>24797761</v>
      </c>
      <c r="AF129" s="5"/>
      <c r="AG129" s="17"/>
      <c r="AH129" s="17"/>
      <c r="AI129" s="17"/>
      <c r="AJ129" s="17"/>
      <c r="AK129" s="17"/>
      <c r="AL129" s="17"/>
      <c r="AM129" s="17"/>
      <c r="AN129" s="17"/>
      <c r="AO129" s="17"/>
      <c r="AP129" s="17"/>
      <c r="AQ129" s="17"/>
      <c r="AR129" s="17"/>
      <c r="AS129" s="17"/>
      <c r="AT129" s="17"/>
      <c r="AU129" s="17"/>
      <c r="AV129" s="17"/>
      <c r="AW129" s="17"/>
      <c r="AX129" s="17"/>
      <c r="AY129" s="17"/>
      <c r="AZ129" s="17"/>
      <c r="BA129" s="17"/>
      <c r="BB129" s="17"/>
      <c r="BC129" s="17"/>
      <c r="BD129" s="17"/>
      <c r="BE129" s="17"/>
      <c r="BF129" s="17"/>
      <c r="BG129" s="17"/>
      <c r="BH129" s="17"/>
      <c r="BI129" s="17"/>
      <c r="BJ129" s="17"/>
      <c r="BK129" s="17"/>
      <c r="BL129" s="17"/>
      <c r="BM129" s="17"/>
      <c r="BN129" s="17"/>
      <c r="BO129" s="17"/>
      <c r="BP129" s="17"/>
      <c r="BQ129" s="17"/>
      <c r="BR129" s="17"/>
      <c r="BS129" s="17"/>
      <c r="BT129" s="17"/>
      <c r="BU129" s="17"/>
      <c r="BV129" s="17"/>
      <c r="BW129" s="17"/>
      <c r="BX129" s="17"/>
      <c r="BY129" s="17"/>
      <c r="BZ129" s="17"/>
      <c r="CA129" s="17"/>
      <c r="CB129" s="17"/>
      <c r="CC129" s="17"/>
      <c r="CD129" s="17"/>
      <c r="CE129" s="17"/>
      <c r="CF129" s="17"/>
      <c r="CG129" s="17"/>
      <c r="CH129" s="17"/>
      <c r="CI129" s="17"/>
      <c r="CJ129" s="17"/>
      <c r="CK129" s="17"/>
      <c r="CL129" s="17"/>
      <c r="CM129" s="17"/>
      <c r="CN129" s="17"/>
      <c r="CO129" s="17"/>
      <c r="CP129" s="17"/>
      <c r="CQ129" s="17"/>
      <c r="CR129" s="17"/>
      <c r="CS129" s="17"/>
      <c r="CT129" s="17"/>
      <c r="CU129" s="17"/>
      <c r="CV129" s="17"/>
      <c r="CW129" s="17"/>
      <c r="CX129" s="17"/>
      <c r="CY129" s="17"/>
      <c r="CZ129" s="17"/>
      <c r="DA129" s="17"/>
      <c r="DB129" s="17"/>
      <c r="DC129" s="17"/>
      <c r="DD129" s="17"/>
      <c r="DE129" s="17"/>
      <c r="DF129" s="17"/>
      <c r="DG129" s="17"/>
      <c r="DH129" s="17"/>
      <c r="DI129" s="17"/>
      <c r="DJ129" s="17"/>
      <c r="DK129" s="17"/>
      <c r="DL129" s="17"/>
      <c r="DM129" s="17"/>
      <c r="DN129" s="17"/>
      <c r="DO129" s="17"/>
      <c r="DP129" s="17"/>
      <c r="DQ129" s="17"/>
      <c r="DR129" s="17"/>
      <c r="DS129" s="17"/>
      <c r="DT129" s="17"/>
      <c r="DU129" s="17"/>
      <c r="DV129" s="17"/>
      <c r="DW129" s="17"/>
      <c r="DX129" s="17"/>
      <c r="DY129" s="17"/>
      <c r="DZ129" s="17"/>
      <c r="EA129" s="17"/>
      <c r="EB129" s="17"/>
      <c r="EC129" s="17"/>
      <c r="ED129" s="17"/>
      <c r="EE129" s="17"/>
      <c r="EF129" s="17"/>
      <c r="EG129" s="17"/>
      <c r="EH129" s="17"/>
      <c r="EI129" s="17"/>
      <c r="EJ129" s="17"/>
      <c r="EK129" s="17"/>
      <c r="EL129" s="17"/>
      <c r="EM129" s="17"/>
      <c r="EN129" s="17"/>
      <c r="EO129" s="17"/>
      <c r="EP129" s="17"/>
      <c r="EQ129" s="17"/>
      <c r="ER129" s="17"/>
      <c r="ES129" s="17"/>
      <c r="ET129" s="17"/>
      <c r="EU129" s="17"/>
      <c r="EV129" s="17"/>
      <c r="EW129" s="17"/>
      <c r="EX129" s="17"/>
      <c r="EY129" s="17"/>
      <c r="EZ129" s="17"/>
      <c r="FA129" s="17"/>
      <c r="FB129" s="17"/>
      <c r="FC129" s="17"/>
      <c r="FD129" s="17"/>
      <c r="FE129" s="17"/>
      <c r="FF129" s="17"/>
      <c r="FG129" s="17"/>
      <c r="FH129" s="17"/>
      <c r="FI129" s="17"/>
      <c r="FJ129" s="17"/>
      <c r="FK129" s="17"/>
      <c r="FL129" s="17"/>
      <c r="FM129" s="17"/>
      <c r="FN129" s="17"/>
      <c r="FO129" s="17"/>
      <c r="FP129" s="17"/>
      <c r="FQ129" s="17"/>
      <c r="FR129" s="17"/>
      <c r="FS129" s="17"/>
      <c r="FT129" s="17"/>
      <c r="FU129" s="17"/>
      <c r="FV129" s="17"/>
      <c r="FW129" s="17"/>
      <c r="FX129" s="17"/>
      <c r="FY129" s="17"/>
      <c r="FZ129" s="17"/>
      <c r="GA129" s="17"/>
      <c r="GB129" s="17"/>
      <c r="GC129" s="17"/>
      <c r="GD129" s="17"/>
      <c r="GE129" s="17"/>
      <c r="GF129" s="17"/>
      <c r="GG129" s="17"/>
      <c r="GH129" s="17"/>
      <c r="GI129" s="17"/>
      <c r="GJ129" s="17"/>
      <c r="GK129" s="17"/>
      <c r="GL129" s="17"/>
      <c r="GM129" s="17"/>
      <c r="GN129" s="17"/>
      <c r="GO129" s="17"/>
      <c r="GP129" s="17"/>
      <c r="GQ129" s="17"/>
      <c r="GR129" s="17"/>
      <c r="GS129" s="17"/>
      <c r="GT129" s="17"/>
      <c r="GU129" s="17"/>
      <c r="GV129" s="17"/>
      <c r="GW129" s="17"/>
      <c r="GX129" s="17"/>
      <c r="GY129" s="17"/>
      <c r="GZ129" s="17"/>
      <c r="HA129" s="17"/>
      <c r="HB129" s="17"/>
      <c r="HC129" s="17"/>
      <c r="HD129" s="17"/>
      <c r="HE129" s="17"/>
      <c r="HF129" s="17"/>
      <c r="HG129" s="17"/>
      <c r="HH129" s="17"/>
      <c r="HI129" s="17"/>
      <c r="HJ129" s="17"/>
      <c r="HK129" s="17"/>
      <c r="HL129" s="17"/>
      <c r="HM129" s="17"/>
      <c r="HN129" s="17"/>
      <c r="HO129" s="17"/>
      <c r="HP129" s="17"/>
      <c r="HQ129" s="17"/>
      <c r="HR129" s="17"/>
      <c r="HS129" s="17"/>
      <c r="HT129" s="17"/>
      <c r="HU129" s="17"/>
      <c r="HV129" s="17"/>
      <c r="HW129" s="17"/>
      <c r="HX129" s="17"/>
      <c r="HY129" s="17"/>
      <c r="HZ129" s="17"/>
      <c r="IA129" s="17"/>
      <c r="IB129" s="17"/>
      <c r="IC129" s="17"/>
      <c r="ID129" s="17"/>
      <c r="IE129" s="17"/>
      <c r="IF129" s="17"/>
      <c r="IG129" s="17"/>
    </row>
    <row r="130" spans="1:241" s="33" customFormat="1" ht="17.25" customHeight="1" x14ac:dyDescent="0.25">
      <c r="A130" s="47">
        <v>113</v>
      </c>
      <c r="B130" s="82" t="s">
        <v>136</v>
      </c>
      <c r="C130" s="44" t="s">
        <v>44</v>
      </c>
      <c r="D130" s="65">
        <v>830425503.64999998</v>
      </c>
      <c r="E130" s="65"/>
      <c r="F130" s="65">
        <v>779015352.32000005</v>
      </c>
      <c r="G130" s="65">
        <v>500500742.77999997</v>
      </c>
      <c r="H130" s="53"/>
      <c r="I130" s="99"/>
      <c r="J130" s="99">
        <v>2109941598.76</v>
      </c>
      <c r="K130" s="99">
        <v>17807692.210000001</v>
      </c>
      <c r="L130" s="65">
        <v>5682441.9299999997</v>
      </c>
      <c r="M130" s="52">
        <v>-35299694.469999999</v>
      </c>
      <c r="N130" s="65">
        <v>2116295502.04</v>
      </c>
      <c r="O130" s="65">
        <v>71943.02</v>
      </c>
      <c r="P130" s="88">
        <v>2154075798.4699998</v>
      </c>
      <c r="Q130" s="55">
        <f t="shared" si="57"/>
        <v>1.4512584618807298E-3</v>
      </c>
      <c r="R130" s="88">
        <v>2116223559.01</v>
      </c>
      <c r="S130" s="55">
        <f t="shared" si="59"/>
        <v>7.5245682562205096E-2</v>
      </c>
      <c r="T130" s="56">
        <f t="shared" si="60"/>
        <v>-1.7572380455175042E-2</v>
      </c>
      <c r="U130" s="57">
        <f t="shared" si="61"/>
        <v>2.6851803562088347E-3</v>
      </c>
      <c r="V130" s="58">
        <f t="shared" si="62"/>
        <v>-1.6680512944725796E-2</v>
      </c>
      <c r="W130" s="59">
        <f t="shared" si="63"/>
        <v>2.6596810907973456</v>
      </c>
      <c r="X130" s="59">
        <f t="shared" si="64"/>
        <v>-4.4364844863887552E-2</v>
      </c>
      <c r="Y130" s="65">
        <v>2.89</v>
      </c>
      <c r="Z130" s="65">
        <v>2.93</v>
      </c>
      <c r="AA130" s="64">
        <v>2177</v>
      </c>
      <c r="AB130" s="65">
        <v>798877189.99000001</v>
      </c>
      <c r="AC130" s="64">
        <v>2694000</v>
      </c>
      <c r="AD130" s="64">
        <v>5903030.25</v>
      </c>
      <c r="AE130" s="65">
        <v>795668159.74000001</v>
      </c>
      <c r="AF130" s="32"/>
      <c r="AG130" s="23"/>
      <c r="AH130" s="23"/>
      <c r="AI130" s="23"/>
      <c r="AJ130" s="23"/>
      <c r="AK130" s="23"/>
      <c r="AL130" s="23"/>
      <c r="AM130" s="23"/>
      <c r="AN130" s="23"/>
      <c r="AO130" s="23"/>
      <c r="AP130" s="23"/>
      <c r="AQ130" s="23"/>
      <c r="AR130" s="23"/>
      <c r="AS130" s="23"/>
      <c r="AT130" s="23"/>
      <c r="AU130" s="23"/>
      <c r="AV130" s="23"/>
      <c r="AW130" s="23"/>
      <c r="AX130" s="23"/>
      <c r="AY130" s="23"/>
      <c r="AZ130" s="23"/>
      <c r="BA130" s="23"/>
      <c r="BB130" s="23"/>
      <c r="BC130" s="23"/>
      <c r="BD130" s="23"/>
      <c r="BE130" s="23"/>
      <c r="BF130" s="23"/>
      <c r="BG130" s="23"/>
      <c r="BH130" s="23"/>
      <c r="BI130" s="23"/>
      <c r="BJ130" s="23"/>
      <c r="BK130" s="23"/>
      <c r="BL130" s="23"/>
      <c r="BM130" s="23"/>
      <c r="BN130" s="23"/>
      <c r="BO130" s="23"/>
      <c r="BP130" s="23"/>
      <c r="BQ130" s="23"/>
      <c r="BR130" s="23"/>
      <c r="BS130" s="23"/>
      <c r="BT130" s="23"/>
      <c r="BU130" s="23"/>
      <c r="BV130" s="23"/>
      <c r="BW130" s="23"/>
      <c r="BX130" s="23"/>
      <c r="BY130" s="23"/>
      <c r="BZ130" s="23"/>
      <c r="CA130" s="23"/>
      <c r="CB130" s="23"/>
      <c r="CC130" s="23"/>
      <c r="CD130" s="23"/>
      <c r="CE130" s="23"/>
      <c r="CF130" s="23"/>
      <c r="CG130" s="23"/>
      <c r="CH130" s="23"/>
      <c r="CI130" s="23"/>
      <c r="CJ130" s="23"/>
      <c r="CK130" s="23"/>
      <c r="CL130" s="23"/>
      <c r="CM130" s="23"/>
      <c r="CN130" s="23"/>
      <c r="CO130" s="23"/>
      <c r="CP130" s="23"/>
      <c r="CQ130" s="23"/>
      <c r="CR130" s="23"/>
      <c r="CS130" s="23"/>
      <c r="CT130" s="23"/>
      <c r="CU130" s="23"/>
      <c r="CV130" s="23"/>
      <c r="CW130" s="23"/>
      <c r="CX130" s="23"/>
      <c r="CY130" s="23"/>
      <c r="CZ130" s="23"/>
      <c r="DA130" s="23"/>
      <c r="DB130" s="23"/>
      <c r="DC130" s="23"/>
      <c r="DD130" s="23"/>
      <c r="DE130" s="23"/>
      <c r="DF130" s="23"/>
      <c r="DG130" s="23"/>
      <c r="DH130" s="23"/>
      <c r="DI130" s="23"/>
      <c r="DJ130" s="23"/>
      <c r="DK130" s="23"/>
      <c r="DL130" s="23"/>
      <c r="DM130" s="23"/>
      <c r="DN130" s="23"/>
      <c r="DO130" s="23"/>
      <c r="DP130" s="23"/>
      <c r="DQ130" s="23"/>
      <c r="DR130" s="23"/>
      <c r="DS130" s="23"/>
      <c r="DT130" s="23"/>
      <c r="DU130" s="23"/>
      <c r="DV130" s="23"/>
      <c r="DW130" s="23"/>
      <c r="DX130" s="23"/>
      <c r="DY130" s="23"/>
      <c r="DZ130" s="23"/>
      <c r="EA130" s="23"/>
      <c r="EB130" s="23"/>
      <c r="EC130" s="23"/>
      <c r="ED130" s="23"/>
      <c r="EE130" s="23"/>
      <c r="EF130" s="23"/>
      <c r="EG130" s="23"/>
      <c r="EH130" s="23"/>
      <c r="EI130" s="23"/>
      <c r="EJ130" s="23"/>
      <c r="EK130" s="23"/>
      <c r="EL130" s="23"/>
      <c r="EM130" s="23"/>
      <c r="EN130" s="23"/>
      <c r="EO130" s="23"/>
      <c r="EP130" s="23"/>
      <c r="EQ130" s="23"/>
      <c r="ER130" s="23"/>
      <c r="ES130" s="23"/>
      <c r="ET130" s="23"/>
      <c r="EU130" s="23"/>
      <c r="EV130" s="23"/>
      <c r="EW130" s="23"/>
      <c r="EX130" s="23"/>
      <c r="EY130" s="23"/>
      <c r="EZ130" s="23"/>
      <c r="FA130" s="23"/>
      <c r="FB130" s="23"/>
      <c r="FC130" s="23"/>
      <c r="FD130" s="23"/>
      <c r="FE130" s="23"/>
      <c r="FF130" s="23"/>
      <c r="FG130" s="23"/>
      <c r="FH130" s="23"/>
      <c r="FI130" s="23"/>
      <c r="FJ130" s="23"/>
      <c r="FK130" s="23"/>
      <c r="FL130" s="23"/>
      <c r="FM130" s="23"/>
      <c r="FN130" s="23"/>
      <c r="FO130" s="23"/>
      <c r="FP130" s="23"/>
      <c r="FQ130" s="23"/>
      <c r="FR130" s="23"/>
      <c r="FS130" s="23"/>
      <c r="FT130" s="23"/>
      <c r="FU130" s="23"/>
      <c r="FV130" s="23"/>
      <c r="FW130" s="23"/>
      <c r="FX130" s="23"/>
      <c r="FY130" s="23"/>
      <c r="FZ130" s="23"/>
      <c r="GA130" s="23"/>
      <c r="GB130" s="23"/>
      <c r="GC130" s="23"/>
      <c r="GD130" s="23"/>
      <c r="GE130" s="23"/>
      <c r="GF130" s="23"/>
      <c r="GG130" s="23"/>
      <c r="GH130" s="23"/>
      <c r="GI130" s="23"/>
      <c r="GJ130" s="23"/>
      <c r="GK130" s="23"/>
      <c r="GL130" s="23"/>
      <c r="GM130" s="23"/>
      <c r="GN130" s="23"/>
      <c r="GO130" s="23"/>
      <c r="GP130" s="23"/>
      <c r="GQ130" s="23"/>
      <c r="GR130" s="23"/>
      <c r="GS130" s="23"/>
      <c r="GT130" s="23"/>
      <c r="GU130" s="23"/>
      <c r="GV130" s="23"/>
      <c r="GW130" s="23"/>
      <c r="GX130" s="23"/>
      <c r="GY130" s="23"/>
      <c r="GZ130" s="23"/>
      <c r="HA130" s="23"/>
      <c r="HB130" s="23"/>
      <c r="HC130" s="23"/>
      <c r="HD130" s="23"/>
      <c r="HE130" s="23"/>
      <c r="HF130" s="23"/>
      <c r="HG130" s="23"/>
      <c r="HH130" s="23"/>
      <c r="HI130" s="23"/>
      <c r="HJ130" s="23"/>
      <c r="HK130" s="23"/>
      <c r="HL130" s="23"/>
      <c r="HM130" s="23"/>
      <c r="HN130" s="23"/>
      <c r="HO130" s="23"/>
      <c r="HP130" s="23"/>
      <c r="HQ130" s="23"/>
      <c r="HR130" s="23"/>
      <c r="HS130" s="23"/>
      <c r="HT130" s="23"/>
      <c r="HU130" s="23"/>
      <c r="HV130" s="23"/>
      <c r="HW130" s="23"/>
      <c r="HX130" s="23"/>
      <c r="HY130" s="23"/>
      <c r="HZ130" s="23"/>
      <c r="IA130" s="23"/>
      <c r="IB130" s="23"/>
      <c r="IC130" s="23"/>
      <c r="ID130" s="23"/>
      <c r="IE130" s="23"/>
      <c r="IF130" s="23"/>
      <c r="IG130" s="23"/>
    </row>
    <row r="131" spans="1:241" ht="15.75" customHeight="1" x14ac:dyDescent="0.25">
      <c r="A131" s="47">
        <v>114</v>
      </c>
      <c r="B131" s="43" t="s">
        <v>199</v>
      </c>
      <c r="C131" s="43" t="s">
        <v>33</v>
      </c>
      <c r="D131" s="65">
        <v>220514252</v>
      </c>
      <c r="E131" s="65"/>
      <c r="F131" s="65">
        <v>9886646</v>
      </c>
      <c r="G131" s="65"/>
      <c r="H131" s="98"/>
      <c r="I131" s="86"/>
      <c r="J131" s="99">
        <v>230400898.22</v>
      </c>
      <c r="K131" s="99">
        <v>5386234.1399999997</v>
      </c>
      <c r="L131" s="65">
        <v>1199865</v>
      </c>
      <c r="M131" s="52">
        <v>13978912</v>
      </c>
      <c r="N131" s="65">
        <v>641321361</v>
      </c>
      <c r="O131" s="65">
        <v>19777375</v>
      </c>
      <c r="P131" s="88">
        <v>628843992</v>
      </c>
      <c r="Q131" s="55">
        <f t="shared" si="57"/>
        <v>4.2366901166666075E-4</v>
      </c>
      <c r="R131" s="88">
        <v>621543986</v>
      </c>
      <c r="S131" s="55">
        <f t="shared" si="59"/>
        <v>2.2099981483469845E-2</v>
      </c>
      <c r="T131" s="56">
        <f t="shared" si="60"/>
        <v>-1.1608612140481419E-2</v>
      </c>
      <c r="U131" s="57">
        <f t="shared" si="61"/>
        <v>1.9304587077124417E-3</v>
      </c>
      <c r="V131" s="58">
        <f t="shared" si="62"/>
        <v>2.2490623857472254E-2</v>
      </c>
      <c r="W131" s="59">
        <f t="shared" si="63"/>
        <v>1.1234608597713784</v>
      </c>
      <c r="X131" s="59">
        <f t="shared" si="64"/>
        <v>2.5267335615710453E-2</v>
      </c>
      <c r="Y131" s="65">
        <v>1.1200000000000001</v>
      </c>
      <c r="Z131" s="65">
        <v>1.1399999999999999</v>
      </c>
      <c r="AA131" s="64">
        <v>100</v>
      </c>
      <c r="AB131" s="64">
        <v>553410371</v>
      </c>
      <c r="AC131" s="64">
        <v>3498304</v>
      </c>
      <c r="AD131" s="64">
        <v>3668230</v>
      </c>
      <c r="AE131" s="65">
        <v>553240445</v>
      </c>
      <c r="AF131" s="37"/>
    </row>
    <row r="132" spans="1:241" ht="15.75" customHeight="1" x14ac:dyDescent="0.25">
      <c r="A132" s="47">
        <v>115</v>
      </c>
      <c r="B132" s="43" t="s">
        <v>168</v>
      </c>
      <c r="C132" s="43" t="s">
        <v>29</v>
      </c>
      <c r="D132" s="65">
        <v>99426714.75</v>
      </c>
      <c r="E132" s="65"/>
      <c r="F132" s="65">
        <v>31793004.719999999</v>
      </c>
      <c r="G132" s="65">
        <v>53957331.5</v>
      </c>
      <c r="H132" s="98"/>
      <c r="I132" s="99"/>
      <c r="J132" s="99">
        <v>190638748.34</v>
      </c>
      <c r="K132" s="99">
        <v>2504553.89</v>
      </c>
      <c r="L132" s="65">
        <v>541434.80000000005</v>
      </c>
      <c r="M132" s="52">
        <v>1963119.09</v>
      </c>
      <c r="N132" s="65">
        <v>186107922.65000001</v>
      </c>
      <c r="O132" s="65">
        <v>2267613.7000000002</v>
      </c>
      <c r="P132" s="88">
        <v>188893074.16999999</v>
      </c>
      <c r="Q132" s="55">
        <f t="shared" si="57"/>
        <v>1.2726231475911301E-4</v>
      </c>
      <c r="R132" s="88">
        <v>185585983.13</v>
      </c>
      <c r="S132" s="55">
        <f t="shared" si="59"/>
        <v>6.5988037582983654E-3</v>
      </c>
      <c r="T132" s="56">
        <f t="shared" si="60"/>
        <v>-1.7507741109786142E-2</v>
      </c>
      <c r="U132" s="57">
        <f t="shared" si="61"/>
        <v>2.917433692288785E-3</v>
      </c>
      <c r="V132" s="58">
        <f t="shared" si="62"/>
        <v>1.057794913651893E-2</v>
      </c>
      <c r="W132" s="59">
        <f t="shared" si="63"/>
        <v>142.56872249237551</v>
      </c>
      <c r="X132" s="59">
        <f t="shared" si="64"/>
        <v>1.5080846949828306</v>
      </c>
      <c r="Y132" s="65">
        <v>142.81</v>
      </c>
      <c r="Z132" s="65">
        <v>144.47999999999999</v>
      </c>
      <c r="AA132" s="64">
        <v>724</v>
      </c>
      <c r="AB132" s="64">
        <v>1301730</v>
      </c>
      <c r="AC132" s="64"/>
      <c r="AD132" s="64">
        <v>0</v>
      </c>
      <c r="AE132" s="65">
        <v>1301730</v>
      </c>
      <c r="AF132" s="37"/>
    </row>
    <row r="133" spans="1:241" ht="15.75" customHeight="1" x14ac:dyDescent="0.25">
      <c r="A133" s="47">
        <v>116</v>
      </c>
      <c r="B133" s="43" t="s">
        <v>196</v>
      </c>
      <c r="C133" s="43" t="s">
        <v>71</v>
      </c>
      <c r="D133" s="65">
        <v>996463036.29999995</v>
      </c>
      <c r="E133" s="65"/>
      <c r="F133" s="65">
        <v>409059815.01999998</v>
      </c>
      <c r="G133" s="65">
        <v>1017172146.8</v>
      </c>
      <c r="H133" s="65"/>
      <c r="I133" s="65"/>
      <c r="J133" s="65">
        <v>2422694998.1199999</v>
      </c>
      <c r="K133" s="65">
        <v>13263830.119999999</v>
      </c>
      <c r="L133" s="65">
        <v>16428412.5</v>
      </c>
      <c r="M133" s="52">
        <v>-41116279.43</v>
      </c>
      <c r="N133" s="65">
        <v>2445616572.3800001</v>
      </c>
      <c r="O133" s="65">
        <v>16428412.58</v>
      </c>
      <c r="P133" s="88">
        <v>2524734454.6300001</v>
      </c>
      <c r="Q133" s="55">
        <f t="shared" si="57"/>
        <v>1.7009811093398469E-3</v>
      </c>
      <c r="R133" s="88">
        <v>2429188159.8000002</v>
      </c>
      <c r="S133" s="55">
        <f t="shared" si="59"/>
        <v>8.6373634948893524E-2</v>
      </c>
      <c r="T133" s="56">
        <f t="shared" si="60"/>
        <v>-3.7844096694914488E-2</v>
      </c>
      <c r="U133" s="57">
        <f t="shared" si="61"/>
        <v>6.7629230093697573E-3</v>
      </c>
      <c r="V133" s="58">
        <f t="shared" si="62"/>
        <v>-1.6925934396693744E-2</v>
      </c>
      <c r="W133" s="59">
        <f t="shared" si="63"/>
        <v>13.30946917915835</v>
      </c>
      <c r="X133" s="59">
        <f t="shared" si="64"/>
        <v>-0.22527520218125155</v>
      </c>
      <c r="Y133" s="65">
        <v>13.3096</v>
      </c>
      <c r="Z133" s="65">
        <v>13.423999999999999</v>
      </c>
      <c r="AA133" s="64">
        <v>6340</v>
      </c>
      <c r="AB133" s="65">
        <v>187270955.22</v>
      </c>
      <c r="AC133" s="64"/>
      <c r="AD133" s="64">
        <v>4755174.38</v>
      </c>
      <c r="AE133" s="65">
        <v>182515780.84</v>
      </c>
      <c r="AF133" s="37"/>
    </row>
    <row r="134" spans="1:241" ht="15.75" customHeight="1" x14ac:dyDescent="0.25">
      <c r="A134" s="121"/>
      <c r="B134" s="23"/>
      <c r="C134" s="122" t="s">
        <v>50</v>
      </c>
      <c r="D134" s="74">
        <f>SUM(D111:D133)</f>
        <v>13164186302.499998</v>
      </c>
      <c r="E134" s="74"/>
      <c r="F134" s="74">
        <f>SUM(F111:F133)</f>
        <v>6430881368.9500008</v>
      </c>
      <c r="G134" s="74">
        <f>SUM(G111:G133)</f>
        <v>6818826632.0599995</v>
      </c>
      <c r="H134" s="74">
        <f>SUM(H111:H133)</f>
        <v>26464979.509999998</v>
      </c>
      <c r="I134" s="74"/>
      <c r="J134" s="74">
        <f t="shared" ref="J134:P134" si="65">SUM(J111:J133)</f>
        <v>26747148138.049995</v>
      </c>
      <c r="K134" s="74">
        <f t="shared" si="65"/>
        <v>185262343.34</v>
      </c>
      <c r="L134" s="74">
        <f t="shared" si="65"/>
        <v>75965578.270000011</v>
      </c>
      <c r="M134" s="74">
        <f t="shared" si="65"/>
        <v>-331970516.68000007</v>
      </c>
      <c r="N134" s="74">
        <f t="shared" si="65"/>
        <v>29730860917.420006</v>
      </c>
      <c r="O134" s="74">
        <f t="shared" si="65"/>
        <v>1743060330.9099998</v>
      </c>
      <c r="P134" s="95">
        <f t="shared" si="65"/>
        <v>29871368566.829998</v>
      </c>
      <c r="Q134" s="76">
        <f t="shared" si="57"/>
        <v>2.0125139714842696E-2</v>
      </c>
      <c r="R134" s="95">
        <f>SUM(R111:R133)</f>
        <v>28124185826.349998</v>
      </c>
      <c r="S134" s="76">
        <f>(R134/$R$153)</f>
        <v>2.0460791247545542E-2</v>
      </c>
      <c r="T134" s="77">
        <f t="shared" ref="T127:T134" si="66">((R134-P134)/P134)</f>
        <v>-5.8490214017851198E-2</v>
      </c>
      <c r="U134" s="78"/>
      <c r="V134" s="79"/>
      <c r="W134" s="80"/>
      <c r="X134" s="80"/>
      <c r="Y134" s="74"/>
      <c r="Z134" s="74"/>
      <c r="AA134" s="81">
        <f>SUM(AA111:AA133)</f>
        <v>47394</v>
      </c>
      <c r="AB134" s="81"/>
      <c r="AC134" s="81"/>
      <c r="AD134" s="81"/>
      <c r="AE134" s="136"/>
      <c r="AF134" s="37"/>
    </row>
    <row r="135" spans="1:241" ht="15.75" customHeight="1" x14ac:dyDescent="0.25">
      <c r="A135" s="152" t="s">
        <v>139</v>
      </c>
      <c r="B135" s="153"/>
      <c r="C135" s="153"/>
      <c r="D135" s="153"/>
      <c r="E135" s="153"/>
      <c r="F135" s="153"/>
      <c r="G135" s="153"/>
      <c r="H135" s="153"/>
      <c r="I135" s="153"/>
      <c r="J135" s="153"/>
      <c r="K135" s="153"/>
      <c r="L135" s="153"/>
      <c r="M135" s="153"/>
      <c r="N135" s="153"/>
      <c r="O135" s="153"/>
      <c r="P135" s="153"/>
      <c r="Q135" s="153"/>
      <c r="R135" s="153"/>
      <c r="S135" s="153"/>
      <c r="T135" s="153"/>
      <c r="U135" s="153"/>
      <c r="V135" s="153"/>
      <c r="W135" s="153"/>
      <c r="X135" s="153"/>
      <c r="Y135" s="153"/>
      <c r="Z135" s="153"/>
      <c r="AA135" s="153"/>
      <c r="AB135" s="153"/>
      <c r="AC135" s="153"/>
      <c r="AD135" s="153"/>
      <c r="AE135" s="154"/>
      <c r="AF135" s="37"/>
    </row>
    <row r="136" spans="1:241" ht="15.75" customHeight="1" x14ac:dyDescent="0.25">
      <c r="A136" s="47">
        <v>117</v>
      </c>
      <c r="B136" s="44" t="s">
        <v>141</v>
      </c>
      <c r="C136" s="44" t="s">
        <v>35</v>
      </c>
      <c r="D136" s="65">
        <v>223865627.65000001</v>
      </c>
      <c r="E136" s="65"/>
      <c r="F136" s="83"/>
      <c r="G136" s="65">
        <v>150490471.77000001</v>
      </c>
      <c r="H136" s="131">
        <v>620940.35</v>
      </c>
      <c r="I136" s="65"/>
      <c r="J136" s="65">
        <v>374977039.76999998</v>
      </c>
      <c r="K136" s="65">
        <v>4807379.21</v>
      </c>
      <c r="L136" s="53">
        <v>1456082.03</v>
      </c>
      <c r="M136" s="52">
        <v>-16346206.49</v>
      </c>
      <c r="N136" s="65">
        <v>549185854</v>
      </c>
      <c r="O136" s="65">
        <v>6265671</v>
      </c>
      <c r="P136" s="69">
        <v>599041869</v>
      </c>
      <c r="Q136" s="55">
        <f>(P136/$P$139)</f>
        <v>0.20544301423764055</v>
      </c>
      <c r="R136" s="69">
        <v>542920184</v>
      </c>
      <c r="S136" s="55">
        <f>(R136/$R$139)</f>
        <v>0.19438019904218687</v>
      </c>
      <c r="T136" s="56">
        <f>((R136-P136)/P136)</f>
        <v>-9.3685747030813962E-2</v>
      </c>
      <c r="U136" s="57">
        <f t="shared" ref="U136:U152" si="67">(L136/R136)</f>
        <v>2.6819449210236032E-3</v>
      </c>
      <c r="V136" s="58">
        <f>M136/R136</f>
        <v>-3.0107936620753815E-2</v>
      </c>
      <c r="W136" s="59">
        <f>R136/AE136</f>
        <v>41.227169585518709</v>
      </c>
      <c r="X136" s="59">
        <f>M136/AE136</f>
        <v>-1.2412650089338666</v>
      </c>
      <c r="Y136" s="65">
        <v>41.021099999999997</v>
      </c>
      <c r="Z136" s="65">
        <v>42.257899999999999</v>
      </c>
      <c r="AA136" s="64">
        <v>210</v>
      </c>
      <c r="AB136" s="64">
        <v>13162092</v>
      </c>
      <c r="AC136" s="64">
        <v>67376</v>
      </c>
      <c r="AD136" s="64">
        <v>60478</v>
      </c>
      <c r="AE136" s="65">
        <v>13168990</v>
      </c>
      <c r="AF136" s="37"/>
    </row>
    <row r="137" spans="1:241" ht="15.75" customHeight="1" x14ac:dyDescent="0.25">
      <c r="A137" s="47">
        <v>118</v>
      </c>
      <c r="B137" s="44" t="s">
        <v>140</v>
      </c>
      <c r="C137" s="43" t="s">
        <v>23</v>
      </c>
      <c r="D137" s="65">
        <v>1098055404.45</v>
      </c>
      <c r="E137" s="65"/>
      <c r="F137" s="65">
        <v>582013465.70000005</v>
      </c>
      <c r="G137" s="65">
        <v>10879645.76</v>
      </c>
      <c r="H137" s="98"/>
      <c r="I137" s="65"/>
      <c r="J137" s="65">
        <v>1690948515.9100001</v>
      </c>
      <c r="K137" s="65">
        <v>6668967.5499999998</v>
      </c>
      <c r="L137" s="65">
        <v>4719751.24</v>
      </c>
      <c r="M137" s="52">
        <v>-51113806.140000001</v>
      </c>
      <c r="N137" s="65">
        <v>1696660457.0899999</v>
      </c>
      <c r="O137" s="65">
        <v>9811415.3900000006</v>
      </c>
      <c r="P137" s="69">
        <v>1741422004.73</v>
      </c>
      <c r="Q137" s="55">
        <f>(P137/$P$139)</f>
        <v>0.59722534304440411</v>
      </c>
      <c r="R137" s="69">
        <v>1686849041.7</v>
      </c>
      <c r="S137" s="55">
        <f>(R137/$R$139)</f>
        <v>0.60393785706034497</v>
      </c>
      <c r="T137" s="56">
        <f>((R137-P137)/P137)</f>
        <v>-3.1338160929269568E-2</v>
      </c>
      <c r="U137" s="57">
        <f t="shared" si="67"/>
        <v>2.797968948806144E-3</v>
      </c>
      <c r="V137" s="58">
        <f>M137/R137</f>
        <v>-3.0301351737134521E-2</v>
      </c>
      <c r="W137" s="59">
        <f>R137/AE137</f>
        <v>1.3443329165726361</v>
      </c>
      <c r="X137" s="59">
        <f>M137/AE137</f>
        <v>-4.0735104556875359E-2</v>
      </c>
      <c r="Y137" s="65">
        <v>1.33</v>
      </c>
      <c r="Z137" s="65">
        <v>1.35</v>
      </c>
      <c r="AA137" s="64">
        <v>9504</v>
      </c>
      <c r="AB137" s="64">
        <v>1256804365.6199999</v>
      </c>
      <c r="AC137" s="64">
        <v>1510413.38</v>
      </c>
      <c r="AD137" s="64">
        <v>3529583.38</v>
      </c>
      <c r="AE137" s="50">
        <v>1254785195.6199999</v>
      </c>
      <c r="AF137" s="37"/>
    </row>
    <row r="138" spans="1:241" ht="15.75" customHeight="1" x14ac:dyDescent="0.25">
      <c r="A138" s="47">
        <v>119</v>
      </c>
      <c r="B138" s="44" t="s">
        <v>195</v>
      </c>
      <c r="C138" s="43" t="s">
        <v>71</v>
      </c>
      <c r="D138" s="65">
        <v>243416376.94999999</v>
      </c>
      <c r="E138" s="65"/>
      <c r="F138" s="65">
        <v>68533995.650000006</v>
      </c>
      <c r="G138" s="65">
        <v>250599087.41999999</v>
      </c>
      <c r="H138" s="53"/>
      <c r="I138" s="65"/>
      <c r="J138" s="65">
        <v>562549460.01999998</v>
      </c>
      <c r="K138" s="65">
        <v>3233106.79</v>
      </c>
      <c r="L138" s="53">
        <v>3960872.69</v>
      </c>
      <c r="M138" s="52">
        <v>-13558683.15</v>
      </c>
      <c r="N138" s="65">
        <v>567275441.92999995</v>
      </c>
      <c r="O138" s="65">
        <v>3960872.7</v>
      </c>
      <c r="P138" s="69">
        <v>575390292.55999994</v>
      </c>
      <c r="Q138" s="55">
        <f>(P138/$P$139)</f>
        <v>0.19733164271795539</v>
      </c>
      <c r="R138" s="69">
        <v>563314569.23000002</v>
      </c>
      <c r="S138" s="55">
        <f>(R138/$R$139)</f>
        <v>0.20168194389746827</v>
      </c>
      <c r="T138" s="56">
        <f>((R138-P138)/P138)</f>
        <v>-2.0987012617597653E-2</v>
      </c>
      <c r="U138" s="57">
        <f t="shared" si="67"/>
        <v>7.0313691609541614E-3</v>
      </c>
      <c r="V138" s="58">
        <f>M138/R138</f>
        <v>-2.4069470045011424E-2</v>
      </c>
      <c r="W138" s="59">
        <f>R138/AE138</f>
        <v>15.169386221815104</v>
      </c>
      <c r="X138" s="59">
        <f>M138/AE138</f>
        <v>-0.36511908726718767</v>
      </c>
      <c r="Y138" s="65">
        <v>15.169499999999999</v>
      </c>
      <c r="Z138" s="65">
        <v>15.306900000000001</v>
      </c>
      <c r="AA138" s="64">
        <v>1521</v>
      </c>
      <c r="AB138" s="64">
        <v>37175820.200000003</v>
      </c>
      <c r="AC138" s="64"/>
      <c r="AD138" s="64">
        <v>40858.97</v>
      </c>
      <c r="AE138" s="65">
        <v>37134961.229999997</v>
      </c>
      <c r="AF138" s="37"/>
    </row>
    <row r="139" spans="1:241" ht="15" customHeight="1" x14ac:dyDescent="0.25">
      <c r="A139" s="137"/>
      <c r="B139" s="23"/>
      <c r="C139" s="122" t="s">
        <v>50</v>
      </c>
      <c r="D139" s="74">
        <f>SUM(D136:D138)</f>
        <v>1565337409.0500002</v>
      </c>
      <c r="E139" s="74"/>
      <c r="F139" s="74">
        <f>SUM(F136:F138)</f>
        <v>650547461.35000002</v>
      </c>
      <c r="G139" s="74">
        <f>SUM(G136:G138)</f>
        <v>411969204.94999999</v>
      </c>
      <c r="H139" s="74">
        <f>SUM(H136:H138)</f>
        <v>620940.35</v>
      </c>
      <c r="I139" s="74"/>
      <c r="J139" s="74">
        <f t="shared" ref="J139:P139" si="68">SUM(J136:J138)</f>
        <v>2628475015.6999998</v>
      </c>
      <c r="K139" s="74">
        <f t="shared" si="68"/>
        <v>14709453.550000001</v>
      </c>
      <c r="L139" s="74">
        <f t="shared" si="68"/>
        <v>10136705.960000001</v>
      </c>
      <c r="M139" s="74">
        <f t="shared" si="68"/>
        <v>-81018695.780000001</v>
      </c>
      <c r="N139" s="74">
        <f t="shared" si="68"/>
        <v>2813121753.02</v>
      </c>
      <c r="O139" s="74">
        <f t="shared" si="68"/>
        <v>20037959.09</v>
      </c>
      <c r="P139" s="95">
        <f t="shared" si="68"/>
        <v>2915854166.29</v>
      </c>
      <c r="Q139" s="76">
        <f>(P139/$P$153)</f>
        <v>1.9644889169843564E-3</v>
      </c>
      <c r="R139" s="96">
        <f>SUM(R136:R138)</f>
        <v>2793083794.9299998</v>
      </c>
      <c r="S139" s="76">
        <f>(R139/$R$153)</f>
        <v>2.0320127600430477E-3</v>
      </c>
      <c r="T139" s="77">
        <f>((R139-P139)/P139)</f>
        <v>-4.210442784805235E-2</v>
      </c>
      <c r="U139" s="78"/>
      <c r="V139" s="79"/>
      <c r="W139" s="80"/>
      <c r="X139" s="80"/>
      <c r="Y139" s="74"/>
      <c r="Z139" s="74"/>
      <c r="AA139" s="81">
        <f>SUM(AA136:AA138)</f>
        <v>11235</v>
      </c>
      <c r="AB139" s="81"/>
      <c r="AC139" s="81"/>
      <c r="AD139" s="81"/>
      <c r="AE139" s="136"/>
      <c r="AF139" s="37"/>
      <c r="AG139" s="17"/>
      <c r="AH139" s="17"/>
      <c r="AI139" s="17"/>
      <c r="AJ139" s="17"/>
      <c r="AK139" s="17"/>
      <c r="AL139" s="17"/>
      <c r="AM139" s="17"/>
      <c r="AN139" s="17"/>
      <c r="AO139" s="17"/>
      <c r="AP139" s="17"/>
      <c r="AQ139" s="17"/>
      <c r="AR139" s="17"/>
      <c r="AS139" s="17"/>
      <c r="AT139" s="17"/>
      <c r="AU139" s="17"/>
      <c r="AV139" s="17"/>
      <c r="AW139" s="17"/>
      <c r="AX139" s="17"/>
      <c r="AY139" s="17"/>
      <c r="AZ139" s="17"/>
      <c r="BA139" s="17"/>
      <c r="BB139" s="17"/>
      <c r="BC139" s="17"/>
      <c r="BD139" s="17"/>
      <c r="BE139" s="17"/>
      <c r="BF139" s="17"/>
      <c r="BG139" s="17"/>
      <c r="BH139" s="17"/>
      <c r="BI139" s="17"/>
      <c r="BJ139" s="17"/>
      <c r="BK139" s="17"/>
      <c r="BL139" s="17"/>
      <c r="BM139" s="17"/>
      <c r="BN139" s="17"/>
      <c r="BO139" s="17"/>
      <c r="BP139" s="17"/>
      <c r="BQ139" s="17"/>
      <c r="BR139" s="17"/>
      <c r="BS139" s="17"/>
      <c r="BT139" s="17"/>
      <c r="BU139" s="17"/>
      <c r="BV139" s="17"/>
      <c r="BW139" s="17"/>
      <c r="BX139" s="17"/>
      <c r="BY139" s="17"/>
      <c r="BZ139" s="17"/>
      <c r="CA139" s="17"/>
      <c r="CB139" s="17"/>
      <c r="CC139" s="17"/>
      <c r="CD139" s="17"/>
      <c r="CE139" s="17"/>
      <c r="CF139" s="17"/>
      <c r="CG139" s="17"/>
      <c r="CH139" s="17"/>
      <c r="CI139" s="17"/>
      <c r="CJ139" s="17"/>
      <c r="CK139" s="17"/>
      <c r="CL139" s="17"/>
      <c r="CM139" s="17"/>
      <c r="CN139" s="17"/>
      <c r="CO139" s="17"/>
      <c r="CP139" s="17"/>
      <c r="CQ139" s="17"/>
      <c r="CR139" s="17"/>
      <c r="CS139" s="17"/>
      <c r="CT139" s="17"/>
      <c r="CU139" s="17"/>
      <c r="CV139" s="17"/>
      <c r="CW139" s="17"/>
      <c r="CX139" s="17"/>
      <c r="CY139" s="17"/>
      <c r="CZ139" s="17"/>
      <c r="DA139" s="17"/>
      <c r="DB139" s="17"/>
      <c r="DC139" s="17"/>
      <c r="DD139" s="17"/>
      <c r="DE139" s="17"/>
      <c r="DF139" s="17"/>
      <c r="DG139" s="17"/>
      <c r="DH139" s="17"/>
      <c r="DI139" s="17"/>
      <c r="DJ139" s="17"/>
      <c r="DK139" s="17"/>
      <c r="DL139" s="17"/>
      <c r="DM139" s="17"/>
      <c r="DN139" s="17"/>
      <c r="DO139" s="17"/>
      <c r="DP139" s="17"/>
      <c r="DQ139" s="17"/>
      <c r="DR139" s="17"/>
      <c r="DS139" s="17"/>
      <c r="DT139" s="17"/>
      <c r="DU139" s="17"/>
      <c r="DV139" s="17"/>
      <c r="DW139" s="17"/>
      <c r="DX139" s="17"/>
      <c r="DY139" s="17"/>
      <c r="DZ139" s="17"/>
      <c r="EA139" s="17"/>
      <c r="EB139" s="17"/>
      <c r="EC139" s="17"/>
      <c r="ED139" s="17"/>
      <c r="EE139" s="17"/>
      <c r="EF139" s="17"/>
      <c r="EG139" s="17"/>
      <c r="EH139" s="17"/>
      <c r="EI139" s="17"/>
      <c r="EJ139" s="17"/>
      <c r="EK139" s="17"/>
      <c r="EL139" s="17"/>
      <c r="EM139" s="17"/>
      <c r="EN139" s="17"/>
      <c r="EO139" s="17"/>
      <c r="EP139" s="17"/>
      <c r="EQ139" s="17"/>
      <c r="ER139" s="17"/>
      <c r="ES139" s="17"/>
      <c r="ET139" s="17"/>
      <c r="EU139" s="17"/>
      <c r="EV139" s="17"/>
      <c r="EW139" s="17"/>
      <c r="EX139" s="17"/>
      <c r="EY139" s="17"/>
      <c r="EZ139" s="17"/>
      <c r="FA139" s="17"/>
      <c r="FB139" s="17"/>
      <c r="FC139" s="17"/>
      <c r="FD139" s="17"/>
      <c r="FE139" s="17"/>
      <c r="FF139" s="17"/>
      <c r="FG139" s="17"/>
      <c r="FH139" s="17"/>
      <c r="FI139" s="17"/>
      <c r="FJ139" s="17"/>
      <c r="FK139" s="17"/>
      <c r="FL139" s="17"/>
      <c r="FM139" s="17"/>
      <c r="FN139" s="17"/>
      <c r="FO139" s="17"/>
      <c r="FP139" s="17"/>
      <c r="FQ139" s="17"/>
      <c r="FR139" s="17"/>
      <c r="FS139" s="17"/>
      <c r="FT139" s="17"/>
      <c r="FU139" s="17"/>
      <c r="FV139" s="17"/>
      <c r="FW139" s="17"/>
      <c r="FX139" s="17"/>
      <c r="FY139" s="17"/>
      <c r="FZ139" s="17"/>
      <c r="GA139" s="17"/>
      <c r="GB139" s="17"/>
      <c r="GC139" s="17"/>
      <c r="GD139" s="17"/>
      <c r="GE139" s="17"/>
      <c r="GF139" s="17"/>
      <c r="GG139" s="17"/>
      <c r="GH139" s="17"/>
      <c r="GI139" s="17"/>
      <c r="GJ139" s="17"/>
      <c r="GK139" s="17"/>
      <c r="GL139" s="17"/>
      <c r="GM139" s="17"/>
      <c r="GN139" s="17"/>
      <c r="GO139" s="17"/>
      <c r="GP139" s="17"/>
      <c r="GQ139" s="17"/>
      <c r="GR139" s="17"/>
      <c r="GS139" s="17"/>
      <c r="GT139" s="17"/>
      <c r="GU139" s="17"/>
      <c r="GV139" s="17"/>
      <c r="GW139" s="17"/>
      <c r="GX139" s="17"/>
      <c r="GY139" s="17"/>
      <c r="GZ139" s="17"/>
      <c r="HA139" s="17"/>
      <c r="HB139" s="17"/>
      <c r="HC139" s="17"/>
      <c r="HD139" s="17"/>
      <c r="HE139" s="17"/>
      <c r="HF139" s="17"/>
      <c r="HG139" s="17"/>
      <c r="HH139" s="17"/>
      <c r="HI139" s="17"/>
      <c r="HJ139" s="17"/>
      <c r="HK139" s="17"/>
      <c r="HL139" s="17"/>
      <c r="HM139" s="17"/>
      <c r="HN139" s="17"/>
      <c r="HO139" s="17"/>
      <c r="HP139" s="17"/>
      <c r="HQ139" s="17"/>
      <c r="HR139" s="17"/>
      <c r="HS139" s="17"/>
      <c r="HT139" s="17"/>
      <c r="HU139" s="17"/>
      <c r="HV139" s="17"/>
      <c r="HW139" s="17"/>
      <c r="HX139" s="17"/>
      <c r="HY139" s="17"/>
      <c r="HZ139" s="17"/>
      <c r="IA139" s="17"/>
      <c r="IB139" s="17"/>
      <c r="IC139" s="17"/>
      <c r="ID139" s="17"/>
      <c r="IE139" s="17"/>
      <c r="IF139" s="17"/>
      <c r="IG139" s="17"/>
    </row>
    <row r="140" spans="1:241" ht="15.75" customHeight="1" x14ac:dyDescent="0.25">
      <c r="A140" s="152" t="s">
        <v>174</v>
      </c>
      <c r="B140" s="153"/>
      <c r="C140" s="153"/>
      <c r="D140" s="153"/>
      <c r="E140" s="153"/>
      <c r="F140" s="153"/>
      <c r="G140" s="153"/>
      <c r="H140" s="153"/>
      <c r="I140" s="153"/>
      <c r="J140" s="153"/>
      <c r="K140" s="153"/>
      <c r="L140" s="153"/>
      <c r="M140" s="153"/>
      <c r="N140" s="153"/>
      <c r="O140" s="153"/>
      <c r="P140" s="153"/>
      <c r="Q140" s="153"/>
      <c r="R140" s="153"/>
      <c r="S140" s="153"/>
      <c r="T140" s="153"/>
      <c r="U140" s="153"/>
      <c r="V140" s="153"/>
      <c r="W140" s="153"/>
      <c r="X140" s="153"/>
      <c r="Y140" s="153"/>
      <c r="Z140" s="153"/>
      <c r="AA140" s="153"/>
      <c r="AB140" s="153"/>
      <c r="AC140" s="153"/>
      <c r="AD140" s="153"/>
      <c r="AE140" s="154"/>
      <c r="AF140" s="37"/>
      <c r="AG140" s="17"/>
      <c r="AH140" s="17"/>
      <c r="AI140" s="17"/>
      <c r="AJ140" s="17"/>
      <c r="AK140" s="17"/>
      <c r="AL140" s="17"/>
      <c r="AM140" s="17"/>
      <c r="AN140" s="17"/>
      <c r="AO140" s="17"/>
      <c r="AP140" s="17"/>
      <c r="AQ140" s="17"/>
      <c r="AR140" s="17"/>
      <c r="AS140" s="17"/>
      <c r="AT140" s="17"/>
      <c r="AU140" s="17"/>
      <c r="AV140" s="17"/>
      <c r="AW140" s="17"/>
      <c r="AX140" s="17"/>
      <c r="AY140" s="17"/>
      <c r="AZ140" s="17"/>
      <c r="BA140" s="17"/>
      <c r="BB140" s="17"/>
      <c r="BC140" s="17"/>
      <c r="BD140" s="17"/>
      <c r="BE140" s="17"/>
      <c r="BF140" s="17"/>
      <c r="BG140" s="17"/>
      <c r="BH140" s="17"/>
      <c r="BI140" s="17"/>
      <c r="BJ140" s="17"/>
      <c r="BK140" s="17"/>
      <c r="BL140" s="17"/>
      <c r="BM140" s="17"/>
      <c r="BN140" s="17"/>
      <c r="BO140" s="17"/>
      <c r="BP140" s="17"/>
      <c r="BQ140" s="17"/>
      <c r="BR140" s="17"/>
      <c r="BS140" s="17"/>
      <c r="BT140" s="17"/>
      <c r="BU140" s="17"/>
      <c r="BV140" s="17"/>
      <c r="BW140" s="17"/>
      <c r="BX140" s="17"/>
      <c r="BY140" s="17"/>
      <c r="BZ140" s="17"/>
      <c r="CA140" s="17"/>
      <c r="CB140" s="17"/>
      <c r="CC140" s="17"/>
      <c r="CD140" s="17"/>
      <c r="CE140" s="17"/>
      <c r="CF140" s="17"/>
      <c r="CG140" s="17"/>
      <c r="CH140" s="17"/>
      <c r="CI140" s="17"/>
      <c r="CJ140" s="17"/>
      <c r="CK140" s="17"/>
      <c r="CL140" s="17"/>
      <c r="CM140" s="17"/>
      <c r="CN140" s="17"/>
      <c r="CO140" s="17"/>
      <c r="CP140" s="17"/>
      <c r="CQ140" s="17"/>
      <c r="CR140" s="17"/>
      <c r="CS140" s="17"/>
      <c r="CT140" s="17"/>
      <c r="CU140" s="17"/>
      <c r="CV140" s="17"/>
      <c r="CW140" s="17"/>
      <c r="CX140" s="17"/>
      <c r="CY140" s="17"/>
      <c r="CZ140" s="17"/>
      <c r="DA140" s="17"/>
      <c r="DB140" s="17"/>
      <c r="DC140" s="17"/>
      <c r="DD140" s="17"/>
      <c r="DE140" s="17"/>
      <c r="DF140" s="17"/>
      <c r="DG140" s="17"/>
      <c r="DH140" s="17"/>
      <c r="DI140" s="17"/>
      <c r="DJ140" s="17"/>
      <c r="DK140" s="17"/>
      <c r="DL140" s="17"/>
      <c r="DM140" s="17"/>
      <c r="DN140" s="17"/>
      <c r="DO140" s="17"/>
      <c r="DP140" s="17"/>
      <c r="DQ140" s="17"/>
      <c r="DR140" s="17"/>
      <c r="DS140" s="17"/>
      <c r="DT140" s="17"/>
      <c r="DU140" s="17"/>
      <c r="DV140" s="17"/>
      <c r="DW140" s="17"/>
      <c r="DX140" s="17"/>
      <c r="DY140" s="17"/>
      <c r="DZ140" s="17"/>
      <c r="EA140" s="17"/>
      <c r="EB140" s="17"/>
      <c r="EC140" s="17"/>
      <c r="ED140" s="17"/>
      <c r="EE140" s="17"/>
      <c r="EF140" s="17"/>
      <c r="EG140" s="17"/>
      <c r="EH140" s="17"/>
      <c r="EI140" s="17"/>
      <c r="EJ140" s="17"/>
      <c r="EK140" s="17"/>
      <c r="EL140" s="17"/>
      <c r="EM140" s="17"/>
      <c r="EN140" s="17"/>
      <c r="EO140" s="17"/>
      <c r="EP140" s="17"/>
      <c r="EQ140" s="17"/>
      <c r="ER140" s="17"/>
      <c r="ES140" s="17"/>
      <c r="ET140" s="17"/>
      <c r="EU140" s="17"/>
      <c r="EV140" s="17"/>
      <c r="EW140" s="17"/>
      <c r="EX140" s="17"/>
      <c r="EY140" s="17"/>
      <c r="EZ140" s="17"/>
      <c r="FA140" s="17"/>
      <c r="FB140" s="17"/>
      <c r="FC140" s="17"/>
      <c r="FD140" s="17"/>
      <c r="FE140" s="17"/>
      <c r="FF140" s="17"/>
      <c r="FG140" s="17"/>
      <c r="FH140" s="17"/>
      <c r="FI140" s="17"/>
      <c r="FJ140" s="17"/>
      <c r="FK140" s="17"/>
      <c r="FL140" s="17"/>
      <c r="FM140" s="17"/>
      <c r="FN140" s="17"/>
      <c r="FO140" s="17"/>
      <c r="FP140" s="17"/>
      <c r="FQ140" s="17"/>
      <c r="FR140" s="17"/>
      <c r="FS140" s="17"/>
      <c r="FT140" s="17"/>
      <c r="FU140" s="17"/>
      <c r="FV140" s="17"/>
      <c r="FW140" s="17"/>
      <c r="FX140" s="17"/>
      <c r="FY140" s="17"/>
      <c r="FZ140" s="17"/>
      <c r="GA140" s="17"/>
      <c r="GB140" s="17"/>
      <c r="GC140" s="17"/>
      <c r="GD140" s="17"/>
      <c r="GE140" s="17"/>
      <c r="GF140" s="17"/>
      <c r="GG140" s="17"/>
      <c r="GH140" s="17"/>
      <c r="GI140" s="17"/>
      <c r="GJ140" s="17"/>
      <c r="GK140" s="17"/>
      <c r="GL140" s="17"/>
      <c r="GM140" s="17"/>
      <c r="GN140" s="17"/>
      <c r="GO140" s="17"/>
      <c r="GP140" s="17"/>
      <c r="GQ140" s="17"/>
      <c r="GR140" s="17"/>
      <c r="GS140" s="17"/>
      <c r="GT140" s="17"/>
      <c r="GU140" s="17"/>
      <c r="GV140" s="17"/>
      <c r="GW140" s="17"/>
      <c r="GX140" s="17"/>
      <c r="GY140" s="17"/>
      <c r="GZ140" s="17"/>
      <c r="HA140" s="17"/>
      <c r="HB140" s="17"/>
      <c r="HC140" s="17"/>
      <c r="HD140" s="17"/>
      <c r="HE140" s="17"/>
      <c r="HF140" s="17"/>
      <c r="HG140" s="17"/>
      <c r="HH140" s="17"/>
      <c r="HI140" s="17"/>
      <c r="HJ140" s="17"/>
      <c r="HK140" s="17"/>
      <c r="HL140" s="17"/>
      <c r="HM140" s="17"/>
      <c r="HN140" s="17"/>
      <c r="HO140" s="17"/>
      <c r="HP140" s="17"/>
      <c r="HQ140" s="17"/>
      <c r="HR140" s="17"/>
      <c r="HS140" s="17"/>
      <c r="HT140" s="17"/>
      <c r="HU140" s="17"/>
      <c r="HV140" s="17"/>
      <c r="HW140" s="17"/>
      <c r="HX140" s="17"/>
      <c r="HY140" s="17"/>
      <c r="HZ140" s="17"/>
      <c r="IA140" s="17"/>
      <c r="IB140" s="17"/>
      <c r="IC140" s="17"/>
      <c r="ID140" s="17"/>
      <c r="IE140" s="17"/>
      <c r="IF140" s="17"/>
      <c r="IG140" s="17"/>
    </row>
    <row r="141" spans="1:241" ht="15.75" customHeight="1" x14ac:dyDescent="0.25">
      <c r="A141" s="155" t="s">
        <v>2</v>
      </c>
      <c r="B141" s="156"/>
      <c r="C141" s="156"/>
      <c r="D141" s="156"/>
      <c r="E141" s="156"/>
      <c r="F141" s="156"/>
      <c r="G141" s="156"/>
      <c r="H141" s="156"/>
      <c r="I141" s="156"/>
      <c r="J141" s="156"/>
      <c r="K141" s="156"/>
      <c r="L141" s="156"/>
      <c r="M141" s="156"/>
      <c r="N141" s="156"/>
      <c r="O141" s="156"/>
      <c r="P141" s="156"/>
      <c r="Q141" s="156"/>
      <c r="R141" s="156"/>
      <c r="S141" s="156"/>
      <c r="T141" s="156"/>
      <c r="U141" s="156"/>
      <c r="V141" s="156"/>
      <c r="W141" s="156"/>
      <c r="X141" s="156"/>
      <c r="Y141" s="156"/>
      <c r="Z141" s="156"/>
      <c r="AA141" s="156"/>
      <c r="AB141" s="156"/>
      <c r="AC141" s="156"/>
      <c r="AD141" s="156"/>
      <c r="AE141" s="157"/>
      <c r="AF141" s="37"/>
      <c r="AG141" s="17"/>
      <c r="AH141" s="17"/>
      <c r="AI141" s="17"/>
      <c r="AJ141" s="17"/>
      <c r="AK141" s="17"/>
      <c r="AL141" s="17"/>
      <c r="AM141" s="17"/>
      <c r="AN141" s="17"/>
      <c r="AO141" s="17"/>
      <c r="AP141" s="17"/>
      <c r="AQ141" s="17"/>
      <c r="AR141" s="17"/>
      <c r="AS141" s="17"/>
      <c r="AT141" s="17"/>
      <c r="AU141" s="17"/>
      <c r="AV141" s="17"/>
      <c r="AW141" s="17"/>
      <c r="AX141" s="17"/>
      <c r="AY141" s="17"/>
      <c r="AZ141" s="17"/>
      <c r="BA141" s="17"/>
      <c r="BB141" s="17"/>
      <c r="BC141" s="17"/>
      <c r="BD141" s="17"/>
      <c r="BE141" s="17"/>
      <c r="BF141" s="17"/>
      <c r="BG141" s="17"/>
      <c r="BH141" s="17"/>
      <c r="BI141" s="17"/>
      <c r="BJ141" s="17"/>
      <c r="BK141" s="17"/>
      <c r="BL141" s="17"/>
      <c r="BM141" s="17"/>
      <c r="BN141" s="17"/>
      <c r="BO141" s="17"/>
      <c r="BP141" s="17"/>
      <c r="BQ141" s="17"/>
      <c r="BR141" s="17"/>
      <c r="BS141" s="17"/>
      <c r="BT141" s="17"/>
      <c r="BU141" s="17"/>
      <c r="BV141" s="17"/>
      <c r="BW141" s="17"/>
      <c r="BX141" s="17"/>
      <c r="BY141" s="17"/>
      <c r="BZ141" s="17"/>
      <c r="CA141" s="17"/>
      <c r="CB141" s="17"/>
      <c r="CC141" s="17"/>
      <c r="CD141" s="17"/>
      <c r="CE141" s="17"/>
      <c r="CF141" s="17"/>
      <c r="CG141" s="17"/>
      <c r="CH141" s="17"/>
      <c r="CI141" s="17"/>
      <c r="CJ141" s="17"/>
      <c r="CK141" s="17"/>
      <c r="CL141" s="17"/>
      <c r="CM141" s="17"/>
      <c r="CN141" s="17"/>
      <c r="CO141" s="17"/>
      <c r="CP141" s="17"/>
      <c r="CQ141" s="17"/>
      <c r="CR141" s="17"/>
      <c r="CS141" s="17"/>
      <c r="CT141" s="17"/>
      <c r="CU141" s="17"/>
      <c r="CV141" s="17"/>
      <c r="CW141" s="17"/>
      <c r="CX141" s="17"/>
      <c r="CY141" s="17"/>
      <c r="CZ141" s="17"/>
      <c r="DA141" s="17"/>
      <c r="DB141" s="17"/>
      <c r="DC141" s="17"/>
      <c r="DD141" s="17"/>
      <c r="DE141" s="17"/>
      <c r="DF141" s="17"/>
      <c r="DG141" s="17"/>
      <c r="DH141" s="17"/>
      <c r="DI141" s="17"/>
      <c r="DJ141" s="17"/>
      <c r="DK141" s="17"/>
      <c r="DL141" s="17"/>
      <c r="DM141" s="17"/>
      <c r="DN141" s="17"/>
      <c r="DO141" s="17"/>
      <c r="DP141" s="17"/>
      <c r="DQ141" s="17"/>
      <c r="DR141" s="17"/>
      <c r="DS141" s="17"/>
      <c r="DT141" s="17"/>
      <c r="DU141" s="17"/>
      <c r="DV141" s="17"/>
      <c r="DW141" s="17"/>
      <c r="DX141" s="17"/>
      <c r="DY141" s="17"/>
      <c r="DZ141" s="17"/>
      <c r="EA141" s="17"/>
      <c r="EB141" s="17"/>
      <c r="EC141" s="17"/>
      <c r="ED141" s="17"/>
      <c r="EE141" s="17"/>
      <c r="EF141" s="17"/>
      <c r="EG141" s="17"/>
      <c r="EH141" s="17"/>
      <c r="EI141" s="17"/>
      <c r="EJ141" s="17"/>
      <c r="EK141" s="17"/>
      <c r="EL141" s="17"/>
      <c r="EM141" s="17"/>
      <c r="EN141" s="17"/>
      <c r="EO141" s="17"/>
      <c r="EP141" s="17"/>
      <c r="EQ141" s="17"/>
      <c r="ER141" s="17"/>
      <c r="ES141" s="17"/>
      <c r="ET141" s="17"/>
      <c r="EU141" s="17"/>
      <c r="EV141" s="17"/>
      <c r="EW141" s="17"/>
      <c r="EX141" s="17"/>
      <c r="EY141" s="17"/>
      <c r="EZ141" s="17"/>
      <c r="FA141" s="17"/>
      <c r="FB141" s="17"/>
      <c r="FC141" s="17"/>
      <c r="FD141" s="17"/>
      <c r="FE141" s="17"/>
      <c r="FF141" s="17"/>
      <c r="FG141" s="17"/>
      <c r="FH141" s="17"/>
      <c r="FI141" s="17"/>
      <c r="FJ141" s="17"/>
      <c r="FK141" s="17"/>
      <c r="FL141" s="17"/>
      <c r="FM141" s="17"/>
      <c r="FN141" s="17"/>
      <c r="FO141" s="17"/>
      <c r="FP141" s="17"/>
      <c r="FQ141" s="17"/>
      <c r="FR141" s="17"/>
      <c r="FS141" s="17"/>
      <c r="FT141" s="17"/>
      <c r="FU141" s="17"/>
      <c r="FV141" s="17"/>
      <c r="FW141" s="17"/>
      <c r="FX141" s="17"/>
      <c r="FY141" s="17"/>
      <c r="FZ141" s="17"/>
      <c r="GA141" s="17"/>
      <c r="GB141" s="17"/>
      <c r="GC141" s="17"/>
      <c r="GD141" s="17"/>
      <c r="GE141" s="17"/>
      <c r="GF141" s="17"/>
      <c r="GG141" s="17"/>
      <c r="GH141" s="17"/>
      <c r="GI141" s="17"/>
      <c r="GJ141" s="17"/>
      <c r="GK141" s="17"/>
      <c r="GL141" s="17"/>
      <c r="GM141" s="17"/>
      <c r="GN141" s="17"/>
      <c r="GO141" s="17"/>
      <c r="GP141" s="17"/>
      <c r="GQ141" s="17"/>
      <c r="GR141" s="17"/>
      <c r="GS141" s="17"/>
      <c r="GT141" s="17"/>
      <c r="GU141" s="17"/>
      <c r="GV141" s="17"/>
      <c r="GW141" s="17"/>
      <c r="GX141" s="17"/>
      <c r="GY141" s="17"/>
      <c r="GZ141" s="17"/>
      <c r="HA141" s="17"/>
      <c r="HB141" s="17"/>
      <c r="HC141" s="17"/>
      <c r="HD141" s="17"/>
      <c r="HE141" s="17"/>
      <c r="HF141" s="17"/>
      <c r="HG141" s="17"/>
      <c r="HH141" s="17"/>
      <c r="HI141" s="17"/>
      <c r="HJ141" s="17"/>
      <c r="HK141" s="17"/>
      <c r="HL141" s="17"/>
      <c r="HM141" s="17"/>
      <c r="HN141" s="17"/>
      <c r="HO141" s="17"/>
      <c r="HP141" s="17"/>
      <c r="HQ141" s="17"/>
      <c r="HR141" s="17"/>
      <c r="HS141" s="17"/>
      <c r="HT141" s="17"/>
      <c r="HU141" s="17"/>
      <c r="HV141" s="17"/>
      <c r="HW141" s="17"/>
      <c r="HX141" s="17"/>
      <c r="HY141" s="17"/>
      <c r="HZ141" s="17"/>
      <c r="IA141" s="17"/>
      <c r="IB141" s="17"/>
      <c r="IC141" s="17"/>
      <c r="ID141" s="17"/>
      <c r="IE141" s="17"/>
      <c r="IF141" s="17"/>
      <c r="IG141" s="17"/>
    </row>
    <row r="142" spans="1:241" ht="15.75" customHeight="1" x14ac:dyDescent="0.25">
      <c r="A142" s="47">
        <v>120</v>
      </c>
      <c r="B142" s="44" t="s">
        <v>160</v>
      </c>
      <c r="C142" s="43" t="s">
        <v>105</v>
      </c>
      <c r="D142" s="53">
        <v>1311798134.5999999</v>
      </c>
      <c r="E142" s="83"/>
      <c r="F142" s="53"/>
      <c r="G142" s="65">
        <v>1014718690.61</v>
      </c>
      <c r="H142" s="65"/>
      <c r="I142" s="53">
        <f>980155273.11+1434.36</f>
        <v>980156707.47000003</v>
      </c>
      <c r="J142" s="138">
        <v>3306673532.6799998</v>
      </c>
      <c r="K142" s="99">
        <v>52709750.689999998</v>
      </c>
      <c r="L142" s="53">
        <v>11569682.470000001</v>
      </c>
      <c r="M142" s="52">
        <v>4349349.63</v>
      </c>
      <c r="N142" s="53">
        <v>3612578192.02</v>
      </c>
      <c r="O142" s="53">
        <v>303040283.85000002</v>
      </c>
      <c r="P142" s="54">
        <v>3308279994.1599998</v>
      </c>
      <c r="Q142" s="55">
        <f>(P142/$P$152)</f>
        <v>0.17236756532091335</v>
      </c>
      <c r="R142" s="54">
        <v>3309537908.1700001</v>
      </c>
      <c r="S142" s="55">
        <f>(R142/$R$152)</f>
        <v>0.16994135008628866</v>
      </c>
      <c r="T142" s="56">
        <f>((R142-P142)/P142)</f>
        <v>3.8023202758556831E-4</v>
      </c>
      <c r="U142" s="57">
        <f>(L142/R142)</f>
        <v>3.4958603862608193E-3</v>
      </c>
      <c r="V142" s="58">
        <f>M142/R142</f>
        <v>1.3141863760687245E-3</v>
      </c>
      <c r="W142" s="59">
        <f>R142/AE142</f>
        <v>1.6338514677366589</v>
      </c>
      <c r="X142" s="59">
        <f>M142/AE142</f>
        <v>2.1471853394194064E-3</v>
      </c>
      <c r="Y142" s="99">
        <v>1.62</v>
      </c>
      <c r="Z142" s="99">
        <v>1.65</v>
      </c>
      <c r="AA142" s="139">
        <v>15258</v>
      </c>
      <c r="AB142" s="99">
        <v>2026035864.24</v>
      </c>
      <c r="AC142" s="99">
        <v>1710279</v>
      </c>
      <c r="AD142" s="99">
        <v>2141017</v>
      </c>
      <c r="AE142" s="50">
        <v>2025605126</v>
      </c>
      <c r="AF142" s="37"/>
      <c r="AG142" s="17"/>
      <c r="AH142" s="17"/>
      <c r="AI142" s="17"/>
      <c r="AJ142" s="17"/>
      <c r="AK142" s="17"/>
      <c r="AL142" s="17"/>
      <c r="AM142" s="17"/>
      <c r="AN142" s="17"/>
      <c r="AO142" s="17"/>
      <c r="AP142" s="17"/>
      <c r="AQ142" s="17"/>
      <c r="AR142" s="17"/>
      <c r="AS142" s="17"/>
      <c r="AT142" s="17"/>
      <c r="AU142" s="17"/>
      <c r="AV142" s="17"/>
      <c r="AW142" s="17"/>
      <c r="AX142" s="17"/>
      <c r="AY142" s="17"/>
      <c r="AZ142" s="17"/>
      <c r="BA142" s="17"/>
      <c r="BB142" s="17"/>
      <c r="BC142" s="17"/>
      <c r="BD142" s="17"/>
      <c r="BE142" s="17"/>
      <c r="BF142" s="17"/>
      <c r="BG142" s="17"/>
      <c r="BH142" s="17"/>
      <c r="BI142" s="17"/>
      <c r="BJ142" s="17"/>
      <c r="BK142" s="17"/>
      <c r="BL142" s="17"/>
      <c r="BM142" s="17"/>
      <c r="BN142" s="17"/>
      <c r="BO142" s="17"/>
      <c r="BP142" s="17"/>
      <c r="BQ142" s="17"/>
      <c r="BR142" s="17"/>
      <c r="BS142" s="17"/>
      <c r="BT142" s="17"/>
      <c r="BU142" s="17"/>
      <c r="BV142" s="17"/>
      <c r="BW142" s="17"/>
      <c r="BX142" s="17"/>
      <c r="BY142" s="17"/>
      <c r="BZ142" s="17"/>
      <c r="CA142" s="17"/>
      <c r="CB142" s="17"/>
      <c r="CC142" s="17"/>
      <c r="CD142" s="17"/>
      <c r="CE142" s="17"/>
      <c r="CF142" s="17"/>
      <c r="CG142" s="17"/>
      <c r="CH142" s="17"/>
      <c r="CI142" s="17"/>
      <c r="CJ142" s="17"/>
      <c r="CK142" s="17"/>
      <c r="CL142" s="17"/>
      <c r="CM142" s="17"/>
      <c r="CN142" s="17"/>
      <c r="CO142" s="17"/>
      <c r="CP142" s="17"/>
      <c r="CQ142" s="17"/>
      <c r="CR142" s="17"/>
      <c r="CS142" s="17"/>
      <c r="CT142" s="17"/>
      <c r="CU142" s="17"/>
      <c r="CV142" s="17"/>
      <c r="CW142" s="17"/>
      <c r="CX142" s="17"/>
      <c r="CY142" s="17"/>
      <c r="CZ142" s="17"/>
      <c r="DA142" s="17"/>
      <c r="DB142" s="17"/>
      <c r="DC142" s="17"/>
      <c r="DD142" s="17"/>
      <c r="DE142" s="17"/>
      <c r="DF142" s="17"/>
      <c r="DG142" s="17"/>
      <c r="DH142" s="17"/>
      <c r="DI142" s="17"/>
      <c r="DJ142" s="17"/>
      <c r="DK142" s="17"/>
      <c r="DL142" s="17"/>
      <c r="DM142" s="17"/>
      <c r="DN142" s="17"/>
      <c r="DO142" s="17"/>
      <c r="DP142" s="17"/>
      <c r="DQ142" s="17"/>
      <c r="DR142" s="17"/>
      <c r="DS142" s="17"/>
      <c r="DT142" s="17"/>
      <c r="DU142" s="17"/>
      <c r="DV142" s="17"/>
      <c r="DW142" s="17"/>
      <c r="DX142" s="17"/>
      <c r="DY142" s="17"/>
      <c r="DZ142" s="17"/>
      <c r="EA142" s="17"/>
      <c r="EB142" s="17"/>
      <c r="EC142" s="17"/>
      <c r="ED142" s="17"/>
      <c r="EE142" s="17"/>
      <c r="EF142" s="17"/>
      <c r="EG142" s="17"/>
      <c r="EH142" s="17"/>
      <c r="EI142" s="17"/>
      <c r="EJ142" s="17"/>
      <c r="EK142" s="17"/>
      <c r="EL142" s="17"/>
      <c r="EM142" s="17"/>
      <c r="EN142" s="17"/>
      <c r="EO142" s="17"/>
      <c r="EP142" s="17"/>
      <c r="EQ142" s="17"/>
      <c r="ER142" s="17"/>
      <c r="ES142" s="17"/>
      <c r="ET142" s="17"/>
      <c r="EU142" s="17"/>
      <c r="EV142" s="17"/>
      <c r="EW142" s="17"/>
      <c r="EX142" s="17"/>
      <c r="EY142" s="17"/>
      <c r="EZ142" s="17"/>
      <c r="FA142" s="17"/>
      <c r="FB142" s="17"/>
      <c r="FC142" s="17"/>
      <c r="FD142" s="17"/>
      <c r="FE142" s="17"/>
      <c r="FF142" s="17"/>
      <c r="FG142" s="17"/>
      <c r="FH142" s="17"/>
      <c r="FI142" s="17"/>
      <c r="FJ142" s="17"/>
      <c r="FK142" s="17"/>
      <c r="FL142" s="17"/>
      <c r="FM142" s="17"/>
      <c r="FN142" s="17"/>
      <c r="FO142" s="17"/>
      <c r="FP142" s="17"/>
      <c r="FQ142" s="17"/>
      <c r="FR142" s="17"/>
      <c r="FS142" s="17"/>
      <c r="FT142" s="17"/>
      <c r="FU142" s="17"/>
      <c r="FV142" s="17"/>
      <c r="FW142" s="17"/>
      <c r="FX142" s="17"/>
      <c r="FY142" s="17"/>
      <c r="FZ142" s="17"/>
      <c r="GA142" s="17"/>
      <c r="GB142" s="17"/>
      <c r="GC142" s="17"/>
      <c r="GD142" s="17"/>
      <c r="GE142" s="17"/>
      <c r="GF142" s="17"/>
      <c r="GG142" s="17"/>
      <c r="GH142" s="17"/>
      <c r="GI142" s="17"/>
      <c r="GJ142" s="17"/>
      <c r="GK142" s="17"/>
      <c r="GL142" s="17"/>
      <c r="GM142" s="17"/>
      <c r="GN142" s="17"/>
      <c r="GO142" s="17"/>
      <c r="GP142" s="17"/>
      <c r="GQ142" s="17"/>
      <c r="GR142" s="17"/>
      <c r="GS142" s="17"/>
      <c r="GT142" s="17"/>
      <c r="GU142" s="17"/>
      <c r="GV142" s="17"/>
      <c r="GW142" s="17"/>
      <c r="GX142" s="17"/>
      <c r="GY142" s="17"/>
      <c r="GZ142" s="17"/>
      <c r="HA142" s="17"/>
      <c r="HB142" s="17"/>
      <c r="HC142" s="17"/>
      <c r="HD142" s="17"/>
      <c r="HE142" s="17"/>
      <c r="HF142" s="17"/>
      <c r="HG142" s="17"/>
      <c r="HH142" s="17"/>
      <c r="HI142" s="17"/>
      <c r="HJ142" s="17"/>
      <c r="HK142" s="17"/>
      <c r="HL142" s="17"/>
      <c r="HM142" s="17"/>
      <c r="HN142" s="17"/>
      <c r="HO142" s="17"/>
      <c r="HP142" s="17"/>
      <c r="HQ142" s="17"/>
      <c r="HR142" s="17"/>
      <c r="HS142" s="17"/>
      <c r="HT142" s="17"/>
      <c r="HU142" s="17"/>
      <c r="HV142" s="17"/>
      <c r="HW142" s="17"/>
      <c r="HX142" s="17"/>
      <c r="HY142" s="17"/>
      <c r="HZ142" s="17"/>
      <c r="IA142" s="17"/>
      <c r="IB142" s="17"/>
      <c r="IC142" s="17"/>
      <c r="ID142" s="17"/>
      <c r="IE142" s="17"/>
      <c r="IF142" s="17"/>
      <c r="IG142" s="17"/>
    </row>
    <row r="143" spans="1:241" ht="15.75" customHeight="1" x14ac:dyDescent="0.25">
      <c r="A143" s="47">
        <v>121</v>
      </c>
      <c r="B143" s="43" t="s">
        <v>142</v>
      </c>
      <c r="C143" s="43" t="s">
        <v>23</v>
      </c>
      <c r="D143" s="50">
        <v>183981136.19999999</v>
      </c>
      <c r="E143" s="50"/>
      <c r="F143" s="50">
        <v>80972759.670000002</v>
      </c>
      <c r="G143" s="50">
        <v>20966480.66</v>
      </c>
      <c r="H143" s="50"/>
      <c r="I143" s="50"/>
      <c r="J143" s="50">
        <v>285920376.52999997</v>
      </c>
      <c r="K143" s="50">
        <v>881407.71</v>
      </c>
      <c r="L143" s="50">
        <v>730473.82</v>
      </c>
      <c r="M143" s="52">
        <v>-7581795.8099999996</v>
      </c>
      <c r="N143" s="65">
        <v>290534370.26999998</v>
      </c>
      <c r="O143" s="65">
        <v>5271415.43</v>
      </c>
      <c r="P143" s="69">
        <v>277344169.66000003</v>
      </c>
      <c r="Q143" s="55">
        <f>(P143/$P$152)</f>
        <v>1.4450149130253002E-2</v>
      </c>
      <c r="R143" s="69">
        <v>285262954.83999997</v>
      </c>
      <c r="S143" s="55">
        <f>(R143/$R$152)</f>
        <v>1.4647957817748445E-2</v>
      </c>
      <c r="T143" s="56">
        <f>((R143-P143)/P143)</f>
        <v>2.8552196318774949E-2</v>
      </c>
      <c r="U143" s="57">
        <f t="shared" si="67"/>
        <v>2.5607034057742008E-3</v>
      </c>
      <c r="V143" s="58">
        <f>M143/R143</f>
        <v>-2.6578269913289383E-2</v>
      </c>
      <c r="W143" s="59">
        <f>R143/AE143</f>
        <v>251.47087679879459</v>
      </c>
      <c r="X143" s="59">
        <f>M143/AE143</f>
        <v>-6.6836608388899039</v>
      </c>
      <c r="Y143" s="65">
        <v>249.32</v>
      </c>
      <c r="Z143" s="65">
        <v>252.65</v>
      </c>
      <c r="AA143" s="64">
        <v>501</v>
      </c>
      <c r="AB143" s="64">
        <v>1076576.77</v>
      </c>
      <c r="AC143" s="64">
        <v>78074.13</v>
      </c>
      <c r="AD143" s="64">
        <v>20273.2</v>
      </c>
      <c r="AE143" s="50">
        <v>1134377.7</v>
      </c>
      <c r="AF143" s="37"/>
    </row>
    <row r="144" spans="1:241" ht="4.5" customHeight="1" x14ac:dyDescent="0.25">
      <c r="A144" s="114"/>
      <c r="B144" s="115"/>
      <c r="C144" s="115"/>
      <c r="D144" s="50"/>
      <c r="E144" s="50"/>
      <c r="F144" s="50"/>
      <c r="G144" s="50"/>
      <c r="H144" s="50"/>
      <c r="I144" s="50"/>
      <c r="J144" s="50"/>
      <c r="K144" s="50"/>
      <c r="L144" s="50"/>
      <c r="M144" s="52"/>
      <c r="N144" s="65"/>
      <c r="O144" s="65"/>
      <c r="P144" s="88"/>
      <c r="Q144" s="55"/>
      <c r="R144" s="69"/>
      <c r="S144" s="55"/>
      <c r="T144" s="56"/>
      <c r="U144" s="57"/>
      <c r="V144" s="58"/>
      <c r="W144" s="59"/>
      <c r="X144" s="59"/>
      <c r="Y144" s="65"/>
      <c r="Z144" s="65"/>
      <c r="AA144" s="64"/>
      <c r="AB144" s="64"/>
      <c r="AC144" s="64"/>
      <c r="AD144" s="64"/>
      <c r="AE144" s="65"/>
      <c r="AF144" s="37"/>
      <c r="AG144" s="17"/>
      <c r="AH144" s="17"/>
      <c r="AI144" s="17"/>
      <c r="AJ144" s="17"/>
      <c r="AK144" s="17"/>
      <c r="AL144" s="17"/>
      <c r="AM144" s="17"/>
      <c r="AN144" s="17"/>
      <c r="AO144" s="17"/>
      <c r="AP144" s="17"/>
      <c r="AQ144" s="17"/>
      <c r="AR144" s="17"/>
      <c r="AS144" s="17"/>
      <c r="AT144" s="17"/>
      <c r="AU144" s="17"/>
      <c r="AV144" s="17"/>
      <c r="AW144" s="17"/>
      <c r="AX144" s="17"/>
      <c r="AY144" s="17"/>
      <c r="AZ144" s="17"/>
      <c r="BA144" s="17"/>
      <c r="BB144" s="17"/>
      <c r="BC144" s="17"/>
      <c r="BD144" s="17"/>
      <c r="BE144" s="17"/>
      <c r="BF144" s="17"/>
      <c r="BG144" s="17"/>
      <c r="BH144" s="17"/>
      <c r="BI144" s="17"/>
      <c r="BJ144" s="17"/>
      <c r="BK144" s="17"/>
      <c r="BL144" s="17"/>
      <c r="BM144" s="17"/>
      <c r="BN144" s="17"/>
      <c r="BO144" s="17"/>
      <c r="BP144" s="17"/>
      <c r="BQ144" s="17"/>
      <c r="BR144" s="17"/>
      <c r="BS144" s="17"/>
      <c r="BT144" s="17"/>
      <c r="BU144" s="17"/>
      <c r="BV144" s="17"/>
      <c r="BW144" s="17"/>
      <c r="BX144" s="17"/>
      <c r="BY144" s="17"/>
      <c r="BZ144" s="17"/>
      <c r="CA144" s="17"/>
      <c r="CB144" s="17"/>
      <c r="CC144" s="17"/>
      <c r="CD144" s="17"/>
      <c r="CE144" s="17"/>
      <c r="CF144" s="17"/>
      <c r="CG144" s="17"/>
      <c r="CH144" s="17"/>
      <c r="CI144" s="17"/>
      <c r="CJ144" s="17"/>
      <c r="CK144" s="17"/>
      <c r="CL144" s="17"/>
      <c r="CM144" s="17"/>
      <c r="CN144" s="17"/>
      <c r="CO144" s="17"/>
      <c r="CP144" s="17"/>
      <c r="CQ144" s="17"/>
      <c r="CR144" s="17"/>
      <c r="CS144" s="17"/>
      <c r="CT144" s="17"/>
      <c r="CU144" s="17"/>
      <c r="CV144" s="17"/>
      <c r="CW144" s="17"/>
      <c r="CX144" s="17"/>
      <c r="CY144" s="17"/>
      <c r="CZ144" s="17"/>
      <c r="DA144" s="17"/>
      <c r="DB144" s="17"/>
      <c r="DC144" s="17"/>
      <c r="DD144" s="17"/>
      <c r="DE144" s="17"/>
      <c r="DF144" s="17"/>
      <c r="DG144" s="17"/>
      <c r="DH144" s="17"/>
      <c r="DI144" s="17"/>
      <c r="DJ144" s="17"/>
      <c r="DK144" s="17"/>
      <c r="DL144" s="17"/>
      <c r="DM144" s="17"/>
      <c r="DN144" s="17"/>
      <c r="DO144" s="17"/>
      <c r="DP144" s="17"/>
      <c r="DQ144" s="17"/>
      <c r="DR144" s="17"/>
      <c r="DS144" s="17"/>
      <c r="DT144" s="17"/>
      <c r="DU144" s="17"/>
      <c r="DV144" s="17"/>
      <c r="DW144" s="17"/>
      <c r="DX144" s="17"/>
      <c r="DY144" s="17"/>
      <c r="DZ144" s="17"/>
      <c r="EA144" s="17"/>
      <c r="EB144" s="17"/>
      <c r="EC144" s="17"/>
      <c r="ED144" s="17"/>
      <c r="EE144" s="17"/>
      <c r="EF144" s="17"/>
      <c r="EG144" s="17"/>
      <c r="EH144" s="17"/>
      <c r="EI144" s="17"/>
      <c r="EJ144" s="17"/>
      <c r="EK144" s="17"/>
      <c r="EL144" s="17"/>
      <c r="EM144" s="17"/>
      <c r="EN144" s="17"/>
      <c r="EO144" s="17"/>
      <c r="EP144" s="17"/>
      <c r="EQ144" s="17"/>
      <c r="ER144" s="17"/>
      <c r="ES144" s="17"/>
      <c r="ET144" s="17"/>
      <c r="EU144" s="17"/>
      <c r="EV144" s="17"/>
      <c r="EW144" s="17"/>
      <c r="EX144" s="17"/>
      <c r="EY144" s="17"/>
      <c r="EZ144" s="17"/>
      <c r="FA144" s="17"/>
      <c r="FB144" s="17"/>
      <c r="FC144" s="17"/>
      <c r="FD144" s="17"/>
      <c r="FE144" s="17"/>
      <c r="FF144" s="17"/>
      <c r="FG144" s="17"/>
      <c r="FH144" s="17"/>
      <c r="FI144" s="17"/>
      <c r="FJ144" s="17"/>
      <c r="FK144" s="17"/>
      <c r="FL144" s="17"/>
      <c r="FM144" s="17"/>
      <c r="FN144" s="17"/>
      <c r="FO144" s="17"/>
      <c r="FP144" s="17"/>
      <c r="FQ144" s="17"/>
      <c r="FR144" s="17"/>
      <c r="FS144" s="17"/>
      <c r="FT144" s="17"/>
      <c r="FU144" s="17"/>
      <c r="FV144" s="17"/>
      <c r="FW144" s="17"/>
      <c r="FX144" s="17"/>
      <c r="FY144" s="17"/>
      <c r="FZ144" s="17"/>
      <c r="GA144" s="17"/>
      <c r="GB144" s="17"/>
      <c r="GC144" s="17"/>
      <c r="GD144" s="17"/>
      <c r="GE144" s="17"/>
      <c r="GF144" s="17"/>
      <c r="GG144" s="17"/>
      <c r="GH144" s="17"/>
      <c r="GI144" s="17"/>
      <c r="GJ144" s="17"/>
      <c r="GK144" s="17"/>
      <c r="GL144" s="17"/>
      <c r="GM144" s="17"/>
      <c r="GN144" s="17"/>
      <c r="GO144" s="17"/>
      <c r="GP144" s="17"/>
      <c r="GQ144" s="17"/>
      <c r="GR144" s="17"/>
      <c r="GS144" s="17"/>
      <c r="GT144" s="17"/>
      <c r="GU144" s="17"/>
      <c r="GV144" s="17"/>
      <c r="GW144" s="17"/>
      <c r="GX144" s="17"/>
      <c r="GY144" s="17"/>
      <c r="GZ144" s="17"/>
      <c r="HA144" s="17"/>
      <c r="HB144" s="17"/>
      <c r="HC144" s="17"/>
      <c r="HD144" s="17"/>
      <c r="HE144" s="17"/>
      <c r="HF144" s="17"/>
      <c r="HG144" s="17"/>
      <c r="HH144" s="17"/>
      <c r="HI144" s="17"/>
      <c r="HJ144" s="17"/>
      <c r="HK144" s="17"/>
      <c r="HL144" s="17"/>
      <c r="HM144" s="17"/>
      <c r="HN144" s="17"/>
      <c r="HO144" s="17"/>
      <c r="HP144" s="17"/>
      <c r="HQ144" s="17"/>
      <c r="HR144" s="17"/>
      <c r="HS144" s="17"/>
      <c r="HT144" s="17"/>
      <c r="HU144" s="17"/>
      <c r="HV144" s="17"/>
      <c r="HW144" s="17"/>
      <c r="HX144" s="17"/>
      <c r="HY144" s="17"/>
      <c r="HZ144" s="17"/>
      <c r="IA144" s="17"/>
      <c r="IB144" s="17"/>
      <c r="IC144" s="17"/>
      <c r="ID144" s="17"/>
      <c r="IE144" s="17"/>
      <c r="IF144" s="17"/>
      <c r="IG144" s="17"/>
    </row>
    <row r="145" spans="1:241" ht="15.75" customHeight="1" x14ac:dyDescent="0.25">
      <c r="A145" s="155" t="s">
        <v>217</v>
      </c>
      <c r="B145" s="156"/>
      <c r="C145" s="156"/>
      <c r="D145" s="156"/>
      <c r="E145" s="156"/>
      <c r="F145" s="156"/>
      <c r="G145" s="156"/>
      <c r="H145" s="156"/>
      <c r="I145" s="156"/>
      <c r="J145" s="156"/>
      <c r="K145" s="156"/>
      <c r="L145" s="156"/>
      <c r="M145" s="156"/>
      <c r="N145" s="156"/>
      <c r="O145" s="156"/>
      <c r="P145" s="156"/>
      <c r="Q145" s="156"/>
      <c r="R145" s="156"/>
      <c r="S145" s="156"/>
      <c r="T145" s="156"/>
      <c r="U145" s="156"/>
      <c r="V145" s="156"/>
      <c r="W145" s="156"/>
      <c r="X145" s="156"/>
      <c r="Y145" s="156"/>
      <c r="Z145" s="156"/>
      <c r="AA145" s="156"/>
      <c r="AB145" s="156"/>
      <c r="AC145" s="156"/>
      <c r="AD145" s="156"/>
      <c r="AE145" s="157"/>
      <c r="AF145" s="37"/>
      <c r="AG145" s="17"/>
      <c r="AH145" s="17"/>
      <c r="AI145" s="17"/>
      <c r="AJ145" s="17"/>
      <c r="AK145" s="17"/>
      <c r="AL145" s="17"/>
      <c r="AM145" s="17"/>
      <c r="AN145" s="17"/>
      <c r="AO145" s="17"/>
      <c r="AP145" s="17"/>
      <c r="AQ145" s="17"/>
      <c r="AR145" s="17"/>
      <c r="AS145" s="17"/>
      <c r="AT145" s="17"/>
      <c r="AU145" s="17"/>
      <c r="AV145" s="17"/>
      <c r="AW145" s="17"/>
      <c r="AX145" s="17"/>
      <c r="AY145" s="17"/>
      <c r="AZ145" s="17"/>
      <c r="BA145" s="17"/>
      <c r="BB145" s="17"/>
      <c r="BC145" s="17"/>
      <c r="BD145" s="17"/>
      <c r="BE145" s="17"/>
      <c r="BF145" s="17"/>
      <c r="BG145" s="17"/>
      <c r="BH145" s="17"/>
      <c r="BI145" s="17"/>
      <c r="BJ145" s="17"/>
      <c r="BK145" s="17"/>
      <c r="BL145" s="17"/>
      <c r="BM145" s="17"/>
      <c r="BN145" s="17"/>
      <c r="BO145" s="17"/>
      <c r="BP145" s="17"/>
      <c r="BQ145" s="17"/>
      <c r="BR145" s="17"/>
      <c r="BS145" s="17"/>
      <c r="BT145" s="17"/>
      <c r="BU145" s="17"/>
      <c r="BV145" s="17"/>
      <c r="BW145" s="17"/>
      <c r="BX145" s="17"/>
      <c r="BY145" s="17"/>
      <c r="BZ145" s="17"/>
      <c r="CA145" s="17"/>
      <c r="CB145" s="17"/>
      <c r="CC145" s="17"/>
      <c r="CD145" s="17"/>
      <c r="CE145" s="17"/>
      <c r="CF145" s="17"/>
      <c r="CG145" s="17"/>
      <c r="CH145" s="17"/>
      <c r="CI145" s="17"/>
      <c r="CJ145" s="17"/>
      <c r="CK145" s="17"/>
      <c r="CL145" s="17"/>
      <c r="CM145" s="17"/>
      <c r="CN145" s="17"/>
      <c r="CO145" s="17"/>
      <c r="CP145" s="17"/>
      <c r="CQ145" s="17"/>
      <c r="CR145" s="17"/>
      <c r="CS145" s="17"/>
      <c r="CT145" s="17"/>
      <c r="CU145" s="17"/>
      <c r="CV145" s="17"/>
      <c r="CW145" s="17"/>
      <c r="CX145" s="17"/>
      <c r="CY145" s="17"/>
      <c r="CZ145" s="17"/>
      <c r="DA145" s="17"/>
      <c r="DB145" s="17"/>
      <c r="DC145" s="17"/>
      <c r="DD145" s="17"/>
      <c r="DE145" s="17"/>
      <c r="DF145" s="17"/>
      <c r="DG145" s="17"/>
      <c r="DH145" s="17"/>
      <c r="DI145" s="17"/>
      <c r="DJ145" s="17"/>
      <c r="DK145" s="17"/>
      <c r="DL145" s="17"/>
      <c r="DM145" s="17"/>
      <c r="DN145" s="17"/>
      <c r="DO145" s="17"/>
      <c r="DP145" s="17"/>
      <c r="DQ145" s="17"/>
      <c r="DR145" s="17"/>
      <c r="DS145" s="17"/>
      <c r="DT145" s="17"/>
      <c r="DU145" s="17"/>
      <c r="DV145" s="17"/>
      <c r="DW145" s="17"/>
      <c r="DX145" s="17"/>
      <c r="DY145" s="17"/>
      <c r="DZ145" s="17"/>
      <c r="EA145" s="17"/>
      <c r="EB145" s="17"/>
      <c r="EC145" s="17"/>
      <c r="ED145" s="17"/>
      <c r="EE145" s="17"/>
      <c r="EF145" s="17"/>
      <c r="EG145" s="17"/>
      <c r="EH145" s="17"/>
      <c r="EI145" s="17"/>
      <c r="EJ145" s="17"/>
      <c r="EK145" s="17"/>
      <c r="EL145" s="17"/>
      <c r="EM145" s="17"/>
      <c r="EN145" s="17"/>
      <c r="EO145" s="17"/>
      <c r="EP145" s="17"/>
      <c r="EQ145" s="17"/>
      <c r="ER145" s="17"/>
      <c r="ES145" s="17"/>
      <c r="ET145" s="17"/>
      <c r="EU145" s="17"/>
      <c r="EV145" s="17"/>
      <c r="EW145" s="17"/>
      <c r="EX145" s="17"/>
      <c r="EY145" s="17"/>
      <c r="EZ145" s="17"/>
      <c r="FA145" s="17"/>
      <c r="FB145" s="17"/>
      <c r="FC145" s="17"/>
      <c r="FD145" s="17"/>
      <c r="FE145" s="17"/>
      <c r="FF145" s="17"/>
      <c r="FG145" s="17"/>
      <c r="FH145" s="17"/>
      <c r="FI145" s="17"/>
      <c r="FJ145" s="17"/>
      <c r="FK145" s="17"/>
      <c r="FL145" s="17"/>
      <c r="FM145" s="17"/>
      <c r="FN145" s="17"/>
      <c r="FO145" s="17"/>
      <c r="FP145" s="17"/>
      <c r="FQ145" s="17"/>
      <c r="FR145" s="17"/>
      <c r="FS145" s="17"/>
      <c r="FT145" s="17"/>
      <c r="FU145" s="17"/>
      <c r="FV145" s="17"/>
      <c r="FW145" s="17"/>
      <c r="FX145" s="17"/>
      <c r="FY145" s="17"/>
      <c r="FZ145" s="17"/>
      <c r="GA145" s="17"/>
      <c r="GB145" s="17"/>
      <c r="GC145" s="17"/>
      <c r="GD145" s="17"/>
      <c r="GE145" s="17"/>
      <c r="GF145" s="17"/>
      <c r="GG145" s="17"/>
      <c r="GH145" s="17"/>
      <c r="GI145" s="17"/>
      <c r="GJ145" s="17"/>
      <c r="GK145" s="17"/>
      <c r="GL145" s="17"/>
      <c r="GM145" s="17"/>
      <c r="GN145" s="17"/>
      <c r="GO145" s="17"/>
      <c r="GP145" s="17"/>
      <c r="GQ145" s="17"/>
      <c r="GR145" s="17"/>
      <c r="GS145" s="17"/>
      <c r="GT145" s="17"/>
      <c r="GU145" s="17"/>
      <c r="GV145" s="17"/>
      <c r="GW145" s="17"/>
      <c r="GX145" s="17"/>
      <c r="GY145" s="17"/>
      <c r="GZ145" s="17"/>
      <c r="HA145" s="17"/>
      <c r="HB145" s="17"/>
      <c r="HC145" s="17"/>
      <c r="HD145" s="17"/>
      <c r="HE145" s="17"/>
      <c r="HF145" s="17"/>
      <c r="HG145" s="17"/>
      <c r="HH145" s="17"/>
      <c r="HI145" s="17"/>
      <c r="HJ145" s="17"/>
      <c r="HK145" s="17"/>
      <c r="HL145" s="17"/>
      <c r="HM145" s="17"/>
      <c r="HN145" s="17"/>
      <c r="HO145" s="17"/>
      <c r="HP145" s="17"/>
      <c r="HQ145" s="17"/>
      <c r="HR145" s="17"/>
      <c r="HS145" s="17"/>
      <c r="HT145" s="17"/>
      <c r="HU145" s="17"/>
      <c r="HV145" s="17"/>
      <c r="HW145" s="17"/>
      <c r="HX145" s="17"/>
      <c r="HY145" s="17"/>
      <c r="HZ145" s="17"/>
      <c r="IA145" s="17"/>
      <c r="IB145" s="17"/>
      <c r="IC145" s="17"/>
      <c r="ID145" s="17"/>
      <c r="IE145" s="17"/>
      <c r="IF145" s="17"/>
      <c r="IG145" s="17"/>
    </row>
    <row r="146" spans="1:241" ht="15.75" customHeight="1" x14ac:dyDescent="0.25">
      <c r="A146" s="47">
        <v>122</v>
      </c>
      <c r="B146" s="44" t="s">
        <v>192</v>
      </c>
      <c r="C146" s="43" t="s">
        <v>187</v>
      </c>
      <c r="D146" s="49"/>
      <c r="E146" s="49"/>
      <c r="F146" s="49"/>
      <c r="G146" s="49">
        <v>236525970</v>
      </c>
      <c r="H146" s="49"/>
      <c r="I146" s="50"/>
      <c r="J146" s="49">
        <v>236525970</v>
      </c>
      <c r="K146" s="50">
        <v>3337564</v>
      </c>
      <c r="L146" s="50">
        <v>789758</v>
      </c>
      <c r="M146" s="52">
        <v>2547806</v>
      </c>
      <c r="N146" s="65">
        <v>471250454.98000002</v>
      </c>
      <c r="O146" s="132">
        <v>2194264.38</v>
      </c>
      <c r="P146" s="69">
        <v>468359308</v>
      </c>
      <c r="Q146" s="55">
        <f>(P146/$P$152)</f>
        <v>2.4402394524604253E-2</v>
      </c>
      <c r="R146" s="69">
        <v>469056191</v>
      </c>
      <c r="S146" s="55">
        <f t="shared" ref="S146:S151" si="69">(R146/$R$152)</f>
        <v>2.4085550483677234E-2</v>
      </c>
      <c r="T146" s="56">
        <f t="shared" ref="T146:T152" si="70">((R146-P146)/P146)</f>
        <v>1.4879238825760671E-3</v>
      </c>
      <c r="U146" s="57">
        <f>(L146/R146)</f>
        <v>1.6837172499872194E-3</v>
      </c>
      <c r="V146" s="58">
        <f t="shared" ref="V146:V151" si="71">M146/R146</f>
        <v>5.4317713930355097E-3</v>
      </c>
      <c r="W146" s="59">
        <f t="shared" ref="W146:W151" si="72">R146/AE146</f>
        <v>1012.2473536895125</v>
      </c>
      <c r="X146" s="59">
        <f t="shared" ref="X146:X151" si="73">M146/AE146</f>
        <v>5.4982962184465913</v>
      </c>
      <c r="Y146" s="65">
        <v>1012.25</v>
      </c>
      <c r="Z146" s="65">
        <v>1012.25</v>
      </c>
      <c r="AA146" s="64">
        <v>23</v>
      </c>
      <c r="AB146" s="65">
        <v>461480</v>
      </c>
      <c r="AC146" s="65">
        <v>1901</v>
      </c>
      <c r="AD146" s="65">
        <v>0</v>
      </c>
      <c r="AE146" s="50">
        <v>463381</v>
      </c>
      <c r="AF146" s="37"/>
      <c r="AG146" s="17"/>
      <c r="AH146" s="17"/>
      <c r="AI146" s="17"/>
      <c r="AJ146" s="17"/>
      <c r="AK146" s="17"/>
      <c r="AL146" s="17"/>
      <c r="AM146" s="17"/>
      <c r="AN146" s="17"/>
      <c r="AO146" s="17"/>
      <c r="AP146" s="17"/>
      <c r="AQ146" s="17"/>
      <c r="AR146" s="17"/>
      <c r="AS146" s="17"/>
      <c r="AT146" s="17"/>
      <c r="AU146" s="17"/>
      <c r="AV146" s="17"/>
      <c r="AW146" s="17"/>
      <c r="AX146" s="17"/>
      <c r="AY146" s="17"/>
      <c r="AZ146" s="17"/>
      <c r="BA146" s="17"/>
      <c r="BB146" s="17"/>
      <c r="BC146" s="17"/>
      <c r="BD146" s="17"/>
      <c r="BE146" s="17"/>
      <c r="BF146" s="17"/>
      <c r="BG146" s="17"/>
      <c r="BH146" s="17"/>
      <c r="BI146" s="17"/>
      <c r="BJ146" s="17"/>
      <c r="BK146" s="17"/>
      <c r="BL146" s="17"/>
      <c r="BM146" s="17"/>
      <c r="BN146" s="17"/>
      <c r="BO146" s="17"/>
      <c r="BP146" s="17"/>
      <c r="BQ146" s="17"/>
      <c r="BR146" s="17"/>
      <c r="BS146" s="17"/>
      <c r="BT146" s="17"/>
      <c r="BU146" s="17"/>
      <c r="BV146" s="17"/>
      <c r="BW146" s="17"/>
      <c r="BX146" s="17"/>
      <c r="BY146" s="17"/>
      <c r="BZ146" s="17"/>
      <c r="CA146" s="17"/>
      <c r="CB146" s="17"/>
      <c r="CC146" s="17"/>
      <c r="CD146" s="17"/>
      <c r="CE146" s="17"/>
      <c r="CF146" s="17"/>
      <c r="CG146" s="17"/>
      <c r="CH146" s="17"/>
      <c r="CI146" s="17"/>
      <c r="CJ146" s="17"/>
      <c r="CK146" s="17"/>
      <c r="CL146" s="17"/>
      <c r="CM146" s="17"/>
      <c r="CN146" s="17"/>
      <c r="CO146" s="17"/>
      <c r="CP146" s="17"/>
      <c r="CQ146" s="17"/>
      <c r="CR146" s="17"/>
      <c r="CS146" s="17"/>
      <c r="CT146" s="17"/>
      <c r="CU146" s="17"/>
      <c r="CV146" s="17"/>
      <c r="CW146" s="17"/>
      <c r="CX146" s="17"/>
      <c r="CY146" s="17"/>
      <c r="CZ146" s="17"/>
      <c r="DA146" s="17"/>
      <c r="DB146" s="17"/>
      <c r="DC146" s="17"/>
      <c r="DD146" s="17"/>
      <c r="DE146" s="17"/>
      <c r="DF146" s="17"/>
      <c r="DG146" s="17"/>
      <c r="DH146" s="17"/>
      <c r="DI146" s="17"/>
      <c r="DJ146" s="17"/>
      <c r="DK146" s="17"/>
      <c r="DL146" s="17"/>
      <c r="DM146" s="17"/>
      <c r="DN146" s="17"/>
      <c r="DO146" s="17"/>
      <c r="DP146" s="17"/>
      <c r="DQ146" s="17"/>
      <c r="DR146" s="17"/>
      <c r="DS146" s="17"/>
      <c r="DT146" s="17"/>
      <c r="DU146" s="17"/>
      <c r="DV146" s="17"/>
      <c r="DW146" s="17"/>
      <c r="DX146" s="17"/>
      <c r="DY146" s="17"/>
      <c r="DZ146" s="17"/>
      <c r="EA146" s="17"/>
      <c r="EB146" s="17"/>
      <c r="EC146" s="17"/>
      <c r="ED146" s="17"/>
      <c r="EE146" s="17"/>
      <c r="EF146" s="17"/>
      <c r="EG146" s="17"/>
      <c r="EH146" s="17"/>
      <c r="EI146" s="17"/>
      <c r="EJ146" s="17"/>
      <c r="EK146" s="17"/>
      <c r="EL146" s="17"/>
      <c r="EM146" s="17"/>
      <c r="EN146" s="17"/>
      <c r="EO146" s="17"/>
      <c r="EP146" s="17"/>
      <c r="EQ146" s="17"/>
      <c r="ER146" s="17"/>
      <c r="ES146" s="17"/>
      <c r="ET146" s="17"/>
      <c r="EU146" s="17"/>
      <c r="EV146" s="17"/>
      <c r="EW146" s="17"/>
      <c r="EX146" s="17"/>
      <c r="EY146" s="17"/>
      <c r="EZ146" s="17"/>
      <c r="FA146" s="17"/>
      <c r="FB146" s="17"/>
      <c r="FC146" s="17"/>
      <c r="FD146" s="17"/>
      <c r="FE146" s="17"/>
      <c r="FF146" s="17"/>
      <c r="FG146" s="17"/>
      <c r="FH146" s="17"/>
      <c r="FI146" s="17"/>
      <c r="FJ146" s="17"/>
      <c r="FK146" s="17"/>
      <c r="FL146" s="17"/>
      <c r="FM146" s="17"/>
      <c r="FN146" s="17"/>
      <c r="FO146" s="17"/>
      <c r="FP146" s="17"/>
      <c r="FQ146" s="17"/>
      <c r="FR146" s="17"/>
      <c r="FS146" s="17"/>
      <c r="FT146" s="17"/>
      <c r="FU146" s="17"/>
      <c r="FV146" s="17"/>
      <c r="FW146" s="17"/>
      <c r="FX146" s="17"/>
      <c r="FY146" s="17"/>
      <c r="FZ146" s="17"/>
      <c r="GA146" s="17"/>
      <c r="GB146" s="17"/>
      <c r="GC146" s="17"/>
      <c r="GD146" s="17"/>
      <c r="GE146" s="17"/>
      <c r="GF146" s="17"/>
      <c r="GG146" s="17"/>
      <c r="GH146" s="17"/>
      <c r="GI146" s="17"/>
      <c r="GJ146" s="17"/>
      <c r="GK146" s="17"/>
      <c r="GL146" s="17"/>
      <c r="GM146" s="17"/>
      <c r="GN146" s="17"/>
      <c r="GO146" s="17"/>
      <c r="GP146" s="17"/>
      <c r="GQ146" s="17"/>
      <c r="GR146" s="17"/>
      <c r="GS146" s="17"/>
      <c r="GT146" s="17"/>
      <c r="GU146" s="17"/>
      <c r="GV146" s="17"/>
      <c r="GW146" s="17"/>
      <c r="GX146" s="17"/>
      <c r="GY146" s="17"/>
      <c r="GZ146" s="17"/>
      <c r="HA146" s="17"/>
      <c r="HB146" s="17"/>
      <c r="HC146" s="17"/>
      <c r="HD146" s="17"/>
      <c r="HE146" s="17"/>
      <c r="HF146" s="17"/>
      <c r="HG146" s="17"/>
      <c r="HH146" s="17"/>
      <c r="HI146" s="17"/>
      <c r="HJ146" s="17"/>
      <c r="HK146" s="17"/>
      <c r="HL146" s="17"/>
      <c r="HM146" s="17"/>
      <c r="HN146" s="17"/>
      <c r="HO146" s="17"/>
      <c r="HP146" s="17"/>
      <c r="HQ146" s="17"/>
      <c r="HR146" s="17"/>
      <c r="HS146" s="17"/>
      <c r="HT146" s="17"/>
      <c r="HU146" s="17"/>
      <c r="HV146" s="17"/>
      <c r="HW146" s="17"/>
      <c r="HX146" s="17"/>
      <c r="HY146" s="17"/>
      <c r="HZ146" s="17"/>
      <c r="IA146" s="17"/>
      <c r="IB146" s="17"/>
      <c r="IC146" s="17"/>
      <c r="ID146" s="17"/>
      <c r="IE146" s="17"/>
      <c r="IF146" s="17"/>
      <c r="IG146" s="17"/>
    </row>
    <row r="147" spans="1:241" ht="15.75" customHeight="1" x14ac:dyDescent="0.25">
      <c r="A147" s="47">
        <v>123</v>
      </c>
      <c r="B147" s="44" t="s">
        <v>215</v>
      </c>
      <c r="C147" s="44" t="s">
        <v>63</v>
      </c>
      <c r="D147" s="49"/>
      <c r="E147" s="49"/>
      <c r="F147" s="49">
        <f>6802627.48+33105675.64</f>
        <v>39908303.120000005</v>
      </c>
      <c r="G147" s="49">
        <v>10048244.210000001</v>
      </c>
      <c r="H147" s="49"/>
      <c r="I147" s="50"/>
      <c r="J147" s="49">
        <f>F147+G147</f>
        <v>49956547.330000006</v>
      </c>
      <c r="K147" s="50">
        <v>439434.83</v>
      </c>
      <c r="L147" s="50">
        <v>241754.38</v>
      </c>
      <c r="M147" s="52">
        <v>197680.45</v>
      </c>
      <c r="N147" s="65">
        <v>49956547.329999998</v>
      </c>
      <c r="O147" s="132">
        <v>854608.31</v>
      </c>
      <c r="P147" s="69">
        <v>50153903.299999997</v>
      </c>
      <c r="Q147" s="55"/>
      <c r="R147" s="69">
        <v>49101939.020000003</v>
      </c>
      <c r="S147" s="55">
        <f t="shared" si="69"/>
        <v>2.5213338056391862E-3</v>
      </c>
      <c r="T147" s="56">
        <f t="shared" si="70"/>
        <v>-2.0974724015149462E-2</v>
      </c>
      <c r="U147" s="57">
        <f t="shared" si="67"/>
        <v>4.9235200243625734E-3</v>
      </c>
      <c r="V147" s="58">
        <f t="shared" si="71"/>
        <v>4.0259194228456354E-3</v>
      </c>
      <c r="W147" s="59">
        <f t="shared" si="72"/>
        <v>97.368842843771816</v>
      </c>
      <c r="X147" s="59">
        <f t="shared" si="73"/>
        <v>0.39199911558474526</v>
      </c>
      <c r="Y147" s="65">
        <v>101.79</v>
      </c>
      <c r="Z147" s="65">
        <v>101.79</v>
      </c>
      <c r="AA147" s="64">
        <v>51</v>
      </c>
      <c r="AB147" s="65">
        <v>492707</v>
      </c>
      <c r="AC147" s="65">
        <v>16530</v>
      </c>
      <c r="AD147" s="65">
        <v>4949</v>
      </c>
      <c r="AE147" s="50">
        <v>504288</v>
      </c>
      <c r="AF147" s="37"/>
      <c r="AG147" s="17"/>
      <c r="AH147" s="17"/>
      <c r="AI147" s="17"/>
      <c r="AJ147" s="17"/>
      <c r="AK147" s="17"/>
      <c r="AL147" s="17"/>
      <c r="AM147" s="17"/>
      <c r="AN147" s="17"/>
      <c r="AO147" s="17"/>
      <c r="AP147" s="17"/>
      <c r="AQ147" s="17"/>
      <c r="AR147" s="17"/>
      <c r="AS147" s="17"/>
      <c r="AT147" s="17"/>
      <c r="AU147" s="17"/>
      <c r="AV147" s="17"/>
      <c r="AW147" s="17"/>
      <c r="AX147" s="17"/>
      <c r="AY147" s="17"/>
      <c r="AZ147" s="17"/>
      <c r="BA147" s="17"/>
      <c r="BB147" s="17"/>
      <c r="BC147" s="17"/>
      <c r="BD147" s="17"/>
      <c r="BE147" s="17"/>
      <c r="BF147" s="17"/>
      <c r="BG147" s="17"/>
      <c r="BH147" s="17"/>
      <c r="BI147" s="17"/>
      <c r="BJ147" s="17"/>
      <c r="BK147" s="17"/>
      <c r="BL147" s="17"/>
      <c r="BM147" s="17"/>
      <c r="BN147" s="17"/>
      <c r="BO147" s="17"/>
      <c r="BP147" s="17"/>
      <c r="BQ147" s="17"/>
      <c r="BR147" s="17"/>
      <c r="BS147" s="17"/>
      <c r="BT147" s="17"/>
      <c r="BU147" s="17"/>
      <c r="BV147" s="17"/>
      <c r="BW147" s="17"/>
      <c r="BX147" s="17"/>
      <c r="BY147" s="17"/>
      <c r="BZ147" s="17"/>
      <c r="CA147" s="17"/>
      <c r="CB147" s="17"/>
      <c r="CC147" s="17"/>
      <c r="CD147" s="17"/>
      <c r="CE147" s="17"/>
      <c r="CF147" s="17"/>
      <c r="CG147" s="17"/>
      <c r="CH147" s="17"/>
      <c r="CI147" s="17"/>
      <c r="CJ147" s="17"/>
      <c r="CK147" s="17"/>
      <c r="CL147" s="17"/>
      <c r="CM147" s="17"/>
      <c r="CN147" s="17"/>
      <c r="CO147" s="17"/>
      <c r="CP147" s="17"/>
      <c r="CQ147" s="17"/>
      <c r="CR147" s="17"/>
      <c r="CS147" s="17"/>
      <c r="CT147" s="17"/>
      <c r="CU147" s="17"/>
      <c r="CV147" s="17"/>
      <c r="CW147" s="17"/>
      <c r="CX147" s="17"/>
      <c r="CY147" s="17"/>
      <c r="CZ147" s="17"/>
      <c r="DA147" s="17"/>
      <c r="DB147" s="17"/>
      <c r="DC147" s="17"/>
      <c r="DD147" s="17"/>
      <c r="DE147" s="17"/>
      <c r="DF147" s="17"/>
      <c r="DG147" s="17"/>
      <c r="DH147" s="17"/>
      <c r="DI147" s="17"/>
      <c r="DJ147" s="17"/>
      <c r="DK147" s="17"/>
      <c r="DL147" s="17"/>
      <c r="DM147" s="17"/>
      <c r="DN147" s="17"/>
      <c r="DO147" s="17"/>
      <c r="DP147" s="17"/>
      <c r="DQ147" s="17"/>
      <c r="DR147" s="17"/>
      <c r="DS147" s="17"/>
      <c r="DT147" s="17"/>
      <c r="DU147" s="17"/>
      <c r="DV147" s="17"/>
      <c r="DW147" s="17"/>
      <c r="DX147" s="17"/>
      <c r="DY147" s="17"/>
      <c r="DZ147" s="17"/>
      <c r="EA147" s="17"/>
      <c r="EB147" s="17"/>
      <c r="EC147" s="17"/>
      <c r="ED147" s="17"/>
      <c r="EE147" s="17"/>
      <c r="EF147" s="17"/>
      <c r="EG147" s="17"/>
      <c r="EH147" s="17"/>
      <c r="EI147" s="17"/>
      <c r="EJ147" s="17"/>
      <c r="EK147" s="17"/>
      <c r="EL147" s="17"/>
      <c r="EM147" s="17"/>
      <c r="EN147" s="17"/>
      <c r="EO147" s="17"/>
      <c r="EP147" s="17"/>
      <c r="EQ147" s="17"/>
      <c r="ER147" s="17"/>
      <c r="ES147" s="17"/>
      <c r="ET147" s="17"/>
      <c r="EU147" s="17"/>
      <c r="EV147" s="17"/>
      <c r="EW147" s="17"/>
      <c r="EX147" s="17"/>
      <c r="EY147" s="17"/>
      <c r="EZ147" s="17"/>
      <c r="FA147" s="17"/>
      <c r="FB147" s="17"/>
      <c r="FC147" s="17"/>
      <c r="FD147" s="17"/>
      <c r="FE147" s="17"/>
      <c r="FF147" s="17"/>
      <c r="FG147" s="17"/>
      <c r="FH147" s="17"/>
      <c r="FI147" s="17"/>
      <c r="FJ147" s="17"/>
      <c r="FK147" s="17"/>
      <c r="FL147" s="17"/>
      <c r="FM147" s="17"/>
      <c r="FN147" s="17"/>
      <c r="FO147" s="17"/>
      <c r="FP147" s="17"/>
      <c r="FQ147" s="17"/>
      <c r="FR147" s="17"/>
      <c r="FS147" s="17"/>
      <c r="FT147" s="17"/>
      <c r="FU147" s="17"/>
      <c r="FV147" s="17"/>
      <c r="FW147" s="17"/>
      <c r="FX147" s="17"/>
      <c r="FY147" s="17"/>
      <c r="FZ147" s="17"/>
      <c r="GA147" s="17"/>
      <c r="GB147" s="17"/>
      <c r="GC147" s="17"/>
      <c r="GD147" s="17"/>
      <c r="GE147" s="17"/>
      <c r="GF147" s="17"/>
      <c r="GG147" s="17"/>
      <c r="GH147" s="17"/>
      <c r="GI147" s="17"/>
      <c r="GJ147" s="17"/>
      <c r="GK147" s="17"/>
      <c r="GL147" s="17"/>
      <c r="GM147" s="17"/>
      <c r="GN147" s="17"/>
      <c r="GO147" s="17"/>
      <c r="GP147" s="17"/>
      <c r="GQ147" s="17"/>
      <c r="GR147" s="17"/>
      <c r="GS147" s="17"/>
      <c r="GT147" s="17"/>
      <c r="GU147" s="17"/>
      <c r="GV147" s="17"/>
      <c r="GW147" s="17"/>
      <c r="GX147" s="17"/>
      <c r="GY147" s="17"/>
      <c r="GZ147" s="17"/>
      <c r="HA147" s="17"/>
      <c r="HB147" s="17"/>
      <c r="HC147" s="17"/>
      <c r="HD147" s="17"/>
      <c r="HE147" s="17"/>
      <c r="HF147" s="17"/>
      <c r="HG147" s="17"/>
      <c r="HH147" s="17"/>
      <c r="HI147" s="17"/>
      <c r="HJ147" s="17"/>
      <c r="HK147" s="17"/>
      <c r="HL147" s="17"/>
      <c r="HM147" s="17"/>
      <c r="HN147" s="17"/>
      <c r="HO147" s="17"/>
      <c r="HP147" s="17"/>
      <c r="HQ147" s="17"/>
      <c r="HR147" s="17"/>
      <c r="HS147" s="17"/>
      <c r="HT147" s="17"/>
      <c r="HU147" s="17"/>
      <c r="HV147" s="17"/>
      <c r="HW147" s="17"/>
      <c r="HX147" s="17"/>
      <c r="HY147" s="17"/>
      <c r="HZ147" s="17"/>
      <c r="IA147" s="17"/>
      <c r="IB147" s="17"/>
      <c r="IC147" s="17"/>
      <c r="ID147" s="17"/>
      <c r="IE147" s="17"/>
      <c r="IF147" s="17"/>
      <c r="IG147" s="17"/>
    </row>
    <row r="148" spans="1:241" ht="15.75" customHeight="1" x14ac:dyDescent="0.25">
      <c r="A148" s="47">
        <v>124</v>
      </c>
      <c r="B148" s="43" t="s">
        <v>175</v>
      </c>
      <c r="C148" s="43" t="s">
        <v>53</v>
      </c>
      <c r="D148" s="49"/>
      <c r="E148" s="49"/>
      <c r="F148" s="49">
        <v>485508630.91000003</v>
      </c>
      <c r="G148" s="49">
        <v>6173618839.1599998</v>
      </c>
      <c r="H148" s="49"/>
      <c r="I148" s="50"/>
      <c r="J148" s="50">
        <v>6662567644.5100002</v>
      </c>
      <c r="K148" s="50">
        <v>78481156.519999996</v>
      </c>
      <c r="L148" s="50">
        <v>10714153.300000001</v>
      </c>
      <c r="M148" s="52">
        <v>67767003.219999999</v>
      </c>
      <c r="N148" s="65">
        <v>6664181602.1000004</v>
      </c>
      <c r="O148" s="65">
        <v>1613957.59</v>
      </c>
      <c r="P148" s="69">
        <v>6673876903.7299995</v>
      </c>
      <c r="Q148" s="55">
        <f>(P148/$P$152)</f>
        <v>0.34772144896384494</v>
      </c>
      <c r="R148" s="69">
        <v>6662567644.5100002</v>
      </c>
      <c r="S148" s="55">
        <f t="shared" si="69"/>
        <v>0.34211596058596766</v>
      </c>
      <c r="T148" s="56">
        <f t="shared" si="70"/>
        <v>-1.6945561602550116E-3</v>
      </c>
      <c r="U148" s="57">
        <f t="shared" si="67"/>
        <v>1.6081117478527268E-3</v>
      </c>
      <c r="V148" s="58">
        <f t="shared" si="71"/>
        <v>1.0171304343279794E-2</v>
      </c>
      <c r="W148" s="59">
        <f t="shared" si="72"/>
        <v>120.76986029103746</v>
      </c>
      <c r="X148" s="59">
        <f t="shared" si="73"/>
        <v>1.2283870045155234</v>
      </c>
      <c r="Y148" s="65">
        <v>125.18</v>
      </c>
      <c r="Z148" s="65">
        <v>125.18</v>
      </c>
      <c r="AA148" s="64">
        <v>437</v>
      </c>
      <c r="AB148" s="64">
        <v>55188187</v>
      </c>
      <c r="AC148" s="64">
        <v>187786</v>
      </c>
      <c r="AD148" s="64">
        <v>208503</v>
      </c>
      <c r="AE148" s="50">
        <v>55167470</v>
      </c>
      <c r="AF148" s="37"/>
      <c r="AG148" s="36"/>
    </row>
    <row r="149" spans="1:241" ht="15.75" customHeight="1" x14ac:dyDescent="0.25">
      <c r="A149" s="47">
        <v>125</v>
      </c>
      <c r="B149" s="43" t="s">
        <v>149</v>
      </c>
      <c r="C149" s="43" t="s">
        <v>176</v>
      </c>
      <c r="D149" s="49"/>
      <c r="E149" s="49"/>
      <c r="F149" s="49"/>
      <c r="G149" s="49">
        <v>299388268.44999999</v>
      </c>
      <c r="H149" s="49"/>
      <c r="I149" s="50">
        <f>31128359.66+2518234.77</f>
        <v>33646594.43</v>
      </c>
      <c r="J149" s="50">
        <v>333034862.88</v>
      </c>
      <c r="K149" s="50">
        <v>3165780.37</v>
      </c>
      <c r="L149" s="50">
        <v>704943.66</v>
      </c>
      <c r="M149" s="52">
        <v>2460836.71</v>
      </c>
      <c r="N149" s="65">
        <v>338230143.44999999</v>
      </c>
      <c r="O149" s="65">
        <v>4730587.5</v>
      </c>
      <c r="P149" s="69">
        <v>343031692.19999999</v>
      </c>
      <c r="Q149" s="55">
        <f>(P149/$P$152)</f>
        <v>1.7872591714366039E-2</v>
      </c>
      <c r="R149" s="69">
        <v>333499555.94999999</v>
      </c>
      <c r="S149" s="55">
        <f t="shared" si="69"/>
        <v>1.7124857416321075E-2</v>
      </c>
      <c r="T149" s="56">
        <f t="shared" si="70"/>
        <v>-2.7787917171345256E-2</v>
      </c>
      <c r="U149" s="57">
        <f t="shared" si="67"/>
        <v>2.1137769074142001E-3</v>
      </c>
      <c r="V149" s="58">
        <f t="shared" si="71"/>
        <v>7.3788305444368917E-3</v>
      </c>
      <c r="W149" s="59">
        <f t="shared" si="72"/>
        <v>100.91087876699147</v>
      </c>
      <c r="X149" s="59">
        <f t="shared" si="73"/>
        <v>0.74460427451184485</v>
      </c>
      <c r="Y149" s="65">
        <v>100.91</v>
      </c>
      <c r="Z149" s="65">
        <v>100.91</v>
      </c>
      <c r="AA149" s="64">
        <v>256</v>
      </c>
      <c r="AB149" s="64">
        <v>3341567</v>
      </c>
      <c r="AC149" s="64">
        <v>328289</v>
      </c>
      <c r="AD149" s="64">
        <v>291614</v>
      </c>
      <c r="AE149" s="50">
        <v>3304892</v>
      </c>
      <c r="AF149" s="37"/>
    </row>
    <row r="150" spans="1:241" ht="15.75" customHeight="1" x14ac:dyDescent="0.25">
      <c r="A150" s="47">
        <v>126</v>
      </c>
      <c r="B150" s="44" t="s">
        <v>114</v>
      </c>
      <c r="C150" s="44" t="s">
        <v>23</v>
      </c>
      <c r="D150" s="49"/>
      <c r="E150" s="49"/>
      <c r="F150" s="49">
        <v>180204692.53</v>
      </c>
      <c r="G150" s="49">
        <v>6061472498.75</v>
      </c>
      <c r="H150" s="49"/>
      <c r="I150" s="50"/>
      <c r="J150" s="50">
        <v>6241677191.2799997</v>
      </c>
      <c r="K150" s="50">
        <v>29488209.23</v>
      </c>
      <c r="L150" s="50">
        <v>10357314.01</v>
      </c>
      <c r="M150" s="52">
        <v>19130895.219999999</v>
      </c>
      <c r="N150" s="65">
        <v>6545565914.04</v>
      </c>
      <c r="O150" s="65">
        <v>51214976.229999997</v>
      </c>
      <c r="P150" s="69">
        <v>6325835891.6899996</v>
      </c>
      <c r="Q150" s="55">
        <f>(P150/$P$152)</f>
        <v>0.32958786233179999</v>
      </c>
      <c r="R150" s="69">
        <v>6494350937.8100004</v>
      </c>
      <c r="S150" s="55">
        <f t="shared" si="69"/>
        <v>0.33347820660433269</v>
      </c>
      <c r="T150" s="56">
        <f t="shared" si="70"/>
        <v>2.6639174490974766E-2</v>
      </c>
      <c r="U150" s="57">
        <f t="shared" si="67"/>
        <v>1.5948189602289422E-3</v>
      </c>
      <c r="V150" s="58">
        <f t="shared" si="71"/>
        <v>2.9457747822989135E-3</v>
      </c>
      <c r="W150" s="59">
        <f t="shared" si="72"/>
        <v>120.20784730932996</v>
      </c>
      <c r="X150" s="59">
        <f t="shared" si="73"/>
        <v>0.35410524523826253</v>
      </c>
      <c r="Y150" s="65">
        <v>120.21</v>
      </c>
      <c r="Z150" s="65">
        <v>120.21</v>
      </c>
      <c r="AA150" s="64">
        <v>1494</v>
      </c>
      <c r="AB150" s="64">
        <v>52774251.969999999</v>
      </c>
      <c r="AC150" s="64">
        <v>5424049.6100000003</v>
      </c>
      <c r="AD150" s="64">
        <v>4172286.78</v>
      </c>
      <c r="AE150" s="50">
        <v>54026014.799999997</v>
      </c>
      <c r="AF150" s="37"/>
    </row>
    <row r="151" spans="1:241" ht="16.5" customHeight="1" x14ac:dyDescent="0.25">
      <c r="A151" s="47">
        <v>127</v>
      </c>
      <c r="B151" s="43" t="s">
        <v>153</v>
      </c>
      <c r="C151" s="43" t="s">
        <v>33</v>
      </c>
      <c r="D151" s="65"/>
      <c r="E151" s="65"/>
      <c r="F151" s="65"/>
      <c r="G151" s="65">
        <v>1434422489</v>
      </c>
      <c r="H151" s="65"/>
      <c r="I151" s="65"/>
      <c r="J151" s="65">
        <v>1434422489</v>
      </c>
      <c r="K151" s="65">
        <v>16755420</v>
      </c>
      <c r="L151" s="65">
        <v>3161481</v>
      </c>
      <c r="M151" s="52">
        <v>13593939</v>
      </c>
      <c r="N151" s="65">
        <v>1892667653</v>
      </c>
      <c r="O151" s="65">
        <v>21456012.850000001</v>
      </c>
      <c r="P151" s="69">
        <v>1746288198</v>
      </c>
      <c r="Q151" s="55">
        <f>(P151/$P$82)</f>
        <v>4.5810375375175691E-3</v>
      </c>
      <c r="R151" s="69">
        <v>1871211640</v>
      </c>
      <c r="S151" s="55">
        <f t="shared" si="69"/>
        <v>9.6084783200024892E-2</v>
      </c>
      <c r="T151" s="56">
        <f t="shared" si="70"/>
        <v>7.1536555159150195E-2</v>
      </c>
      <c r="U151" s="57">
        <f t="shared" si="67"/>
        <v>1.6895368393497168E-3</v>
      </c>
      <c r="V151" s="58">
        <f t="shared" si="71"/>
        <v>7.2647789856630004E-3</v>
      </c>
      <c r="W151" s="59">
        <f t="shared" si="72"/>
        <v>1.1138564716527553</v>
      </c>
      <c r="X151" s="59">
        <f t="shared" si="73"/>
        <v>8.0919210883076721E-3</v>
      </c>
      <c r="Y151" s="49">
        <v>1.1100000000000001</v>
      </c>
      <c r="Z151" s="49">
        <v>1.1100000000000001</v>
      </c>
      <c r="AA151" s="64">
        <v>121</v>
      </c>
      <c r="AB151" s="60">
        <v>1608398561</v>
      </c>
      <c r="AC151" s="60">
        <v>86983987</v>
      </c>
      <c r="AD151" s="60">
        <v>15442908</v>
      </c>
      <c r="AE151" s="60">
        <v>1679939640</v>
      </c>
      <c r="AF151" s="5"/>
      <c r="AG151" s="17"/>
      <c r="AH151" s="17"/>
      <c r="AI151" s="17"/>
      <c r="AJ151" s="17"/>
      <c r="AK151" s="17"/>
      <c r="AL151" s="17"/>
      <c r="AM151" s="17"/>
      <c r="AN151" s="17"/>
      <c r="AO151" s="17"/>
      <c r="AP151" s="17"/>
      <c r="AQ151" s="17"/>
      <c r="AR151" s="17"/>
      <c r="AS151" s="17"/>
      <c r="AT151" s="17"/>
      <c r="AU151" s="17"/>
      <c r="AV151" s="17"/>
      <c r="AW151" s="17"/>
      <c r="AX151" s="17"/>
      <c r="AY151" s="17"/>
      <c r="AZ151" s="17"/>
      <c r="BA151" s="17"/>
      <c r="BB151" s="17"/>
      <c r="BC151" s="17"/>
      <c r="BD151" s="17"/>
      <c r="BE151" s="17"/>
      <c r="BF151" s="17"/>
      <c r="BG151" s="17"/>
      <c r="BH151" s="17"/>
      <c r="BI151" s="17"/>
      <c r="BJ151" s="17"/>
      <c r="BK151" s="17"/>
      <c r="BL151" s="17"/>
      <c r="BM151" s="17"/>
      <c r="BN151" s="17"/>
      <c r="BO151" s="17"/>
      <c r="BP151" s="17"/>
      <c r="BQ151" s="17"/>
      <c r="BR151" s="17"/>
      <c r="BS151" s="17"/>
      <c r="BT151" s="17"/>
      <c r="BU151" s="17"/>
      <c r="BV151" s="17"/>
      <c r="BW151" s="17"/>
      <c r="BX151" s="17"/>
      <c r="BY151" s="17"/>
      <c r="BZ151" s="17"/>
      <c r="CA151" s="17"/>
      <c r="CB151" s="17"/>
      <c r="CC151" s="17"/>
      <c r="CD151" s="17"/>
      <c r="CE151" s="17"/>
      <c r="CF151" s="17"/>
      <c r="CG151" s="17"/>
      <c r="CH151" s="17"/>
      <c r="CI151" s="17"/>
      <c r="CJ151" s="17"/>
      <c r="CK151" s="17"/>
      <c r="CL151" s="17"/>
      <c r="CM151" s="17"/>
      <c r="CN151" s="17"/>
      <c r="CO151" s="17"/>
      <c r="CP151" s="17"/>
      <c r="CQ151" s="17"/>
      <c r="CR151" s="17"/>
      <c r="CS151" s="17"/>
      <c r="CT151" s="17"/>
      <c r="CU151" s="17"/>
      <c r="CV151" s="17"/>
      <c r="CW151" s="17"/>
      <c r="CX151" s="17"/>
      <c r="CY151" s="17"/>
      <c r="CZ151" s="17"/>
      <c r="DA151" s="17"/>
      <c r="DB151" s="17"/>
      <c r="DC151" s="17"/>
      <c r="DD151" s="17"/>
      <c r="DE151" s="17"/>
      <c r="DF151" s="17"/>
      <c r="DG151" s="17"/>
      <c r="DH151" s="17"/>
      <c r="DI151" s="17"/>
      <c r="DJ151" s="17"/>
      <c r="DK151" s="17"/>
      <c r="DL151" s="17"/>
      <c r="DM151" s="17"/>
      <c r="DN151" s="17"/>
      <c r="DO151" s="17"/>
      <c r="DP151" s="17"/>
      <c r="DQ151" s="17"/>
      <c r="DR151" s="17"/>
      <c r="DS151" s="17"/>
      <c r="DT151" s="17"/>
      <c r="DU151" s="17"/>
      <c r="DV151" s="17"/>
      <c r="DW151" s="17"/>
      <c r="DX151" s="17"/>
      <c r="DY151" s="17"/>
      <c r="DZ151" s="17"/>
      <c r="EA151" s="17"/>
      <c r="EB151" s="17"/>
      <c r="EC151" s="17"/>
      <c r="ED151" s="17"/>
      <c r="EE151" s="17"/>
      <c r="EF151" s="17"/>
      <c r="EG151" s="17"/>
      <c r="EH151" s="17"/>
      <c r="EI151" s="17"/>
      <c r="EJ151" s="17"/>
      <c r="EK151" s="17"/>
      <c r="EL151" s="17"/>
      <c r="EM151" s="17"/>
      <c r="EN151" s="17"/>
      <c r="EO151" s="17"/>
      <c r="EP151" s="17"/>
      <c r="EQ151" s="17"/>
      <c r="ER151" s="17"/>
      <c r="ES151" s="17"/>
      <c r="ET151" s="17"/>
      <c r="EU151" s="17"/>
      <c r="EV151" s="17"/>
      <c r="EW151" s="17"/>
      <c r="EX151" s="17"/>
      <c r="EY151" s="17"/>
      <c r="EZ151" s="17"/>
      <c r="FA151" s="17"/>
      <c r="FB151" s="17"/>
      <c r="FC151" s="17"/>
      <c r="FD151" s="17"/>
      <c r="FE151" s="17"/>
      <c r="FF151" s="17"/>
      <c r="FG151" s="17"/>
      <c r="FH151" s="17"/>
      <c r="FI151" s="17"/>
      <c r="FJ151" s="17"/>
      <c r="FK151" s="17"/>
      <c r="FL151" s="17"/>
      <c r="FM151" s="17"/>
      <c r="FN151" s="17"/>
      <c r="FO151" s="17"/>
      <c r="FP151" s="17"/>
      <c r="FQ151" s="17"/>
      <c r="FR151" s="17"/>
      <c r="FS151" s="17"/>
      <c r="FT151" s="17"/>
      <c r="FU151" s="17"/>
      <c r="FV151" s="17"/>
      <c r="FW151" s="17"/>
      <c r="FX151" s="17"/>
      <c r="FY151" s="17"/>
      <c r="FZ151" s="17"/>
      <c r="GA151" s="17"/>
      <c r="GB151" s="17"/>
      <c r="GC151" s="17"/>
      <c r="GD151" s="17"/>
      <c r="GE151" s="17"/>
      <c r="GF151" s="17"/>
      <c r="GG151" s="17"/>
      <c r="GH151" s="17"/>
      <c r="GI151" s="17"/>
      <c r="GJ151" s="17"/>
      <c r="GK151" s="17"/>
      <c r="GL151" s="17"/>
      <c r="GM151" s="17"/>
      <c r="GN151" s="17"/>
      <c r="GO151" s="17"/>
      <c r="GP151" s="17"/>
      <c r="GQ151" s="17"/>
      <c r="GR151" s="17"/>
      <c r="GS151" s="17"/>
      <c r="GT151" s="17"/>
      <c r="GU151" s="17"/>
      <c r="GV151" s="17"/>
      <c r="GW151" s="17"/>
      <c r="GX151" s="17"/>
      <c r="GY151" s="17"/>
      <c r="GZ151" s="17"/>
      <c r="HA151" s="17"/>
      <c r="HB151" s="17"/>
      <c r="HC151" s="17"/>
      <c r="HD151" s="17"/>
      <c r="HE151" s="17"/>
      <c r="HF151" s="17"/>
      <c r="HG151" s="17"/>
      <c r="HH151" s="17"/>
      <c r="HI151" s="17"/>
      <c r="HJ151" s="17"/>
      <c r="HK151" s="17"/>
      <c r="HL151" s="17"/>
      <c r="HM151" s="17"/>
      <c r="HN151" s="17"/>
      <c r="HO151" s="17"/>
      <c r="HP151" s="17"/>
      <c r="HQ151" s="17"/>
      <c r="HR151" s="17"/>
      <c r="HS151" s="17"/>
      <c r="HT151" s="17"/>
      <c r="HU151" s="17"/>
      <c r="HV151" s="17"/>
      <c r="HW151" s="17"/>
      <c r="HX151" s="17"/>
      <c r="HY151" s="17"/>
      <c r="HZ151" s="17"/>
      <c r="IA151" s="17"/>
      <c r="IB151" s="17"/>
      <c r="IC151" s="17"/>
      <c r="ID151" s="17"/>
      <c r="IE151" s="17"/>
      <c r="IF151" s="17"/>
      <c r="IG151" s="17"/>
    </row>
    <row r="152" spans="1:241" ht="15.75" customHeight="1" x14ac:dyDescent="0.25">
      <c r="A152" s="140"/>
      <c r="B152" s="23"/>
      <c r="C152" s="141" t="s">
        <v>50</v>
      </c>
      <c r="D152" s="74">
        <f>SUM(D142:D151)</f>
        <v>1495779270.8</v>
      </c>
      <c r="E152" s="74"/>
      <c r="F152" s="74">
        <f>SUM(F142:F151)</f>
        <v>786594386.23000002</v>
      </c>
      <c r="G152" s="74">
        <f>SUM(G142:G151)</f>
        <v>15251161480.84</v>
      </c>
      <c r="H152" s="74"/>
      <c r="I152" s="74">
        <f t="shared" ref="I152:O152" si="74">SUM(I142:I151)</f>
        <v>1013803301.9</v>
      </c>
      <c r="J152" s="74">
        <f t="shared" si="74"/>
        <v>18550778614.209999</v>
      </c>
      <c r="K152" s="74">
        <f t="shared" si="74"/>
        <v>185258723.34999999</v>
      </c>
      <c r="L152" s="74">
        <f t="shared" si="74"/>
        <v>38269560.640000001</v>
      </c>
      <c r="M152" s="74">
        <f t="shared" si="74"/>
        <v>102465714.41999999</v>
      </c>
      <c r="N152" s="74">
        <f t="shared" si="74"/>
        <v>19864964877.190002</v>
      </c>
      <c r="O152" s="74">
        <f t="shared" si="74"/>
        <v>390376106.14000005</v>
      </c>
      <c r="P152" s="96">
        <f>SUM(P142:P151)</f>
        <v>19193170060.739998</v>
      </c>
      <c r="Q152" s="76">
        <f>(P152/$P$153)</f>
        <v>1.2930951863787319E-2</v>
      </c>
      <c r="R152" s="96">
        <f>SUM(R142:R151)</f>
        <v>19474588771.300003</v>
      </c>
      <c r="S152" s="76">
        <f>(R152/$R$153)</f>
        <v>1.4168072204530632E-2</v>
      </c>
      <c r="T152" s="77">
        <f t="shared" si="70"/>
        <v>1.4662440319624563E-2</v>
      </c>
      <c r="U152" s="57">
        <f t="shared" si="67"/>
        <v>1.965102374659558E-3</v>
      </c>
      <c r="V152" s="79"/>
      <c r="W152" s="80"/>
      <c r="X152" s="80"/>
      <c r="Y152" s="74"/>
      <c r="Z152" s="74"/>
      <c r="AA152" s="81">
        <f>SUM(AA142:AA151)</f>
        <v>18141</v>
      </c>
      <c r="AB152" s="81"/>
      <c r="AC152" s="81"/>
      <c r="AD152" s="81"/>
      <c r="AE152" s="74"/>
      <c r="AF152" s="37"/>
    </row>
    <row r="153" spans="1:241" ht="15.75" customHeight="1" x14ac:dyDescent="0.25">
      <c r="A153" s="142"/>
      <c r="B153" s="143"/>
      <c r="C153" s="143" t="s">
        <v>143</v>
      </c>
      <c r="D153" s="144">
        <f>SUM(D152,D139,D134,D109,D103,D82,D50,D19)</f>
        <v>16314948145.519999</v>
      </c>
      <c r="E153" s="144"/>
      <c r="F153" s="144">
        <f t="shared" ref="F153:O153" si="75">SUM(F152,F139,F134,F109,F103,F82,F50,F19)</f>
        <v>556515963417.01294</v>
      </c>
      <c r="G153" s="144">
        <f t="shared" si="75"/>
        <v>577069929603.92627</v>
      </c>
      <c r="H153" s="144">
        <f t="shared" si="75"/>
        <v>33931946015.260002</v>
      </c>
      <c r="I153" s="144">
        <f t="shared" si="75"/>
        <v>7592989793.2399998</v>
      </c>
      <c r="J153" s="144">
        <f t="shared" si="75"/>
        <v>1233213260951.7407</v>
      </c>
      <c r="K153" s="144">
        <f t="shared" si="75"/>
        <v>11911882265.624401</v>
      </c>
      <c r="L153" s="144">
        <f t="shared" si="75"/>
        <v>2185024249.7129998</v>
      </c>
      <c r="M153" s="144">
        <f t="shared" si="75"/>
        <v>9169512672.1174011</v>
      </c>
      <c r="N153" s="144">
        <f t="shared" si="75"/>
        <v>1374888244173.9814</v>
      </c>
      <c r="O153" s="144">
        <f t="shared" si="75"/>
        <v>17234791704.135201</v>
      </c>
      <c r="P153" s="145">
        <f>SUM(P19,P50,P82,P103,P109,P134,P139,P152)</f>
        <v>1484281301401.3147</v>
      </c>
      <c r="Q153" s="146"/>
      <c r="R153" s="144">
        <f>SUM(R19,R50,R82,R103,R109,R134,R139,R152)</f>
        <v>1374540480184.2036</v>
      </c>
      <c r="S153" s="146"/>
      <c r="T153" s="146"/>
      <c r="U153" s="147"/>
      <c r="V153" s="148"/>
      <c r="W153" s="149"/>
      <c r="X153" s="149"/>
      <c r="Y153" s="144"/>
      <c r="Z153" s="144"/>
      <c r="AA153" s="150">
        <f>SUM(AA19,AA50,AA82,AA103,AA109,AA134,AA139,AA152)</f>
        <v>431384</v>
      </c>
      <c r="AB153" s="144"/>
      <c r="AC153" s="144"/>
      <c r="AD153" s="144"/>
      <c r="AE153" s="144"/>
      <c r="AF153" s="37"/>
    </row>
    <row r="154" spans="1:241" ht="6" customHeight="1" x14ac:dyDescent="0.25">
      <c r="A154" s="28"/>
      <c r="B154" s="28"/>
      <c r="C154" s="28"/>
      <c r="D154" s="5"/>
      <c r="E154" s="5"/>
      <c r="F154" s="5"/>
      <c r="G154" s="5"/>
      <c r="H154" s="5"/>
      <c r="I154" s="29"/>
      <c r="J154" s="5"/>
      <c r="K154" s="5"/>
      <c r="L154" s="5"/>
      <c r="M154" s="30"/>
      <c r="N154" s="5"/>
      <c r="O154" s="5"/>
      <c r="P154" s="34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</row>
    <row r="157" spans="1:241" ht="15.75" customHeight="1" x14ac:dyDescent="0.25">
      <c r="E157" s="23"/>
    </row>
  </sheetData>
  <sortState ref="B145:C149">
    <sortCondition ref="B145:B149"/>
  </sortState>
  <mergeCells count="13">
    <mergeCell ref="A140:AE140"/>
    <mergeCell ref="A141:AE141"/>
    <mergeCell ref="A145:AE145"/>
    <mergeCell ref="A1:AE1"/>
    <mergeCell ref="A3:AE3"/>
    <mergeCell ref="A20:AE20"/>
    <mergeCell ref="A51:AE51"/>
    <mergeCell ref="A83:AE83"/>
    <mergeCell ref="A84:AE84"/>
    <mergeCell ref="A104:AE104"/>
    <mergeCell ref="A110:AE110"/>
    <mergeCell ref="A135:AE135"/>
    <mergeCell ref="A94:AE94"/>
  </mergeCells>
  <phoneticPr fontId="5" type="noConversion"/>
  <pageMargins left="0.7" right="0.7" top="0.75" bottom="0.75" header="0.3" footer="0.3"/>
  <pageSetup orientation="landscape" r:id="rId1"/>
  <headerFooter>
    <oddFooter>&amp;C&amp;"Helvetica,Regular"&amp;12&amp;K000000&amp;P</oddFooter>
  </headerFooter>
  <rowBreaks count="3" manualBreakCount="3">
    <brk id="58" max="16383" man="1"/>
    <brk id="93" max="16383" man="1"/>
    <brk id="131" max="16383" man="1"/>
  </rowBreaks>
  <colBreaks count="1" manualBreakCount="1">
    <brk id="3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24"/>
  <sheetViews>
    <sheetView showGridLines="0" topLeftCell="B1" zoomScaleNormal="100" workbookViewId="0">
      <selection activeCell="M1" sqref="M1"/>
    </sheetView>
  </sheetViews>
  <sheetFormatPr defaultColWidth="10" defaultRowHeight="12.95" customHeight="1" x14ac:dyDescent="0.25"/>
  <cols>
    <col min="1" max="256" width="10" style="12" customWidth="1"/>
  </cols>
  <sheetData>
    <row r="1" spans="1:12" ht="12.95" customHeight="1" x14ac:dyDescent="0.25">
      <c r="A1" s="13"/>
      <c r="B1" s="2"/>
      <c r="C1" s="2"/>
      <c r="D1" s="2"/>
      <c r="E1" s="2"/>
      <c r="F1" s="2"/>
      <c r="G1" s="2"/>
      <c r="H1" s="2"/>
      <c r="I1" s="2"/>
      <c r="J1" s="2"/>
      <c r="K1" s="3"/>
      <c r="L1" s="7"/>
    </row>
    <row r="2" spans="1:12" ht="12.95" customHeight="1" x14ac:dyDescent="0.25">
      <c r="A2" s="4"/>
      <c r="B2" s="5"/>
      <c r="C2" s="5"/>
      <c r="D2" s="5"/>
      <c r="E2" s="5"/>
      <c r="F2" s="5"/>
      <c r="G2" s="5"/>
      <c r="H2" s="5"/>
      <c r="I2" s="5"/>
      <c r="J2" s="5"/>
      <c r="K2" s="6"/>
      <c r="L2" s="14"/>
    </row>
    <row r="3" spans="1:12" ht="12.95" customHeight="1" x14ac:dyDescent="0.25">
      <c r="A3" s="4"/>
      <c r="B3" s="5"/>
      <c r="C3" s="5"/>
      <c r="D3" s="5"/>
      <c r="E3" s="5"/>
      <c r="F3" s="5"/>
      <c r="G3" s="5"/>
      <c r="H3" s="5"/>
      <c r="I3" s="5"/>
      <c r="J3" s="5"/>
      <c r="K3" s="6"/>
      <c r="L3" s="14"/>
    </row>
    <row r="4" spans="1:12" ht="12.95" customHeight="1" x14ac:dyDescent="0.25">
      <c r="A4" s="4"/>
      <c r="B4" s="5"/>
      <c r="C4" s="5"/>
      <c r="D4" s="5"/>
      <c r="E4" s="5"/>
      <c r="F4" s="5"/>
      <c r="G4" s="5"/>
      <c r="H4" s="5"/>
      <c r="I4" s="5"/>
      <c r="J4" s="5"/>
      <c r="K4" s="6"/>
      <c r="L4" s="14"/>
    </row>
    <row r="5" spans="1:12" ht="12.95" customHeight="1" x14ac:dyDescent="0.25">
      <c r="A5" s="4"/>
      <c r="B5" s="5"/>
      <c r="C5" s="5"/>
      <c r="D5" s="5"/>
      <c r="E5" s="5"/>
      <c r="F5" s="5"/>
      <c r="G5" s="5"/>
      <c r="H5" s="5"/>
      <c r="I5" s="5"/>
      <c r="J5" s="5"/>
      <c r="K5" s="6"/>
      <c r="L5" s="14"/>
    </row>
    <row r="6" spans="1:12" ht="12.95" customHeight="1" x14ac:dyDescent="0.25">
      <c r="A6" s="4"/>
      <c r="B6" s="5"/>
      <c r="C6" s="5"/>
      <c r="D6" s="5"/>
      <c r="E6" s="5"/>
      <c r="F6" s="5"/>
      <c r="G6" s="5"/>
      <c r="H6" s="5"/>
      <c r="I6" s="5"/>
      <c r="J6" s="5"/>
      <c r="K6" s="6"/>
      <c r="L6" s="14"/>
    </row>
    <row r="7" spans="1:12" ht="12.95" customHeight="1" x14ac:dyDescent="0.25">
      <c r="A7" s="4"/>
      <c r="B7" s="5"/>
      <c r="C7" s="5"/>
      <c r="D7" s="5"/>
      <c r="E7" s="5"/>
      <c r="F7" s="5"/>
      <c r="G7" s="5"/>
      <c r="H7" s="5"/>
      <c r="I7" s="5"/>
      <c r="J7" s="5"/>
      <c r="K7" s="6"/>
      <c r="L7" s="14"/>
    </row>
    <row r="8" spans="1:12" ht="12.95" customHeight="1" x14ac:dyDescent="0.25">
      <c r="A8" s="4"/>
      <c r="B8" s="5"/>
      <c r="C8" s="5"/>
      <c r="D8" s="5"/>
      <c r="E8" s="5"/>
      <c r="F8" s="5"/>
      <c r="G8" s="5"/>
      <c r="H8" s="5"/>
      <c r="I8" s="5"/>
      <c r="J8" s="5"/>
      <c r="K8" s="6"/>
      <c r="L8" s="14"/>
    </row>
    <row r="9" spans="1:12" ht="12.95" customHeight="1" x14ac:dyDescent="0.25">
      <c r="A9" s="4"/>
      <c r="B9" s="5"/>
      <c r="C9" s="5"/>
      <c r="D9" s="5"/>
      <c r="E9" s="5"/>
      <c r="F9" s="5"/>
      <c r="G9" s="5"/>
      <c r="H9" s="5"/>
      <c r="I9" s="5"/>
      <c r="J9" s="5"/>
      <c r="K9" s="6"/>
      <c r="L9" s="14"/>
    </row>
    <row r="10" spans="1:12" ht="12.95" customHeight="1" x14ac:dyDescent="0.25">
      <c r="A10" s="4"/>
      <c r="B10" s="5"/>
      <c r="C10" s="5"/>
      <c r="D10" s="5"/>
      <c r="E10" s="5"/>
      <c r="F10" s="5"/>
      <c r="G10" s="5"/>
      <c r="H10" s="5"/>
      <c r="I10" s="5"/>
      <c r="J10" s="5"/>
      <c r="K10" s="6"/>
      <c r="L10" s="14"/>
    </row>
    <row r="11" spans="1:12" ht="12.95" customHeight="1" x14ac:dyDescent="0.25">
      <c r="A11" s="4"/>
      <c r="B11" s="5"/>
      <c r="C11" s="5"/>
      <c r="D11" s="5"/>
      <c r="E11" s="5"/>
      <c r="F11" s="5"/>
      <c r="G11" s="5"/>
      <c r="H11" s="5"/>
      <c r="I11" s="5"/>
      <c r="J11" s="5"/>
      <c r="K11" s="6"/>
      <c r="L11" s="14"/>
    </row>
    <row r="12" spans="1:12" ht="12.95" customHeight="1" x14ac:dyDescent="0.25">
      <c r="A12" s="4"/>
      <c r="B12" s="5"/>
      <c r="C12" s="5"/>
      <c r="D12" s="5"/>
      <c r="E12" s="5"/>
      <c r="F12" s="5"/>
      <c r="G12" s="5"/>
      <c r="H12" s="5"/>
      <c r="I12" s="5"/>
      <c r="J12" s="5"/>
      <c r="K12" s="6"/>
      <c r="L12" s="14"/>
    </row>
    <row r="13" spans="1:12" ht="12.95" customHeight="1" x14ac:dyDescent="0.25">
      <c r="A13" s="4"/>
      <c r="B13" s="5"/>
      <c r="C13" s="5"/>
      <c r="D13" s="5"/>
      <c r="E13" s="5"/>
      <c r="F13" s="5"/>
      <c r="G13" s="5"/>
      <c r="H13" s="5"/>
      <c r="I13" s="5"/>
      <c r="J13" s="5"/>
      <c r="K13" s="6"/>
      <c r="L13" s="14"/>
    </row>
    <row r="14" spans="1:12" ht="12.95" customHeight="1" x14ac:dyDescent="0.25">
      <c r="A14" s="4"/>
      <c r="B14" s="5"/>
      <c r="C14" s="5"/>
      <c r="D14" s="5"/>
      <c r="E14" s="5"/>
      <c r="F14" s="5"/>
      <c r="G14" s="5"/>
      <c r="H14" s="5"/>
      <c r="I14" s="5"/>
      <c r="J14" s="5"/>
      <c r="K14" s="6"/>
      <c r="L14" s="14"/>
    </row>
    <row r="15" spans="1:12" ht="12.95" customHeight="1" x14ac:dyDescent="0.25">
      <c r="A15" s="4"/>
      <c r="B15" s="5"/>
      <c r="C15" s="5"/>
      <c r="D15" s="5"/>
      <c r="E15" s="5"/>
      <c r="F15" s="5"/>
      <c r="G15" s="5"/>
      <c r="H15" s="5"/>
      <c r="I15" s="5"/>
      <c r="J15" s="5"/>
      <c r="K15" s="6"/>
      <c r="L15" s="14"/>
    </row>
    <row r="16" spans="1:12" ht="12.95" customHeight="1" x14ac:dyDescent="0.25">
      <c r="A16" s="4"/>
      <c r="B16" s="5"/>
      <c r="C16" s="5"/>
      <c r="D16" s="5"/>
      <c r="E16" s="5"/>
      <c r="F16" s="5"/>
      <c r="G16" s="5"/>
      <c r="H16" s="5"/>
      <c r="I16" s="5"/>
      <c r="J16" s="5"/>
      <c r="K16" s="6"/>
      <c r="L16" s="14"/>
    </row>
    <row r="17" spans="1:12" ht="12.95" customHeight="1" x14ac:dyDescent="0.25">
      <c r="A17" s="4"/>
      <c r="B17" s="5"/>
      <c r="C17" s="5"/>
      <c r="D17" s="5"/>
      <c r="E17" s="5"/>
      <c r="F17" s="5"/>
      <c r="G17" s="5"/>
      <c r="H17" s="5"/>
      <c r="I17" s="5"/>
      <c r="J17" s="5"/>
      <c r="K17" s="6"/>
      <c r="L17" s="14"/>
    </row>
    <row r="18" spans="1:12" ht="12.95" customHeight="1" x14ac:dyDescent="0.25">
      <c r="A18" s="4"/>
      <c r="B18" s="5"/>
      <c r="C18" s="5"/>
      <c r="D18" s="5"/>
      <c r="E18" s="5"/>
      <c r="F18" s="5"/>
      <c r="G18" s="5"/>
      <c r="H18" s="5"/>
      <c r="I18" s="5"/>
      <c r="J18" s="5"/>
      <c r="K18" s="6"/>
      <c r="L18" s="14"/>
    </row>
    <row r="19" spans="1:12" ht="12.95" customHeight="1" x14ac:dyDescent="0.25">
      <c r="A19" s="4"/>
      <c r="B19" s="5"/>
      <c r="C19" s="5"/>
      <c r="D19" s="5"/>
      <c r="E19" s="5"/>
      <c r="F19" s="5"/>
      <c r="G19" s="5"/>
      <c r="H19" s="5"/>
      <c r="I19" s="5"/>
      <c r="J19" s="5"/>
      <c r="K19" s="6"/>
      <c r="L19" s="14"/>
    </row>
    <row r="20" spans="1:12" ht="12.95" customHeight="1" x14ac:dyDescent="0.25">
      <c r="A20" s="4"/>
      <c r="B20" s="5"/>
      <c r="C20" s="5"/>
      <c r="D20" s="5"/>
      <c r="E20" s="5"/>
      <c r="F20" s="5"/>
      <c r="G20" s="5"/>
      <c r="H20" s="5"/>
      <c r="I20" s="5"/>
      <c r="J20" s="5"/>
      <c r="K20" s="6"/>
      <c r="L20" s="14"/>
    </row>
    <row r="21" spans="1:12" ht="12.95" customHeight="1" x14ac:dyDescent="0.25">
      <c r="A21" s="4"/>
      <c r="B21" s="5"/>
      <c r="C21" s="5"/>
      <c r="D21" s="5"/>
      <c r="E21" s="5"/>
      <c r="F21" s="5"/>
      <c r="G21" s="5"/>
      <c r="H21" s="5"/>
      <c r="I21" s="5"/>
      <c r="J21" s="5"/>
      <c r="K21" s="6"/>
      <c r="L21" s="14"/>
    </row>
    <row r="22" spans="1:12" ht="12.95" customHeight="1" x14ac:dyDescent="0.25">
      <c r="A22" s="4"/>
      <c r="B22" s="5"/>
      <c r="C22" s="5"/>
      <c r="D22" s="5"/>
      <c r="E22" s="5"/>
      <c r="F22" s="5"/>
      <c r="G22" s="5"/>
      <c r="H22" s="5"/>
      <c r="I22" s="5"/>
      <c r="J22" s="5"/>
      <c r="K22" s="6"/>
      <c r="L22" s="14"/>
    </row>
    <row r="23" spans="1:12" ht="12.95" customHeight="1" x14ac:dyDescent="0.25">
      <c r="A23" s="4"/>
      <c r="B23" s="5"/>
      <c r="C23" s="5"/>
      <c r="D23" s="5"/>
      <c r="E23" s="5"/>
      <c r="F23" s="5"/>
      <c r="G23" s="5"/>
      <c r="H23" s="5"/>
      <c r="I23" s="5"/>
      <c r="J23" s="5"/>
      <c r="K23" s="6"/>
      <c r="L23" s="14"/>
    </row>
    <row r="24" spans="1:12" ht="12.95" customHeight="1" x14ac:dyDescent="0.25">
      <c r="A24" s="9"/>
      <c r="B24" s="10"/>
      <c r="C24" s="10"/>
      <c r="D24" s="10"/>
      <c r="E24" s="10"/>
      <c r="F24" s="10"/>
      <c r="G24" s="10"/>
      <c r="H24" s="10"/>
      <c r="I24" s="10"/>
      <c r="J24" s="10"/>
      <c r="K24" s="11"/>
      <c r="L24" s="8"/>
    </row>
  </sheetData>
  <pageMargins left="0.7" right="0.7" top="0.75" bottom="0.75" header="0.3" footer="0.3"/>
  <pageSetup orientation="portrait"/>
  <headerFooter>
    <oddFooter>&amp;C&amp;"Helvetica,Regular"&amp;12&amp;K000000&amp;P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24"/>
  <sheetViews>
    <sheetView showGridLines="0" zoomScale="80" zoomScaleNormal="80" workbookViewId="0">
      <selection activeCell="Q5" sqref="Q5"/>
    </sheetView>
  </sheetViews>
  <sheetFormatPr defaultColWidth="10" defaultRowHeight="12.95" customHeight="1" x14ac:dyDescent="0.25"/>
  <cols>
    <col min="1" max="256" width="10" style="15" customWidth="1"/>
  </cols>
  <sheetData>
    <row r="1" spans="1:14" ht="12.95" customHeight="1" x14ac:dyDescent="0.25">
      <c r="A1" s="13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</row>
    <row r="2" spans="1:14" ht="12.95" customHeight="1" x14ac:dyDescent="0.25">
      <c r="A2" s="4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6"/>
    </row>
    <row r="3" spans="1:14" ht="12.95" customHeight="1" x14ac:dyDescent="0.25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6"/>
    </row>
    <row r="4" spans="1:14" ht="12.95" customHeight="1" x14ac:dyDescent="0.25">
      <c r="A4" s="4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6"/>
    </row>
    <row r="5" spans="1:14" ht="12.95" customHeight="1" x14ac:dyDescent="0.25">
      <c r="A5" s="4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6"/>
    </row>
    <row r="6" spans="1:14" ht="12.95" customHeight="1" x14ac:dyDescent="0.25">
      <c r="A6" s="4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6"/>
    </row>
    <row r="7" spans="1:14" ht="12.95" customHeight="1" x14ac:dyDescent="0.25">
      <c r="A7" s="4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6"/>
    </row>
    <row r="8" spans="1:14" ht="12.95" customHeight="1" x14ac:dyDescent="0.25">
      <c r="A8" s="4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6"/>
    </row>
    <row r="9" spans="1:14" ht="12.95" customHeight="1" x14ac:dyDescent="0.25">
      <c r="A9" s="4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6"/>
    </row>
    <row r="10" spans="1:14" ht="12.95" customHeight="1" x14ac:dyDescent="0.25">
      <c r="A10" s="4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6"/>
    </row>
    <row r="11" spans="1:14" ht="12.95" customHeight="1" x14ac:dyDescent="0.25">
      <c r="A11" s="4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6"/>
    </row>
    <row r="12" spans="1:14" ht="12.95" customHeight="1" x14ac:dyDescent="0.25">
      <c r="A12" s="4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6"/>
    </row>
    <row r="13" spans="1:14" ht="12.95" customHeight="1" x14ac:dyDescent="0.25">
      <c r="A13" s="4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6"/>
    </row>
    <row r="14" spans="1:14" ht="12.95" customHeight="1" x14ac:dyDescent="0.25">
      <c r="A14" s="4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6"/>
    </row>
    <row r="15" spans="1:14" ht="12.95" customHeight="1" x14ac:dyDescent="0.25">
      <c r="A15" s="4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6"/>
    </row>
    <row r="16" spans="1:14" ht="12.95" customHeight="1" x14ac:dyDescent="0.25">
      <c r="A16" s="4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6"/>
    </row>
    <row r="17" spans="1:14" ht="12.95" customHeight="1" x14ac:dyDescent="0.25">
      <c r="A17" s="4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6"/>
    </row>
    <row r="18" spans="1:14" ht="12.95" customHeight="1" x14ac:dyDescent="0.25">
      <c r="A18" s="4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6"/>
    </row>
    <row r="19" spans="1:14" ht="12.95" customHeight="1" x14ac:dyDescent="0.25">
      <c r="A19" s="4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6"/>
    </row>
    <row r="20" spans="1:14" ht="12.95" customHeight="1" x14ac:dyDescent="0.25">
      <c r="A20" s="4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6"/>
    </row>
    <row r="21" spans="1:14" ht="12.95" customHeight="1" x14ac:dyDescent="0.25">
      <c r="A21" s="4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6"/>
    </row>
    <row r="22" spans="1:14" ht="12.95" customHeight="1" x14ac:dyDescent="0.25">
      <c r="A22" s="4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6"/>
    </row>
    <row r="23" spans="1:14" ht="12.95" customHeight="1" x14ac:dyDescent="0.25">
      <c r="A23" s="4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6"/>
    </row>
    <row r="24" spans="1:14" ht="12.95" customHeight="1" x14ac:dyDescent="0.25">
      <c r="A24" s="9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1"/>
    </row>
  </sheetData>
  <pageMargins left="0.7" right="0.7" top="0.75" bottom="0.75" header="0.3" footer="0.3"/>
  <pageSetup orientation="portrait"/>
  <headerFooter>
    <oddFooter>&amp;C&amp;"Helvetica,Regular"&amp;12&amp;K000000&amp;P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22"/>
  <sheetViews>
    <sheetView showGridLines="0" zoomScale="80" zoomScaleNormal="80" workbookViewId="0">
      <selection activeCell="K26" sqref="K26"/>
    </sheetView>
  </sheetViews>
  <sheetFormatPr defaultColWidth="8.85546875" defaultRowHeight="15" customHeight="1" x14ac:dyDescent="0.25"/>
  <cols>
    <col min="1" max="3" width="8.85546875" style="16" customWidth="1"/>
    <col min="4" max="4" width="10.42578125" style="16" customWidth="1"/>
    <col min="5" max="256" width="8.85546875" style="16" customWidth="1"/>
  </cols>
  <sheetData>
    <row r="1" spans="1:14" ht="15" customHeight="1" x14ac:dyDescent="0.25">
      <c r="A1" s="13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3"/>
      <c r="N1" s="7"/>
    </row>
    <row r="2" spans="1:14" ht="15" customHeight="1" x14ac:dyDescent="0.25">
      <c r="A2" s="4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6"/>
      <c r="N2" s="14"/>
    </row>
    <row r="3" spans="1:14" ht="15" customHeight="1" x14ac:dyDescent="0.25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6"/>
      <c r="N3" s="14"/>
    </row>
    <row r="4" spans="1:14" ht="15" customHeight="1" x14ac:dyDescent="0.25">
      <c r="A4" s="4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6"/>
      <c r="N4" s="14"/>
    </row>
    <row r="5" spans="1:14" ht="15" customHeight="1" x14ac:dyDescent="0.25">
      <c r="A5" s="4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6"/>
      <c r="N5" s="14"/>
    </row>
    <row r="6" spans="1:14" ht="15" customHeight="1" x14ac:dyDescent="0.25">
      <c r="A6" s="4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6"/>
      <c r="N6" s="14"/>
    </row>
    <row r="7" spans="1:14" ht="15" customHeight="1" x14ac:dyDescent="0.25">
      <c r="A7" s="4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6"/>
      <c r="N7" s="14"/>
    </row>
    <row r="8" spans="1:14" ht="15" customHeight="1" x14ac:dyDescent="0.25">
      <c r="A8" s="4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6"/>
      <c r="N8" s="14"/>
    </row>
    <row r="9" spans="1:14" ht="15" customHeight="1" x14ac:dyDescent="0.25">
      <c r="A9" s="4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6"/>
      <c r="N9" s="14"/>
    </row>
    <row r="10" spans="1:14" ht="15" customHeight="1" x14ac:dyDescent="0.25">
      <c r="A10" s="4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6"/>
      <c r="N10" s="14"/>
    </row>
    <row r="11" spans="1:14" ht="15" customHeight="1" x14ac:dyDescent="0.25">
      <c r="A11" s="4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6"/>
      <c r="N11" s="14"/>
    </row>
    <row r="12" spans="1:14" ht="15" customHeight="1" x14ac:dyDescent="0.25">
      <c r="A12" s="4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6"/>
      <c r="N12" s="14"/>
    </row>
    <row r="13" spans="1:14" ht="15" customHeight="1" x14ac:dyDescent="0.25">
      <c r="A13" s="4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6"/>
      <c r="N13" s="14"/>
    </row>
    <row r="14" spans="1:14" ht="15" customHeight="1" x14ac:dyDescent="0.25">
      <c r="A14" s="4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6"/>
      <c r="N14" s="14"/>
    </row>
    <row r="15" spans="1:14" ht="15" customHeight="1" x14ac:dyDescent="0.25">
      <c r="A15" s="4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6"/>
      <c r="N15" s="14"/>
    </row>
    <row r="16" spans="1:14" ht="15" customHeight="1" x14ac:dyDescent="0.25">
      <c r="A16" s="4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6"/>
      <c r="N16" s="14"/>
    </row>
    <row r="17" spans="1:14" ht="15" customHeight="1" x14ac:dyDescent="0.25">
      <c r="A17" s="4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6"/>
      <c r="N17" s="14"/>
    </row>
    <row r="18" spans="1:14" ht="15" customHeight="1" x14ac:dyDescent="0.25">
      <c r="A18" s="4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6"/>
      <c r="N18" s="14"/>
    </row>
    <row r="19" spans="1:14" ht="15" customHeight="1" x14ac:dyDescent="0.25">
      <c r="A19" s="4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6"/>
      <c r="N19" s="14"/>
    </row>
    <row r="20" spans="1:14" ht="15" customHeight="1" x14ac:dyDescent="0.25">
      <c r="A20" s="4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6"/>
      <c r="N20" s="14"/>
    </row>
    <row r="21" spans="1:14" ht="15" customHeight="1" x14ac:dyDescent="0.25">
      <c r="A21" s="4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6"/>
      <c r="N21" s="14"/>
    </row>
    <row r="22" spans="1:14" ht="15" customHeight="1" x14ac:dyDescent="0.25">
      <c r="A22" s="9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1"/>
      <c r="N22" s="8"/>
    </row>
  </sheetData>
  <pageMargins left="0.7" right="0.7" top="0.75" bottom="0.75" header="0.3" footer="0.3"/>
  <pageSetup orientation="portrait"/>
  <headerFooter>
    <oddFooter>&amp;C&amp;"Helvetica,Regular"&amp;12&amp;K000000&amp;P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OCTOBER 2022</vt:lpstr>
      <vt:lpstr>Market Share</vt:lpstr>
      <vt:lpstr>Unit Holders</vt:lpstr>
      <vt:lpstr>NAV Comparison Sept &amp; Oct '22</vt:lpstr>
      <vt:lpstr>'OCTOBER 2022'!_Hlk108107245</vt:lpstr>
      <vt:lpstr>'OCTOBER 2022'!_Hlk108109806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Isaac, Tunde</dc:creator>
  <cp:lastModifiedBy>Isaac, Tunde</cp:lastModifiedBy>
  <cp:lastPrinted>2021-12-13T00:24:01Z</cp:lastPrinted>
  <dcterms:created xsi:type="dcterms:W3CDTF">2021-07-14T13:16:57Z</dcterms:created>
  <dcterms:modified xsi:type="dcterms:W3CDTF">2023-05-09T09:04:41Z</dcterms:modified>
</cp:coreProperties>
</file>