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NAVs\2022\"/>
    </mc:Choice>
  </mc:AlternateContent>
  <bookViews>
    <workbookView xWindow="0" yWindow="0" windowWidth="20490" windowHeight="6750"/>
  </bookViews>
  <sheets>
    <sheet name="JUNE 2022" sheetId="1" r:id="rId1"/>
    <sheet name="Market Share" sheetId="2" r:id="rId2"/>
    <sheet name="Unit Holders" sheetId="3" r:id="rId3"/>
    <sheet name="NAV Comparison Apr - June '22" sheetId="4" r:id="rId4"/>
  </sheets>
  <externalReferences>
    <externalReference r:id="rId5"/>
  </externalReferences>
  <definedNames>
    <definedName name="_xlnm._FilterDatabase" localSheetId="0" hidden="1">'JUNE 2022'!$A$1:$AE$93</definedName>
    <definedName name="_Hlk108107245" localSheetId="0">'JUNE 2022'!$R$45</definedName>
    <definedName name="_Hlk108109806" localSheetId="0">'JUNE 2022'!$N$45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7" i="1" l="1"/>
  <c r="W17" i="1"/>
  <c r="V17" i="1"/>
  <c r="U17" i="1"/>
  <c r="T17" i="1"/>
  <c r="Z97" i="1" l="1"/>
  <c r="Y97" i="1"/>
  <c r="R97" i="1"/>
  <c r="O97" i="1"/>
  <c r="N97" i="1"/>
  <c r="M97" i="1"/>
  <c r="L97" i="1"/>
  <c r="K97" i="1"/>
  <c r="J97" i="1"/>
  <c r="F97" i="1"/>
  <c r="Z93" i="1" l="1"/>
  <c r="Y93" i="1"/>
  <c r="R93" i="1"/>
  <c r="O93" i="1"/>
  <c r="N93" i="1"/>
  <c r="M93" i="1"/>
  <c r="L93" i="1"/>
  <c r="J93" i="1"/>
  <c r="K93" i="1"/>
  <c r="G93" i="1"/>
  <c r="Z100" i="1" l="1"/>
  <c r="Y100" i="1"/>
  <c r="R100" i="1"/>
  <c r="O100" i="1"/>
  <c r="N100" i="1"/>
  <c r="M100" i="1"/>
  <c r="L100" i="1"/>
  <c r="K100" i="1"/>
  <c r="J100" i="1"/>
  <c r="F100" i="1"/>
  <c r="G100" i="1"/>
  <c r="Z102" i="1"/>
  <c r="Y102" i="1"/>
  <c r="R102" i="1"/>
  <c r="O102" i="1"/>
  <c r="N102" i="1"/>
  <c r="M102" i="1"/>
  <c r="L102" i="1"/>
  <c r="K102" i="1"/>
  <c r="J102" i="1"/>
  <c r="F102" i="1"/>
  <c r="G102" i="1"/>
  <c r="Z87" i="1" l="1"/>
  <c r="Y87" i="1"/>
  <c r="R87" i="1"/>
  <c r="O87" i="1"/>
  <c r="N87" i="1"/>
  <c r="M87" i="1"/>
  <c r="L87" i="1"/>
  <c r="K87" i="1"/>
  <c r="J87" i="1"/>
  <c r="G87" i="1"/>
  <c r="T123" i="1" l="1"/>
  <c r="AD132" i="1" l="1"/>
  <c r="O133" i="1"/>
  <c r="O92" i="1"/>
  <c r="Z99" i="1"/>
  <c r="Y99" i="1"/>
  <c r="R99" i="1"/>
  <c r="O99" i="1"/>
  <c r="N99" i="1"/>
  <c r="M99" i="1"/>
  <c r="L99" i="1"/>
  <c r="K99" i="1"/>
  <c r="J99" i="1"/>
  <c r="G99" i="1"/>
  <c r="Z98" i="1" l="1"/>
  <c r="Y98" i="1"/>
  <c r="R98" i="1"/>
  <c r="O98" i="1"/>
  <c r="N98" i="1"/>
  <c r="K98" i="1"/>
  <c r="M98" i="1"/>
  <c r="L98" i="1"/>
  <c r="J98" i="1"/>
  <c r="G98" i="1"/>
  <c r="AC49" i="1"/>
  <c r="Z88" i="1" l="1"/>
  <c r="Y88" i="1"/>
  <c r="R88" i="1"/>
  <c r="O88" i="1"/>
  <c r="N88" i="1"/>
  <c r="M88" i="1"/>
  <c r="L88" i="1"/>
  <c r="K88" i="1"/>
  <c r="J88" i="1"/>
  <c r="F88" i="1"/>
  <c r="G88" i="1"/>
  <c r="Q68" i="1" l="1"/>
  <c r="Z96" i="1" l="1"/>
  <c r="Y96" i="1"/>
  <c r="O96" i="1"/>
  <c r="N96" i="1"/>
  <c r="M96" i="1"/>
  <c r="L96" i="1"/>
  <c r="K96" i="1"/>
  <c r="J96" i="1"/>
  <c r="F96" i="1"/>
  <c r="G96" i="1"/>
  <c r="Z91" i="1"/>
  <c r="Y91" i="1"/>
  <c r="G91" i="1"/>
  <c r="J91" i="1"/>
  <c r="K91" i="1"/>
  <c r="L91" i="1"/>
  <c r="M91" i="1"/>
  <c r="N91" i="1"/>
  <c r="O91" i="1"/>
  <c r="R91" i="1"/>
  <c r="I68" i="1" l="1"/>
  <c r="P102" i="1"/>
  <c r="P101" i="1"/>
  <c r="P100" i="1"/>
  <c r="P99" i="1"/>
  <c r="P98" i="1"/>
  <c r="P97" i="1"/>
  <c r="P96" i="1"/>
  <c r="P93" i="1"/>
  <c r="P91" i="1"/>
  <c r="P88" i="1"/>
  <c r="P87" i="1"/>
  <c r="AA82" i="1" l="1"/>
  <c r="R82" i="1"/>
  <c r="P82" i="1"/>
  <c r="N82" i="1"/>
  <c r="J82" i="1"/>
  <c r="D82" i="1"/>
  <c r="T81" i="1" l="1"/>
  <c r="O82" i="1" l="1"/>
  <c r="M82" i="1"/>
  <c r="L82" i="1"/>
  <c r="K82" i="1"/>
  <c r="F82" i="1"/>
  <c r="G82" i="1"/>
  <c r="X81" i="1"/>
  <c r="W81" i="1"/>
  <c r="V81" i="1"/>
  <c r="U81" i="1"/>
  <c r="D103" i="1"/>
  <c r="N103" i="1" l="1"/>
  <c r="P150" i="1" l="1"/>
  <c r="P138" i="1"/>
  <c r="P133" i="1"/>
  <c r="P109" i="1"/>
  <c r="Q81" i="1"/>
  <c r="P51" i="1"/>
  <c r="P20" i="1"/>
  <c r="Q17" i="1" s="1"/>
  <c r="P103" i="1" l="1"/>
  <c r="P151" i="1" s="1"/>
  <c r="R138" i="1" l="1"/>
  <c r="X80" i="1" l="1"/>
  <c r="U80" i="1"/>
  <c r="T80" i="1"/>
  <c r="V80" i="1" l="1"/>
  <c r="W80" i="1"/>
  <c r="Q80" i="1" l="1"/>
  <c r="Q31" i="1"/>
  <c r="R150" i="1" l="1"/>
  <c r="S149" i="1" s="1"/>
  <c r="S80" i="1" l="1"/>
  <c r="S81" i="1"/>
  <c r="G109" i="1"/>
  <c r="O109" i="1"/>
  <c r="K109" i="1"/>
  <c r="L109" i="1"/>
  <c r="M109" i="1"/>
  <c r="N109" i="1"/>
  <c r="H109" i="1"/>
  <c r="I109" i="1"/>
  <c r="J109" i="1"/>
  <c r="F109" i="1"/>
  <c r="I82" i="1"/>
  <c r="O51" i="1"/>
  <c r="N51" i="1"/>
  <c r="I51" i="1"/>
  <c r="K51" i="1"/>
  <c r="L51" i="1"/>
  <c r="M51" i="1"/>
  <c r="F51" i="1"/>
  <c r="L133" i="1"/>
  <c r="M133" i="1"/>
  <c r="N133" i="1"/>
  <c r="F133" i="1"/>
  <c r="G133" i="1"/>
  <c r="H133" i="1"/>
  <c r="D133" i="1"/>
  <c r="J138" i="1"/>
  <c r="K138" i="1"/>
  <c r="L138" i="1"/>
  <c r="M138" i="1"/>
  <c r="N138" i="1"/>
  <c r="O138" i="1"/>
  <c r="F138" i="1"/>
  <c r="G138" i="1"/>
  <c r="H138" i="1"/>
  <c r="D138" i="1"/>
  <c r="M150" i="1"/>
  <c r="N150" i="1"/>
  <c r="O150" i="1"/>
  <c r="J150" i="1"/>
  <c r="K150" i="1"/>
  <c r="L150" i="1"/>
  <c r="G150" i="1"/>
  <c r="F150" i="1"/>
  <c r="D150" i="1"/>
  <c r="H151" i="1" l="1"/>
  <c r="J51" i="1"/>
  <c r="J133" i="1"/>
  <c r="D151" i="1" l="1"/>
  <c r="W93" i="1"/>
  <c r="X93" i="1"/>
  <c r="U93" i="1"/>
  <c r="K133" i="1"/>
  <c r="O103" i="1" l="1"/>
  <c r="O151" i="1" s="1"/>
  <c r="F103" i="1"/>
  <c r="F151" i="1" s="1"/>
  <c r="G103" i="1"/>
  <c r="J103" i="1"/>
  <c r="J151" i="1" s="1"/>
  <c r="K103" i="1"/>
  <c r="K151" i="1" s="1"/>
  <c r="L103" i="1"/>
  <c r="L151" i="1" s="1"/>
  <c r="M103" i="1"/>
  <c r="M151" i="1" s="1"/>
  <c r="N151" i="1"/>
  <c r="T93" i="1"/>
  <c r="V93" i="1"/>
  <c r="AA150" i="1"/>
  <c r="I150" i="1"/>
  <c r="I151" i="1" s="1"/>
  <c r="G151" i="1" l="1"/>
  <c r="R20" i="1"/>
  <c r="S17" i="1" s="1"/>
  <c r="Q93" i="1" l="1"/>
  <c r="Q150" i="1"/>
  <c r="X149" i="1" l="1"/>
  <c r="W149" i="1"/>
  <c r="V149" i="1"/>
  <c r="U149" i="1"/>
  <c r="T149" i="1"/>
  <c r="X79" i="1" l="1"/>
  <c r="W79" i="1"/>
  <c r="V79" i="1"/>
  <c r="U79" i="1"/>
  <c r="T79" i="1"/>
  <c r="Q149" i="1"/>
  <c r="Q79" i="1" l="1"/>
  <c r="X35" i="1" l="1"/>
  <c r="V34" i="1"/>
  <c r="V35" i="1"/>
  <c r="V42" i="1" l="1"/>
  <c r="V48" i="1"/>
  <c r="V122" i="1"/>
  <c r="X121" i="1"/>
  <c r="X123" i="1"/>
  <c r="X99" i="1"/>
  <c r="W99" i="1"/>
  <c r="X98" i="1"/>
  <c r="W102" i="1"/>
  <c r="X102" i="1"/>
  <c r="U102" i="1"/>
  <c r="V102" i="1" l="1"/>
  <c r="T76" i="1" l="1"/>
  <c r="T70" i="1"/>
  <c r="T136" i="1"/>
  <c r="R133" i="1" l="1"/>
  <c r="S123" i="1" s="1"/>
  <c r="AA138" i="1" l="1"/>
  <c r="S136" i="1"/>
  <c r="S137" i="1" l="1"/>
  <c r="S135" i="1"/>
  <c r="Q136" i="1"/>
  <c r="Q137" i="1"/>
  <c r="Q135" i="1"/>
  <c r="T138" i="1"/>
  <c r="AA103" i="1"/>
  <c r="R103" i="1"/>
  <c r="S93" i="1" s="1"/>
  <c r="S79" i="1" l="1"/>
  <c r="S97" i="1"/>
  <c r="S88" i="1"/>
  <c r="S98" i="1"/>
  <c r="S89" i="1"/>
  <c r="S90" i="1"/>
  <c r="S100" i="1"/>
  <c r="S91" i="1"/>
  <c r="S99" i="1"/>
  <c r="S101" i="1"/>
  <c r="S92" i="1"/>
  <c r="S102" i="1"/>
  <c r="S86" i="1"/>
  <c r="S87" i="1"/>
  <c r="S61" i="1"/>
  <c r="S69" i="1"/>
  <c r="S77" i="1"/>
  <c r="S63" i="1"/>
  <c r="S71" i="1"/>
  <c r="S54" i="1"/>
  <c r="S62" i="1"/>
  <c r="S70" i="1"/>
  <c r="S78" i="1"/>
  <c r="S55" i="1"/>
  <c r="S53" i="1"/>
  <c r="S56" i="1"/>
  <c r="S64" i="1"/>
  <c r="S72" i="1"/>
  <c r="S65" i="1"/>
  <c r="S73" i="1"/>
  <c r="S75" i="1"/>
  <c r="S57" i="1"/>
  <c r="S67" i="1"/>
  <c r="S58" i="1"/>
  <c r="S66" i="1"/>
  <c r="S74" i="1"/>
  <c r="S59" i="1"/>
  <c r="S60" i="1"/>
  <c r="S68" i="1"/>
  <c r="S76" i="1"/>
  <c r="S146" i="1"/>
  <c r="S147" i="1"/>
  <c r="S148" i="1"/>
  <c r="S145" i="1"/>
  <c r="S142" i="1"/>
  <c r="Q146" i="1"/>
  <c r="Q147" i="1"/>
  <c r="Q148" i="1"/>
  <c r="Q145" i="1"/>
  <c r="Q142" i="1"/>
  <c r="Q102" i="1"/>
  <c r="Q92" i="1"/>
  <c r="Q96" i="1"/>
  <c r="Q85" i="1"/>
  <c r="Q100" i="1"/>
  <c r="Q86" i="1"/>
  <c r="Q97" i="1"/>
  <c r="Q87" i="1"/>
  <c r="Q91" i="1"/>
  <c r="Q98" i="1"/>
  <c r="Q88" i="1"/>
  <c r="Q99" i="1"/>
  <c r="Q89" i="1"/>
  <c r="Q90" i="1"/>
  <c r="Q101" i="1"/>
  <c r="Q59" i="1"/>
  <c r="Q60" i="1"/>
  <c r="Q76" i="1"/>
  <c r="Q62" i="1"/>
  <c r="Q70" i="1"/>
  <c r="Q63" i="1"/>
  <c r="Q71" i="1"/>
  <c r="Q61" i="1"/>
  <c r="Q69" i="1"/>
  <c r="Q77" i="1"/>
  <c r="Q54" i="1"/>
  <c r="Q78" i="1"/>
  <c r="Q55" i="1"/>
  <c r="Q53" i="1"/>
  <c r="Q67" i="1"/>
  <c r="Q56" i="1"/>
  <c r="Q64" i="1"/>
  <c r="Q72" i="1"/>
  <c r="Q57" i="1"/>
  <c r="Q65" i="1"/>
  <c r="Q73" i="1"/>
  <c r="Q58" i="1"/>
  <c r="Q66" i="1"/>
  <c r="Q74" i="1"/>
  <c r="Q75" i="1"/>
  <c r="X127" i="1"/>
  <c r="W127" i="1"/>
  <c r="V127" i="1"/>
  <c r="U127" i="1"/>
  <c r="T127" i="1"/>
  <c r="X126" i="1"/>
  <c r="W126" i="1"/>
  <c r="V126" i="1"/>
  <c r="U126" i="1"/>
  <c r="T126" i="1"/>
  <c r="X101" i="1" l="1"/>
  <c r="W101" i="1"/>
  <c r="V101" i="1"/>
  <c r="U101" i="1"/>
  <c r="T101" i="1"/>
  <c r="W100" i="1"/>
  <c r="X100" i="1"/>
  <c r="X92" i="1"/>
  <c r="W92" i="1"/>
  <c r="V92" i="1"/>
  <c r="U92" i="1"/>
  <c r="T92" i="1"/>
  <c r="W91" i="1"/>
  <c r="X91" i="1"/>
  <c r="X90" i="1"/>
  <c r="W90" i="1"/>
  <c r="V90" i="1"/>
  <c r="U90" i="1"/>
  <c r="T90" i="1"/>
  <c r="X89" i="1"/>
  <c r="W89" i="1"/>
  <c r="V89" i="1"/>
  <c r="U89" i="1"/>
  <c r="T89" i="1"/>
  <c r="X87" i="1"/>
  <c r="X88" i="1"/>
  <c r="X86" i="1"/>
  <c r="W86" i="1"/>
  <c r="V86" i="1"/>
  <c r="U86" i="1"/>
  <c r="T86" i="1"/>
  <c r="X85" i="1"/>
  <c r="W85" i="1"/>
  <c r="V85" i="1"/>
  <c r="U85" i="1"/>
  <c r="T85" i="1"/>
  <c r="U99" i="1" l="1"/>
  <c r="W98" i="1"/>
  <c r="U100" i="1"/>
  <c r="V99" i="1"/>
  <c r="V98" i="1"/>
  <c r="T100" i="1"/>
  <c r="T99" i="1"/>
  <c r="T98" i="1"/>
  <c r="U98" i="1"/>
  <c r="V100" i="1"/>
  <c r="U88" i="1"/>
  <c r="U91" i="1"/>
  <c r="T87" i="1"/>
  <c r="W87" i="1"/>
  <c r="U87" i="1"/>
  <c r="T91" i="1"/>
  <c r="V88" i="1"/>
  <c r="V91" i="1"/>
  <c r="W88" i="1"/>
  <c r="V87" i="1"/>
  <c r="T88" i="1"/>
  <c r="T148" i="1" l="1"/>
  <c r="U141" i="1"/>
  <c r="U136" i="1"/>
  <c r="U137" i="1"/>
  <c r="U142" i="1"/>
  <c r="U146" i="1"/>
  <c r="U147" i="1"/>
  <c r="U148" i="1"/>
  <c r="T128" i="1"/>
  <c r="Q141" i="1"/>
  <c r="T50" i="1"/>
  <c r="T45" i="1"/>
  <c r="T58" i="1"/>
  <c r="S112" i="1" l="1"/>
  <c r="S120" i="1"/>
  <c r="S128" i="1"/>
  <c r="S113" i="1"/>
  <c r="S121" i="1"/>
  <c r="S129" i="1"/>
  <c r="S114" i="1"/>
  <c r="S122" i="1"/>
  <c r="S130" i="1"/>
  <c r="S115" i="1"/>
  <c r="S131" i="1"/>
  <c r="S116" i="1"/>
  <c r="S124" i="1"/>
  <c r="S132" i="1"/>
  <c r="S126" i="1"/>
  <c r="S117" i="1"/>
  <c r="S125" i="1"/>
  <c r="S118" i="1"/>
  <c r="S119" i="1"/>
  <c r="S127" i="1"/>
  <c r="Q107" i="1"/>
  <c r="Q106" i="1"/>
  <c r="Q108" i="1"/>
  <c r="Q24" i="1"/>
  <c r="Q25" i="1"/>
  <c r="Q33" i="1"/>
  <c r="Q26" i="1"/>
  <c r="Q34" i="1"/>
  <c r="Q42" i="1"/>
  <c r="Q50" i="1"/>
  <c r="Q38" i="1"/>
  <c r="Q47" i="1"/>
  <c r="Q40" i="1"/>
  <c r="Q27" i="1"/>
  <c r="Q35" i="1"/>
  <c r="Q43" i="1"/>
  <c r="Q23" i="1"/>
  <c r="Q41" i="1"/>
  <c r="Q28" i="1"/>
  <c r="Q36" i="1"/>
  <c r="Q44" i="1"/>
  <c r="Q46" i="1"/>
  <c r="Q39" i="1"/>
  <c r="Q48" i="1"/>
  <c r="Q29" i="1"/>
  <c r="Q37" i="1"/>
  <c r="Q45" i="1"/>
  <c r="Q30" i="1"/>
  <c r="Q32" i="1"/>
  <c r="Q49" i="1"/>
  <c r="Q6" i="1"/>
  <c r="Q7" i="1"/>
  <c r="Q15" i="1"/>
  <c r="Q10" i="1"/>
  <c r="Q8" i="1"/>
  <c r="Q16" i="1"/>
  <c r="Q9" i="1"/>
  <c r="Q18" i="1"/>
  <c r="Q11" i="1"/>
  <c r="Q19" i="1"/>
  <c r="Q12" i="1"/>
  <c r="Q5" i="1"/>
  <c r="Q13" i="1"/>
  <c r="Q14" i="1"/>
  <c r="S141" i="1"/>
  <c r="Q122" i="1" l="1"/>
  <c r="Q138" i="1"/>
  <c r="Q115" i="1"/>
  <c r="Q123" i="1"/>
  <c r="Q131" i="1"/>
  <c r="Q116" i="1"/>
  <c r="Q124" i="1"/>
  <c r="Q132" i="1"/>
  <c r="Q117" i="1"/>
  <c r="Q125" i="1"/>
  <c r="Q111" i="1"/>
  <c r="Q51" i="1"/>
  <c r="Q119" i="1"/>
  <c r="Q120" i="1"/>
  <c r="Q118" i="1"/>
  <c r="Q126" i="1"/>
  <c r="Q133" i="1"/>
  <c r="Q112" i="1"/>
  <c r="Q128" i="1"/>
  <c r="Q127" i="1"/>
  <c r="Q113" i="1"/>
  <c r="Q121" i="1"/>
  <c r="Q129" i="1"/>
  <c r="Q109" i="1"/>
  <c r="Q114" i="1"/>
  <c r="Q130" i="1"/>
  <c r="Q103" i="1"/>
  <c r="Q82" i="1"/>
  <c r="Q20" i="1"/>
  <c r="U150" i="1"/>
  <c r="U132" i="1"/>
  <c r="U131" i="1"/>
  <c r="U45" i="1"/>
  <c r="U44" i="1"/>
  <c r="X111" i="1" l="1"/>
  <c r="W124" i="1"/>
  <c r="T19" i="1" l="1"/>
  <c r="U64" i="1"/>
  <c r="U65" i="1"/>
  <c r="X136" i="1" l="1"/>
  <c r="T102" i="1" l="1"/>
  <c r="T57" i="1" l="1"/>
  <c r="X113" i="1"/>
  <c r="T131" i="1"/>
  <c r="T132" i="1"/>
  <c r="T56" i="1"/>
  <c r="AA109" i="1" l="1"/>
  <c r="T18" i="1" l="1"/>
  <c r="AA20" i="1"/>
  <c r="U19" i="1"/>
  <c r="U18" i="1"/>
  <c r="S7" i="1" l="1"/>
  <c r="S15" i="1"/>
  <c r="S13" i="1"/>
  <c r="S6" i="1"/>
  <c r="S8" i="1"/>
  <c r="S16" i="1"/>
  <c r="S10" i="1"/>
  <c r="S14" i="1"/>
  <c r="S9" i="1"/>
  <c r="S18" i="1"/>
  <c r="S11" i="1"/>
  <c r="S19" i="1"/>
  <c r="S12" i="1"/>
  <c r="S5" i="1"/>
  <c r="T20" i="1"/>
  <c r="X55" i="1" l="1"/>
  <c r="X49" i="1"/>
  <c r="W49" i="1"/>
  <c r="V49" i="1"/>
  <c r="U49" i="1"/>
  <c r="T49" i="1"/>
  <c r="U76" i="1" l="1"/>
  <c r="U28" i="1"/>
  <c r="X76" i="1" l="1"/>
  <c r="W76" i="1"/>
  <c r="V76" i="1"/>
  <c r="T48" i="1" l="1"/>
  <c r="X131" i="1" l="1"/>
  <c r="W131" i="1"/>
  <c r="V131" i="1"/>
  <c r="X56" i="1"/>
  <c r="W56" i="1"/>
  <c r="V56" i="1"/>
  <c r="U56" i="1"/>
  <c r="X48" i="1"/>
  <c r="W48" i="1"/>
  <c r="U48" i="1"/>
  <c r="X147" i="1" l="1"/>
  <c r="W147" i="1"/>
  <c r="V147" i="1"/>
  <c r="T147" i="1"/>
  <c r="X130" i="1" l="1"/>
  <c r="W130" i="1"/>
  <c r="V130" i="1"/>
  <c r="U130" i="1"/>
  <c r="T130" i="1"/>
  <c r="X47" i="1" l="1"/>
  <c r="W47" i="1"/>
  <c r="V47" i="1"/>
  <c r="U47" i="1"/>
  <c r="T47" i="1"/>
  <c r="X107" i="1" l="1"/>
  <c r="W107" i="1"/>
  <c r="V107" i="1"/>
  <c r="U107" i="1"/>
  <c r="T107" i="1"/>
  <c r="X77" i="1" l="1"/>
  <c r="W77" i="1"/>
  <c r="V77" i="1"/>
  <c r="U77" i="1"/>
  <c r="T77" i="1"/>
  <c r="X146" i="1"/>
  <c r="W146" i="1"/>
  <c r="V146" i="1"/>
  <c r="T146" i="1"/>
  <c r="T150" i="1" l="1"/>
  <c r="X148" i="1"/>
  <c r="W148" i="1"/>
  <c r="V148" i="1"/>
  <c r="X142" i="1"/>
  <c r="W142" i="1"/>
  <c r="V142" i="1"/>
  <c r="T142" i="1"/>
  <c r="X137" i="1"/>
  <c r="W137" i="1"/>
  <c r="V137" i="1"/>
  <c r="T137" i="1"/>
  <c r="W136" i="1"/>
  <c r="V136" i="1"/>
  <c r="X141" i="1"/>
  <c r="W141" i="1"/>
  <c r="V141" i="1"/>
  <c r="T141" i="1"/>
  <c r="X135" i="1"/>
  <c r="W135" i="1"/>
  <c r="V135" i="1"/>
  <c r="U135" i="1"/>
  <c r="T135" i="1"/>
  <c r="AA133" i="1"/>
  <c r="X132" i="1"/>
  <c r="W132" i="1"/>
  <c r="V132" i="1"/>
  <c r="X128" i="1"/>
  <c r="W128" i="1"/>
  <c r="V128" i="1"/>
  <c r="U128" i="1"/>
  <c r="X122" i="1"/>
  <c r="W122" i="1"/>
  <c r="U122" i="1"/>
  <c r="T122" i="1"/>
  <c r="W121" i="1"/>
  <c r="U121" i="1"/>
  <c r="T121" i="1"/>
  <c r="X125" i="1"/>
  <c r="W125" i="1"/>
  <c r="V125" i="1"/>
  <c r="U125" i="1"/>
  <c r="T125" i="1"/>
  <c r="X124" i="1"/>
  <c r="V124" i="1"/>
  <c r="U124" i="1"/>
  <c r="T124" i="1"/>
  <c r="X120" i="1"/>
  <c r="W120" i="1"/>
  <c r="V120" i="1"/>
  <c r="U120" i="1"/>
  <c r="T120" i="1"/>
  <c r="W123" i="1"/>
  <c r="V123" i="1"/>
  <c r="U123" i="1"/>
  <c r="X118" i="1"/>
  <c r="W118" i="1"/>
  <c r="V118" i="1"/>
  <c r="U118" i="1"/>
  <c r="T118" i="1"/>
  <c r="X119" i="1"/>
  <c r="W119" i="1"/>
  <c r="V119" i="1"/>
  <c r="U119" i="1"/>
  <c r="T119" i="1"/>
  <c r="X117" i="1"/>
  <c r="W117" i="1"/>
  <c r="V117" i="1"/>
  <c r="U117" i="1"/>
  <c r="T117" i="1"/>
  <c r="X116" i="1"/>
  <c r="W116" i="1"/>
  <c r="V116" i="1"/>
  <c r="U116" i="1"/>
  <c r="T116" i="1"/>
  <c r="X129" i="1"/>
  <c r="W129" i="1"/>
  <c r="V129" i="1"/>
  <c r="U129" i="1"/>
  <c r="T129" i="1"/>
  <c r="X115" i="1"/>
  <c r="W115" i="1"/>
  <c r="V115" i="1"/>
  <c r="U115" i="1"/>
  <c r="T115" i="1"/>
  <c r="X114" i="1"/>
  <c r="W114" i="1"/>
  <c r="V114" i="1"/>
  <c r="U114" i="1"/>
  <c r="T114" i="1"/>
  <c r="W113" i="1"/>
  <c r="V113" i="1"/>
  <c r="U113" i="1"/>
  <c r="T113" i="1"/>
  <c r="X112" i="1"/>
  <c r="W112" i="1"/>
  <c r="V112" i="1"/>
  <c r="U112" i="1"/>
  <c r="T112" i="1"/>
  <c r="W111" i="1"/>
  <c r="V111" i="1"/>
  <c r="U111" i="1"/>
  <c r="T111" i="1"/>
  <c r="R109" i="1"/>
  <c r="Q105" i="1"/>
  <c r="X108" i="1"/>
  <c r="W108" i="1"/>
  <c r="V108" i="1"/>
  <c r="U108" i="1"/>
  <c r="T108" i="1"/>
  <c r="X106" i="1"/>
  <c r="W106" i="1"/>
  <c r="V106" i="1"/>
  <c r="U106" i="1"/>
  <c r="T106" i="1"/>
  <c r="X105" i="1"/>
  <c r="W105" i="1"/>
  <c r="V105" i="1"/>
  <c r="U105" i="1"/>
  <c r="T105" i="1"/>
  <c r="X78" i="1"/>
  <c r="W78" i="1"/>
  <c r="V78" i="1"/>
  <c r="U78" i="1"/>
  <c r="T78" i="1"/>
  <c r="X75" i="1"/>
  <c r="W75" i="1"/>
  <c r="V75" i="1"/>
  <c r="U75" i="1"/>
  <c r="T75" i="1"/>
  <c r="X74" i="1"/>
  <c r="W74" i="1"/>
  <c r="V74" i="1"/>
  <c r="U74" i="1"/>
  <c r="T74" i="1"/>
  <c r="X145" i="1"/>
  <c r="W145" i="1"/>
  <c r="V145" i="1"/>
  <c r="U145" i="1"/>
  <c r="T145" i="1"/>
  <c r="X73" i="1"/>
  <c r="W73" i="1"/>
  <c r="V73" i="1"/>
  <c r="U73" i="1"/>
  <c r="T73" i="1"/>
  <c r="X72" i="1"/>
  <c r="W72" i="1"/>
  <c r="V72" i="1"/>
  <c r="U72" i="1"/>
  <c r="T72" i="1"/>
  <c r="X97" i="1"/>
  <c r="W97" i="1"/>
  <c r="V97" i="1"/>
  <c r="U97" i="1"/>
  <c r="T97" i="1"/>
  <c r="X60" i="1"/>
  <c r="W60" i="1"/>
  <c r="V60" i="1"/>
  <c r="U60" i="1"/>
  <c r="T60" i="1"/>
  <c r="X71" i="1"/>
  <c r="W71" i="1"/>
  <c r="V71" i="1"/>
  <c r="U71" i="1"/>
  <c r="T71" i="1"/>
  <c r="X70" i="1"/>
  <c r="W70" i="1"/>
  <c r="V70" i="1"/>
  <c r="U70" i="1"/>
  <c r="X96" i="1"/>
  <c r="W96" i="1"/>
  <c r="V96" i="1"/>
  <c r="U96" i="1"/>
  <c r="T96" i="1"/>
  <c r="X69" i="1"/>
  <c r="W69" i="1"/>
  <c r="V69" i="1"/>
  <c r="U69" i="1"/>
  <c r="T69" i="1"/>
  <c r="X67" i="1"/>
  <c r="W67" i="1"/>
  <c r="V67" i="1"/>
  <c r="U67" i="1"/>
  <c r="T67" i="1"/>
  <c r="X68" i="1"/>
  <c r="W68" i="1"/>
  <c r="V68" i="1"/>
  <c r="U68" i="1"/>
  <c r="T68" i="1"/>
  <c r="X66" i="1"/>
  <c r="W66" i="1"/>
  <c r="V66" i="1"/>
  <c r="U66" i="1"/>
  <c r="T66" i="1"/>
  <c r="X65" i="1"/>
  <c r="W65" i="1"/>
  <c r="V65" i="1"/>
  <c r="T65" i="1"/>
  <c r="X64" i="1"/>
  <c r="W64" i="1"/>
  <c r="V64" i="1"/>
  <c r="T64" i="1"/>
  <c r="X63" i="1"/>
  <c r="W63" i="1"/>
  <c r="V63" i="1"/>
  <c r="U63" i="1"/>
  <c r="T63" i="1"/>
  <c r="X62" i="1"/>
  <c r="W62" i="1"/>
  <c r="V62" i="1"/>
  <c r="U62" i="1"/>
  <c r="T62" i="1"/>
  <c r="X61" i="1"/>
  <c r="W61" i="1"/>
  <c r="V61" i="1"/>
  <c r="U61" i="1"/>
  <c r="T61" i="1"/>
  <c r="X59" i="1"/>
  <c r="W59" i="1"/>
  <c r="V59" i="1"/>
  <c r="U59" i="1"/>
  <c r="T59" i="1"/>
  <c r="X58" i="1"/>
  <c r="W58" i="1"/>
  <c r="V58" i="1"/>
  <c r="U58" i="1"/>
  <c r="X57" i="1"/>
  <c r="W57" i="1"/>
  <c r="V57" i="1"/>
  <c r="U57" i="1"/>
  <c r="W55" i="1"/>
  <c r="V55" i="1"/>
  <c r="U55" i="1"/>
  <c r="T55" i="1"/>
  <c r="X54" i="1"/>
  <c r="W54" i="1"/>
  <c r="V54" i="1"/>
  <c r="U54" i="1"/>
  <c r="T54" i="1"/>
  <c r="X53" i="1"/>
  <c r="W53" i="1"/>
  <c r="V53" i="1"/>
  <c r="U53" i="1"/>
  <c r="T53" i="1"/>
  <c r="AA51" i="1"/>
  <c r="R51" i="1"/>
  <c r="S49" i="1" s="1"/>
  <c r="X50" i="1"/>
  <c r="W50" i="1"/>
  <c r="V50" i="1"/>
  <c r="U50" i="1"/>
  <c r="X46" i="1"/>
  <c r="W46" i="1"/>
  <c r="V46" i="1"/>
  <c r="U46" i="1"/>
  <c r="T46" i="1"/>
  <c r="X45" i="1"/>
  <c r="W45" i="1"/>
  <c r="V45" i="1"/>
  <c r="X44" i="1"/>
  <c r="W44" i="1"/>
  <c r="V44" i="1"/>
  <c r="T44" i="1"/>
  <c r="X43" i="1"/>
  <c r="W43" i="1"/>
  <c r="V43" i="1"/>
  <c r="U43" i="1"/>
  <c r="T43" i="1"/>
  <c r="X42" i="1"/>
  <c r="W42" i="1"/>
  <c r="U42" i="1"/>
  <c r="T42" i="1"/>
  <c r="X41" i="1"/>
  <c r="W41" i="1"/>
  <c r="V41" i="1"/>
  <c r="U41" i="1"/>
  <c r="T41" i="1"/>
  <c r="X40" i="1"/>
  <c r="W40" i="1"/>
  <c r="V40" i="1"/>
  <c r="U40" i="1"/>
  <c r="T40" i="1"/>
  <c r="X39" i="1"/>
  <c r="W39" i="1"/>
  <c r="V39" i="1"/>
  <c r="U39" i="1"/>
  <c r="T39" i="1"/>
  <c r="X38" i="1"/>
  <c r="W38" i="1"/>
  <c r="V38" i="1"/>
  <c r="U38" i="1"/>
  <c r="T38" i="1"/>
  <c r="X37" i="1"/>
  <c r="W37" i="1"/>
  <c r="V37" i="1"/>
  <c r="U37" i="1"/>
  <c r="T37" i="1"/>
  <c r="V36" i="1"/>
  <c r="U36" i="1"/>
  <c r="T36" i="1"/>
  <c r="W35" i="1"/>
  <c r="U35" i="1"/>
  <c r="T35" i="1"/>
  <c r="X34" i="1"/>
  <c r="W34" i="1"/>
  <c r="U34" i="1"/>
  <c r="T34" i="1"/>
  <c r="X33" i="1"/>
  <c r="W33" i="1"/>
  <c r="V33" i="1"/>
  <c r="U33" i="1"/>
  <c r="T33" i="1"/>
  <c r="X32" i="1"/>
  <c r="W32" i="1"/>
  <c r="V32" i="1"/>
  <c r="U32" i="1"/>
  <c r="T32" i="1"/>
  <c r="X31" i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T28" i="1"/>
  <c r="X27" i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18" i="1"/>
  <c r="W18" i="1"/>
  <c r="V18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X5" i="1"/>
  <c r="W5" i="1"/>
  <c r="V5" i="1"/>
  <c r="U5" i="1"/>
  <c r="T5" i="1"/>
  <c r="X4" i="1"/>
  <c r="W4" i="1"/>
  <c r="V4" i="1"/>
  <c r="U4" i="1"/>
  <c r="T4" i="1"/>
  <c r="R151" i="1" l="1"/>
  <c r="S51" i="1" s="1"/>
  <c r="AA151" i="1"/>
  <c r="S106" i="1"/>
  <c r="S108" i="1"/>
  <c r="S107" i="1"/>
  <c r="S29" i="1"/>
  <c r="S37" i="1"/>
  <c r="S45" i="1"/>
  <c r="S40" i="1"/>
  <c r="S42" i="1"/>
  <c r="S30" i="1"/>
  <c r="S38" i="1"/>
  <c r="S46" i="1"/>
  <c r="S24" i="1"/>
  <c r="S23" i="1"/>
  <c r="S31" i="1"/>
  <c r="S39" i="1"/>
  <c r="S47" i="1"/>
  <c r="S32" i="1"/>
  <c r="S48" i="1"/>
  <c r="S50" i="1"/>
  <c r="S25" i="1"/>
  <c r="S33" i="1"/>
  <c r="S41" i="1"/>
  <c r="S26" i="1"/>
  <c r="S34" i="1"/>
  <c r="S27" i="1"/>
  <c r="S35" i="1"/>
  <c r="S43" i="1"/>
  <c r="S28" i="1"/>
  <c r="S36" i="1"/>
  <c r="S44" i="1"/>
  <c r="T82" i="1"/>
  <c r="S96" i="1"/>
  <c r="S105" i="1"/>
  <c r="S111" i="1"/>
  <c r="Q4" i="1"/>
  <c r="Q22" i="1"/>
  <c r="T133" i="1"/>
  <c r="S22" i="1"/>
  <c r="T103" i="1"/>
  <c r="T51" i="1"/>
  <c r="S4" i="1"/>
  <c r="T109" i="1"/>
  <c r="S82" i="1" l="1"/>
  <c r="S103" i="1"/>
  <c r="S109" i="1"/>
  <c r="S20" i="1"/>
  <c r="S133" i="1"/>
  <c r="S150" i="1"/>
  <c r="S138" i="1"/>
  <c r="X36" i="1"/>
  <c r="W36" i="1"/>
  <c r="V121" i="1" l="1"/>
</calcChain>
</file>

<file path=xl/sharedStrings.xml><?xml version="1.0" encoding="utf-8"?>
<sst xmlns="http://schemas.openxmlformats.org/spreadsheetml/2006/main" count="312" uniqueCount="222">
  <si>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</si>
  <si>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</si>
  <si>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</si>
  <si>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</si>
  <si>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</si>
  <si>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</si>
  <si>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</si>
  <si>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</si>
  <si>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</si>
  <si>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</si>
  <si>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</si>
  <si>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</si>
  <si>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</si>
  <si>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% ON TOTAL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</si>
  <si>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</si>
  <si>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</si>
  <si>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</si>
  <si>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</si>
  <si>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</si>
  <si>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</si>
  <si>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</si>
  <si>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</si>
  <si>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EQUITY BASED FUNDS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</si>
  <si>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</si>
  <si>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</si>
  <si>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</si>
  <si>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</si>
  <si>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</si>
  <si>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</si>
  <si>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</si>
  <si>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</si>
  <si>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</si>
  <si>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</si>
  <si>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</si>
  <si>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</si>
  <si>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</si>
  <si>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</si>
  <si>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</si>
  <si>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</si>
  <si>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</si>
  <si>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</si>
  <si>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</si>
  <si>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</si>
  <si>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</si>
  <si>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</si>
  <si>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</si>
  <si>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</si>
  <si>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</si>
  <si>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Global Asset Management Nig. Ltd</t>
  </si>
  <si>
    <t>Continental Unit Trust Fund (Inactive)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</si>
  <si>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</si>
  <si>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</si>
  <si>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</si>
  <si>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</si>
  <si>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</si>
  <si>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</si>
  <si>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</si>
  <si>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</si>
  <si>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</si>
  <si>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</si>
  <si>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</si>
  <si>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</si>
  <si>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</si>
  <si>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</si>
  <si>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</si>
  <si>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</si>
  <si>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</si>
  <si>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</si>
  <si>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Chapel Hill Denham Money Market Fund(Frml NGIF)</t>
  </si>
  <si>
    <t>Abacus Money Market Fund</t>
  </si>
  <si>
    <t>EDC Fund Management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</si>
  <si>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</si>
  <si>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</si>
  <si>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</si>
  <si>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</si>
  <si>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</si>
  <si>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</si>
  <si>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</si>
  <si>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</si>
  <si>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</si>
  <si>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</si>
  <si>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</si>
  <si>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</si>
  <si>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</si>
  <si>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</si>
  <si>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</si>
  <si>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</si>
  <si>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</si>
  <si>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</si>
  <si>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>NOVAMBL Asset Management Limited</t>
  </si>
  <si>
    <t>NOVA Prime Money Market Fund</t>
  </si>
  <si>
    <t xml:space="preserve"> </t>
  </si>
  <si>
    <t>Stanbic IBTC Bond Fund</t>
  </si>
  <si>
    <t>Nigeria International Debt Fund</t>
  </si>
  <si>
    <t>Legacy USD Bond Fund</t>
  </si>
  <si>
    <t>Pacam Eurobond Fund</t>
  </si>
  <si>
    <t>Afrinvest Dollar Fund</t>
  </si>
  <si>
    <t>ARM Eurobond Fund</t>
  </si>
  <si>
    <t>Coral Income Fund</t>
  </si>
  <si>
    <t>United Capital Fixed Income Fund</t>
  </si>
  <si>
    <t>Vantage Guaranteed Income Fund</t>
  </si>
  <si>
    <t>Capital Express Assset &amp; Trust Limited</t>
  </si>
  <si>
    <t>CEAT Fixed Income Fund(Frml BGL Sapphire)</t>
  </si>
  <si>
    <t>Stanbic IBTC Guaranteed Investment Fund</t>
  </si>
  <si>
    <t>SFS Capital Nigeria Ltd</t>
  </si>
  <si>
    <t>SFS Fixed Income Fund</t>
  </si>
  <si>
    <t>Stanbic IBTC Absolute Fund (Sub Fund)</t>
  </si>
  <si>
    <t>Stanbic IBTC Conservative Fund (Sub Fund)</t>
  </si>
  <si>
    <t>Lotus Capital Limited</t>
  </si>
  <si>
    <t>PACAM Fixed Income Fund</t>
  </si>
  <si>
    <t>Stanbic IBTC Dollar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</si>
  <si>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</si>
  <si>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</si>
  <si>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</si>
  <si>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</si>
  <si>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</si>
  <si>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</si>
  <si>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</si>
  <si>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</si>
  <si>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</si>
  <si>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</si>
  <si>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</si>
  <si>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</si>
  <si>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</si>
  <si>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NOVA Dollar Fixed Income Fund</t>
  </si>
  <si>
    <t>REAL ESTATE FUNDS</t>
  </si>
  <si>
    <t>SFS Real Estate Investment Trust Fund</t>
  </si>
  <si>
    <t>Union Homes REITS</t>
  </si>
  <si>
    <t>UPDC Real Estate Investment Fund</t>
  </si>
  <si>
    <t>Nigeria Real Estate Investment Trust</t>
  </si>
  <si>
    <t>Stanbic IBTC Balanced Fund</t>
  </si>
  <si>
    <t>United Capital Balanced Fund</t>
  </si>
  <si>
    <t>Capital Express Balanced Fund</t>
  </si>
  <si>
    <t>AIICO Balanced Fund</t>
  </si>
  <si>
    <t>FBN Balanced Fund</t>
  </si>
  <si>
    <t>ValuAlliance Value Fund</t>
  </si>
  <si>
    <t>Nigeria Energy Sector Fund</t>
  </si>
  <si>
    <t>Coronation Balanced Fund</t>
  </si>
  <si>
    <t>Cordros Milestone Fund</t>
  </si>
  <si>
    <t>Vantage Balanced Fund</t>
  </si>
  <si>
    <t>PACAM Balanced Fund</t>
  </si>
  <si>
    <t xml:space="preserve">Lead Balanced Fund </t>
  </si>
  <si>
    <t>ETHICAL FUNDS</t>
  </si>
  <si>
    <t>Stanbic IBTC Ethical Fund</t>
  </si>
  <si>
    <t>ARM Ethical Fund</t>
  </si>
  <si>
    <t>Stanbic IBTC Imaan Fund</t>
  </si>
  <si>
    <t>Grand Total</t>
  </si>
  <si>
    <t>CardinalStone Asset Mgt. Limited</t>
  </si>
  <si>
    <t>CardinalStone Fixed Income Alpha Fund</t>
  </si>
  <si>
    <t>GDL Income Fund</t>
  </si>
  <si>
    <t>Coral Money Market Fund (FSDH Treasury Bill Fund)</t>
  </si>
  <si>
    <t>AVA GAM Fixed Income Naira Fund</t>
  </si>
  <si>
    <t>Norrenberger Investment and Capital Management Limited</t>
  </si>
  <si>
    <t>Norrenberger Islamic Fund</t>
  </si>
  <si>
    <t>Core Asset Management Limited</t>
  </si>
  <si>
    <t>Core Investment Money Market Fund</t>
  </si>
  <si>
    <t>Core Value Mixed Fund</t>
  </si>
  <si>
    <t>United Capital Sukuk Fund</t>
  </si>
  <si>
    <t>Emerging Africa Asset Management Limited</t>
  </si>
  <si>
    <t>Emerging Africa Money Market Fund</t>
  </si>
  <si>
    <t>Emerging Africa Bond Fund</t>
  </si>
  <si>
    <t>Emerging Africa Eurobond Fund</t>
  </si>
  <si>
    <t>Stanbic IBTC Enhanced Short-Term Fixed Income Fund</t>
  </si>
  <si>
    <t>Note:</t>
  </si>
  <si>
    <t>*Continental Unit Trust Scheme is Inactive*</t>
  </si>
  <si>
    <t>TOTAL INCOME (N)</t>
  </si>
  <si>
    <t>Lotus Halal Investment  Fund</t>
  </si>
  <si>
    <t>ARM Discovery Balanced Fund</t>
  </si>
  <si>
    <t>EDC Money Market Class A</t>
  </si>
  <si>
    <t>Norrenberger Money Market Fund</t>
  </si>
  <si>
    <t xml:space="preserve">Futureview Asset Management Limited </t>
  </si>
  <si>
    <t>Futureview Equity Fund</t>
  </si>
  <si>
    <t>First Ally Asset Management Limited</t>
  </si>
  <si>
    <t>Coral Balanced Fund</t>
  </si>
  <si>
    <t>Women's Balanced Fund</t>
  </si>
  <si>
    <t>GDL Canary Balanced Fund</t>
  </si>
  <si>
    <t>DOLLAR FUNDS (EUROBONDS)</t>
  </si>
  <si>
    <t>DOLLAR FUND</t>
  </si>
  <si>
    <t>DOLLAR FUNDS (FIXED INCOME)</t>
  </si>
  <si>
    <t>FBNQuest Asset Management Limited</t>
  </si>
  <si>
    <t>First City Asset Management Ltd.</t>
  </si>
  <si>
    <t>Nigeria Dollar Income Fund</t>
  </si>
  <si>
    <t>MIXED FUNDS</t>
  </si>
  <si>
    <t>SHARI'AH COMPLIANT FUNDS</t>
  </si>
  <si>
    <t>SHARI'AH COMPLIANT FUNDS (EQUITIES)</t>
  </si>
  <si>
    <t>SHARI'AH COMPLIANT FUNDS (FIXED INCOME)</t>
  </si>
  <si>
    <t>FBN Halal Fund</t>
  </si>
  <si>
    <t>Norrenberger Investment &amp; Capital Management Limited</t>
  </si>
  <si>
    <t>BOND/FIXED INCOME FUNDS</t>
  </si>
  <si>
    <t>FBN Bond Fund (FBN Fixed Income Fund)</t>
  </si>
  <si>
    <t>Legacy Debt Fund</t>
  </si>
  <si>
    <t>NOVA Hybrid Balanced Fund</t>
  </si>
  <si>
    <t>Emerging Africa Balanced-Diversity Fund (Gender/Diversity)</t>
  </si>
  <si>
    <t>S/N</t>
  </si>
  <si>
    <t>Stanbic IBTC Asset Management Limited</t>
  </si>
  <si>
    <t xml:space="preserve">Nigerian Eurobond Fund </t>
  </si>
  <si>
    <t>Chapel Hill Denham Nigeria Bond Fund</t>
  </si>
  <si>
    <t>FBN Dollar Fund (Institutional)</t>
  </si>
  <si>
    <t>FBN Dollar Fund (Retail)</t>
  </si>
  <si>
    <t xml:space="preserve">AXA Mansard Investments Limited </t>
  </si>
  <si>
    <t>EDC Nigeria Fixed Income Fund</t>
  </si>
  <si>
    <t xml:space="preserve">Capital Trust Investments &amp; Asset Mgt. Ltd </t>
  </si>
  <si>
    <t xml:space="preserve">NET ASSET VALUE  (N) </t>
  </si>
  <si>
    <t>AXA Mansard Dollar Bond Fund</t>
  </si>
  <si>
    <t>CLOSING NUMBER OF UNITS</t>
  </si>
  <si>
    <t>OPENING NUMBER OF UNITS</t>
  </si>
  <si>
    <t>Capital Trust Halal Fixed Income Fund</t>
  </si>
  <si>
    <t>ADDITIONS</t>
  </si>
  <si>
    <t>REDEMPTIONS</t>
  </si>
  <si>
    <t>Zenith ESG Impact Fund</t>
  </si>
  <si>
    <t>Zenith Balanced Strategy Fund</t>
  </si>
  <si>
    <t>Cordros Fixed Income Fund</t>
  </si>
  <si>
    <t>Nigeria Entertainment Fund</t>
  </si>
  <si>
    <t>Wealth For Women Fund</t>
  </si>
  <si>
    <t>ARM Investment Managers</t>
  </si>
  <si>
    <t>ARM Short Term-Bond Fund</t>
  </si>
  <si>
    <t>75a</t>
  </si>
  <si>
    <t>75b</t>
  </si>
  <si>
    <t>Lotus Halal Fixed Income Fund</t>
  </si>
  <si>
    <t>SPREADSHEET OF REGISTERED MUTUAL FUNDS AS AT 30TH JUNE, 2022</t>
  </si>
  <si>
    <t>NET ASSET VALUE  (N) PREVIOUS MAY</t>
  </si>
  <si>
    <t>52,519,889.24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</si>
</sst>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&quot; &quot;* #,##0&quot; &quot;;&quot;-&quot;* #,##0&quot; &quot;;&quot; &quot;* &quot;-&quot;??&quot; &quot;"/>
    <numFmt numFmtId="166" formatCode="&quot; &quot;* #,##0.00&quot; &quot;;&quot;-&quot;* #,##0.00&quot; &quot;;&quot; &quot;* &quot;-&quot;??&quot; &quot;"/>
    <numFmt numFmtId="167" formatCode="&quot; &quot;* #,##0.00&quot; &quot;;&quot; &quot;* \(#,##0.00\);&quot; &quot;* &quot;-&quot;??&quot; &quot;"/>
    <numFmt numFmtId="168" formatCode="_-* #,##0_-;\-* #,##0_-;_-* &quot;-&quot;??_-;_-@_-"/>
  </numFmts>
  <fonts count="26" x14ac:knownFonts="1">
    <font>
      <sz val="11"/>
      <color indexed="8"/>
      <name val="Calibri"/>
    </font>
    <font>
      <b/>
      <sz val="12"/>
      <color indexed="8"/>
      <name val="Trebuchet MS"/>
      <family val="2"/>
    </font>
    <font>
      <sz val="12"/>
      <color indexed="8"/>
      <name val="Calibri"/>
      <family val="2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sz val="8"/>
      <color indexed="9"/>
      <name val="Trebuchet MS"/>
      <family val="2"/>
    </font>
    <font>
      <b/>
      <sz val="12"/>
      <color indexed="8"/>
      <name val="Calibri"/>
      <family val="2"/>
    </font>
    <font>
      <i/>
      <sz val="12"/>
      <color indexed="8"/>
      <name val="Arial Narrow"/>
      <family val="2"/>
    </font>
    <font>
      <sz val="11"/>
      <color indexed="8"/>
      <name val="Calibri"/>
      <family val="2"/>
    </font>
    <font>
      <b/>
      <sz val="8"/>
      <color rgb="FFFF0000"/>
      <name val="Trebuchet MS"/>
      <family val="2"/>
    </font>
    <font>
      <sz val="8"/>
      <name val="Trebuchet MS"/>
      <family val="2"/>
    </font>
    <font>
      <b/>
      <sz val="36"/>
      <color indexed="9"/>
      <name val="Trebuchet MS"/>
      <family val="2"/>
    </font>
    <font>
      <sz val="8"/>
      <color rgb="FFFF0000"/>
      <name val="Trebuchet MS"/>
      <family val="2"/>
    </font>
    <font>
      <b/>
      <sz val="10"/>
      <color indexed="8"/>
      <name val="Calibri"/>
      <family val="2"/>
    </font>
    <font>
      <sz val="10"/>
      <color indexed="8"/>
      <name val="Arial Narrow"/>
      <family val="2"/>
    </font>
    <font>
      <sz val="8"/>
      <name val="Calibri"/>
      <family val="2"/>
    </font>
    <font>
      <sz val="8"/>
      <color rgb="FF000000"/>
      <name val="Trebuchet MS"/>
      <family val="2"/>
    </font>
    <font>
      <sz val="11"/>
      <color rgb="FF000000"/>
      <name val="Calibri"/>
      <family val="2"/>
    </font>
    <font>
      <b/>
      <sz val="10"/>
      <color indexed="8"/>
      <name val="Trebuchet MS"/>
      <family val="2"/>
    </font>
    <font>
      <sz val="11"/>
      <color indexed="8"/>
      <name val="Calibri"/>
      <family val="2"/>
    </font>
    <font>
      <b/>
      <sz val="8"/>
      <name val="Trebuchet MS"/>
      <family val="2"/>
    </font>
    <font>
      <sz val="8"/>
      <color theme="1"/>
      <name val="Trebuchet MS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Times New Roman"/>
      <family val="1"/>
    </font>
    <font>
      <sz val="8"/>
      <color rgb="FF00B050"/>
      <name val="Trebuchet MS"/>
      <family val="2"/>
    </font>
  </fonts>
  <fills count="1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/>
    <xf numFmtId="43" fontId="8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98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/>
    <xf numFmtId="0" fontId="0" fillId="2" borderId="9" xfId="0" applyNumberFormat="1" applyFont="1" applyFill="1" applyBorder="1" applyAlignment="1"/>
    <xf numFmtId="0" fontId="0" fillId="2" borderId="10" xfId="0" applyNumberFormat="1" applyFont="1" applyFill="1" applyBorder="1" applyAlignment="1"/>
    <xf numFmtId="0" fontId="0" fillId="2" borderId="11" xfId="0" applyNumberFormat="1" applyFont="1" applyFill="1" applyBorder="1" applyAlignment="1"/>
    <xf numFmtId="0" fontId="0" fillId="0" borderId="0" xfId="0" applyNumberFormat="1" applyFont="1" applyAlignment="1"/>
    <xf numFmtId="0" fontId="0" fillId="2" borderId="12" xfId="0" applyNumberFormat="1" applyFont="1" applyFill="1" applyBorder="1" applyAlignment="1"/>
    <xf numFmtId="0" fontId="0" fillId="2" borderId="8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166" fontId="3" fillId="2" borderId="13" xfId="0" applyNumberFormat="1" applyFont="1" applyFill="1" applyBorder="1" applyAlignment="1"/>
    <xf numFmtId="4" fontId="3" fillId="2" borderId="13" xfId="0" applyNumberFormat="1" applyFont="1" applyFill="1" applyBorder="1" applyAlignment="1"/>
    <xf numFmtId="166" fontId="3" fillId="7" borderId="13" xfId="0" applyNumberFormat="1" applyFont="1" applyFill="1" applyBorder="1" applyAlignment="1">
      <alignment horizontal="left"/>
    </xf>
    <xf numFmtId="10" fontId="3" fillId="6" borderId="13" xfId="0" applyNumberFormat="1" applyFont="1" applyFill="1" applyBorder="1" applyAlignment="1"/>
    <xf numFmtId="10" fontId="3" fillId="4" borderId="13" xfId="0" applyNumberFormat="1" applyFont="1" applyFill="1" applyBorder="1" applyAlignment="1"/>
    <xf numFmtId="10" fontId="3" fillId="3" borderId="13" xfId="0" applyNumberFormat="1" applyFont="1" applyFill="1" applyBorder="1" applyAlignment="1">
      <alignment horizontal="right" vertical="center"/>
    </xf>
    <xf numFmtId="166" fontId="3" fillId="3" borderId="13" xfId="0" applyNumberFormat="1" applyFont="1" applyFill="1" applyBorder="1" applyAlignment="1">
      <alignment horizontal="right" vertical="center"/>
    </xf>
    <xf numFmtId="165" fontId="3" fillId="2" borderId="13" xfId="0" applyNumberFormat="1" applyFont="1" applyFill="1" applyBorder="1" applyAlignment="1"/>
    <xf numFmtId="166" fontId="3" fillId="2" borderId="13" xfId="0" applyNumberFormat="1" applyFont="1" applyFill="1" applyBorder="1" applyAlignment="1">
      <alignment horizontal="left"/>
    </xf>
    <xf numFmtId="0" fontId="3" fillId="2" borderId="13" xfId="0" applyNumberFormat="1" applyFont="1" applyFill="1" applyBorder="1" applyAlignment="1"/>
    <xf numFmtId="166" fontId="3" fillId="7" borderId="13" xfId="0" applyNumberFormat="1" applyFont="1" applyFill="1" applyBorder="1" applyAlignment="1"/>
    <xf numFmtId="165" fontId="3" fillId="2" borderId="13" xfId="0" applyNumberFormat="1" applyFont="1" applyFill="1" applyBorder="1" applyAlignment="1">
      <alignment horizontal="left"/>
    </xf>
    <xf numFmtId="10" fontId="5" fillId="3" borderId="13" xfId="0" applyNumberFormat="1" applyFont="1" applyFill="1" applyBorder="1" applyAlignment="1">
      <alignment horizontal="right" vertical="center"/>
    </xf>
    <xf numFmtId="166" fontId="5" fillId="3" borderId="13" xfId="0" applyNumberFormat="1" applyFont="1" applyFill="1" applyBorder="1" applyAlignment="1">
      <alignment horizontal="right" vertical="center"/>
    </xf>
    <xf numFmtId="166" fontId="4" fillId="2" borderId="13" xfId="0" applyNumberFormat="1" applyFont="1" applyFill="1" applyBorder="1" applyAlignment="1">
      <alignment vertical="top" wrapText="1"/>
    </xf>
    <xf numFmtId="49" fontId="4" fillId="2" borderId="13" xfId="0" applyNumberFormat="1" applyFont="1" applyFill="1" applyBorder="1" applyAlignment="1">
      <alignment horizontal="right"/>
    </xf>
    <xf numFmtId="166" fontId="4" fillId="2" borderId="13" xfId="0" applyNumberFormat="1" applyFont="1" applyFill="1" applyBorder="1" applyAlignment="1"/>
    <xf numFmtId="166" fontId="4" fillId="7" borderId="13" xfId="0" applyNumberFormat="1" applyFont="1" applyFill="1" applyBorder="1" applyAlignment="1"/>
    <xf numFmtId="10" fontId="4" fillId="4" borderId="13" xfId="0" applyNumberFormat="1" applyFont="1" applyFill="1" applyBorder="1" applyAlignment="1"/>
    <xf numFmtId="10" fontId="4" fillId="3" borderId="13" xfId="0" applyNumberFormat="1" applyFont="1" applyFill="1" applyBorder="1" applyAlignment="1">
      <alignment horizontal="right" vertical="center"/>
    </xf>
    <xf numFmtId="166" fontId="4" fillId="3" borderId="13" xfId="0" applyNumberFormat="1" applyFont="1" applyFill="1" applyBorder="1" applyAlignment="1">
      <alignment horizontal="right" vertical="center"/>
    </xf>
    <xf numFmtId="165" fontId="4" fillId="2" borderId="13" xfId="0" applyNumberFormat="1" applyFont="1" applyFill="1" applyBorder="1" applyAlignment="1"/>
    <xf numFmtId="0" fontId="3" fillId="4" borderId="13" xfId="0" applyNumberFormat="1" applyFont="1" applyFill="1" applyBorder="1" applyAlignment="1">
      <alignment vertical="top" wrapText="1"/>
    </xf>
    <xf numFmtId="3" fontId="3" fillId="2" borderId="13" xfId="0" applyNumberFormat="1" applyFont="1" applyFill="1" applyBorder="1" applyAlignment="1"/>
    <xf numFmtId="166" fontId="4" fillId="2" borderId="13" xfId="0" applyNumberFormat="1" applyFont="1" applyFill="1" applyBorder="1" applyAlignment="1">
      <alignment wrapText="1"/>
    </xf>
    <xf numFmtId="166" fontId="3" fillId="4" borderId="13" xfId="0" applyNumberFormat="1" applyFont="1" applyFill="1" applyBorder="1" applyAlignment="1"/>
    <xf numFmtId="10" fontId="3" fillId="4" borderId="13" xfId="0" applyNumberFormat="1" applyFont="1" applyFill="1" applyBorder="1" applyAlignment="1">
      <alignment horizontal="right" vertical="center"/>
    </xf>
    <xf numFmtId="166" fontId="3" fillId="4" borderId="13" xfId="0" applyNumberFormat="1" applyFont="1" applyFill="1" applyBorder="1" applyAlignment="1">
      <alignment horizontal="right" vertical="center"/>
    </xf>
    <xf numFmtId="166" fontId="5" fillId="2" borderId="13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right"/>
    </xf>
    <xf numFmtId="43" fontId="3" fillId="5" borderId="13" xfId="1" applyFont="1" applyFill="1" applyBorder="1" applyAlignment="1">
      <alignment horizontal="right"/>
    </xf>
    <xf numFmtId="10" fontId="9" fillId="9" borderId="13" xfId="0" applyNumberFormat="1" applyFont="1" applyFill="1" applyBorder="1" applyAlignment="1">
      <alignment horizontal="right" vertical="center"/>
    </xf>
    <xf numFmtId="166" fontId="3" fillId="0" borderId="13" xfId="0" applyNumberFormat="1" applyFont="1" applyFill="1" applyBorder="1" applyAlignment="1">
      <alignment horizontal="right"/>
    </xf>
    <xf numFmtId="166" fontId="3" fillId="0" borderId="13" xfId="0" applyNumberFormat="1" applyFont="1" applyFill="1" applyBorder="1" applyAlignment="1"/>
    <xf numFmtId="4" fontId="3" fillId="0" borderId="13" xfId="0" applyNumberFormat="1" applyFont="1" applyFill="1" applyBorder="1" applyAlignment="1"/>
    <xf numFmtId="166" fontId="3" fillId="0" borderId="13" xfId="0" applyNumberFormat="1" applyFont="1" applyFill="1" applyBorder="1" applyAlignment="1">
      <alignment horizontal="left"/>
    </xf>
    <xf numFmtId="166" fontId="4" fillId="0" borderId="13" xfId="0" applyNumberFormat="1" applyFont="1" applyFill="1" applyBorder="1" applyAlignment="1"/>
    <xf numFmtId="49" fontId="3" fillId="0" borderId="13" xfId="0" applyNumberFormat="1" applyFont="1" applyFill="1" applyBorder="1" applyAlignment="1"/>
    <xf numFmtId="49" fontId="3" fillId="0" borderId="13" xfId="0" applyNumberFormat="1" applyFont="1" applyFill="1" applyBorder="1" applyAlignment="1">
      <alignment wrapText="1"/>
    </xf>
    <xf numFmtId="10" fontId="12" fillId="9" borderId="13" xfId="0" applyNumberFormat="1" applyFont="1" applyFill="1" applyBorder="1" applyAlignment="1">
      <alignment horizontal="right" vertical="center"/>
    </xf>
    <xf numFmtId="49" fontId="3" fillId="0" borderId="13" xfId="0" applyNumberFormat="1" applyFont="1" applyFill="1" applyBorder="1" applyAlignment="1">
      <alignment vertical="center" wrapText="1"/>
    </xf>
    <xf numFmtId="49" fontId="10" fillId="0" borderId="13" xfId="0" applyNumberFormat="1" applyFont="1" applyFill="1" applyBorder="1" applyAlignment="1"/>
    <xf numFmtId="0" fontId="0" fillId="9" borderId="0" xfId="0" applyNumberFormat="1" applyFont="1" applyFill="1" applyAlignment="1"/>
    <xf numFmtId="0" fontId="0" fillId="9" borderId="0" xfId="0" applyFont="1" applyFill="1" applyAlignment="1"/>
    <xf numFmtId="0" fontId="3" fillId="2" borderId="4" xfId="0" applyNumberFormat="1" applyFont="1" applyFill="1" applyBorder="1" applyAlignment="1"/>
    <xf numFmtId="0" fontId="3" fillId="0" borderId="0" xfId="0" applyNumberFormat="1" applyFont="1" applyAlignment="1"/>
    <xf numFmtId="0" fontId="3" fillId="0" borderId="0" xfId="0" applyFont="1" applyAlignment="1"/>
    <xf numFmtId="4" fontId="3" fillId="2" borderId="13" xfId="0" applyNumberFormat="1" applyFont="1" applyFill="1" applyBorder="1" applyAlignment="1">
      <alignment horizontal="right"/>
    </xf>
    <xf numFmtId="10" fontId="3" fillId="12" borderId="13" xfId="0" applyNumberFormat="1" applyFont="1" applyFill="1" applyBorder="1" applyAlignment="1"/>
    <xf numFmtId="10" fontId="3" fillId="10" borderId="13" xfId="0" applyNumberFormat="1" applyFont="1" applyFill="1" applyBorder="1" applyAlignment="1">
      <alignment horizontal="right" vertical="center"/>
    </xf>
    <xf numFmtId="166" fontId="3" fillId="10" borderId="13" xfId="0" applyNumberFormat="1" applyFont="1" applyFill="1" applyBorder="1" applyAlignment="1">
      <alignment horizontal="right" vertical="center"/>
    </xf>
    <xf numFmtId="43" fontId="3" fillId="0" borderId="13" xfId="1" applyFont="1" applyFill="1" applyBorder="1" applyAlignment="1"/>
    <xf numFmtId="0" fontId="8" fillId="0" borderId="0" xfId="0" applyNumberFormat="1" applyFont="1" applyAlignment="1"/>
    <xf numFmtId="49" fontId="5" fillId="0" borderId="13" xfId="0" applyNumberFormat="1" applyFont="1" applyFill="1" applyBorder="1" applyAlignment="1">
      <alignment vertical="center" wrapText="1"/>
    </xf>
    <xf numFmtId="43" fontId="3" fillId="2" borderId="13" xfId="1" applyFont="1" applyFill="1" applyBorder="1" applyAlignment="1"/>
    <xf numFmtId="166" fontId="4" fillId="0" borderId="13" xfId="0" applyNumberFormat="1" applyFont="1" applyFill="1" applyBorder="1" applyAlignment="1">
      <alignment vertical="top" wrapText="1"/>
    </xf>
    <xf numFmtId="49" fontId="4" fillId="0" borderId="13" xfId="0" applyNumberFormat="1" applyFont="1" applyFill="1" applyBorder="1" applyAlignment="1">
      <alignment horizontal="right"/>
    </xf>
    <xf numFmtId="166" fontId="3" fillId="12" borderId="13" xfId="0" applyNumberFormat="1" applyFont="1" applyFill="1" applyBorder="1" applyAlignment="1"/>
    <xf numFmtId="166" fontId="3" fillId="7" borderId="13" xfId="0" applyNumberFormat="1" applyFont="1" applyFill="1" applyBorder="1"/>
    <xf numFmtId="0" fontId="17" fillId="13" borderId="4" xfId="0" applyFont="1" applyFill="1" applyBorder="1" applyAlignment="1"/>
    <xf numFmtId="0" fontId="17" fillId="0" borderId="4" xfId="0" applyFont="1" applyBorder="1" applyAlignment="1"/>
    <xf numFmtId="43" fontId="4" fillId="2" borderId="13" xfId="1" applyFont="1" applyFill="1" applyBorder="1" applyAlignment="1"/>
    <xf numFmtId="43" fontId="3" fillId="2" borderId="13" xfId="1" applyFont="1" applyFill="1" applyBorder="1" applyAlignment="1">
      <alignment horizontal="right"/>
    </xf>
    <xf numFmtId="49" fontId="3" fillId="16" borderId="13" xfId="0" applyNumberFormat="1" applyFont="1" applyFill="1" applyBorder="1" applyAlignment="1"/>
    <xf numFmtId="10" fontId="9" fillId="6" borderId="13" xfId="0" applyNumberFormat="1" applyFont="1" applyFill="1" applyBorder="1" applyAlignment="1"/>
    <xf numFmtId="166" fontId="4" fillId="16" borderId="13" xfId="0" applyNumberFormat="1" applyFont="1" applyFill="1" applyBorder="1" applyAlignment="1">
      <alignment wrapText="1"/>
    </xf>
    <xf numFmtId="166" fontId="3" fillId="17" borderId="13" xfId="0" applyNumberFormat="1" applyFont="1" applyFill="1" applyBorder="1" applyAlignment="1"/>
    <xf numFmtId="10" fontId="3" fillId="17" borderId="13" xfId="0" applyNumberFormat="1" applyFont="1" applyFill="1" applyBorder="1" applyAlignment="1"/>
    <xf numFmtId="10" fontId="9" fillId="17" borderId="13" xfId="0" applyNumberFormat="1" applyFont="1" applyFill="1" applyBorder="1" applyAlignment="1">
      <alignment horizontal="right" vertical="center"/>
    </xf>
    <xf numFmtId="10" fontId="3" fillId="17" borderId="13" xfId="0" applyNumberFormat="1" applyFont="1" applyFill="1" applyBorder="1" applyAlignment="1">
      <alignment horizontal="right" vertical="center"/>
    </xf>
    <xf numFmtId="166" fontId="3" fillId="17" borderId="13" xfId="0" applyNumberFormat="1" applyFont="1" applyFill="1" applyBorder="1" applyAlignment="1">
      <alignment horizontal="right" vertical="center"/>
    </xf>
    <xf numFmtId="3" fontId="3" fillId="17" borderId="13" xfId="0" applyNumberFormat="1" applyFont="1" applyFill="1" applyBorder="1" applyAlignment="1"/>
    <xf numFmtId="10" fontId="12" fillId="17" borderId="13" xfId="0" applyNumberFormat="1" applyFont="1" applyFill="1" applyBorder="1" applyAlignment="1">
      <alignment horizontal="right" vertical="center"/>
    </xf>
    <xf numFmtId="165" fontId="3" fillId="17" borderId="13" xfId="0" applyNumberFormat="1" applyFont="1" applyFill="1" applyBorder="1" applyAlignment="1"/>
    <xf numFmtId="9" fontId="12" fillId="9" borderId="13" xfId="2" applyFont="1" applyFill="1" applyBorder="1" applyAlignment="1">
      <alignment horizontal="right" vertical="center"/>
    </xf>
    <xf numFmtId="49" fontId="1" fillId="3" borderId="13" xfId="0" applyNumberFormat="1" applyFont="1" applyFill="1" applyBorder="1" applyAlignment="1">
      <alignment horizontal="center" vertical="top" wrapText="1"/>
    </xf>
    <xf numFmtId="0" fontId="4" fillId="4" borderId="13" xfId="0" applyNumberFormat="1" applyFont="1" applyFill="1" applyBorder="1" applyAlignment="1">
      <alignment vertical="top" wrapText="1"/>
    </xf>
    <xf numFmtId="10" fontId="12" fillId="14" borderId="13" xfId="0" applyNumberFormat="1" applyFont="1" applyFill="1" applyBorder="1" applyAlignment="1">
      <alignment horizontal="right" vertical="center"/>
    </xf>
    <xf numFmtId="10" fontId="16" fillId="15" borderId="13" xfId="0" applyNumberFormat="1" applyFont="1" applyFill="1" applyBorder="1" applyAlignment="1">
      <alignment horizontal="right" vertical="center"/>
    </xf>
    <xf numFmtId="166" fontId="16" fillId="15" borderId="13" xfId="0" applyNumberFormat="1" applyFont="1" applyFill="1" applyBorder="1" applyAlignment="1">
      <alignment horizontal="right" vertical="center"/>
    </xf>
    <xf numFmtId="0" fontId="20" fillId="17" borderId="13" xfId="0" applyFont="1" applyFill="1" applyBorder="1" applyAlignment="1">
      <alignment wrapText="1"/>
    </xf>
    <xf numFmtId="168" fontId="4" fillId="2" borderId="13" xfId="1" applyNumberFormat="1" applyFont="1" applyFill="1" applyBorder="1" applyAlignment="1"/>
    <xf numFmtId="0" fontId="0" fillId="16" borderId="4" xfId="0" applyNumberFormat="1" applyFont="1" applyFill="1" applyBorder="1" applyAlignment="1"/>
    <xf numFmtId="0" fontId="0" fillId="16" borderId="0" xfId="0" applyNumberFormat="1" applyFont="1" applyFill="1" applyAlignment="1"/>
    <xf numFmtId="0" fontId="0" fillId="0" borderId="13" xfId="0" applyNumberFormat="1" applyFont="1" applyBorder="1" applyAlignment="1"/>
    <xf numFmtId="0" fontId="13" fillId="2" borderId="4" xfId="0" applyNumberFormat="1" applyFont="1" applyFill="1" applyBorder="1" applyAlignment="1"/>
    <xf numFmtId="0" fontId="14" fillId="2" borderId="4" xfId="0" applyNumberFormat="1" applyFont="1" applyFill="1" applyBorder="1" applyAlignment="1"/>
    <xf numFmtId="0" fontId="7" fillId="2" borderId="4" xfId="0" applyNumberFormat="1" applyFont="1" applyFill="1" applyBorder="1" applyAlignment="1"/>
    <xf numFmtId="4" fontId="4" fillId="0" borderId="4" xfId="0" applyNumberFormat="1" applyFont="1" applyBorder="1" applyAlignment="1"/>
    <xf numFmtId="166" fontId="2" fillId="2" borderId="4" xfId="0" applyNumberFormat="1" applyFont="1" applyFill="1" applyBorder="1" applyAlignment="1"/>
    <xf numFmtId="167" fontId="2" fillId="2" borderId="4" xfId="0" applyNumberFormat="1" applyFont="1" applyFill="1" applyBorder="1" applyAlignment="1"/>
    <xf numFmtId="0" fontId="6" fillId="2" borderId="4" xfId="0" applyNumberFormat="1" applyFont="1" applyFill="1" applyBorder="1" applyAlignment="1"/>
    <xf numFmtId="4" fontId="0" fillId="2" borderId="4" xfId="0" applyNumberFormat="1" applyFont="1" applyFill="1" applyBorder="1" applyAlignment="1"/>
    <xf numFmtId="10" fontId="3" fillId="9" borderId="13" xfId="0" applyNumberFormat="1" applyFont="1" applyFill="1" applyBorder="1" applyAlignment="1"/>
    <xf numFmtId="2" fontId="3" fillId="0" borderId="13" xfId="0" applyNumberFormat="1" applyFont="1" applyFill="1" applyBorder="1" applyAlignment="1"/>
    <xf numFmtId="165" fontId="3" fillId="0" borderId="13" xfId="0" applyNumberFormat="1" applyFont="1" applyFill="1" applyBorder="1" applyAlignment="1"/>
    <xf numFmtId="166" fontId="21" fillId="2" borderId="13" xfId="0" applyNumberFormat="1" applyFont="1" applyFill="1" applyBorder="1" applyAlignment="1">
      <alignment horizontal="left"/>
    </xf>
    <xf numFmtId="43" fontId="3" fillId="5" borderId="13" xfId="1" applyFont="1" applyFill="1" applyBorder="1" applyAlignment="1"/>
    <xf numFmtId="166" fontId="3" fillId="16" borderId="13" xfId="0" applyNumberFormat="1" applyFont="1" applyFill="1" applyBorder="1" applyAlignment="1"/>
    <xf numFmtId="2" fontId="3" fillId="16" borderId="13" xfId="0" applyNumberFormat="1" applyFont="1" applyFill="1" applyBorder="1" applyAlignment="1"/>
    <xf numFmtId="165" fontId="3" fillId="16" borderId="13" xfId="0" applyNumberFormat="1" applyFont="1" applyFill="1" applyBorder="1" applyAlignment="1"/>
    <xf numFmtId="4" fontId="3" fillId="16" borderId="13" xfId="0" applyNumberFormat="1" applyFont="1" applyFill="1" applyBorder="1" applyAlignment="1"/>
    <xf numFmtId="166" fontId="5" fillId="2" borderId="13" xfId="0" applyNumberFormat="1" applyFont="1" applyFill="1" applyBorder="1" applyAlignment="1"/>
    <xf numFmtId="165" fontId="5" fillId="2" borderId="13" xfId="0" applyNumberFormat="1" applyFont="1" applyFill="1" applyBorder="1" applyAlignment="1"/>
    <xf numFmtId="166" fontId="4" fillId="7" borderId="13" xfId="0" applyNumberFormat="1" applyFont="1" applyFill="1" applyBorder="1"/>
    <xf numFmtId="166" fontId="4" fillId="7" borderId="13" xfId="0" applyNumberFormat="1" applyFont="1" applyFill="1" applyBorder="1" applyAlignment="1">
      <alignment horizontal="left"/>
    </xf>
    <xf numFmtId="164" fontId="3" fillId="2" borderId="13" xfId="0" applyNumberFormat="1" applyFont="1" applyFill="1" applyBorder="1" applyAlignment="1"/>
    <xf numFmtId="43" fontId="1" fillId="3" borderId="13" xfId="1" applyFont="1" applyFill="1" applyBorder="1" applyAlignment="1">
      <alignment horizontal="center" vertical="top" wrapText="1"/>
    </xf>
    <xf numFmtId="43" fontId="4" fillId="4" borderId="13" xfId="1" applyFont="1" applyFill="1" applyBorder="1" applyAlignment="1">
      <alignment vertical="top" wrapText="1"/>
    </xf>
    <xf numFmtId="43" fontId="3" fillId="4" borderId="13" xfId="1" applyFont="1" applyFill="1" applyBorder="1" applyAlignment="1">
      <alignment vertical="top" wrapText="1"/>
    </xf>
    <xf numFmtId="43" fontId="3" fillId="4" borderId="13" xfId="1" applyFont="1" applyFill="1" applyBorder="1" applyAlignment="1"/>
    <xf numFmtId="43" fontId="3" fillId="17" borderId="13" xfId="1" applyFont="1" applyFill="1" applyBorder="1" applyAlignment="1"/>
    <xf numFmtId="43" fontId="3" fillId="5" borderId="13" xfId="1" applyFont="1" applyFill="1" applyBorder="1" applyAlignment="1">
      <alignment horizontal="left"/>
    </xf>
    <xf numFmtId="43" fontId="3" fillId="11" borderId="13" xfId="1" applyFont="1" applyFill="1" applyBorder="1" applyAlignment="1"/>
    <xf numFmtId="43" fontId="0" fillId="2" borderId="4" xfId="1" applyFont="1" applyFill="1" applyBorder="1" applyAlignment="1"/>
    <xf numFmtId="43" fontId="0" fillId="0" borderId="0" xfId="1" applyFont="1" applyAlignment="1"/>
    <xf numFmtId="49" fontId="16" fillId="0" borderId="13" xfId="0" applyNumberFormat="1" applyFont="1" applyFill="1" applyBorder="1" applyAlignment="1">
      <alignment wrapText="1"/>
    </xf>
    <xf numFmtId="166" fontId="3" fillId="2" borderId="13" xfId="0" applyNumberFormat="1" applyFont="1" applyFill="1" applyBorder="1" applyAlignment="1">
      <alignment horizontal="left" wrapText="1"/>
    </xf>
    <xf numFmtId="166" fontId="16" fillId="13" borderId="13" xfId="0" applyNumberFormat="1" applyFont="1" applyFill="1" applyBorder="1" applyAlignment="1">
      <alignment horizontal="left"/>
    </xf>
    <xf numFmtId="2" fontId="3" fillId="2" borderId="13" xfId="0" applyNumberFormat="1" applyFont="1" applyFill="1" applyBorder="1" applyAlignment="1">
      <alignment horizontal="right"/>
    </xf>
    <xf numFmtId="166" fontId="5" fillId="5" borderId="13" xfId="0" applyNumberFormat="1" applyFont="1" applyFill="1" applyBorder="1" applyAlignment="1"/>
    <xf numFmtId="3" fontId="22" fillId="0" borderId="13" xfId="0" applyNumberFormat="1" applyFont="1" applyBorder="1" applyAlignment="1"/>
    <xf numFmtId="4" fontId="22" fillId="0" borderId="13" xfId="0" applyNumberFormat="1" applyFont="1" applyBorder="1" applyAlignment="1"/>
    <xf numFmtId="4" fontId="3" fillId="0" borderId="13" xfId="0" applyNumberFormat="1" applyFont="1" applyBorder="1" applyAlignment="1"/>
    <xf numFmtId="49" fontId="10" fillId="0" borderId="13" xfId="0" applyNumberFormat="1" applyFont="1" applyFill="1" applyBorder="1" applyAlignment="1">
      <alignment wrapText="1"/>
    </xf>
    <xf numFmtId="0" fontId="4" fillId="2" borderId="13" xfId="0" applyNumberFormat="1" applyFont="1" applyFill="1" applyBorder="1" applyAlignment="1"/>
    <xf numFmtId="166" fontId="4" fillId="2" borderId="13" xfId="0" applyNumberFormat="1" applyFont="1" applyFill="1" applyBorder="1" applyAlignment="1">
      <alignment horizontal="left"/>
    </xf>
    <xf numFmtId="0" fontId="8" fillId="2" borderId="4" xfId="0" applyNumberFormat="1" applyFont="1" applyFill="1" applyBorder="1" applyAlignment="1"/>
    <xf numFmtId="0" fontId="8" fillId="0" borderId="0" xfId="0" applyFont="1" applyAlignment="1"/>
    <xf numFmtId="0" fontId="3" fillId="0" borderId="13" xfId="0" applyFont="1" applyFill="1" applyBorder="1" applyAlignment="1"/>
    <xf numFmtId="43" fontId="3" fillId="0" borderId="13" xfId="1" applyFont="1" applyFill="1" applyBorder="1" applyAlignment="1">
      <alignment horizontal="right"/>
    </xf>
    <xf numFmtId="166" fontId="3" fillId="2" borderId="13" xfId="0" applyNumberFormat="1" applyFont="1" applyFill="1" applyBorder="1" applyAlignment="1">
      <alignment horizontal="right"/>
    </xf>
    <xf numFmtId="166" fontId="16" fillId="0" borderId="13" xfId="0" applyNumberFormat="1" applyFont="1" applyBorder="1" applyAlignment="1"/>
    <xf numFmtId="1" fontId="3" fillId="0" borderId="13" xfId="0" applyNumberFormat="1" applyFont="1" applyFill="1" applyBorder="1" applyAlignment="1"/>
    <xf numFmtId="166" fontId="3" fillId="4" borderId="13" xfId="0" applyNumberFormat="1" applyFont="1" applyFill="1" applyBorder="1"/>
    <xf numFmtId="166" fontId="3" fillId="17" borderId="13" xfId="0" applyNumberFormat="1" applyFont="1" applyFill="1" applyBorder="1"/>
    <xf numFmtId="0" fontId="0" fillId="2" borderId="4" xfId="0" applyNumberFormat="1" applyFill="1" applyBorder="1"/>
    <xf numFmtId="166" fontId="2" fillId="2" borderId="4" xfId="0" applyNumberFormat="1" applyFont="1" applyFill="1" applyBorder="1"/>
    <xf numFmtId="0" fontId="0" fillId="0" borderId="0" xfId="0" applyNumberFormat="1"/>
    <xf numFmtId="3" fontId="3" fillId="0" borderId="13" xfId="0" applyNumberFormat="1" applyFont="1" applyFill="1" applyBorder="1" applyAlignment="1"/>
    <xf numFmtId="166" fontId="3" fillId="11" borderId="13" xfId="0" applyNumberFormat="1" applyFont="1" applyFill="1" applyBorder="1" applyAlignment="1"/>
    <xf numFmtId="49" fontId="3" fillId="0" borderId="13" xfId="0" applyNumberFormat="1" applyFont="1" applyFill="1" applyBorder="1" applyAlignment="1">
      <alignment vertical="top" wrapText="1"/>
    </xf>
    <xf numFmtId="43" fontId="0" fillId="0" borderId="0" xfId="0" applyNumberFormat="1" applyFont="1" applyAlignment="1"/>
    <xf numFmtId="49" fontId="12" fillId="0" borderId="13" xfId="0" applyNumberFormat="1" applyFont="1" applyFill="1" applyBorder="1" applyAlignment="1">
      <alignment vertical="center" wrapText="1"/>
    </xf>
    <xf numFmtId="49" fontId="3" fillId="16" borderId="13" xfId="0" applyNumberFormat="1" applyFont="1" applyFill="1" applyBorder="1" applyAlignment="1">
      <alignment wrapText="1"/>
    </xf>
    <xf numFmtId="49" fontId="10" fillId="16" borderId="13" xfId="0" applyNumberFormat="1" applyFont="1" applyFill="1" applyBorder="1" applyAlignment="1">
      <alignment wrapText="1"/>
    </xf>
    <xf numFmtId="49" fontId="10" fillId="0" borderId="13" xfId="0" applyNumberFormat="1" applyFont="1" applyFill="1" applyBorder="1" applyAlignment="1">
      <alignment vertical="center" wrapText="1"/>
    </xf>
    <xf numFmtId="49" fontId="3" fillId="16" borderId="13" xfId="0" applyNumberFormat="1" applyFont="1" applyFill="1" applyBorder="1" applyAlignment="1">
      <alignment vertical="center" wrapText="1"/>
    </xf>
    <xf numFmtId="49" fontId="25" fillId="0" borderId="13" xfId="0" applyNumberFormat="1" applyFont="1" applyFill="1" applyBorder="1" applyAlignment="1">
      <alignment wrapText="1"/>
    </xf>
    <xf numFmtId="0" fontId="0" fillId="0" borderId="4" xfId="0" applyNumberFormat="1" applyFont="1" applyBorder="1" applyAlignment="1"/>
    <xf numFmtId="165" fontId="10" fillId="0" borderId="13" xfId="0" applyNumberFormat="1" applyFont="1" applyFill="1" applyBorder="1" applyAlignment="1">
      <alignment horizontal="center" wrapText="1"/>
    </xf>
    <xf numFmtId="165" fontId="12" fillId="0" borderId="13" xfId="0" applyNumberFormat="1" applyFont="1" applyFill="1" applyBorder="1" applyAlignment="1">
      <alignment horizontal="center" wrapText="1"/>
    </xf>
    <xf numFmtId="165" fontId="4" fillId="2" borderId="13" xfId="0" applyNumberFormat="1" applyFont="1" applyFill="1" applyBorder="1" applyAlignment="1">
      <alignment horizontal="center"/>
    </xf>
    <xf numFmtId="4" fontId="23" fillId="0" borderId="13" xfId="0" applyNumberFormat="1" applyFont="1" applyBorder="1" applyAlignment="1"/>
    <xf numFmtId="49" fontId="4" fillId="16" borderId="13" xfId="0" applyNumberFormat="1" applyFont="1" applyFill="1" applyBorder="1" applyAlignment="1">
      <alignment horizontal="center" wrapText="1"/>
    </xf>
    <xf numFmtId="3" fontId="24" fillId="0" borderId="13" xfId="0" applyNumberFormat="1" applyFont="1" applyBorder="1" applyAlignment="1"/>
    <xf numFmtId="165" fontId="10" fillId="0" borderId="13" xfId="0" applyNumberFormat="1" applyFont="1" applyFill="1" applyBorder="1" applyAlignment="1">
      <alignment horizontal="right" wrapText="1"/>
    </xf>
    <xf numFmtId="43" fontId="0" fillId="0" borderId="13" xfId="1" applyFont="1" applyBorder="1" applyAlignment="1"/>
    <xf numFmtId="165" fontId="3" fillId="0" borderId="13" xfId="0" applyNumberFormat="1" applyFont="1" applyFill="1" applyBorder="1" applyAlignment="1">
      <alignment horizontal="center" wrapText="1"/>
    </xf>
    <xf numFmtId="165" fontId="4" fillId="0" borderId="13" xfId="0" applyNumberFormat="1" applyFont="1" applyFill="1" applyBorder="1" applyAlignment="1">
      <alignment horizontal="center" wrapText="1"/>
    </xf>
    <xf numFmtId="165" fontId="25" fillId="0" borderId="13" xfId="0" applyNumberFormat="1" applyFont="1" applyFill="1" applyBorder="1" applyAlignment="1">
      <alignment horizontal="center" wrapText="1"/>
    </xf>
    <xf numFmtId="165" fontId="4" fillId="2" borderId="13" xfId="0" applyNumberFormat="1" applyFont="1" applyFill="1" applyBorder="1" applyAlignment="1">
      <alignment horizontal="center" wrapText="1"/>
    </xf>
    <xf numFmtId="0" fontId="8" fillId="0" borderId="13" xfId="0" applyFont="1" applyBorder="1" applyAlignment="1"/>
    <xf numFmtId="3" fontId="8" fillId="0" borderId="13" xfId="0" applyNumberFormat="1" applyFont="1" applyBorder="1" applyAlignment="1"/>
    <xf numFmtId="4" fontId="0" fillId="0" borderId="13" xfId="0" applyNumberFormat="1" applyFont="1" applyBorder="1" applyAlignment="1"/>
    <xf numFmtId="165" fontId="3" fillId="16" borderId="13" xfId="0" applyNumberFormat="1" applyFont="1" applyFill="1" applyBorder="1" applyAlignment="1">
      <alignment horizontal="center" wrapText="1"/>
    </xf>
    <xf numFmtId="165" fontId="3" fillId="0" borderId="13" xfId="0" applyNumberFormat="1" applyFont="1" applyFill="1" applyBorder="1" applyAlignment="1">
      <alignment horizontal="center"/>
    </xf>
    <xf numFmtId="165" fontId="3" fillId="8" borderId="13" xfId="0" applyNumberFormat="1" applyFont="1" applyFill="1" applyBorder="1" applyAlignment="1">
      <alignment horizontal="center" wrapText="1"/>
    </xf>
    <xf numFmtId="166" fontId="3" fillId="8" borderId="13" xfId="0" applyNumberFormat="1" applyFont="1" applyFill="1" applyBorder="1" applyAlignment="1">
      <alignment wrapText="1"/>
    </xf>
    <xf numFmtId="49" fontId="4" fillId="8" borderId="13" xfId="0" applyNumberFormat="1" applyFont="1" applyFill="1" applyBorder="1" applyAlignment="1">
      <alignment horizontal="right"/>
    </xf>
    <xf numFmtId="166" fontId="4" fillId="8" borderId="13" xfId="0" applyNumberFormat="1" applyFont="1" applyFill="1" applyBorder="1" applyAlignment="1"/>
    <xf numFmtId="166" fontId="4" fillId="8" borderId="13" xfId="0" applyNumberFormat="1" applyFont="1" applyFill="1" applyBorder="1"/>
    <xf numFmtId="10" fontId="4" fillId="6" borderId="13" xfId="0" applyNumberFormat="1" applyFont="1" applyFill="1" applyBorder="1" applyAlignment="1"/>
    <xf numFmtId="165" fontId="4" fillId="8" borderId="13" xfId="0" applyNumberFormat="1" applyFont="1" applyFill="1" applyBorder="1" applyAlignment="1"/>
    <xf numFmtId="0" fontId="20" fillId="17" borderId="13" xfId="0" applyFont="1" applyFill="1" applyBorder="1" applyAlignment="1">
      <alignment horizontal="center" wrapText="1"/>
    </xf>
    <xf numFmtId="49" fontId="18" fillId="4" borderId="13" xfId="0" applyNumberFormat="1" applyFont="1" applyFill="1" applyBorder="1" applyAlignment="1">
      <alignment horizontal="center" vertical="top" wrapText="1"/>
    </xf>
    <xf numFmtId="49" fontId="11" fillId="2" borderId="13" xfId="0" applyNumberFormat="1" applyFont="1" applyFill="1" applyBorder="1" applyAlignment="1">
      <alignment horizontal="center"/>
    </xf>
    <xf numFmtId="0" fontId="11" fillId="2" borderId="13" xfId="0" applyNumberFormat="1" applyFont="1" applyFill="1" applyBorder="1" applyAlignment="1">
      <alignment horizontal="center"/>
    </xf>
    <xf numFmtId="166" fontId="4" fillId="17" borderId="13" xfId="0" applyNumberFormat="1" applyFont="1" applyFill="1" applyBorder="1" applyAlignment="1">
      <alignment horizontal="center" wrapText="1"/>
    </xf>
    <xf numFmtId="49" fontId="18" fillId="12" borderId="13" xfId="0" applyNumberFormat="1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B6DDE8"/>
      <rgbColor rgb="FFFFFF00"/>
      <rgbColor rgb="FF95B3D7"/>
      <rgbColor rgb="FFFDE9D9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% MARKET SHARE TO TOTAL NAV AS AT JUNE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[1]Sheet1!$E$42</c:f>
              <c:strCache>
                <c:ptCount val="1"/>
                <c:pt idx="0">
                  <c:v>NET ASSET VALUE JUNE '22 (#BN)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1E-4C27-9846-DEA8A3CAA84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1E-4C27-9846-DEA8A3CAA84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1E-4C27-9846-DEA8A3CAA84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1E-4C27-9846-DEA8A3CAA84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1E-4C27-9846-DEA8A3CAA84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01E-4C27-9846-DEA8A3CAA84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01E-4C27-9846-DEA8A3CAA841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01E-4C27-9846-DEA8A3CAA8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[1]Sheet1!$B$43:$B$50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BOND/FIXED INCOME FUNDS</c:v>
                </c:pt>
                <c:pt idx="3">
                  <c:v>DOLLAR FUNDS</c:v>
                </c:pt>
                <c:pt idx="4">
                  <c:v>REAL ESTATE FUNDS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COMPLIANT FUNDS</c:v>
                </c:pt>
              </c:strCache>
            </c:strRef>
          </c:cat>
          <c:val>
            <c:numRef>
              <c:f>[1]Sheet1!$E$43:$E$50</c:f>
              <c:numCache>
                <c:formatCode>General</c:formatCode>
                <c:ptCount val="8"/>
                <c:pt idx="0">
                  <c:v>16.722035932007099</c:v>
                </c:pt>
                <c:pt idx="1">
                  <c:v>582.29697602114004</c:v>
                </c:pt>
                <c:pt idx="2">
                  <c:v>407.2643945735</c:v>
                </c:pt>
                <c:pt idx="3">
                  <c:v>284.29933608286797</c:v>
                </c:pt>
                <c:pt idx="4">
                  <c:v>45.45394623944</c:v>
                </c:pt>
                <c:pt idx="5">
                  <c:v>30.875959679520001</c:v>
                </c:pt>
                <c:pt idx="6">
                  <c:v>2.94843392218</c:v>
                </c:pt>
                <c:pt idx="7">
                  <c:v>18.891252610590001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01E-4C27-9846-DEA8A3CAA84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UNIT HOLDERS AS AT JUNE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[1]Sheet1!$E$25</c:f>
              <c:strCache>
                <c:ptCount val="1"/>
                <c:pt idx="0">
                  <c:v>JUNE '22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55-4D94-8D60-1EF73076215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55-4D94-8D60-1EF73076215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55-4D94-8D60-1EF730762153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55-4D94-8D60-1EF730762153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55-4D94-8D60-1EF730762153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055-4D94-8D60-1EF73076215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055-4D94-8D60-1EF730762153}"/>
              </c:ext>
            </c:extLst>
          </c:dPt>
          <c:cat>
            <c:strRef>
              <c:f>[1]Sheet1!$B$26:$B$33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BOND/FIXED INCOME FUNDS</c:v>
                </c:pt>
                <c:pt idx="3">
                  <c:v>DOLLAR FUNDS</c:v>
                </c:pt>
                <c:pt idx="4">
                  <c:v>REAL ESTATE FUNDS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COMPLIANT FUNDS</c:v>
                </c:pt>
              </c:strCache>
            </c:strRef>
          </c:cat>
          <c:val>
            <c:numRef>
              <c:f>[1]Sheet1!$E$26:$E$33</c:f>
              <c:numCache>
                <c:formatCode>General</c:formatCode>
                <c:ptCount val="8"/>
                <c:pt idx="0">
                  <c:v>42181</c:v>
                </c:pt>
                <c:pt idx="1">
                  <c:v>700158</c:v>
                </c:pt>
                <c:pt idx="2">
                  <c:v>46859</c:v>
                </c:pt>
                <c:pt idx="3">
                  <c:v>9394</c:v>
                </c:pt>
                <c:pt idx="4">
                  <c:v>36858</c:v>
                </c:pt>
                <c:pt idx="5">
                  <c:v>47243</c:v>
                </c:pt>
                <c:pt idx="6">
                  <c:v>11226</c:v>
                </c:pt>
                <c:pt idx="7">
                  <c:v>17457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055-4D94-8D60-1EF730762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24211072"/>
        <c:axId val="1124201088"/>
      </c:barChart>
      <c:catAx>
        <c:axId val="1124211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201088"/>
        <c:crosses val="autoZero"/>
        <c:auto val="1"/>
        <c:lblAlgn val="ctr"/>
        <c:lblOffset val="100"/>
        <c:noMultiLvlLbl val="0"/>
      </c:catAx>
      <c:valAx>
        <c:axId val="1124201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21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95250</xdr:colOff>
      <xdr:row>24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47624</xdr:colOff>
      <xdr:row>24</xdr:row>
      <xdr:rowOff>23812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23812</xdr:colOff>
      <xdr:row>22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53437" cy="419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NAV%20June%202022-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E25" t="str">
            <v xml:space="preserve">JUNE '22 </v>
          </cell>
        </row>
        <row r="26">
          <cell r="B26" t="str">
            <v>EQUITY BASED FUNDS</v>
          </cell>
          <cell r="E26">
            <v>42181</v>
          </cell>
        </row>
        <row r="27">
          <cell r="B27" t="str">
            <v>MONEY MARKET FUNDS</v>
          </cell>
          <cell r="E27">
            <v>700158</v>
          </cell>
        </row>
        <row r="28">
          <cell r="B28" t="str">
            <v>BOND/FIXED INCOME FUNDS</v>
          </cell>
          <cell r="E28">
            <v>46859</v>
          </cell>
        </row>
        <row r="29">
          <cell r="B29" t="str">
            <v>DOLLAR FUNDS</v>
          </cell>
          <cell r="E29">
            <v>9394</v>
          </cell>
        </row>
        <row r="30">
          <cell r="B30" t="str">
            <v>REAL ESTATE FUNDS</v>
          </cell>
          <cell r="E30">
            <v>36858</v>
          </cell>
        </row>
        <row r="31">
          <cell r="B31" t="str">
            <v>BALANCED FUNDS</v>
          </cell>
          <cell r="E31">
            <v>47243</v>
          </cell>
        </row>
        <row r="32">
          <cell r="B32" t="str">
            <v>ETHICAL FUNDS</v>
          </cell>
          <cell r="E32">
            <v>11226</v>
          </cell>
        </row>
        <row r="33">
          <cell r="B33" t="str">
            <v>SHARI'AH COMPLIANT FUNDS</v>
          </cell>
          <cell r="E33">
            <v>17457</v>
          </cell>
        </row>
        <row r="42">
          <cell r="E42" t="str">
            <v>NET ASSET VALUE JUNE '22 (#BN)</v>
          </cell>
        </row>
        <row r="43">
          <cell r="B43" t="str">
            <v>EQUITY BASED FUNDS</v>
          </cell>
          <cell r="E43">
            <v>16.722035932007099</v>
          </cell>
        </row>
        <row r="44">
          <cell r="B44" t="str">
            <v>MONEY MARKET FUNDS</v>
          </cell>
          <cell r="E44">
            <v>582.29697602114004</v>
          </cell>
        </row>
        <row r="45">
          <cell r="B45" t="str">
            <v>BOND/FIXED INCOME FUNDS</v>
          </cell>
          <cell r="E45">
            <v>407.2643945735</v>
          </cell>
        </row>
        <row r="46">
          <cell r="B46" t="str">
            <v>DOLLAR FUNDS</v>
          </cell>
          <cell r="E46">
            <v>284.29933608286797</v>
          </cell>
        </row>
        <row r="47">
          <cell r="B47" t="str">
            <v>REAL ESTATE FUNDS</v>
          </cell>
          <cell r="E47">
            <v>45.45394623944</v>
          </cell>
        </row>
        <row r="48">
          <cell r="B48" t="str">
            <v>BALANCED FUNDS</v>
          </cell>
          <cell r="E48">
            <v>30.875959679520001</v>
          </cell>
        </row>
        <row r="49">
          <cell r="B49" t="str">
            <v>ETHICAL FUNDS</v>
          </cell>
          <cell r="E49">
            <v>2.94843392218</v>
          </cell>
        </row>
        <row r="50">
          <cell r="B50" t="str">
            <v>SHARI'AH COMPLIANT FUNDS</v>
          </cell>
          <cell r="E50">
            <v>18.891252610590001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156"/>
  <sheetViews>
    <sheetView showGridLines="0" tabSelected="1" view="pageBreakPreview" zoomScale="110" zoomScaleNormal="160" zoomScaleSheetLayoutView="110" workbookViewId="0">
      <pane ySplit="2" topLeftCell="A3" activePane="bottomLeft" state="frozen"/>
      <selection pane="bottomLeft" sqref="A1:AE1"/>
    </sheetView>
  </sheetViews>
  <sheetFormatPr defaultColWidth="8.85546875" defaultRowHeight="15.75" customHeight="1" x14ac:dyDescent="0.25"/>
  <cols>
    <col min="1" max="1" width="6.42578125" style="1" customWidth="1"/>
    <col min="2" max="2" width="47" style="1" customWidth="1"/>
    <col min="3" max="3" width="53.7109375" style="1" customWidth="1"/>
    <col min="4" max="4" width="18.28515625" style="1" customWidth="1"/>
    <col min="5" max="5" width="17.42578125" style="1" customWidth="1"/>
    <col min="6" max="6" width="21.140625" style="1" customWidth="1"/>
    <col min="7" max="7" width="19.85546875" style="1" customWidth="1"/>
    <col min="8" max="8" width="17.85546875" style="1" customWidth="1"/>
    <col min="9" max="9" width="18" style="1" customWidth="1"/>
    <col min="10" max="10" width="20.28515625" style="1" customWidth="1"/>
    <col min="11" max="11" width="17.140625" style="17" customWidth="1"/>
    <col min="12" max="12" width="19.7109375" style="1" customWidth="1"/>
    <col min="13" max="13" width="17.7109375" style="133" customWidth="1"/>
    <col min="14" max="14" width="22.42578125" style="1" customWidth="1"/>
    <col min="15" max="15" width="19.42578125" style="1" customWidth="1"/>
    <col min="16" max="16" width="20.42578125" style="156" customWidth="1"/>
    <col min="17" max="17" width="9.28515625" style="1" customWidth="1"/>
    <col min="18" max="18" width="20.42578125" style="1" customWidth="1"/>
    <col min="19" max="19" width="9.140625" style="1" customWidth="1"/>
    <col min="20" max="20" width="10.140625" style="1" customWidth="1"/>
    <col min="21" max="21" width="11" style="1" hidden="1" customWidth="1"/>
    <col min="22" max="22" width="12.140625" style="1" hidden="1" customWidth="1"/>
    <col min="23" max="23" width="15.42578125" style="1" hidden="1" customWidth="1"/>
    <col min="24" max="24" width="16.7109375" style="1" hidden="1" customWidth="1"/>
    <col min="25" max="25" width="15" style="1" customWidth="1"/>
    <col min="26" max="26" width="14.42578125" style="1" customWidth="1"/>
    <col min="27" max="27" width="14.28515625" style="1" customWidth="1"/>
    <col min="28" max="28" width="20.140625" style="17" customWidth="1"/>
    <col min="29" max="29" width="18.140625" style="17" customWidth="1"/>
    <col min="30" max="30" width="19" style="17" customWidth="1"/>
    <col min="31" max="31" width="21.85546875" style="1" customWidth="1"/>
    <col min="32" max="32" width="8.85546875" style="1" customWidth="1"/>
    <col min="33" max="33" width="20.28515625" style="1" customWidth="1"/>
    <col min="34" max="241" width="8.85546875" style="1" customWidth="1"/>
  </cols>
  <sheetData>
    <row r="1" spans="1:241" ht="39" customHeight="1" x14ac:dyDescent="0.7">
      <c r="A1" s="194" t="s">
        <v>219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6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</row>
    <row r="2" spans="1:241" ht="54" customHeight="1" x14ac:dyDescent="0.25">
      <c r="A2" s="93" t="s">
        <v>193</v>
      </c>
      <c r="B2" s="93" t="s">
        <v>0</v>
      </c>
      <c r="C2" s="93" t="s">
        <v>1</v>
      </c>
      <c r="D2" s="93" t="s">
        <v>2</v>
      </c>
      <c r="E2" s="93" t="s">
        <v>3</v>
      </c>
      <c r="F2" s="93" t="s">
        <v>4</v>
      </c>
      <c r="G2" s="93" t="s">
        <v>5</v>
      </c>
      <c r="H2" s="93" t="s">
        <v>6</v>
      </c>
      <c r="I2" s="93" t="s">
        <v>7</v>
      </c>
      <c r="J2" s="93" t="s">
        <v>8</v>
      </c>
      <c r="K2" s="93" t="s">
        <v>165</v>
      </c>
      <c r="L2" s="93" t="s">
        <v>9</v>
      </c>
      <c r="M2" s="125" t="s">
        <v>10</v>
      </c>
      <c r="N2" s="93" t="s">
        <v>11</v>
      </c>
      <c r="O2" s="93" t="s">
        <v>12</v>
      </c>
      <c r="P2" s="93" t="s">
        <v>220</v>
      </c>
      <c r="Q2" s="93" t="s">
        <v>13</v>
      </c>
      <c r="R2" s="93" t="s">
        <v>202</v>
      </c>
      <c r="S2" s="93" t="s">
        <v>13</v>
      </c>
      <c r="T2" s="93" t="s">
        <v>14</v>
      </c>
      <c r="U2" s="93" t="s">
        <v>15</v>
      </c>
      <c r="V2" s="93" t="s">
        <v>16</v>
      </c>
      <c r="W2" s="93" t="s">
        <v>17</v>
      </c>
      <c r="X2" s="93" t="s">
        <v>18</v>
      </c>
      <c r="Y2" s="93" t="s">
        <v>19</v>
      </c>
      <c r="Z2" s="93" t="s">
        <v>20</v>
      </c>
      <c r="AA2" s="93" t="s">
        <v>21</v>
      </c>
      <c r="AB2" s="93" t="s">
        <v>205</v>
      </c>
      <c r="AC2" s="93" t="s">
        <v>207</v>
      </c>
      <c r="AD2" s="93" t="s">
        <v>208</v>
      </c>
      <c r="AE2" s="93" t="s">
        <v>204</v>
      </c>
      <c r="AF2" s="5"/>
    </row>
    <row r="3" spans="1:241" ht="18" customHeight="1" x14ac:dyDescent="0.25">
      <c r="A3" s="193" t="s">
        <v>22</v>
      </c>
      <c r="B3" s="193"/>
      <c r="C3" s="193"/>
      <c r="D3" s="94"/>
      <c r="E3" s="94"/>
      <c r="F3" s="94"/>
      <c r="G3" s="94"/>
      <c r="H3" s="94"/>
      <c r="I3" s="94"/>
      <c r="J3" s="94"/>
      <c r="K3" s="94"/>
      <c r="L3" s="94"/>
      <c r="M3" s="126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5"/>
    </row>
    <row r="4" spans="1:241" ht="18" customHeight="1" x14ac:dyDescent="0.3">
      <c r="A4" s="168">
        <v>1</v>
      </c>
      <c r="B4" s="142" t="s">
        <v>23</v>
      </c>
      <c r="C4" s="56" t="s">
        <v>24</v>
      </c>
      <c r="D4" s="50">
        <v>5282567225.8199997</v>
      </c>
      <c r="E4" s="69"/>
      <c r="F4" s="51">
        <v>1969423061.1600001</v>
      </c>
      <c r="G4" s="51">
        <v>5346862914.8699999</v>
      </c>
      <c r="H4" s="51"/>
      <c r="I4" s="51"/>
      <c r="J4" s="52">
        <v>7316285976.0299997</v>
      </c>
      <c r="K4" s="69">
        <v>33012192.09</v>
      </c>
      <c r="L4" s="52">
        <v>19561917.739999998</v>
      </c>
      <c r="M4" s="115">
        <v>-75128749.329999998</v>
      </c>
      <c r="N4" s="19">
        <v>7603839610.25</v>
      </c>
      <c r="O4" s="19">
        <v>63496510.729999997</v>
      </c>
      <c r="P4" s="20">
        <v>7623629500.5900002</v>
      </c>
      <c r="Q4" s="21">
        <f t="shared" ref="Q4:Q19" si="0">(P4/$P$20)</f>
        <v>0.44700289994688858</v>
      </c>
      <c r="R4" s="20">
        <v>7540343099.5200005</v>
      </c>
      <c r="S4" s="21">
        <f t="shared" ref="S4:S19" si="1">(R4/$R$20)</f>
        <v>0.45092255094891115</v>
      </c>
      <c r="T4" s="22">
        <f t="shared" ref="T4:T17" si="2">((R4-P4)/P4)</f>
        <v>-1.0924770289998232E-2</v>
      </c>
      <c r="U4" s="57">
        <f t="shared" ref="U4:U16" si="3">(L4/R4)</f>
        <v>2.5943007475674761E-3</v>
      </c>
      <c r="V4" s="23">
        <f t="shared" ref="V4:V18" si="4">M4/R4</f>
        <v>-9.9635717285573525E-3</v>
      </c>
      <c r="W4" s="24">
        <f t="shared" ref="W4:W18" si="5">R4/AE4</f>
        <v>12563.465899781393</v>
      </c>
      <c r="X4" s="24">
        <f t="shared" ref="X4:X18" si="6">M4/AE4</f>
        <v>-125.17699365175626</v>
      </c>
      <c r="Y4" s="51">
        <v>12452.45</v>
      </c>
      <c r="Z4" s="51">
        <v>12624.95</v>
      </c>
      <c r="AA4" s="113">
        <v>17141</v>
      </c>
      <c r="AB4" s="51">
        <v>602700.78</v>
      </c>
      <c r="AC4" s="51">
        <v>791.29</v>
      </c>
      <c r="AD4" s="51">
        <v>3311.9</v>
      </c>
      <c r="AE4" s="51">
        <v>600180.17000000004</v>
      </c>
      <c r="AF4" s="5"/>
    </row>
    <row r="5" spans="1:241" ht="18" customHeight="1" x14ac:dyDescent="0.3">
      <c r="A5" s="168">
        <v>2</v>
      </c>
      <c r="B5" s="59" t="s">
        <v>25</v>
      </c>
      <c r="C5" s="56" t="s">
        <v>26</v>
      </c>
      <c r="D5" s="50">
        <v>717031617.10000002</v>
      </c>
      <c r="E5" s="69"/>
      <c r="F5" s="51">
        <v>66307969.859999999</v>
      </c>
      <c r="G5" s="51"/>
      <c r="H5" s="51"/>
      <c r="I5" s="51"/>
      <c r="J5" s="52">
        <v>977834230.63</v>
      </c>
      <c r="K5" s="119">
        <v>7003333.3499999996</v>
      </c>
      <c r="L5" s="52">
        <v>1505657.61</v>
      </c>
      <c r="M5" s="115">
        <v>5497675.7400000002</v>
      </c>
      <c r="N5" s="19">
        <v>977834230.63</v>
      </c>
      <c r="O5" s="19">
        <v>4849522.33</v>
      </c>
      <c r="P5" s="20">
        <v>988542799.27999997</v>
      </c>
      <c r="Q5" s="21">
        <f t="shared" si="0"/>
        <v>5.7962089837337624E-2</v>
      </c>
      <c r="R5" s="20">
        <v>972984708.29999995</v>
      </c>
      <c r="S5" s="21">
        <f t="shared" si="1"/>
        <v>5.818578026361259E-2</v>
      </c>
      <c r="T5" s="22">
        <f t="shared" si="2"/>
        <v>-1.5738409091980311E-2</v>
      </c>
      <c r="U5" s="57">
        <f t="shared" si="3"/>
        <v>1.5474627680744201E-3</v>
      </c>
      <c r="V5" s="23">
        <f t="shared" si="4"/>
        <v>5.6503208047385921E-3</v>
      </c>
      <c r="W5" s="24">
        <f t="shared" si="5"/>
        <v>1.9820581728712345</v>
      </c>
      <c r="X5" s="24">
        <f t="shared" si="6"/>
        <v>1.1199264530376498E-2</v>
      </c>
      <c r="Y5" s="51">
        <v>1.96</v>
      </c>
      <c r="Z5" s="51">
        <v>1.99</v>
      </c>
      <c r="AA5" s="118">
        <v>3688</v>
      </c>
      <c r="AB5" s="118">
        <v>490896141</v>
      </c>
      <c r="AC5" s="118">
        <v>490896141</v>
      </c>
      <c r="AD5" s="118"/>
      <c r="AE5" s="51">
        <v>490896141</v>
      </c>
      <c r="AF5" s="5"/>
    </row>
    <row r="6" spans="1:241" ht="18" customHeight="1" x14ac:dyDescent="0.3">
      <c r="A6" s="168">
        <v>3</v>
      </c>
      <c r="B6" s="59" t="s">
        <v>27</v>
      </c>
      <c r="C6" s="56" t="s">
        <v>28</v>
      </c>
      <c r="D6" s="50">
        <v>138818101.30000001</v>
      </c>
      <c r="E6" s="69"/>
      <c r="F6" s="51">
        <v>121011818.26000001</v>
      </c>
      <c r="G6" s="51"/>
      <c r="H6" s="51"/>
      <c r="I6" s="51"/>
      <c r="J6" s="52">
        <v>259829919.56</v>
      </c>
      <c r="K6" s="52">
        <v>-1780388.59</v>
      </c>
      <c r="L6" s="52">
        <v>670288.28</v>
      </c>
      <c r="M6" s="115">
        <v>-2450676.87</v>
      </c>
      <c r="N6" s="19">
        <v>262473576.53999999</v>
      </c>
      <c r="O6" s="19">
        <v>8527423.6300000008</v>
      </c>
      <c r="P6" s="20">
        <v>259345566.49000001</v>
      </c>
      <c r="Q6" s="21">
        <f t="shared" si="0"/>
        <v>1.5206434192588558E-2</v>
      </c>
      <c r="R6" s="20">
        <v>253946152.91</v>
      </c>
      <c r="S6" s="21">
        <f t="shared" si="1"/>
        <v>1.5186317858815853E-2</v>
      </c>
      <c r="T6" s="22">
        <f t="shared" si="2"/>
        <v>-2.081937876585296E-2</v>
      </c>
      <c r="U6" s="57">
        <f t="shared" si="3"/>
        <v>2.6394897986013362E-3</v>
      </c>
      <c r="V6" s="23">
        <f t="shared" si="4"/>
        <v>-9.6503799798397984E-3</v>
      </c>
      <c r="W6" s="24">
        <f t="shared" si="5"/>
        <v>127.58446119303703</v>
      </c>
      <c r="X6" s="24">
        <f t="shared" si="6"/>
        <v>-1.2312385300359323</v>
      </c>
      <c r="Y6" s="51">
        <v>127.51</v>
      </c>
      <c r="Z6" s="51">
        <v>130.41</v>
      </c>
      <c r="AA6" s="113">
        <v>2470</v>
      </c>
      <c r="AB6" s="113">
        <v>1990416</v>
      </c>
      <c r="AC6" s="113">
        <v>0</v>
      </c>
      <c r="AD6" s="113">
        <v>0</v>
      </c>
      <c r="AE6" s="113">
        <v>1990416</v>
      </c>
      <c r="AF6" s="5"/>
    </row>
    <row r="7" spans="1:241" s="61" customFormat="1" x14ac:dyDescent="0.3">
      <c r="A7" s="168">
        <v>4</v>
      </c>
      <c r="B7" s="142" t="s">
        <v>29</v>
      </c>
      <c r="C7" s="56" t="s">
        <v>30</v>
      </c>
      <c r="D7" s="50">
        <v>620118079.89999998</v>
      </c>
      <c r="E7" s="69"/>
      <c r="F7" s="51">
        <v>77178157.189999998</v>
      </c>
      <c r="G7" s="51">
        <v>10200950.859999999</v>
      </c>
      <c r="H7" s="51"/>
      <c r="I7" s="51"/>
      <c r="J7" s="51">
        <v>739469475.69000006</v>
      </c>
      <c r="K7" s="52">
        <v>12462688.48</v>
      </c>
      <c r="L7" s="52">
        <v>1216362.26</v>
      </c>
      <c r="M7" s="115">
        <v>11246326.220000001</v>
      </c>
      <c r="N7" s="19">
        <v>739469475.69000006</v>
      </c>
      <c r="O7" s="19">
        <v>4057679.24</v>
      </c>
      <c r="P7" s="20">
        <v>730862225.37</v>
      </c>
      <c r="Q7" s="21">
        <f t="shared" si="0"/>
        <v>4.2853280602991393E-2</v>
      </c>
      <c r="R7" s="20">
        <v>735411796.45000005</v>
      </c>
      <c r="S7" s="21">
        <f t="shared" si="1"/>
        <v>4.3978604007324965E-2</v>
      </c>
      <c r="T7" s="66">
        <f t="shared" si="2"/>
        <v>6.2249366872077928E-3</v>
      </c>
      <c r="U7" s="57">
        <f t="shared" si="3"/>
        <v>1.6539879641197723E-3</v>
      </c>
      <c r="V7" s="67">
        <f t="shared" si="4"/>
        <v>1.5292556189999364E-2</v>
      </c>
      <c r="W7" s="68">
        <f t="shared" si="5"/>
        <v>657.36770847974287</v>
      </c>
      <c r="X7" s="68">
        <f t="shared" si="6"/>
        <v>10.05283261941759</v>
      </c>
      <c r="Y7" s="51">
        <v>19.89</v>
      </c>
      <c r="Z7" s="51">
        <v>20.260000000000002</v>
      </c>
      <c r="AA7" s="113">
        <v>8809</v>
      </c>
      <c r="AB7" s="113">
        <v>35299903.560000002</v>
      </c>
      <c r="AC7" s="113">
        <v>1118722.1200000001</v>
      </c>
      <c r="AD7" s="113"/>
      <c r="AE7" s="51">
        <v>1118722.1200000001</v>
      </c>
      <c r="AF7" s="100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</row>
    <row r="8" spans="1:241" s="61" customFormat="1" x14ac:dyDescent="0.3">
      <c r="A8" s="168">
        <v>5</v>
      </c>
      <c r="B8" s="142" t="s">
        <v>31</v>
      </c>
      <c r="C8" s="56" t="s">
        <v>32</v>
      </c>
      <c r="D8" s="50">
        <v>366594031.54000002</v>
      </c>
      <c r="E8" s="69"/>
      <c r="F8" s="51">
        <v>64638073.689999998</v>
      </c>
      <c r="G8" s="51"/>
      <c r="H8" s="51"/>
      <c r="I8" s="51"/>
      <c r="J8" s="52">
        <v>431232105.23000002</v>
      </c>
      <c r="K8" s="52">
        <v>4399787.1399999997</v>
      </c>
      <c r="L8" s="52">
        <v>856620.94</v>
      </c>
      <c r="M8" s="115">
        <v>3543166.2</v>
      </c>
      <c r="N8" s="19">
        <v>433874411.17000002</v>
      </c>
      <c r="O8" s="19">
        <v>10185246.810000001</v>
      </c>
      <c r="P8" s="20">
        <v>457331081.10000002</v>
      </c>
      <c r="Q8" s="21">
        <f t="shared" si="0"/>
        <v>2.6815091089057354E-2</v>
      </c>
      <c r="R8" s="20">
        <v>423689164.36000001</v>
      </c>
      <c r="S8" s="21">
        <f t="shared" si="1"/>
        <v>2.5337175812966062E-2</v>
      </c>
      <c r="T8" s="66">
        <f t="shared" si="2"/>
        <v>-7.3561404702874034E-2</v>
      </c>
      <c r="U8" s="57">
        <f t="shared" si="3"/>
        <v>2.0218146038593204E-3</v>
      </c>
      <c r="V8" s="67">
        <f t="shared" si="4"/>
        <v>8.3626547432528731E-3</v>
      </c>
      <c r="W8" s="68">
        <f t="shared" si="5"/>
        <v>196.69906712665738</v>
      </c>
      <c r="X8" s="68">
        <f t="shared" si="6"/>
        <v>1.6449263867001567</v>
      </c>
      <c r="Y8" s="51">
        <v>196.69909999999999</v>
      </c>
      <c r="Z8" s="51">
        <v>201.42760000000001</v>
      </c>
      <c r="AA8" s="113">
        <v>1712</v>
      </c>
      <c r="AB8" s="51">
        <v>2122489.0484000002</v>
      </c>
      <c r="AC8" s="51">
        <v>34988.14</v>
      </c>
      <c r="AD8" s="51">
        <v>3480.3719999999998</v>
      </c>
      <c r="AE8" s="51">
        <v>2153996.8163000001</v>
      </c>
      <c r="AF8" s="100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</row>
    <row r="9" spans="1:241" x14ac:dyDescent="0.3">
      <c r="A9" s="168">
        <v>6</v>
      </c>
      <c r="B9" s="142" t="s">
        <v>33</v>
      </c>
      <c r="C9" s="142" t="s">
        <v>34</v>
      </c>
      <c r="D9" s="139">
        <v>1589166515</v>
      </c>
      <c r="E9" s="69"/>
      <c r="F9" s="51">
        <v>9617424</v>
      </c>
      <c r="G9" s="51"/>
      <c r="H9" s="51"/>
      <c r="I9" s="51"/>
      <c r="J9" s="139">
        <v>1598783939</v>
      </c>
      <c r="K9" s="69">
        <v>20355833</v>
      </c>
      <c r="L9" s="139">
        <v>3549129</v>
      </c>
      <c r="M9" s="115">
        <v>4593172</v>
      </c>
      <c r="N9" s="139">
        <v>1945456640</v>
      </c>
      <c r="O9" s="140">
        <v>22099024.18</v>
      </c>
      <c r="P9" s="20">
        <v>2097139948</v>
      </c>
      <c r="Q9" s="21">
        <f t="shared" si="0"/>
        <v>0.1229634307750552</v>
      </c>
      <c r="R9" s="20">
        <v>1923357616</v>
      </c>
      <c r="S9" s="21">
        <f t="shared" si="1"/>
        <v>0.11501934476283256</v>
      </c>
      <c r="T9" s="22">
        <f t="shared" si="2"/>
        <v>-8.2866349556562829E-2</v>
      </c>
      <c r="U9" s="57">
        <f t="shared" si="3"/>
        <v>1.845277742670191E-3</v>
      </c>
      <c r="V9" s="23">
        <f t="shared" si="4"/>
        <v>2.3881008720325258E-3</v>
      </c>
      <c r="W9" s="24">
        <f t="shared" si="5"/>
        <v>1.00556139831924</v>
      </c>
      <c r="X9" s="24">
        <f t="shared" si="6"/>
        <v>2.401382052208423E-3</v>
      </c>
      <c r="Y9" s="51">
        <v>1.01</v>
      </c>
      <c r="Z9" s="51">
        <v>1.03</v>
      </c>
      <c r="AA9" s="113">
        <v>2722</v>
      </c>
      <c r="AB9" s="113">
        <v>1869487893</v>
      </c>
      <c r="AC9" s="113">
        <v>66539634</v>
      </c>
      <c r="AD9" s="113">
        <v>23307310</v>
      </c>
      <c r="AE9" s="51">
        <v>1912720217</v>
      </c>
      <c r="AF9" s="5"/>
    </row>
    <row r="10" spans="1:241" ht="18" customHeight="1" x14ac:dyDescent="0.3">
      <c r="A10" s="168">
        <v>7</v>
      </c>
      <c r="B10" s="59" t="s">
        <v>35</v>
      </c>
      <c r="C10" s="56" t="s">
        <v>36</v>
      </c>
      <c r="D10" s="50">
        <v>2001219112.0599999</v>
      </c>
      <c r="E10" s="69"/>
      <c r="F10" s="51"/>
      <c r="G10" s="51">
        <v>25282902.77</v>
      </c>
      <c r="H10" s="51">
        <v>1231311.8999999999</v>
      </c>
      <c r="I10" s="51"/>
      <c r="J10" s="52">
        <v>2027733326.73</v>
      </c>
      <c r="K10" s="52">
        <v>53422297.390000001</v>
      </c>
      <c r="L10" s="52">
        <v>7472469.0800000001</v>
      </c>
      <c r="M10" s="115">
        <v>10218205.359999999</v>
      </c>
      <c r="N10" s="19">
        <v>2511474300</v>
      </c>
      <c r="O10" s="19">
        <v>77570047</v>
      </c>
      <c r="P10" s="20">
        <v>2413315797</v>
      </c>
      <c r="Q10" s="21">
        <f t="shared" si="0"/>
        <v>0.14150204435605776</v>
      </c>
      <c r="R10" s="20">
        <v>2433904253</v>
      </c>
      <c r="S10" s="21">
        <f t="shared" si="1"/>
        <v>0.14555071301702815</v>
      </c>
      <c r="T10" s="22">
        <f t="shared" si="2"/>
        <v>8.5311901681469002E-3</v>
      </c>
      <c r="U10" s="57">
        <f t="shared" si="3"/>
        <v>3.0701573699086675E-3</v>
      </c>
      <c r="V10" s="23">
        <f t="shared" si="4"/>
        <v>4.1982774578766466E-3</v>
      </c>
      <c r="W10" s="24">
        <f t="shared" si="5"/>
        <v>22.491560139742955</v>
      </c>
      <c r="X10" s="24">
        <f t="shared" si="6"/>
        <v>9.4425809927159779E-2</v>
      </c>
      <c r="Y10" s="51">
        <v>22.379100000000001</v>
      </c>
      <c r="Z10" s="51">
        <v>23.053899999999999</v>
      </c>
      <c r="AA10" s="113">
        <v>719</v>
      </c>
      <c r="AB10" s="113">
        <v>107686950</v>
      </c>
      <c r="AC10" s="113">
        <v>1515605</v>
      </c>
      <c r="AD10" s="113">
        <v>988441</v>
      </c>
      <c r="AE10" s="51">
        <v>108214114</v>
      </c>
      <c r="AF10" s="5"/>
    </row>
    <row r="11" spans="1:241" ht="15" customHeight="1" x14ac:dyDescent="0.3">
      <c r="A11" s="168">
        <v>8</v>
      </c>
      <c r="B11" s="142" t="s">
        <v>37</v>
      </c>
      <c r="C11" s="56" t="s">
        <v>38</v>
      </c>
      <c r="D11" s="50">
        <v>312240971.35000002</v>
      </c>
      <c r="E11" s="50"/>
      <c r="F11" s="51">
        <v>100873170.55</v>
      </c>
      <c r="G11" s="51"/>
      <c r="H11" s="51"/>
      <c r="I11" s="51"/>
      <c r="J11" s="52">
        <v>407895111.94999999</v>
      </c>
      <c r="K11" s="52">
        <v>1006257.65</v>
      </c>
      <c r="L11" s="52">
        <v>829245.99</v>
      </c>
      <c r="M11" s="115">
        <v>-6058979.6600000001</v>
      </c>
      <c r="N11" s="19">
        <v>416476955.69</v>
      </c>
      <c r="O11" s="19">
        <v>8581843.7400000002</v>
      </c>
      <c r="P11" s="20">
        <v>413671718.60000002</v>
      </c>
      <c r="Q11" s="21">
        <f t="shared" si="0"/>
        <v>2.425517371035708E-2</v>
      </c>
      <c r="R11" s="20">
        <v>407895111.94999999</v>
      </c>
      <c r="S11" s="21">
        <f t="shared" si="1"/>
        <v>2.439267046240829E-2</v>
      </c>
      <c r="T11" s="22">
        <f t="shared" si="2"/>
        <v>-1.396422909825684E-2</v>
      </c>
      <c r="U11" s="57">
        <f t="shared" si="3"/>
        <v>2.0329882994568698E-3</v>
      </c>
      <c r="V11" s="23">
        <f t="shared" si="4"/>
        <v>-1.4854259054574583E-2</v>
      </c>
      <c r="W11" s="24">
        <f t="shared" si="5"/>
        <v>165.70923792337308</v>
      </c>
      <c r="X11" s="24">
        <f t="shared" si="6"/>
        <v>-2.4614879478499181</v>
      </c>
      <c r="Y11" s="51">
        <v>165.71</v>
      </c>
      <c r="Z11" s="51">
        <v>167.94</v>
      </c>
      <c r="AA11" s="113">
        <v>1449</v>
      </c>
      <c r="AB11" s="113">
        <v>2465116</v>
      </c>
      <c r="AC11" s="113">
        <v>7013</v>
      </c>
      <c r="AD11" s="113">
        <v>10618</v>
      </c>
      <c r="AE11" s="51">
        <v>2461511</v>
      </c>
      <c r="AF11" s="5"/>
    </row>
    <row r="12" spans="1:241" ht="16.5" customHeight="1" x14ac:dyDescent="0.3">
      <c r="A12" s="168">
        <v>9</v>
      </c>
      <c r="B12" s="142" t="s">
        <v>39</v>
      </c>
      <c r="C12" s="56" t="s">
        <v>40</v>
      </c>
      <c r="D12" s="141">
        <v>239016514.75</v>
      </c>
      <c r="E12" s="50"/>
      <c r="F12" s="51">
        <v>58655454.990000002</v>
      </c>
      <c r="G12" s="51"/>
      <c r="H12" s="51"/>
      <c r="I12" s="51"/>
      <c r="J12" s="52">
        <v>297671969.74000001</v>
      </c>
      <c r="K12" s="52">
        <v>4109461.23</v>
      </c>
      <c r="L12" s="52">
        <v>543935.84</v>
      </c>
      <c r="M12" s="115">
        <v>-4375257.42</v>
      </c>
      <c r="N12" s="19">
        <v>301982660.70999998</v>
      </c>
      <c r="O12" s="19">
        <v>2020988.38</v>
      </c>
      <c r="P12" s="20">
        <v>293439172.13999999</v>
      </c>
      <c r="Q12" s="21">
        <f t="shared" si="0"/>
        <v>1.7205474229098225E-2</v>
      </c>
      <c r="R12" s="20">
        <v>299961672.32999998</v>
      </c>
      <c r="S12" s="21">
        <f t="shared" si="1"/>
        <v>1.7938107150927297E-2</v>
      </c>
      <c r="T12" s="22">
        <f t="shared" si="2"/>
        <v>2.2227776006974655E-2</v>
      </c>
      <c r="U12" s="57">
        <f t="shared" si="3"/>
        <v>1.8133511384134241E-3</v>
      </c>
      <c r="V12" s="23">
        <f t="shared" si="4"/>
        <v>-1.458605489832915E-2</v>
      </c>
      <c r="W12" s="24">
        <f t="shared" si="5"/>
        <v>12.527845554436993</v>
      </c>
      <c r="X12" s="24">
        <f t="shared" si="6"/>
        <v>-0.18273184301480677</v>
      </c>
      <c r="Y12" s="51">
        <v>12.54</v>
      </c>
      <c r="Z12" s="51">
        <v>12.62</v>
      </c>
      <c r="AA12" s="25">
        <v>160</v>
      </c>
      <c r="AB12" s="25">
        <v>23080607.940000001</v>
      </c>
      <c r="AC12" s="18">
        <v>941549.07</v>
      </c>
      <c r="AD12" s="18">
        <v>78561.039999999994</v>
      </c>
      <c r="AE12" s="51">
        <v>23943595.969999999</v>
      </c>
      <c r="AF12" s="5"/>
    </row>
    <row r="13" spans="1:241" ht="16.5" customHeight="1" x14ac:dyDescent="0.3">
      <c r="A13" s="168">
        <v>10</v>
      </c>
      <c r="B13" s="142" t="s">
        <v>23</v>
      </c>
      <c r="C13" s="55" t="s">
        <v>41</v>
      </c>
      <c r="D13" s="50">
        <v>260399040.22</v>
      </c>
      <c r="E13" s="50"/>
      <c r="F13" s="51">
        <v>103434935.94</v>
      </c>
      <c r="G13" s="51">
        <v>260437638.97</v>
      </c>
      <c r="H13" s="51"/>
      <c r="I13" s="51"/>
      <c r="J13" s="52">
        <v>363872574.91000003</v>
      </c>
      <c r="K13" s="69">
        <v>1188856.2</v>
      </c>
      <c r="L13" s="52">
        <v>359287.6</v>
      </c>
      <c r="M13" s="115">
        <v>-2821664.23</v>
      </c>
      <c r="N13" s="19">
        <v>371282343.33999997</v>
      </c>
      <c r="O13" s="19">
        <v>7976098.9500000002</v>
      </c>
      <c r="P13" s="20">
        <v>373859092.42000002</v>
      </c>
      <c r="Q13" s="21">
        <f t="shared" si="0"/>
        <v>2.1920805368403403E-2</v>
      </c>
      <c r="R13" s="20">
        <v>363306244.38999999</v>
      </c>
      <c r="S13" s="21">
        <f t="shared" si="1"/>
        <v>2.1726196849906725E-2</v>
      </c>
      <c r="T13" s="22">
        <f t="shared" si="2"/>
        <v>-2.8226805884781776E-2</v>
      </c>
      <c r="U13" s="57">
        <f t="shared" si="3"/>
        <v>9.8893868615787918E-4</v>
      </c>
      <c r="V13" s="23">
        <f t="shared" si="4"/>
        <v>-7.7666273937505338E-3</v>
      </c>
      <c r="W13" s="24">
        <f t="shared" si="5"/>
        <v>3283.3133945135532</v>
      </c>
      <c r="X13" s="24">
        <f t="shared" si="6"/>
        <v>-25.500271752097017</v>
      </c>
      <c r="Y13" s="51">
        <v>3253.39</v>
      </c>
      <c r="Z13" s="51">
        <v>3299.85</v>
      </c>
      <c r="AA13" s="113">
        <v>21</v>
      </c>
      <c r="AB13" s="113">
        <v>113107.7</v>
      </c>
      <c r="AC13" s="113"/>
      <c r="AD13" s="113">
        <v>2455.38</v>
      </c>
      <c r="AE13" s="51">
        <v>110652.32</v>
      </c>
      <c r="AF13" s="5"/>
    </row>
    <row r="14" spans="1:241" ht="16.5" customHeight="1" x14ac:dyDescent="0.3">
      <c r="A14" s="168">
        <v>11</v>
      </c>
      <c r="B14" s="164" t="s">
        <v>42</v>
      </c>
      <c r="C14" s="165" t="s">
        <v>43</v>
      </c>
      <c r="D14" s="50">
        <v>209175951.75</v>
      </c>
      <c r="E14" s="69"/>
      <c r="F14" s="51"/>
      <c r="G14" s="51"/>
      <c r="H14" s="51"/>
      <c r="I14" s="51"/>
      <c r="J14" s="52">
        <v>209175951.75</v>
      </c>
      <c r="K14" s="52">
        <v>2653527.48</v>
      </c>
      <c r="L14" s="52">
        <v>467786.73</v>
      </c>
      <c r="M14" s="115">
        <v>2185740.75</v>
      </c>
      <c r="N14" s="19">
        <v>268203181.21000001</v>
      </c>
      <c r="O14" s="19">
        <v>1927994.56</v>
      </c>
      <c r="P14" s="20">
        <v>271034133.66000003</v>
      </c>
      <c r="Q14" s="21">
        <f t="shared" si="0"/>
        <v>1.5891780118805151E-2</v>
      </c>
      <c r="R14" s="20">
        <v>266275186.65000001</v>
      </c>
      <c r="S14" s="21">
        <f t="shared" si="1"/>
        <v>1.5923610482162117E-2</v>
      </c>
      <c r="T14" s="22">
        <f t="shared" si="2"/>
        <v>-1.7558478505035467E-2</v>
      </c>
      <c r="U14" s="57">
        <f t="shared" si="3"/>
        <v>1.7567792774280267E-3</v>
      </c>
      <c r="V14" s="23">
        <f t="shared" si="4"/>
        <v>8.2085784165574632E-3</v>
      </c>
      <c r="W14" s="24">
        <f t="shared" si="5"/>
        <v>151.19125231732974</v>
      </c>
      <c r="X14" s="24">
        <f t="shared" si="6"/>
        <v>1.2410652505443265</v>
      </c>
      <c r="Y14" s="51">
        <v>150.29</v>
      </c>
      <c r="Z14" s="51">
        <v>151.35</v>
      </c>
      <c r="AA14" s="113">
        <v>595</v>
      </c>
      <c r="AB14" s="113">
        <v>1771239.31</v>
      </c>
      <c r="AC14" s="113">
        <v>64459.3</v>
      </c>
      <c r="AD14" s="113">
        <v>64459.3</v>
      </c>
      <c r="AE14" s="51">
        <v>1761181.17</v>
      </c>
      <c r="AF14" s="5"/>
    </row>
    <row r="15" spans="1:241" ht="16.5" customHeight="1" x14ac:dyDescent="0.3">
      <c r="A15" s="168">
        <v>12</v>
      </c>
      <c r="B15" s="142" t="s">
        <v>44</v>
      </c>
      <c r="C15" s="81" t="s">
        <v>45</v>
      </c>
      <c r="D15" s="50">
        <v>241420627</v>
      </c>
      <c r="E15" s="69"/>
      <c r="F15" s="51">
        <v>89631357.530000001</v>
      </c>
      <c r="G15" s="51"/>
      <c r="H15" s="51"/>
      <c r="I15" s="51"/>
      <c r="J15" s="52">
        <v>331051984.52999997</v>
      </c>
      <c r="K15" s="52">
        <v>1166576</v>
      </c>
      <c r="L15" s="52">
        <v>669453.53</v>
      </c>
      <c r="M15" s="115">
        <v>-15095558.289999999</v>
      </c>
      <c r="N15" s="19">
        <v>332965848.45999998</v>
      </c>
      <c r="O15" s="19">
        <v>5168890.5599999996</v>
      </c>
      <c r="P15" s="20">
        <v>341739006.83999997</v>
      </c>
      <c r="Q15" s="21">
        <f t="shared" si="0"/>
        <v>2.0037480450830862E-2</v>
      </c>
      <c r="R15" s="20">
        <v>327796957.89999998</v>
      </c>
      <c r="S15" s="21">
        <f t="shared" si="1"/>
        <v>1.9602694267183959E-2</v>
      </c>
      <c r="T15" s="22">
        <f t="shared" si="2"/>
        <v>-4.0797358981404123E-2</v>
      </c>
      <c r="U15" s="57">
        <f t="shared" si="3"/>
        <v>2.0422810946409947E-3</v>
      </c>
      <c r="V15" s="23">
        <f t="shared" si="4"/>
        <v>-4.6051550895128059E-2</v>
      </c>
      <c r="W15" s="24">
        <f t="shared" si="5"/>
        <v>1.2937336543898879</v>
      </c>
      <c r="X15" s="24">
        <f t="shared" si="6"/>
        <v>-5.9578441229875941E-2</v>
      </c>
      <c r="Y15" s="51">
        <v>1.29</v>
      </c>
      <c r="Z15" s="51">
        <v>1.33</v>
      </c>
      <c r="AA15" s="113">
        <v>97</v>
      </c>
      <c r="AB15" s="113">
        <v>252899603.97999999</v>
      </c>
      <c r="AC15" s="113">
        <v>510924.01</v>
      </c>
      <c r="AD15" s="113">
        <v>37697.51</v>
      </c>
      <c r="AE15" s="51">
        <v>253372830.47999999</v>
      </c>
      <c r="AF15" s="5"/>
    </row>
    <row r="16" spans="1:241" ht="16.5" customHeight="1" x14ac:dyDescent="0.3">
      <c r="A16" s="168">
        <v>13</v>
      </c>
      <c r="B16" s="164" t="s">
        <v>46</v>
      </c>
      <c r="C16" s="58" t="s">
        <v>47</v>
      </c>
      <c r="D16" s="50">
        <v>216215226.15000001</v>
      </c>
      <c r="E16" s="69"/>
      <c r="F16" s="51">
        <v>68137600.769999996</v>
      </c>
      <c r="G16" s="51">
        <v>6877692.5999999996</v>
      </c>
      <c r="H16" s="51"/>
      <c r="I16" s="51"/>
      <c r="J16" s="52">
        <v>291230519.51999998</v>
      </c>
      <c r="K16" s="52">
        <v>3342243.73</v>
      </c>
      <c r="L16" s="52">
        <v>371499.55</v>
      </c>
      <c r="M16" s="115">
        <v>2970744.18</v>
      </c>
      <c r="N16" s="19">
        <v>297075467.60000002</v>
      </c>
      <c r="O16" s="19">
        <v>3117562.09</v>
      </c>
      <c r="P16" s="20">
        <v>302758164.12</v>
      </c>
      <c r="Q16" s="21">
        <f t="shared" si="0"/>
        <v>1.77518827920169E-2</v>
      </c>
      <c r="R16" s="20">
        <v>293957905.5</v>
      </c>
      <c r="S16" s="21">
        <f t="shared" si="1"/>
        <v>1.757907390554906E-2</v>
      </c>
      <c r="T16" s="22">
        <f t="shared" si="2"/>
        <v>-2.9066957271256175E-2</v>
      </c>
      <c r="U16" s="57">
        <f t="shared" si="3"/>
        <v>1.2637848584752553E-3</v>
      </c>
      <c r="V16" s="23">
        <f t="shared" si="4"/>
        <v>1.0106019006180461E-2</v>
      </c>
      <c r="W16" s="24">
        <f t="shared" si="5"/>
        <v>1.4948706389911164</v>
      </c>
      <c r="X16" s="24">
        <f t="shared" si="6"/>
        <v>1.5107191089425355E-2</v>
      </c>
      <c r="Y16" s="51">
        <v>1.4948999999999999</v>
      </c>
      <c r="Z16" s="51">
        <v>1.5106999999999999</v>
      </c>
      <c r="AA16" s="113">
        <v>11</v>
      </c>
      <c r="AB16" s="113">
        <v>196644377</v>
      </c>
      <c r="AC16" s="113"/>
      <c r="AD16" s="113"/>
      <c r="AE16" s="51">
        <v>196644377</v>
      </c>
      <c r="AF16" s="5"/>
    </row>
    <row r="17" spans="1:241" ht="15.95" customHeight="1" x14ac:dyDescent="0.3">
      <c r="A17" s="169">
        <v>14</v>
      </c>
      <c r="B17" s="161" t="s">
        <v>48</v>
      </c>
      <c r="C17" s="71" t="s">
        <v>49</v>
      </c>
      <c r="D17" s="120">
        <v>3621932.74</v>
      </c>
      <c r="E17" s="120"/>
      <c r="F17" s="18"/>
      <c r="G17" s="120"/>
      <c r="H17" s="120"/>
      <c r="I17" s="120">
        <v>1882545.57</v>
      </c>
      <c r="J17" s="120">
        <v>3621932.74</v>
      </c>
      <c r="K17" s="120">
        <v>0</v>
      </c>
      <c r="L17" s="120">
        <v>0</v>
      </c>
      <c r="M17" s="138">
        <v>0</v>
      </c>
      <c r="N17" s="120">
        <v>5504478.3099999996</v>
      </c>
      <c r="O17" s="120">
        <v>0</v>
      </c>
      <c r="P17" s="20">
        <v>5504478.3099999996</v>
      </c>
      <c r="Q17" s="21">
        <f t="shared" si="0"/>
        <v>3.2274886483850326E-4</v>
      </c>
      <c r="R17" s="28">
        <v>5504478.3099999996</v>
      </c>
      <c r="S17" s="21">
        <f t="shared" si="1"/>
        <v>3.2917512750131427E-4</v>
      </c>
      <c r="T17" s="22">
        <f t="shared" si="2"/>
        <v>0</v>
      </c>
      <c r="U17" s="57">
        <f>(L17/R17)</f>
        <v>0</v>
      </c>
      <c r="V17" s="30">
        <f t="shared" si="4"/>
        <v>0</v>
      </c>
      <c r="W17" s="31">
        <f>R17/AB17</f>
        <v>1.3927630965032134</v>
      </c>
      <c r="X17" s="31">
        <f>M17/AB17</f>
        <v>0</v>
      </c>
      <c r="Y17" s="120">
        <v>1.39</v>
      </c>
      <c r="Z17" s="120">
        <v>1.45</v>
      </c>
      <c r="AA17" s="121">
        <v>2420</v>
      </c>
      <c r="AB17" s="120">
        <v>3952200</v>
      </c>
      <c r="AC17" s="121">
        <v>0</v>
      </c>
      <c r="AD17" s="121">
        <v>0</v>
      </c>
      <c r="AE17" s="120">
        <v>3952200</v>
      </c>
      <c r="AF17" s="5"/>
    </row>
    <row r="18" spans="1:241" ht="16.5" customHeight="1" x14ac:dyDescent="0.3">
      <c r="A18" s="168">
        <v>15</v>
      </c>
      <c r="B18" s="142" t="s">
        <v>50</v>
      </c>
      <c r="C18" s="56" t="s">
        <v>51</v>
      </c>
      <c r="D18" s="50">
        <v>339261027</v>
      </c>
      <c r="E18" s="69"/>
      <c r="F18" s="51">
        <v>67084438.140000001</v>
      </c>
      <c r="G18" s="51">
        <v>39382541.350000001</v>
      </c>
      <c r="H18" s="51"/>
      <c r="I18" s="51"/>
      <c r="J18" s="52">
        <v>445728006.49000001</v>
      </c>
      <c r="K18" s="52">
        <v>393381.13</v>
      </c>
      <c r="L18" s="52">
        <v>3708984.22</v>
      </c>
      <c r="M18" s="115">
        <v>-3315603.09</v>
      </c>
      <c r="N18" s="19">
        <v>452775807.37</v>
      </c>
      <c r="O18" s="19">
        <v>3708984.22</v>
      </c>
      <c r="P18" s="20">
        <v>457331081.10000002</v>
      </c>
      <c r="Q18" s="21">
        <f t="shared" si="0"/>
        <v>2.6815091089057354E-2</v>
      </c>
      <c r="R18" s="20">
        <v>449066823.14999998</v>
      </c>
      <c r="S18" s="21">
        <f t="shared" si="1"/>
        <v>2.6854793577524586E-2</v>
      </c>
      <c r="T18" s="22">
        <f>((R18-P18)/P18)</f>
        <v>-1.8070623868647547E-2</v>
      </c>
      <c r="U18" s="57">
        <f>(L18/R18)</f>
        <v>8.2593147139732107E-3</v>
      </c>
      <c r="V18" s="23">
        <f t="shared" si="4"/>
        <v>-7.3833178473140118E-3</v>
      </c>
      <c r="W18" s="24">
        <f t="shared" si="5"/>
        <v>146.30859412798566</v>
      </c>
      <c r="X18" s="24">
        <f t="shared" si="6"/>
        <v>-1.0802428542405786</v>
      </c>
      <c r="Y18" s="51">
        <v>146.52000000000001</v>
      </c>
      <c r="Z18" s="51">
        <v>148.16</v>
      </c>
      <c r="AA18" s="113">
        <v>164</v>
      </c>
      <c r="AB18" s="113">
        <v>3055607.21</v>
      </c>
      <c r="AC18" s="113">
        <v>14277.48</v>
      </c>
      <c r="AD18" s="113">
        <v>572.01</v>
      </c>
      <c r="AE18" s="51">
        <v>3069312.68</v>
      </c>
      <c r="AF18" s="5"/>
    </row>
    <row r="19" spans="1:241" ht="16.5" customHeight="1" x14ac:dyDescent="0.3">
      <c r="A19" s="168">
        <v>16</v>
      </c>
      <c r="B19" s="142" t="s">
        <v>170</v>
      </c>
      <c r="C19" s="134" t="s">
        <v>171</v>
      </c>
      <c r="D19" s="50">
        <v>18574723.099999998</v>
      </c>
      <c r="E19" s="69"/>
      <c r="F19" s="51"/>
      <c r="G19" s="51"/>
      <c r="H19" s="51"/>
      <c r="I19" s="51">
        <v>5679339.9941567117</v>
      </c>
      <c r="J19" s="52">
        <v>24254063.094156709</v>
      </c>
      <c r="K19" s="52">
        <v>331808.29305205483</v>
      </c>
      <c r="L19" s="52">
        <v>26870.876373628402</v>
      </c>
      <c r="M19" s="115">
        <v>358679.16942568321</v>
      </c>
      <c r="N19" s="19">
        <v>25154483.874240458</v>
      </c>
      <c r="O19" s="19">
        <v>519722.58712879132</v>
      </c>
      <c r="P19" s="20">
        <v>25485143.32</v>
      </c>
      <c r="Q19" s="21">
        <f t="shared" si="0"/>
        <v>1.49429257661596E-3</v>
      </c>
      <c r="R19" s="20">
        <v>24634761.287111666</v>
      </c>
      <c r="S19" s="21">
        <f t="shared" si="1"/>
        <v>1.4731915053452947E-3</v>
      </c>
      <c r="T19" s="22">
        <f>((R19-P19)/P19)</f>
        <v>-3.3367755566867038E-2</v>
      </c>
      <c r="U19" s="95">
        <f>(L18/R19)</f>
        <v>0.15055896733776974</v>
      </c>
      <c r="V19" s="96" t="e">
        <v>#DIV/0!</v>
      </c>
      <c r="W19" s="97" t="e">
        <v>#DIV/0!</v>
      </c>
      <c r="X19" s="97" t="e">
        <v>#DIV/0!</v>
      </c>
      <c r="Y19" s="51">
        <v>95.77</v>
      </c>
      <c r="Z19" s="51">
        <v>98.73</v>
      </c>
      <c r="AA19" s="113">
        <v>3</v>
      </c>
      <c r="AB19" s="51">
        <v>253000</v>
      </c>
      <c r="AC19" s="113"/>
      <c r="AD19" s="113"/>
      <c r="AE19" s="51">
        <v>253000</v>
      </c>
      <c r="AF19" s="77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</row>
    <row r="20" spans="1:241" ht="16.5" customHeight="1" x14ac:dyDescent="0.3">
      <c r="A20" s="170"/>
      <c r="B20" s="32"/>
      <c r="C20" s="33" t="s">
        <v>52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123">
        <f t="shared" ref="P20" si="7">SUM(P4:P19)</f>
        <v>17054988908.340002</v>
      </c>
      <c r="Q20" s="82">
        <f>(P20/$P$151)</f>
        <v>1.1991016499249973E-2</v>
      </c>
      <c r="R20" s="123">
        <f>SUM(R4:R19)</f>
        <v>16722035932.007113</v>
      </c>
      <c r="S20" s="82">
        <f>(R20/$R$151)</f>
        <v>1.2041049732074547E-2</v>
      </c>
      <c r="T20" s="36">
        <f>((R20-P20)/P20)</f>
        <v>-1.9522321481550385E-2</v>
      </c>
      <c r="U20" s="49"/>
      <c r="V20" s="37"/>
      <c r="W20" s="38"/>
      <c r="X20" s="38"/>
      <c r="Y20" s="34"/>
      <c r="Z20" s="34"/>
      <c r="AA20" s="39">
        <f>SUM(AA4:AA19)</f>
        <v>42181</v>
      </c>
      <c r="AB20" s="39"/>
      <c r="AC20" s="39"/>
      <c r="AD20" s="39"/>
      <c r="AE20" s="34"/>
      <c r="AF20" s="5"/>
    </row>
    <row r="21" spans="1:241" ht="15.75" customHeight="1" x14ac:dyDescent="0.3">
      <c r="A21" s="193" t="s">
        <v>53</v>
      </c>
      <c r="B21" s="193"/>
      <c r="C21" s="193"/>
      <c r="D21" s="40"/>
      <c r="E21" s="40"/>
      <c r="F21" s="40"/>
      <c r="G21" s="40"/>
      <c r="H21" s="40"/>
      <c r="I21" s="40"/>
      <c r="J21" s="40"/>
      <c r="K21" s="40"/>
      <c r="L21" s="40"/>
      <c r="M21" s="127"/>
      <c r="N21" s="40"/>
      <c r="O21" s="40"/>
      <c r="P21" s="40"/>
      <c r="Q21" s="40"/>
      <c r="R21" s="40"/>
      <c r="S21" s="40"/>
      <c r="T21" s="22"/>
      <c r="U21" s="22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5"/>
    </row>
    <row r="22" spans="1:241" ht="18" customHeight="1" x14ac:dyDescent="0.3">
      <c r="A22" s="168">
        <v>17</v>
      </c>
      <c r="B22" s="142" t="s">
        <v>23</v>
      </c>
      <c r="C22" s="56" t="s">
        <v>54</v>
      </c>
      <c r="D22" s="51"/>
      <c r="E22" s="51"/>
      <c r="F22" s="51">
        <v>204917690336.98999</v>
      </c>
      <c r="G22" s="51">
        <v>9789702745.4500008</v>
      </c>
      <c r="H22" s="51"/>
      <c r="I22" s="51"/>
      <c r="J22" s="51">
        <v>214707393082.44</v>
      </c>
      <c r="K22" s="51">
        <v>1267341202.8099999</v>
      </c>
      <c r="L22" s="51">
        <v>369590535.89999998</v>
      </c>
      <c r="M22" s="115">
        <v>897750666.90999997</v>
      </c>
      <c r="N22" s="18">
        <v>219523973115.37</v>
      </c>
      <c r="O22" s="18">
        <v>1303789441.04</v>
      </c>
      <c r="P22" s="28">
        <v>233231947393.06</v>
      </c>
      <c r="Q22" s="21">
        <f t="shared" ref="Q22:Q50" si="8">(P22/$P$51)</f>
        <v>0.38394193068779081</v>
      </c>
      <c r="R22" s="28">
        <v>218220183674.32999</v>
      </c>
      <c r="S22" s="21">
        <f t="shared" ref="S22:S50" si="9">(R22/$R$51)</f>
        <v>0.37475754238917353</v>
      </c>
      <c r="T22" s="22">
        <f t="shared" ref="T22:T51" si="10">((R22-P22)/P22)</f>
        <v>-6.4364097142451324E-2</v>
      </c>
      <c r="U22" s="57">
        <f t="shared" ref="U22:U50" si="11">(L22/R22)</f>
        <v>1.6936588067929311E-3</v>
      </c>
      <c r="V22" s="23">
        <f t="shared" ref="V22:V50" si="12">M22/R22</f>
        <v>4.113967149114839E-3</v>
      </c>
      <c r="W22" s="24">
        <f t="shared" ref="W22:W50" si="13">R22/AE22</f>
        <v>8.8817887182336754</v>
      </c>
      <c r="X22" s="24">
        <f t="shared" ref="X22:X50" si="14">M22/AE22</f>
        <v>3.6539387012192136E-2</v>
      </c>
      <c r="Y22" s="18">
        <v>100</v>
      </c>
      <c r="Z22" s="18">
        <v>100</v>
      </c>
      <c r="AA22" s="113">
        <v>596434</v>
      </c>
      <c r="AB22" s="113">
        <v>2332319473.9299998</v>
      </c>
      <c r="AC22" s="113">
        <v>120100522.17</v>
      </c>
      <c r="AD22" s="113">
        <v>27021815936.18</v>
      </c>
      <c r="AE22" s="51">
        <v>24569395940.07</v>
      </c>
      <c r="AF22" s="5"/>
    </row>
    <row r="23" spans="1:241" ht="18" customHeight="1" x14ac:dyDescent="0.3">
      <c r="A23" s="168">
        <v>18</v>
      </c>
      <c r="B23" s="142" t="s">
        <v>55</v>
      </c>
      <c r="C23" s="56" t="s">
        <v>56</v>
      </c>
      <c r="D23" s="51"/>
      <c r="E23" s="51"/>
      <c r="F23" s="51">
        <v>162494031571.5</v>
      </c>
      <c r="G23" s="51"/>
      <c r="H23" s="51"/>
      <c r="I23" s="51"/>
      <c r="J23" s="51">
        <v>160421742944.94</v>
      </c>
      <c r="K23" s="51">
        <v>875398886.55999994</v>
      </c>
      <c r="L23" s="51">
        <v>224666297.63</v>
      </c>
      <c r="M23" s="115">
        <v>650732588.92999995</v>
      </c>
      <c r="N23" s="18">
        <v>163448975660.54001</v>
      </c>
      <c r="O23" s="18">
        <v>3027232715.5999999</v>
      </c>
      <c r="P23" s="28">
        <v>166726327644.20999</v>
      </c>
      <c r="Q23" s="21">
        <f t="shared" si="8"/>
        <v>0.27446166293986851</v>
      </c>
      <c r="R23" s="28">
        <v>160421742944.94</v>
      </c>
      <c r="S23" s="21">
        <f t="shared" si="9"/>
        <v>0.27549815566810693</v>
      </c>
      <c r="T23" s="22">
        <f t="shared" si="10"/>
        <v>-3.7813972084383835E-2</v>
      </c>
      <c r="U23" s="57">
        <f t="shared" si="11"/>
        <v>1.400472863002804E-3</v>
      </c>
      <c r="V23" s="23">
        <f t="shared" si="12"/>
        <v>4.0563864784422931E-3</v>
      </c>
      <c r="W23" s="24">
        <f t="shared" si="13"/>
        <v>100.02842532594566</v>
      </c>
      <c r="X23" s="24">
        <f t="shared" si="14"/>
        <v>0.40575395195204061</v>
      </c>
      <c r="Y23" s="18">
        <v>100</v>
      </c>
      <c r="Z23" s="18">
        <v>100</v>
      </c>
      <c r="AA23" s="113">
        <v>23228</v>
      </c>
      <c r="AB23" s="113">
        <v>1693799713</v>
      </c>
      <c r="AC23" s="113">
        <v>76138004</v>
      </c>
      <c r="AD23" s="113">
        <v>166176161.94999999</v>
      </c>
      <c r="AE23" s="51">
        <v>1603761555</v>
      </c>
      <c r="AF23" s="5"/>
    </row>
    <row r="24" spans="1:241" ht="18" customHeight="1" x14ac:dyDescent="0.3">
      <c r="A24" s="168">
        <v>19</v>
      </c>
      <c r="B24" s="142" t="s">
        <v>33</v>
      </c>
      <c r="C24" s="56" t="s">
        <v>57</v>
      </c>
      <c r="D24" s="51"/>
      <c r="E24" s="51"/>
      <c r="F24" s="51">
        <v>8915925894</v>
      </c>
      <c r="G24" s="51"/>
      <c r="H24" s="51"/>
      <c r="I24" s="51"/>
      <c r="J24" s="51">
        <v>8915925894</v>
      </c>
      <c r="K24" s="51">
        <v>124296720</v>
      </c>
      <c r="L24" s="51">
        <v>23503369</v>
      </c>
      <c r="M24" s="115">
        <v>100793351</v>
      </c>
      <c r="N24" s="171">
        <v>19992124279.48</v>
      </c>
      <c r="O24" s="18">
        <v>353152778</v>
      </c>
      <c r="P24" s="28">
        <v>19916100399</v>
      </c>
      <c r="Q24" s="21">
        <f t="shared" si="8"/>
        <v>3.2785500118803504E-2</v>
      </c>
      <c r="R24" s="28">
        <v>19638971501</v>
      </c>
      <c r="S24" s="21">
        <f t="shared" si="9"/>
        <v>3.372672761447934E-2</v>
      </c>
      <c r="T24" s="22">
        <f t="shared" si="10"/>
        <v>-1.3914817280892741E-2</v>
      </c>
      <c r="U24" s="57">
        <f t="shared" si="11"/>
        <v>1.1967718879170035E-3</v>
      </c>
      <c r="V24" s="23">
        <f t="shared" si="12"/>
        <v>5.132313115015605E-3</v>
      </c>
      <c r="W24" s="24">
        <f t="shared" si="13"/>
        <v>14.73558482026222</v>
      </c>
      <c r="X24" s="24">
        <f t="shared" si="14"/>
        <v>7.5627635230456652E-2</v>
      </c>
      <c r="Y24" s="18">
        <v>1</v>
      </c>
      <c r="Z24" s="18">
        <v>1</v>
      </c>
      <c r="AA24" s="113">
        <v>3771</v>
      </c>
      <c r="AB24" s="113">
        <v>19398191634</v>
      </c>
      <c r="AC24" s="113">
        <v>1228335489</v>
      </c>
      <c r="AD24" s="113">
        <v>1332758200</v>
      </c>
      <c r="AE24" s="51">
        <v>1332758200</v>
      </c>
      <c r="AF24" s="5"/>
    </row>
    <row r="25" spans="1:241" ht="18" customHeight="1" x14ac:dyDescent="0.3">
      <c r="A25" s="168">
        <v>20</v>
      </c>
      <c r="B25" s="142" t="s">
        <v>58</v>
      </c>
      <c r="C25" s="56" t="s">
        <v>59</v>
      </c>
      <c r="D25" s="51"/>
      <c r="E25" s="51"/>
      <c r="F25" s="51">
        <v>1073697666.52</v>
      </c>
      <c r="G25" s="51"/>
      <c r="H25" s="51"/>
      <c r="I25" s="51"/>
      <c r="J25" s="51">
        <v>1084854741.47</v>
      </c>
      <c r="K25" s="51">
        <v>9101943.8000000007</v>
      </c>
      <c r="L25" s="51">
        <v>1987319.51</v>
      </c>
      <c r="M25" s="115">
        <v>7109021.4199999999</v>
      </c>
      <c r="N25" s="18">
        <v>1084854741.47</v>
      </c>
      <c r="O25" s="18">
        <v>32628184.129999999</v>
      </c>
      <c r="P25" s="28">
        <v>1024922502.85</v>
      </c>
      <c r="Q25" s="21">
        <f t="shared" si="8"/>
        <v>1.6872076443559337E-3</v>
      </c>
      <c r="R25" s="28">
        <v>1052226557.34</v>
      </c>
      <c r="S25" s="21">
        <f t="shared" si="9"/>
        <v>1.8070273428687689E-3</v>
      </c>
      <c r="T25" s="22">
        <f t="shared" si="10"/>
        <v>2.6640116120073155E-2</v>
      </c>
      <c r="U25" s="57">
        <f t="shared" si="11"/>
        <v>1.8886802429924307E-3</v>
      </c>
      <c r="V25" s="23">
        <f t="shared" si="12"/>
        <v>6.7561699240621829E-3</v>
      </c>
      <c r="W25" s="24">
        <f t="shared" si="13"/>
        <v>102.2402373621423</v>
      </c>
      <c r="X25" s="24">
        <f t="shared" si="14"/>
        <v>0.69075241669508447</v>
      </c>
      <c r="Y25" s="18">
        <v>100</v>
      </c>
      <c r="Z25" s="18">
        <v>100</v>
      </c>
      <c r="AA25" s="113">
        <v>849</v>
      </c>
      <c r="AB25" s="113">
        <v>10021790.550000001</v>
      </c>
      <c r="AC25" s="113">
        <v>935939.07</v>
      </c>
      <c r="AD25" s="113">
        <v>666022.71</v>
      </c>
      <c r="AE25" s="51">
        <v>10291706.91</v>
      </c>
      <c r="AF25" s="5"/>
    </row>
    <row r="26" spans="1:241" ht="18" customHeight="1" x14ac:dyDescent="0.3">
      <c r="A26" s="168">
        <v>21</v>
      </c>
      <c r="B26" s="59" t="s">
        <v>35</v>
      </c>
      <c r="C26" s="56" t="s">
        <v>60</v>
      </c>
      <c r="D26" s="51"/>
      <c r="E26" s="51"/>
      <c r="F26" s="51">
        <v>22217505949.259998</v>
      </c>
      <c r="G26" s="51"/>
      <c r="H26" s="51"/>
      <c r="I26" s="102"/>
      <c r="J26" s="51">
        <v>22217505949.259998</v>
      </c>
      <c r="K26" s="51">
        <v>464164223.89999998</v>
      </c>
      <c r="L26" s="51">
        <v>121238016.2</v>
      </c>
      <c r="M26" s="115">
        <v>342926207.69999999</v>
      </c>
      <c r="N26" s="18">
        <v>68814056620</v>
      </c>
      <c r="O26" s="18">
        <v>1996285282</v>
      </c>
      <c r="P26" s="28">
        <v>68669760331</v>
      </c>
      <c r="Q26" s="21">
        <f t="shared" si="8"/>
        <v>0.11304283420881185</v>
      </c>
      <c r="R26" s="28">
        <v>66817771337</v>
      </c>
      <c r="S26" s="21">
        <f t="shared" si="9"/>
        <v>0.11474861469068354</v>
      </c>
      <c r="T26" s="22">
        <f t="shared" si="10"/>
        <v>-2.6969498438222241E-2</v>
      </c>
      <c r="U26" s="57">
        <f t="shared" si="11"/>
        <v>1.8144576476298165E-3</v>
      </c>
      <c r="V26" s="23">
        <f t="shared" si="12"/>
        <v>5.1322604875644268E-3</v>
      </c>
      <c r="W26" s="24">
        <f t="shared" si="13"/>
        <v>1</v>
      </c>
      <c r="X26" s="24">
        <f t="shared" si="14"/>
        <v>5.1322604875644268E-3</v>
      </c>
      <c r="Y26" s="18">
        <v>1</v>
      </c>
      <c r="Z26" s="18">
        <v>1</v>
      </c>
      <c r="AA26" s="113">
        <v>26900</v>
      </c>
      <c r="AB26" s="113">
        <v>68669760330</v>
      </c>
      <c r="AC26" s="113">
        <v>4902136237</v>
      </c>
      <c r="AD26" s="113">
        <v>6754125230</v>
      </c>
      <c r="AE26" s="51">
        <v>66817771337</v>
      </c>
      <c r="AF26" s="5"/>
    </row>
    <row r="27" spans="1:241" ht="18" customHeight="1" x14ac:dyDescent="0.3">
      <c r="A27" s="168">
        <v>22</v>
      </c>
      <c r="B27" s="142" t="s">
        <v>39</v>
      </c>
      <c r="C27" s="56" t="s">
        <v>61</v>
      </c>
      <c r="D27" s="51"/>
      <c r="E27" s="51"/>
      <c r="F27" s="148">
        <v>1481269220.9100001</v>
      </c>
      <c r="G27" s="51"/>
      <c r="H27" s="51"/>
      <c r="I27" s="51"/>
      <c r="J27" s="51">
        <v>1481269220.9100001</v>
      </c>
      <c r="K27" s="51">
        <v>13881319.33</v>
      </c>
      <c r="L27" s="51">
        <v>3089418.72</v>
      </c>
      <c r="M27" s="115">
        <v>10791900.609999999</v>
      </c>
      <c r="N27" s="18">
        <v>2033975098.74</v>
      </c>
      <c r="O27" s="18">
        <v>10391281.630000001</v>
      </c>
      <c r="P27" s="28">
        <v>2060879912.23</v>
      </c>
      <c r="Q27" s="21">
        <f t="shared" si="8"/>
        <v>3.3925807388804387E-3</v>
      </c>
      <c r="R27" s="28">
        <v>2023583817.1099999</v>
      </c>
      <c r="S27" s="21">
        <f t="shared" si="9"/>
        <v>3.4751748685648925E-3</v>
      </c>
      <c r="T27" s="22">
        <f t="shared" si="10"/>
        <v>-1.8097170484641888E-2</v>
      </c>
      <c r="U27" s="57">
        <f t="shared" si="11"/>
        <v>1.5267065756693896E-3</v>
      </c>
      <c r="V27" s="23">
        <f t="shared" si="12"/>
        <v>5.3330633101289337E-3</v>
      </c>
      <c r="W27" s="24">
        <f t="shared" si="13"/>
        <v>10.000074922142888</v>
      </c>
      <c r="X27" s="24">
        <f t="shared" si="14"/>
        <v>5.3331032665820698E-2</v>
      </c>
      <c r="Y27" s="18">
        <v>10</v>
      </c>
      <c r="Z27" s="18">
        <v>10</v>
      </c>
      <c r="AA27" s="113">
        <v>1409</v>
      </c>
      <c r="AB27" s="113">
        <v>204234888.99000001</v>
      </c>
      <c r="AC27" s="113">
        <v>17046797.219999999</v>
      </c>
      <c r="AD27" s="113">
        <v>18924820.600000001</v>
      </c>
      <c r="AE27" s="51">
        <v>202356865.61000001</v>
      </c>
      <c r="AF27" s="5"/>
    </row>
    <row r="28" spans="1:241" ht="18" customHeight="1" x14ac:dyDescent="0.3">
      <c r="A28" s="168">
        <v>23</v>
      </c>
      <c r="B28" s="142" t="s">
        <v>199</v>
      </c>
      <c r="C28" s="162" t="s">
        <v>62</v>
      </c>
      <c r="D28" s="51"/>
      <c r="E28" s="51"/>
      <c r="F28" s="51">
        <v>13212233904.709999</v>
      </c>
      <c r="G28" s="51"/>
      <c r="H28" s="51"/>
      <c r="I28" s="51"/>
      <c r="J28" s="51">
        <v>13212233904.709999</v>
      </c>
      <c r="K28" s="51">
        <v>206118397.38</v>
      </c>
      <c r="L28" s="51">
        <v>39392066.030000001</v>
      </c>
      <c r="M28" s="115">
        <v>166726331.34999999</v>
      </c>
      <c r="N28" s="18">
        <v>32423555679.259998</v>
      </c>
      <c r="O28" s="18">
        <v>125602068.77</v>
      </c>
      <c r="P28" s="28">
        <v>33695845071.040001</v>
      </c>
      <c r="Q28" s="21">
        <f t="shared" si="8"/>
        <v>5.5469449864554606E-2</v>
      </c>
      <c r="R28" s="28">
        <v>32297953610.490002</v>
      </c>
      <c r="S28" s="21">
        <f t="shared" si="9"/>
        <v>5.5466462888375763E-2</v>
      </c>
      <c r="T28" s="22">
        <f t="shared" si="10"/>
        <v>-4.1485573595286422E-2</v>
      </c>
      <c r="U28" s="57">
        <f>(L28/R28)</f>
        <v>1.2196458792734755E-3</v>
      </c>
      <c r="V28" s="23">
        <f t="shared" si="12"/>
        <v>5.1621329747606427E-3</v>
      </c>
      <c r="W28" s="24">
        <f t="shared" si="13"/>
        <v>1.015706743692629</v>
      </c>
      <c r="X28" s="24">
        <f t="shared" si="14"/>
        <v>5.2432132743024775E-3</v>
      </c>
      <c r="Y28" s="18">
        <v>1</v>
      </c>
      <c r="Z28" s="18">
        <v>1</v>
      </c>
      <c r="AA28" s="25">
        <v>20491</v>
      </c>
      <c r="AB28" s="18">
        <v>33353947236.639999</v>
      </c>
      <c r="AC28" s="18">
        <v>7166164120.5699997</v>
      </c>
      <c r="AD28" s="18">
        <v>8721608678.1100006</v>
      </c>
      <c r="AE28" s="51">
        <v>31798502679.099998</v>
      </c>
      <c r="AF28" s="5"/>
    </row>
    <row r="29" spans="1:241" ht="16.5" customHeight="1" x14ac:dyDescent="0.3">
      <c r="A29" s="168">
        <v>24</v>
      </c>
      <c r="B29" s="142" t="s">
        <v>63</v>
      </c>
      <c r="C29" s="56" t="s">
        <v>64</v>
      </c>
      <c r="D29" s="51"/>
      <c r="E29" s="51"/>
      <c r="F29" s="50">
        <v>1376393189.5599999</v>
      </c>
      <c r="G29" s="50"/>
      <c r="H29" s="50"/>
      <c r="I29" s="50"/>
      <c r="J29" s="50">
        <v>1376393189.5599999</v>
      </c>
      <c r="K29" s="51">
        <v>13964058.310000001</v>
      </c>
      <c r="L29" s="51">
        <v>3541624.91</v>
      </c>
      <c r="M29" s="115">
        <v>10422433.4</v>
      </c>
      <c r="N29" s="18">
        <v>2413559504.21</v>
      </c>
      <c r="O29" s="18">
        <v>21539332.190000001</v>
      </c>
      <c r="P29" s="28">
        <v>2256632465.7399998</v>
      </c>
      <c r="Q29" s="21">
        <f t="shared" si="8"/>
        <v>3.7148248146675056E-3</v>
      </c>
      <c r="R29" s="28">
        <v>2413428448.5900002</v>
      </c>
      <c r="S29" s="21">
        <f t="shared" si="9"/>
        <v>4.144669383449419E-3</v>
      </c>
      <c r="T29" s="22">
        <f t="shared" si="10"/>
        <v>6.9482286207640603E-2</v>
      </c>
      <c r="U29" s="57">
        <f t="shared" si="11"/>
        <v>1.4674662976104087E-3</v>
      </c>
      <c r="V29" s="23">
        <f t="shared" si="12"/>
        <v>4.3185176697859472E-3</v>
      </c>
      <c r="W29" s="24">
        <f t="shared" si="13"/>
        <v>100.00000201331849</v>
      </c>
      <c r="X29" s="24">
        <f t="shared" si="14"/>
        <v>0.43185177567314614</v>
      </c>
      <c r="Y29" s="18">
        <v>100</v>
      </c>
      <c r="Z29" s="18">
        <v>100</v>
      </c>
      <c r="AA29" s="113">
        <v>539</v>
      </c>
      <c r="AB29" s="113">
        <v>22566325</v>
      </c>
      <c r="AC29" s="113">
        <v>2348413</v>
      </c>
      <c r="AD29" s="113">
        <v>780454</v>
      </c>
      <c r="AE29" s="51">
        <v>24134284</v>
      </c>
      <c r="AF29" s="5"/>
    </row>
    <row r="30" spans="1:241" ht="18" customHeight="1" x14ac:dyDescent="0.3">
      <c r="A30" s="168">
        <v>25</v>
      </c>
      <c r="B30" s="142" t="s">
        <v>65</v>
      </c>
      <c r="C30" s="56" t="s">
        <v>66</v>
      </c>
      <c r="D30" s="51"/>
      <c r="E30" s="51"/>
      <c r="F30" s="51">
        <v>2814709917.9099998</v>
      </c>
      <c r="G30" s="51"/>
      <c r="H30" s="51"/>
      <c r="I30" s="51"/>
      <c r="J30" s="51">
        <v>2814709917.9099998</v>
      </c>
      <c r="K30" s="51">
        <v>37952227.75</v>
      </c>
      <c r="L30" s="51">
        <v>6000719.1299999999</v>
      </c>
      <c r="M30" s="115">
        <v>31951508.620000001</v>
      </c>
      <c r="N30" s="18">
        <v>6463558844.8100004</v>
      </c>
      <c r="O30" s="18">
        <v>102716782.11</v>
      </c>
      <c r="P30" s="28">
        <v>4880649400</v>
      </c>
      <c r="Q30" s="21">
        <f t="shared" si="8"/>
        <v>8.0344308513112684E-3</v>
      </c>
      <c r="R30" s="28">
        <v>6360842062.6999998</v>
      </c>
      <c r="S30" s="21">
        <f t="shared" si="9"/>
        <v>1.09237078752562E-2</v>
      </c>
      <c r="T30" s="22">
        <f t="shared" si="10"/>
        <v>0.30327781026434714</v>
      </c>
      <c r="U30" s="57">
        <f t="shared" si="11"/>
        <v>9.4338439326897264E-4</v>
      </c>
      <c r="V30" s="23">
        <f t="shared" si="12"/>
        <v>5.0231570450968684E-3</v>
      </c>
      <c r="W30" s="24">
        <f t="shared" si="13"/>
        <v>99.999999413599653</v>
      </c>
      <c r="X30" s="24">
        <f t="shared" si="14"/>
        <v>0.50231570156410577</v>
      </c>
      <c r="Y30" s="18">
        <v>100</v>
      </c>
      <c r="Z30" s="18">
        <v>100</v>
      </c>
      <c r="AA30" s="113">
        <v>5760</v>
      </c>
      <c r="AB30" s="113">
        <v>48806494</v>
      </c>
      <c r="AC30" s="113">
        <v>20725859</v>
      </c>
      <c r="AD30" s="113">
        <v>5923932</v>
      </c>
      <c r="AE30" s="51">
        <v>63608421</v>
      </c>
      <c r="AF30" s="5"/>
    </row>
    <row r="31" spans="1:241" ht="18" customHeight="1" x14ac:dyDescent="0.3">
      <c r="A31" s="168">
        <v>26</v>
      </c>
      <c r="B31" s="59" t="s">
        <v>46</v>
      </c>
      <c r="C31" s="55" t="s">
        <v>67</v>
      </c>
      <c r="D31" s="51"/>
      <c r="E31" s="51"/>
      <c r="F31" s="51">
        <v>741398188.30999994</v>
      </c>
      <c r="G31" s="51"/>
      <c r="H31" s="51"/>
      <c r="I31" s="51"/>
      <c r="J31" s="51">
        <v>741398188.30999994</v>
      </c>
      <c r="K31" s="51">
        <v>4460596.08</v>
      </c>
      <c r="L31" s="51">
        <v>909134.13</v>
      </c>
      <c r="M31" s="115">
        <v>3551461.95</v>
      </c>
      <c r="N31" s="18">
        <v>755024437.27999997</v>
      </c>
      <c r="O31" s="18">
        <v>3874200.93</v>
      </c>
      <c r="P31" s="28">
        <v>773486020.44000006</v>
      </c>
      <c r="Q31" s="21">
        <f t="shared" si="8"/>
        <v>1.2732977594500261E-3</v>
      </c>
      <c r="R31" s="28">
        <v>751150236.35000002</v>
      </c>
      <c r="S31" s="21">
        <f t="shared" si="9"/>
        <v>1.2899779103828452E-3</v>
      </c>
      <c r="T31" s="22">
        <f t="shared" si="10"/>
        <v>-2.8876777989205609E-2</v>
      </c>
      <c r="U31" s="57">
        <f t="shared" si="11"/>
        <v>1.2103226305534797E-3</v>
      </c>
      <c r="V31" s="23">
        <f t="shared" si="12"/>
        <v>4.7280314617982617E-3</v>
      </c>
      <c r="W31" s="24">
        <f t="shared" si="13"/>
        <v>10.103564990302182</v>
      </c>
      <c r="X31" s="24">
        <f t="shared" si="14"/>
        <v>4.7769973150472163E-2</v>
      </c>
      <c r="Y31" s="18">
        <v>10</v>
      </c>
      <c r="Z31" s="18">
        <v>10</v>
      </c>
      <c r="AA31" s="113">
        <v>521</v>
      </c>
      <c r="AB31" s="113">
        <v>76863911</v>
      </c>
      <c r="AC31" s="113">
        <v>5457629</v>
      </c>
      <c r="AD31" s="113">
        <v>7976471</v>
      </c>
      <c r="AE31" s="51">
        <v>74345069</v>
      </c>
      <c r="AF31" s="5"/>
    </row>
    <row r="32" spans="1:241" ht="18" customHeight="1" x14ac:dyDescent="0.3">
      <c r="A32" s="168">
        <v>27</v>
      </c>
      <c r="B32" s="59" t="s">
        <v>29</v>
      </c>
      <c r="C32" s="55" t="s">
        <v>68</v>
      </c>
      <c r="D32" s="51"/>
      <c r="E32" s="51"/>
      <c r="F32" s="51">
        <v>2520490163.8299999</v>
      </c>
      <c r="G32" s="51"/>
      <c r="H32" s="51"/>
      <c r="I32" s="51"/>
      <c r="J32" s="51">
        <v>2558512980.6399999</v>
      </c>
      <c r="K32" s="51">
        <v>14314637.359999999</v>
      </c>
      <c r="L32" s="51">
        <v>4258458.04</v>
      </c>
      <c r="M32" s="115">
        <v>10056179.32</v>
      </c>
      <c r="N32" s="18">
        <v>2558512980.6399999</v>
      </c>
      <c r="O32" s="18">
        <v>37429984.329999998</v>
      </c>
      <c r="P32" s="28">
        <v>2713579232.1700001</v>
      </c>
      <c r="Q32" s="21">
        <f t="shared" si="8"/>
        <v>4.4670417630129694E-3</v>
      </c>
      <c r="R32" s="28">
        <v>2521082996.3099999</v>
      </c>
      <c r="S32" s="21">
        <f t="shared" si="9"/>
        <v>4.3295484952311902E-3</v>
      </c>
      <c r="T32" s="22">
        <f t="shared" si="10"/>
        <v>-7.0938129824226426E-2</v>
      </c>
      <c r="U32" s="57">
        <f t="shared" si="11"/>
        <v>1.689138376734491E-3</v>
      </c>
      <c r="V32" s="23">
        <f t="shared" si="12"/>
        <v>3.9888331065334997E-3</v>
      </c>
      <c r="W32" s="24">
        <f t="shared" si="13"/>
        <v>100.01003742073092</v>
      </c>
      <c r="X32" s="24">
        <f t="shared" si="14"/>
        <v>0.39892334824946568</v>
      </c>
      <c r="Y32" s="18">
        <v>100</v>
      </c>
      <c r="Z32" s="18">
        <v>100</v>
      </c>
      <c r="AA32" s="113">
        <v>1457</v>
      </c>
      <c r="AB32" s="113">
        <v>27135792.329999998</v>
      </c>
      <c r="AC32" s="113">
        <v>3673423.88</v>
      </c>
      <c r="AD32" s="113">
        <v>5598386.2400000002</v>
      </c>
      <c r="AE32" s="51">
        <v>25208299.699999999</v>
      </c>
      <c r="AF32" s="5"/>
    </row>
    <row r="33" spans="1:241" ht="16.5" customHeight="1" x14ac:dyDescent="0.3">
      <c r="A33" s="168">
        <v>28</v>
      </c>
      <c r="B33" s="142" t="s">
        <v>44</v>
      </c>
      <c r="C33" s="162" t="s">
        <v>69</v>
      </c>
      <c r="D33" s="51"/>
      <c r="E33" s="51"/>
      <c r="F33" s="51">
        <v>20206830611.27</v>
      </c>
      <c r="G33" s="51"/>
      <c r="H33" s="51"/>
      <c r="I33" s="51"/>
      <c r="J33" s="51">
        <v>20206830611.27</v>
      </c>
      <c r="K33" s="51">
        <v>106616701.45</v>
      </c>
      <c r="L33" s="51">
        <v>33682723.82</v>
      </c>
      <c r="M33" s="115">
        <v>72933977.629999995</v>
      </c>
      <c r="N33" s="18">
        <v>20321806274.540001</v>
      </c>
      <c r="O33" s="18">
        <v>248685992.41</v>
      </c>
      <c r="P33" s="28">
        <v>20385766534.57</v>
      </c>
      <c r="Q33" s="21">
        <f t="shared" si="8"/>
        <v>3.3558655447157915E-2</v>
      </c>
      <c r="R33" s="28">
        <v>20073120282.130001</v>
      </c>
      <c r="S33" s="21">
        <f t="shared" si="9"/>
        <v>3.4472307274014166E-2</v>
      </c>
      <c r="T33" s="22">
        <f t="shared" si="10"/>
        <v>-1.5336497252130104E-2</v>
      </c>
      <c r="U33" s="57">
        <f t="shared" si="11"/>
        <v>1.6780013942319612E-3</v>
      </c>
      <c r="V33" s="23">
        <f t="shared" si="12"/>
        <v>3.6334150647684364E-3</v>
      </c>
      <c r="W33" s="24">
        <f t="shared" si="13"/>
        <v>100.00000000064765</v>
      </c>
      <c r="X33" s="24">
        <f t="shared" si="14"/>
        <v>0.36334150647919683</v>
      </c>
      <c r="Y33" s="18">
        <v>100</v>
      </c>
      <c r="Z33" s="18">
        <v>100</v>
      </c>
      <c r="AA33" s="113">
        <v>5680</v>
      </c>
      <c r="AB33" s="113">
        <v>203850305.94999999</v>
      </c>
      <c r="AC33" s="113">
        <v>4514137.0999999996</v>
      </c>
      <c r="AD33" s="113">
        <v>7633240.2300000004</v>
      </c>
      <c r="AE33" s="51">
        <v>200731202.81999999</v>
      </c>
      <c r="AF33" s="5"/>
    </row>
    <row r="34" spans="1:241" ht="16.5" customHeight="1" x14ac:dyDescent="0.3">
      <c r="A34" s="168">
        <v>29</v>
      </c>
      <c r="B34" s="142" t="s">
        <v>70</v>
      </c>
      <c r="C34" s="56" t="s">
        <v>168</v>
      </c>
      <c r="D34" s="51"/>
      <c r="E34" s="51"/>
      <c r="F34" s="51">
        <v>4962645708.1000004</v>
      </c>
      <c r="G34" s="51"/>
      <c r="H34" s="51"/>
      <c r="I34" s="51">
        <v>6800079894.0299997</v>
      </c>
      <c r="J34" s="51">
        <v>11762725602.129999</v>
      </c>
      <c r="K34" s="51">
        <v>62245512.590000004</v>
      </c>
      <c r="L34" s="51">
        <v>18487531.84</v>
      </c>
      <c r="M34" s="115">
        <v>43757980.75</v>
      </c>
      <c r="N34" s="18">
        <v>11762725602.129999</v>
      </c>
      <c r="O34" s="18">
        <v>103546700.94</v>
      </c>
      <c r="P34" s="28">
        <v>11950427877.51</v>
      </c>
      <c r="Q34" s="21">
        <f t="shared" si="8"/>
        <v>1.9672563742324244E-2</v>
      </c>
      <c r="R34" s="28">
        <v>11659178901.5</v>
      </c>
      <c r="S34" s="21">
        <f t="shared" si="9"/>
        <v>2.0022736475754456E-2</v>
      </c>
      <c r="T34" s="22">
        <f t="shared" si="10"/>
        <v>-2.4371426612942757E-2</v>
      </c>
      <c r="U34" s="57">
        <f t="shared" si="11"/>
        <v>1.5856632783652976E-3</v>
      </c>
      <c r="V34" s="23">
        <f>M34/R34</f>
        <v>3.7530928309514456E-3</v>
      </c>
      <c r="W34" s="24">
        <f t="shared" si="13"/>
        <v>100.0000000128654</v>
      </c>
      <c r="X34" s="24">
        <f t="shared" si="14"/>
        <v>0.3753092831434296</v>
      </c>
      <c r="Y34" s="18">
        <v>100</v>
      </c>
      <c r="Z34" s="18">
        <v>100</v>
      </c>
      <c r="AA34" s="113">
        <v>3607</v>
      </c>
      <c r="AB34" s="113">
        <v>119504279</v>
      </c>
      <c r="AC34" s="113">
        <v>12852951</v>
      </c>
      <c r="AD34" s="113">
        <v>15765441</v>
      </c>
      <c r="AE34" s="51">
        <v>116591789</v>
      </c>
      <c r="AF34" s="5"/>
    </row>
    <row r="35" spans="1:241" ht="16.5" customHeight="1" x14ac:dyDescent="0.3">
      <c r="A35" s="168">
        <v>30</v>
      </c>
      <c r="B35" s="142" t="s">
        <v>70</v>
      </c>
      <c r="C35" s="56" t="s">
        <v>71</v>
      </c>
      <c r="D35" s="51"/>
      <c r="E35" s="51"/>
      <c r="F35" s="51">
        <v>193342800.87</v>
      </c>
      <c r="G35" s="51"/>
      <c r="H35" s="51"/>
      <c r="I35" s="51">
        <v>199946492.00999999</v>
      </c>
      <c r="J35" s="51">
        <v>393289292.87</v>
      </c>
      <c r="K35" s="51">
        <v>2533404.7000000002</v>
      </c>
      <c r="L35" s="51">
        <v>350575.89</v>
      </c>
      <c r="M35" s="115">
        <v>2182828.81</v>
      </c>
      <c r="N35" s="18">
        <v>4393289292.8699999</v>
      </c>
      <c r="O35" s="18">
        <v>2146478.27</v>
      </c>
      <c r="P35" s="28">
        <v>395306446.52999997</v>
      </c>
      <c r="Q35" s="21">
        <f t="shared" si="8"/>
        <v>6.5074584331397778E-4</v>
      </c>
      <c r="R35" s="28">
        <v>391142814</v>
      </c>
      <c r="S35" s="21">
        <f t="shared" si="9"/>
        <v>6.7172393144250097E-4</v>
      </c>
      <c r="T35" s="22">
        <f t="shared" si="10"/>
        <v>-1.0532670454904892E-2</v>
      </c>
      <c r="U35" s="57">
        <f t="shared" si="11"/>
        <v>8.9628615802718036E-4</v>
      </c>
      <c r="V35" s="23">
        <f>M35/R35</f>
        <v>5.5806440304435713E-3</v>
      </c>
      <c r="W35" s="24">
        <f t="shared" si="13"/>
        <v>1000365.253196931</v>
      </c>
      <c r="X35" s="24">
        <f>M35/AE35</f>
        <v>5582.6823785166243</v>
      </c>
      <c r="Y35" s="18">
        <v>1000000</v>
      </c>
      <c r="Z35" s="18">
        <v>1000000</v>
      </c>
      <c r="AA35" s="113">
        <v>13</v>
      </c>
      <c r="AB35" s="113">
        <v>395</v>
      </c>
      <c r="AC35" s="113">
        <v>5</v>
      </c>
      <c r="AD35" s="113">
        <v>9</v>
      </c>
      <c r="AE35" s="51">
        <v>391</v>
      </c>
      <c r="AF35" s="5"/>
    </row>
    <row r="36" spans="1:241" ht="16.5" customHeight="1" x14ac:dyDescent="0.3">
      <c r="A36" s="168">
        <v>31</v>
      </c>
      <c r="B36" s="142" t="s">
        <v>72</v>
      </c>
      <c r="C36" s="56" t="s">
        <v>73</v>
      </c>
      <c r="D36" s="51"/>
      <c r="E36" s="51"/>
      <c r="F36" s="51">
        <v>1929999412.77</v>
      </c>
      <c r="G36" s="51"/>
      <c r="H36" s="51"/>
      <c r="I36" s="51"/>
      <c r="J36" s="51">
        <v>1929999412.77</v>
      </c>
      <c r="K36" s="51">
        <v>26255505.260000002</v>
      </c>
      <c r="L36" s="51">
        <v>5548533.1399999997</v>
      </c>
      <c r="M36" s="115">
        <v>20706972.120000001</v>
      </c>
      <c r="N36" s="18">
        <v>5083565870.8900003</v>
      </c>
      <c r="O36" s="18">
        <v>30410434.969999999</v>
      </c>
      <c r="P36" s="28">
        <v>4999750926.4799995</v>
      </c>
      <c r="Q36" s="21">
        <f t="shared" si="8"/>
        <v>8.2304934856789764E-3</v>
      </c>
      <c r="R36" s="28">
        <v>5053155435.9200001</v>
      </c>
      <c r="S36" s="21">
        <f t="shared" si="9"/>
        <v>8.6779695653726816E-3</v>
      </c>
      <c r="T36" s="22">
        <f t="shared" si="10"/>
        <v>1.068143398047214E-2</v>
      </c>
      <c r="U36" s="57">
        <f t="shared" si="11"/>
        <v>1.0980333398332934E-3</v>
      </c>
      <c r="V36" s="23">
        <f t="shared" si="12"/>
        <v>4.0978300356260457E-3</v>
      </c>
      <c r="W36" s="24">
        <f t="shared" si="13"/>
        <v>1.011835353097188</v>
      </c>
      <c r="X36" s="24">
        <f t="shared" si="14"/>
        <v>4.1463293010299421E-3</v>
      </c>
      <c r="Y36" s="18">
        <v>1</v>
      </c>
      <c r="Z36" s="18">
        <v>1</v>
      </c>
      <c r="AA36" s="113">
        <v>1596</v>
      </c>
      <c r="AB36" s="113">
        <v>4960136053.6899996</v>
      </c>
      <c r="AC36" s="113">
        <v>4960136053.6899996</v>
      </c>
      <c r="AD36" s="113">
        <v>-857223684.20000005</v>
      </c>
      <c r="AE36" s="51">
        <v>4994049101.4200001</v>
      </c>
      <c r="AF36" s="5"/>
    </row>
    <row r="37" spans="1:241" s="64" customFormat="1" ht="16.5" customHeight="1" x14ac:dyDescent="0.3">
      <c r="A37" s="168">
        <v>32</v>
      </c>
      <c r="B37" s="142" t="s">
        <v>74</v>
      </c>
      <c r="C37" s="56" t="s">
        <v>75</v>
      </c>
      <c r="D37" s="51"/>
      <c r="E37" s="51"/>
      <c r="F37" s="51">
        <v>15820771490.92</v>
      </c>
      <c r="G37" s="51"/>
      <c r="H37" s="51"/>
      <c r="I37" s="51"/>
      <c r="J37" s="51">
        <v>15820771490.92</v>
      </c>
      <c r="K37" s="141">
        <v>90714072.959999993</v>
      </c>
      <c r="L37" s="141">
        <v>19141408.210000001</v>
      </c>
      <c r="M37" s="115">
        <v>71572664.75</v>
      </c>
      <c r="N37" s="141">
        <v>16045297403.719999</v>
      </c>
      <c r="O37" s="141">
        <v>39105880.777999997</v>
      </c>
      <c r="P37" s="28">
        <v>17436632566.34</v>
      </c>
      <c r="Q37" s="21">
        <f t="shared" si="8"/>
        <v>2.8703848023580811E-2</v>
      </c>
      <c r="R37" s="28">
        <v>15987050114.73</v>
      </c>
      <c r="S37" s="21">
        <f t="shared" si="9"/>
        <v>2.7455148786741414E-2</v>
      </c>
      <c r="T37" s="22">
        <f t="shared" si="10"/>
        <v>-8.3134311977663716E-2</v>
      </c>
      <c r="U37" s="57">
        <f t="shared" si="11"/>
        <v>1.1973070749533505E-3</v>
      </c>
      <c r="V37" s="23">
        <f t="shared" si="12"/>
        <v>4.4769150178653062E-3</v>
      </c>
      <c r="W37" s="24">
        <f t="shared" si="13"/>
        <v>1.0148171603278366</v>
      </c>
      <c r="X37" s="24">
        <f t="shared" si="14"/>
        <v>4.5432501854591164E-3</v>
      </c>
      <c r="Y37" s="18">
        <v>1</v>
      </c>
      <c r="Z37" s="18">
        <v>1</v>
      </c>
      <c r="AA37" s="113">
        <v>2555</v>
      </c>
      <c r="AB37" s="141">
        <v>17260466749.970001</v>
      </c>
      <c r="AC37" s="141">
        <v>1317080888.49</v>
      </c>
      <c r="AD37" s="141">
        <v>2823921527.5599999</v>
      </c>
      <c r="AE37" s="51">
        <v>15753626110.9</v>
      </c>
      <c r="AF37" s="62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  <c r="EO37" s="63"/>
      <c r="EP37" s="63"/>
      <c r="EQ37" s="63"/>
      <c r="ER37" s="63"/>
      <c r="ES37" s="63"/>
      <c r="ET37" s="63"/>
      <c r="EU37" s="63"/>
      <c r="EV37" s="63"/>
      <c r="EW37" s="63"/>
      <c r="EX37" s="63"/>
      <c r="EY37" s="63"/>
      <c r="EZ37" s="63"/>
      <c r="FA37" s="63"/>
      <c r="FB37" s="63"/>
      <c r="FC37" s="63"/>
      <c r="FD37" s="63"/>
      <c r="FE37" s="63"/>
      <c r="FF37" s="63"/>
      <c r="FG37" s="63"/>
      <c r="FH37" s="63"/>
      <c r="FI37" s="63"/>
      <c r="FJ37" s="63"/>
      <c r="FK37" s="63"/>
      <c r="FL37" s="63"/>
      <c r="FM37" s="63"/>
      <c r="FN37" s="63"/>
      <c r="FO37" s="63"/>
      <c r="FP37" s="63"/>
      <c r="FQ37" s="63"/>
      <c r="FR37" s="63"/>
      <c r="FS37" s="63"/>
      <c r="FT37" s="63"/>
      <c r="FU37" s="63"/>
      <c r="FV37" s="63"/>
      <c r="FW37" s="63"/>
      <c r="FX37" s="63"/>
      <c r="FY37" s="63"/>
      <c r="FZ37" s="63"/>
      <c r="GA37" s="63"/>
      <c r="GB37" s="63"/>
      <c r="GC37" s="63"/>
      <c r="GD37" s="63"/>
      <c r="GE37" s="63"/>
      <c r="GF37" s="63"/>
      <c r="GG37" s="63"/>
      <c r="GH37" s="63"/>
      <c r="GI37" s="63"/>
      <c r="GJ37" s="63"/>
      <c r="GK37" s="63"/>
      <c r="GL37" s="63"/>
      <c r="GM37" s="63"/>
      <c r="GN37" s="63"/>
      <c r="GO37" s="63"/>
      <c r="GP37" s="63"/>
      <c r="GQ37" s="63"/>
      <c r="GR37" s="63"/>
      <c r="GS37" s="63"/>
      <c r="GT37" s="63"/>
      <c r="GU37" s="63"/>
      <c r="GV37" s="63"/>
      <c r="GW37" s="63"/>
      <c r="GX37" s="63"/>
      <c r="GY37" s="63"/>
      <c r="GZ37" s="63"/>
      <c r="HA37" s="63"/>
      <c r="HB37" s="63"/>
      <c r="HC37" s="63"/>
      <c r="HD37" s="63"/>
      <c r="HE37" s="63"/>
      <c r="HF37" s="63"/>
      <c r="HG37" s="63"/>
      <c r="HH37" s="63"/>
      <c r="HI37" s="63"/>
      <c r="HJ37" s="63"/>
      <c r="HK37" s="63"/>
      <c r="HL37" s="63"/>
      <c r="HM37" s="63"/>
      <c r="HN37" s="63"/>
      <c r="HO37" s="63"/>
      <c r="HP37" s="63"/>
      <c r="HQ37" s="63"/>
      <c r="HR37" s="63"/>
      <c r="HS37" s="63"/>
      <c r="HT37" s="63"/>
      <c r="HU37" s="63"/>
      <c r="HV37" s="63"/>
      <c r="HW37" s="63"/>
      <c r="HX37" s="63"/>
      <c r="HY37" s="63"/>
      <c r="HZ37" s="63"/>
      <c r="IA37" s="63"/>
      <c r="IB37" s="63"/>
      <c r="IC37" s="63"/>
      <c r="ID37" s="63"/>
      <c r="IE37" s="63"/>
      <c r="IF37" s="63"/>
      <c r="IG37" s="63"/>
    </row>
    <row r="38" spans="1:241" ht="16.5" customHeight="1" x14ac:dyDescent="0.3">
      <c r="A38" s="168">
        <v>33</v>
      </c>
      <c r="B38" s="142" t="s">
        <v>31</v>
      </c>
      <c r="C38" s="56" t="s">
        <v>76</v>
      </c>
      <c r="D38" s="51"/>
      <c r="E38" s="51"/>
      <c r="F38" s="51">
        <v>589786710.51999998</v>
      </c>
      <c r="G38" s="51"/>
      <c r="H38" s="51"/>
      <c r="I38" s="51"/>
      <c r="J38" s="51">
        <v>589786710.51999998</v>
      </c>
      <c r="K38" s="51">
        <v>3969628.25</v>
      </c>
      <c r="L38" s="51">
        <v>1283086.97</v>
      </c>
      <c r="M38" s="115">
        <v>2686541.28</v>
      </c>
      <c r="N38" s="18">
        <v>600942928.36000001</v>
      </c>
      <c r="O38" s="18">
        <v>25623595.390000001</v>
      </c>
      <c r="P38" s="28">
        <v>595921061.82000005</v>
      </c>
      <c r="Q38" s="21">
        <f t="shared" si="8"/>
        <v>9.8099375137103233E-4</v>
      </c>
      <c r="R38" s="28">
        <v>575319332.97000003</v>
      </c>
      <c r="S38" s="21">
        <f t="shared" si="9"/>
        <v>9.8801703711597706E-4</v>
      </c>
      <c r="T38" s="22">
        <f t="shared" si="10"/>
        <v>-3.4571237987595822E-2</v>
      </c>
      <c r="U38" s="57">
        <f t="shared" si="11"/>
        <v>2.2302170229118764E-3</v>
      </c>
      <c r="V38" s="23">
        <f t="shared" si="12"/>
        <v>4.6696523583365989E-3</v>
      </c>
      <c r="W38" s="24">
        <f t="shared" si="13"/>
        <v>101.14135457177666</v>
      </c>
      <c r="X38" s="24">
        <f t="shared" si="14"/>
        <v>0.47229496490145506</v>
      </c>
      <c r="Y38" s="18">
        <v>100</v>
      </c>
      <c r="Z38" s="18">
        <v>100</v>
      </c>
      <c r="AA38" s="113">
        <v>624</v>
      </c>
      <c r="AB38" s="113">
        <v>5893770</v>
      </c>
      <c r="AC38" s="113">
        <v>72300</v>
      </c>
      <c r="AD38" s="113">
        <v>277800</v>
      </c>
      <c r="AE38" s="51">
        <v>5688270</v>
      </c>
      <c r="AF38" s="5"/>
    </row>
    <row r="39" spans="1:241" ht="16.5" customHeight="1" x14ac:dyDescent="0.3">
      <c r="A39" s="168">
        <v>34</v>
      </c>
      <c r="B39" s="142" t="s">
        <v>25</v>
      </c>
      <c r="C39" s="56" t="s">
        <v>77</v>
      </c>
      <c r="D39" s="51"/>
      <c r="E39" s="51"/>
      <c r="F39" s="51">
        <v>4285471260.4200001</v>
      </c>
      <c r="G39" s="51"/>
      <c r="H39" s="51"/>
      <c r="I39" s="51"/>
      <c r="J39" s="51">
        <v>4271444172.1199999</v>
      </c>
      <c r="K39" s="116">
        <v>23272191.670000002</v>
      </c>
      <c r="L39" s="51">
        <v>4793315.7</v>
      </c>
      <c r="M39" s="115">
        <v>18478875.969999999</v>
      </c>
      <c r="N39" s="18">
        <v>4271444172.1199999</v>
      </c>
      <c r="O39" s="18">
        <v>17442847.329999998</v>
      </c>
      <c r="P39" s="28">
        <v>4244233037.8899999</v>
      </c>
      <c r="Q39" s="21">
        <f t="shared" si="8"/>
        <v>6.9867745181159627E-3</v>
      </c>
      <c r="R39" s="28">
        <v>4254001324.79</v>
      </c>
      <c r="S39" s="21">
        <f t="shared" si="9"/>
        <v>7.305552836385603E-3</v>
      </c>
      <c r="T39" s="22">
        <f t="shared" si="10"/>
        <v>2.3015434856650456E-3</v>
      </c>
      <c r="U39" s="57">
        <f t="shared" si="11"/>
        <v>1.126778139928441E-3</v>
      </c>
      <c r="V39" s="23">
        <f t="shared" si="12"/>
        <v>4.3438811037305484E-3</v>
      </c>
      <c r="W39" s="24">
        <f t="shared" si="13"/>
        <v>0.98861815216896776</v>
      </c>
      <c r="X39" s="24">
        <f t="shared" si="14"/>
        <v>4.2944397100117904E-3</v>
      </c>
      <c r="Y39" s="18">
        <v>0.99</v>
      </c>
      <c r="Z39" s="18">
        <v>0.99</v>
      </c>
      <c r="AA39" s="118">
        <v>847</v>
      </c>
      <c r="AB39" s="118">
        <v>4287341581</v>
      </c>
      <c r="AC39" s="118">
        <v>401114424</v>
      </c>
      <c r="AD39" s="118">
        <v>385478849</v>
      </c>
      <c r="AE39" s="51">
        <v>4302977156</v>
      </c>
      <c r="AF39" s="5"/>
    </row>
    <row r="40" spans="1:241" ht="16.5" customHeight="1" x14ac:dyDescent="0.3">
      <c r="A40" s="168">
        <v>35</v>
      </c>
      <c r="B40" s="142" t="s">
        <v>78</v>
      </c>
      <c r="C40" s="56" t="s">
        <v>79</v>
      </c>
      <c r="D40" s="51"/>
      <c r="E40" s="51"/>
      <c r="F40" s="51">
        <v>249027715.06999999</v>
      </c>
      <c r="G40" s="51"/>
      <c r="H40" s="51"/>
      <c r="I40" s="51">
        <v>340569146.17000002</v>
      </c>
      <c r="J40" s="51">
        <v>604750773.01999998</v>
      </c>
      <c r="K40" s="51">
        <v>3327990.32</v>
      </c>
      <c r="L40" s="51">
        <v>1339073.77</v>
      </c>
      <c r="M40" s="115">
        <v>1988916.55</v>
      </c>
      <c r="N40" s="18">
        <v>612336202.88</v>
      </c>
      <c r="O40" s="18">
        <v>10329488.630000001</v>
      </c>
      <c r="P40" s="28">
        <v>625902154.95000005</v>
      </c>
      <c r="Q40" s="21">
        <f t="shared" si="8"/>
        <v>1.030348048280724E-3</v>
      </c>
      <c r="R40" s="28">
        <v>602006715.23000002</v>
      </c>
      <c r="S40" s="21">
        <f t="shared" si="9"/>
        <v>1.0338482596003457E-3</v>
      </c>
      <c r="T40" s="22">
        <f t="shared" si="10"/>
        <v>-3.8177596180203131E-2</v>
      </c>
      <c r="U40" s="57">
        <f t="shared" si="11"/>
        <v>2.2243502208914722E-3</v>
      </c>
      <c r="V40" s="23">
        <f t="shared" si="12"/>
        <v>3.3038112361257021E-3</v>
      </c>
      <c r="W40" s="24">
        <f t="shared" si="13"/>
        <v>9.8775237670342104</v>
      </c>
      <c r="X40" s="24">
        <f t="shared" si="14"/>
        <v>3.2633474006626299E-2</v>
      </c>
      <c r="Y40" s="18">
        <v>10</v>
      </c>
      <c r="Z40" s="18">
        <v>10</v>
      </c>
      <c r="AA40" s="113">
        <v>281</v>
      </c>
      <c r="AB40" s="113">
        <v>62615490</v>
      </c>
      <c r="AC40" s="113">
        <v>2939740</v>
      </c>
      <c r="AD40" s="113">
        <v>4608101</v>
      </c>
      <c r="AE40" s="51">
        <v>60947129</v>
      </c>
      <c r="AF40" s="5"/>
    </row>
    <row r="41" spans="1:241" ht="16.5" customHeight="1" x14ac:dyDescent="0.3">
      <c r="A41" s="168">
        <v>36</v>
      </c>
      <c r="B41" s="142" t="s">
        <v>80</v>
      </c>
      <c r="C41" s="56" t="s">
        <v>81</v>
      </c>
      <c r="D41" s="51"/>
      <c r="E41" s="51"/>
      <c r="F41" s="51">
        <v>486788009.94</v>
      </c>
      <c r="G41" s="51"/>
      <c r="H41" s="51"/>
      <c r="I41" s="51">
        <v>12359685.630000001</v>
      </c>
      <c r="J41" s="51">
        <v>499147695.56999999</v>
      </c>
      <c r="K41" s="51">
        <v>2810040.62</v>
      </c>
      <c r="L41" s="51">
        <v>1161406.3</v>
      </c>
      <c r="M41" s="115">
        <v>1648634.33</v>
      </c>
      <c r="N41" s="18">
        <v>610175736.14999998</v>
      </c>
      <c r="O41" s="18">
        <v>4115046.77</v>
      </c>
      <c r="P41" s="28">
        <v>610189055.04999995</v>
      </c>
      <c r="Q41" s="21">
        <f t="shared" si="8"/>
        <v>1.0044814464702564E-3</v>
      </c>
      <c r="R41" s="28">
        <v>606015689.38</v>
      </c>
      <c r="S41" s="21">
        <f t="shared" si="9"/>
        <v>1.0407330182631736E-3</v>
      </c>
      <c r="T41" s="22">
        <f t="shared" si="10"/>
        <v>-6.8394633359295251E-3</v>
      </c>
      <c r="U41" s="57">
        <f t="shared" si="11"/>
        <v>1.9164624288658381E-3</v>
      </c>
      <c r="V41" s="23">
        <f t="shared" si="12"/>
        <v>2.7204482637845201E-3</v>
      </c>
      <c r="W41" s="24">
        <f t="shared" si="13"/>
        <v>1.0106538094005393</v>
      </c>
      <c r="X41" s="24">
        <f t="shared" si="14"/>
        <v>2.7494314010709088E-3</v>
      </c>
      <c r="Y41" s="18">
        <v>1</v>
      </c>
      <c r="Z41" s="18">
        <v>1</v>
      </c>
      <c r="AA41" s="113">
        <v>153</v>
      </c>
      <c r="AB41" s="113">
        <v>605449373.63</v>
      </c>
      <c r="AC41" s="113">
        <v>1728000</v>
      </c>
      <c r="AD41" s="113">
        <v>7550000</v>
      </c>
      <c r="AE41" s="51">
        <v>599627373.63</v>
      </c>
      <c r="AF41" s="5"/>
    </row>
    <row r="42" spans="1:241" ht="16.5" customHeight="1" x14ac:dyDescent="0.3">
      <c r="A42" s="168">
        <v>37</v>
      </c>
      <c r="B42" s="142" t="s">
        <v>82</v>
      </c>
      <c r="C42" s="56" t="s">
        <v>150</v>
      </c>
      <c r="D42" s="51"/>
      <c r="E42" s="51"/>
      <c r="F42" s="51">
        <v>5918483392.4700003</v>
      </c>
      <c r="G42" s="51"/>
      <c r="H42" s="51"/>
      <c r="I42" s="51"/>
      <c r="J42" s="51">
        <v>5918483392.4700003</v>
      </c>
      <c r="K42" s="51">
        <v>54090123.259999998</v>
      </c>
      <c r="L42" s="51">
        <v>12287818.43</v>
      </c>
      <c r="M42" s="115">
        <v>42800736.950000003</v>
      </c>
      <c r="N42" s="18">
        <v>5922636099.2799997</v>
      </c>
      <c r="O42" s="18">
        <v>152461556.62</v>
      </c>
      <c r="P42" s="28">
        <v>5747812680.8299999</v>
      </c>
      <c r="Q42" s="21">
        <f t="shared" si="8"/>
        <v>9.4619383089509929E-3</v>
      </c>
      <c r="R42" s="28">
        <v>5770174542.6599998</v>
      </c>
      <c r="S42" s="21">
        <f t="shared" si="9"/>
        <v>9.9093328323424362E-3</v>
      </c>
      <c r="T42" s="22">
        <f>((R42-P42)/P42)</f>
        <v>3.8904994076408923E-3</v>
      </c>
      <c r="U42" s="57">
        <f t="shared" si="11"/>
        <v>2.1295401619403046E-3</v>
      </c>
      <c r="V42" s="23">
        <f>M42/R42</f>
        <v>7.4175809819210835E-3</v>
      </c>
      <c r="W42" s="24">
        <f t="shared" si="13"/>
        <v>100.0205790650982</v>
      </c>
      <c r="X42" s="24">
        <f t="shared" si="14"/>
        <v>0.74191074507400656</v>
      </c>
      <c r="Y42" s="18">
        <v>100</v>
      </c>
      <c r="Z42" s="18">
        <v>100</v>
      </c>
      <c r="AA42" s="113">
        <v>1076</v>
      </c>
      <c r="AB42" s="113">
        <v>57478126.810000002</v>
      </c>
      <c r="AC42" s="113">
        <v>5645158.4500000002</v>
      </c>
      <c r="AD42" s="113">
        <v>5433411.8700000001</v>
      </c>
      <c r="AE42" s="51">
        <v>57689873.390000001</v>
      </c>
      <c r="AF42" s="5"/>
    </row>
    <row r="43" spans="1:241" ht="16.5" customHeight="1" x14ac:dyDescent="0.3">
      <c r="A43" s="168">
        <v>38</v>
      </c>
      <c r="B43" s="142" t="s">
        <v>172</v>
      </c>
      <c r="C43" s="56" t="s">
        <v>83</v>
      </c>
      <c r="D43" s="51"/>
      <c r="E43" s="51"/>
      <c r="F43" s="51">
        <v>198776671.31999999</v>
      </c>
      <c r="G43" s="51"/>
      <c r="H43" s="51"/>
      <c r="I43" s="51"/>
      <c r="J43" s="51">
        <v>198776671.31999999</v>
      </c>
      <c r="K43" s="51">
        <v>1883873.33</v>
      </c>
      <c r="L43" s="51">
        <v>653999.54</v>
      </c>
      <c r="M43" s="115">
        <v>1229873.79</v>
      </c>
      <c r="N43" s="18">
        <v>307575199.63999999</v>
      </c>
      <c r="O43" s="18">
        <v>4362642.9000000004</v>
      </c>
      <c r="P43" s="28">
        <v>305387348.61000001</v>
      </c>
      <c r="Q43" s="21">
        <f t="shared" si="8"/>
        <v>5.0272275965414226E-4</v>
      </c>
      <c r="R43" s="28">
        <v>302305411</v>
      </c>
      <c r="S43" s="21">
        <f t="shared" si="9"/>
        <v>5.1916019393689048E-4</v>
      </c>
      <c r="T43" s="22">
        <f t="shared" si="10"/>
        <v>-1.009189681245065E-2</v>
      </c>
      <c r="U43" s="57">
        <f t="shared" si="11"/>
        <v>2.1633735824860907E-3</v>
      </c>
      <c r="V43" s="23">
        <f t="shared" si="12"/>
        <v>4.0683155022984358E-3</v>
      </c>
      <c r="W43" s="24">
        <f t="shared" si="13"/>
        <v>1</v>
      </c>
      <c r="X43" s="24">
        <f t="shared" si="14"/>
        <v>4.0683155022984358E-3</v>
      </c>
      <c r="Y43" s="18">
        <v>1</v>
      </c>
      <c r="Z43" s="18">
        <v>1</v>
      </c>
      <c r="AA43" s="113">
        <v>274</v>
      </c>
      <c r="AB43" s="113">
        <v>303257416</v>
      </c>
      <c r="AC43" s="113">
        <v>2275000</v>
      </c>
      <c r="AD43" s="113">
        <v>3227005</v>
      </c>
      <c r="AE43" s="51">
        <v>302305411</v>
      </c>
      <c r="AF43" s="5"/>
    </row>
    <row r="44" spans="1:241" ht="16.5" customHeight="1" x14ac:dyDescent="0.3">
      <c r="A44" s="168">
        <v>39</v>
      </c>
      <c r="B44" s="142" t="s">
        <v>50</v>
      </c>
      <c r="C44" s="56" t="s">
        <v>84</v>
      </c>
      <c r="D44" s="51"/>
      <c r="E44" s="51"/>
      <c r="F44" s="51">
        <v>434562814.70999998</v>
      </c>
      <c r="G44" s="51"/>
      <c r="H44" s="51"/>
      <c r="I44" s="51"/>
      <c r="J44" s="51">
        <v>434562814.70999998</v>
      </c>
      <c r="K44" s="51">
        <v>1984963.76</v>
      </c>
      <c r="L44" s="51">
        <v>614086.05000000005</v>
      </c>
      <c r="M44" s="115">
        <v>1370877.71</v>
      </c>
      <c r="N44" s="18">
        <v>443364441.87</v>
      </c>
      <c r="O44" s="18">
        <v>614086.05000000005</v>
      </c>
      <c r="P44" s="28">
        <v>407035094.99000001</v>
      </c>
      <c r="Q44" s="21">
        <f t="shared" si="8"/>
        <v>6.7005331805928712E-4</v>
      </c>
      <c r="R44" s="28">
        <v>442750355.81999999</v>
      </c>
      <c r="S44" s="21">
        <f t="shared" si="9"/>
        <v>7.6035145991197118E-4</v>
      </c>
      <c r="T44" s="22">
        <f t="shared" si="10"/>
        <v>8.7744917501222916E-2</v>
      </c>
      <c r="U44" s="57">
        <f>(L44/R44)</f>
        <v>1.3869803647309918E-3</v>
      </c>
      <c r="V44" s="23">
        <f t="shared" si="12"/>
        <v>3.0962769244104907E-3</v>
      </c>
      <c r="W44" s="24">
        <f t="shared" si="13"/>
        <v>100.86169346102764</v>
      </c>
      <c r="X44" s="24">
        <f t="shared" si="14"/>
        <v>0.31229573402034438</v>
      </c>
      <c r="Y44" s="18">
        <v>100</v>
      </c>
      <c r="Z44" s="18">
        <v>100</v>
      </c>
      <c r="AA44" s="113">
        <v>940</v>
      </c>
      <c r="AB44" s="113">
        <v>4066616.81</v>
      </c>
      <c r="AC44" s="113">
        <v>693918.58</v>
      </c>
      <c r="AD44" s="113">
        <v>370857.4</v>
      </c>
      <c r="AE44" s="51">
        <v>4389677.99</v>
      </c>
      <c r="AF44" s="5"/>
    </row>
    <row r="45" spans="1:241" ht="16.5" customHeight="1" x14ac:dyDescent="0.3">
      <c r="A45" s="168">
        <v>40</v>
      </c>
      <c r="B45" s="142" t="s">
        <v>85</v>
      </c>
      <c r="C45" s="56" t="s">
        <v>86</v>
      </c>
      <c r="D45" s="51"/>
      <c r="E45" s="51"/>
      <c r="F45" s="51">
        <v>141463251.94</v>
      </c>
      <c r="G45" s="51"/>
      <c r="H45" s="51"/>
      <c r="I45" s="51"/>
      <c r="J45" s="51">
        <v>141463251.94</v>
      </c>
      <c r="K45" s="51">
        <v>1491916.43</v>
      </c>
      <c r="L45" s="51">
        <v>165724.14000000001</v>
      </c>
      <c r="M45" s="115">
        <v>1326192.29</v>
      </c>
      <c r="N45" s="18">
        <v>141560874.55000001</v>
      </c>
      <c r="O45" s="18">
        <v>3300137.32</v>
      </c>
      <c r="P45" s="28">
        <v>122511456.37</v>
      </c>
      <c r="Q45" s="21">
        <f t="shared" si="8"/>
        <v>2.0167599514486789E-4</v>
      </c>
      <c r="R45" s="28">
        <v>138260737.22999999</v>
      </c>
      <c r="S45" s="21">
        <f t="shared" si="9"/>
        <v>2.3744024599739715E-4</v>
      </c>
      <c r="T45" s="22">
        <f>((R45-P45)/P45)</f>
        <v>0.12855353553577206</v>
      </c>
      <c r="U45" s="92">
        <f>(L45/R45)</f>
        <v>1.1986348642443155E-3</v>
      </c>
      <c r="V45" s="23">
        <f t="shared" si="12"/>
        <v>9.5919659953342205E-3</v>
      </c>
      <c r="W45" s="24">
        <f t="shared" si="13"/>
        <v>1.0072671383762404</v>
      </c>
      <c r="X45" s="24">
        <f t="shared" si="14"/>
        <v>9.661672139522506E-3</v>
      </c>
      <c r="Y45" s="18">
        <v>1</v>
      </c>
      <c r="Z45" s="18">
        <v>1</v>
      </c>
      <c r="AA45" s="113">
        <v>38</v>
      </c>
      <c r="AB45" s="113">
        <v>122511456.37</v>
      </c>
      <c r="AC45" s="113">
        <v>14801770</v>
      </c>
      <c r="AD45" s="113">
        <v>50000</v>
      </c>
      <c r="AE45" s="113">
        <v>137263226.37</v>
      </c>
      <c r="AF45" s="5"/>
    </row>
    <row r="46" spans="1:241" ht="16.5" customHeight="1" x14ac:dyDescent="0.3">
      <c r="A46" s="168">
        <v>41</v>
      </c>
      <c r="B46" s="142" t="s">
        <v>87</v>
      </c>
      <c r="C46" s="159" t="s">
        <v>88</v>
      </c>
      <c r="D46" s="51"/>
      <c r="E46" s="51"/>
      <c r="F46" s="51">
        <v>678382743.99000001</v>
      </c>
      <c r="G46" s="51"/>
      <c r="H46" s="51"/>
      <c r="I46" s="51">
        <v>205138733.75999999</v>
      </c>
      <c r="J46" s="51">
        <v>883521477.75</v>
      </c>
      <c r="K46" s="51">
        <v>6559389.6699999999</v>
      </c>
      <c r="L46" s="51">
        <v>1603110.23</v>
      </c>
      <c r="M46" s="115">
        <v>4956279.43</v>
      </c>
      <c r="N46" s="18">
        <v>1392056987.03</v>
      </c>
      <c r="O46" s="18">
        <v>10166004.800000001</v>
      </c>
      <c r="P46" s="28">
        <v>1381794702.8499999</v>
      </c>
      <c r="Q46" s="21">
        <f t="shared" si="8"/>
        <v>2.2746837727693624E-3</v>
      </c>
      <c r="R46" s="28">
        <v>1381890982.23</v>
      </c>
      <c r="S46" s="21">
        <f t="shared" si="9"/>
        <v>2.3731721769749167E-3</v>
      </c>
      <c r="T46" s="22">
        <f t="shared" si="10"/>
        <v>6.9677051013102641E-5</v>
      </c>
      <c r="U46" s="57">
        <f t="shared" si="11"/>
        <v>1.1600844427054669E-3</v>
      </c>
      <c r="V46" s="23">
        <f t="shared" si="12"/>
        <v>3.5865922085994793E-3</v>
      </c>
      <c r="W46" s="24">
        <f t="shared" si="13"/>
        <v>1.0101321212753549</v>
      </c>
      <c r="X46" s="24">
        <f t="shared" si="14"/>
        <v>3.6229319958222522E-3</v>
      </c>
      <c r="Y46" s="18">
        <v>1</v>
      </c>
      <c r="Z46" s="18">
        <v>1</v>
      </c>
      <c r="AA46" s="113">
        <v>46</v>
      </c>
      <c r="AB46" s="113">
        <v>1372889937</v>
      </c>
      <c r="AC46" s="113">
        <v>2875000</v>
      </c>
      <c r="AD46" s="113">
        <v>7735000</v>
      </c>
      <c r="AE46" s="51">
        <v>1368029937</v>
      </c>
      <c r="AF46" s="5"/>
    </row>
    <row r="47" spans="1:241" ht="16.5" customHeight="1" x14ac:dyDescent="0.3">
      <c r="A47" s="168">
        <v>42</v>
      </c>
      <c r="B47" s="59" t="s">
        <v>89</v>
      </c>
      <c r="C47" s="56" t="s">
        <v>90</v>
      </c>
      <c r="D47" s="51"/>
      <c r="E47" s="51"/>
      <c r="F47" s="51">
        <v>94888243.379999995</v>
      </c>
      <c r="G47" s="51"/>
      <c r="H47" s="51"/>
      <c r="I47" s="51">
        <v>7211412.6299999999</v>
      </c>
      <c r="J47" s="51"/>
      <c r="K47" s="51">
        <v>678244.75</v>
      </c>
      <c r="L47" s="51">
        <v>56520.86</v>
      </c>
      <c r="M47" s="115">
        <v>621723.89</v>
      </c>
      <c r="N47" s="18">
        <v>156001704.09</v>
      </c>
      <c r="O47" s="18">
        <v>5509186.7999999998</v>
      </c>
      <c r="P47" s="28">
        <v>150902305.16999999</v>
      </c>
      <c r="Q47" s="21">
        <f t="shared" si="8"/>
        <v>2.4841246252841595E-4</v>
      </c>
      <c r="R47" s="28">
        <v>148235714.41999999</v>
      </c>
      <c r="S47" s="21">
        <f t="shared" si="9"/>
        <v>2.5457064096897925E-4</v>
      </c>
      <c r="T47" s="22">
        <f>((R47-P47)/P47)</f>
        <v>-1.7670974257125726E-2</v>
      </c>
      <c r="U47" s="57">
        <f>(L47/R47)</f>
        <v>3.8129043477240596E-4</v>
      </c>
      <c r="V47" s="23">
        <f>M47/R47</f>
        <v>4.1941572072061797E-3</v>
      </c>
      <c r="W47" s="24">
        <f>R47/AE47</f>
        <v>0.99983051775734544</v>
      </c>
      <c r="X47" s="24">
        <f>M47/AE47</f>
        <v>4.1934463720366567E-3</v>
      </c>
      <c r="Y47" s="18">
        <v>1</v>
      </c>
      <c r="Z47" s="18">
        <v>1</v>
      </c>
      <c r="AA47" s="113">
        <v>43</v>
      </c>
      <c r="AB47" s="113">
        <v>150836338</v>
      </c>
      <c r="AC47" s="51">
        <v>510000</v>
      </c>
      <c r="AD47" s="113">
        <v>3100496</v>
      </c>
      <c r="AE47" s="51">
        <v>148260842</v>
      </c>
      <c r="AF47" s="5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</row>
    <row r="48" spans="1:241" ht="16.5" customHeight="1" x14ac:dyDescent="0.3">
      <c r="A48" s="168">
        <v>43</v>
      </c>
      <c r="B48" s="59" t="s">
        <v>158</v>
      </c>
      <c r="C48" s="55" t="s">
        <v>159</v>
      </c>
      <c r="D48" s="51"/>
      <c r="E48" s="51"/>
      <c r="F48" s="51">
        <v>408559719.54000002</v>
      </c>
      <c r="G48" s="51"/>
      <c r="H48" s="51"/>
      <c r="I48" s="51"/>
      <c r="J48" s="51">
        <v>408559719.54000002</v>
      </c>
      <c r="K48" s="51">
        <v>8251336.9699999997</v>
      </c>
      <c r="L48" s="51">
        <v>1817341.28</v>
      </c>
      <c r="M48" s="115">
        <v>6433995.6900000004</v>
      </c>
      <c r="N48" s="18">
        <v>1042181834.3200001</v>
      </c>
      <c r="O48" s="18">
        <v>1011830829.33</v>
      </c>
      <c r="P48" s="28">
        <v>969216638.80999994</v>
      </c>
      <c r="Q48" s="21">
        <f t="shared" si="8"/>
        <v>1.5955057260329483E-3</v>
      </c>
      <c r="R48" s="28">
        <v>1012601287.3099999</v>
      </c>
      <c r="S48" s="21">
        <f t="shared" si="9"/>
        <v>1.7389774101681712E-3</v>
      </c>
      <c r="T48" s="22">
        <f>((R48-P48)/P48)</f>
        <v>4.476259152264192E-2</v>
      </c>
      <c r="U48" s="57">
        <f>(L48/R48)</f>
        <v>1.7947254292237881E-3</v>
      </c>
      <c r="V48" s="23">
        <f>M48/R48</f>
        <v>6.3539280175043695E-3</v>
      </c>
      <c r="W48" s="24">
        <f>R48/AE48</f>
        <v>1.0008365762093487</v>
      </c>
      <c r="X48" s="24">
        <f>M48/AE48</f>
        <v>6.3592435625197284E-3</v>
      </c>
      <c r="Y48" s="18">
        <v>1</v>
      </c>
      <c r="Z48" s="18">
        <v>1</v>
      </c>
      <c r="AA48" s="113">
        <v>254</v>
      </c>
      <c r="AB48" s="113">
        <v>968294395.01999998</v>
      </c>
      <c r="AC48" s="113">
        <v>65762219.329999998</v>
      </c>
      <c r="AD48" s="113">
        <v>22301737.100000001</v>
      </c>
      <c r="AE48" s="51">
        <v>1011754877.25</v>
      </c>
      <c r="AF48" s="5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</row>
    <row r="49" spans="1:241" ht="16.5" customHeight="1" x14ac:dyDescent="0.3">
      <c r="A49" s="168">
        <v>44</v>
      </c>
      <c r="B49" s="59" t="s">
        <v>154</v>
      </c>
      <c r="C49" s="56" t="s">
        <v>155</v>
      </c>
      <c r="D49" s="51"/>
      <c r="E49" s="51"/>
      <c r="F49" s="18">
        <v>15474772.720000001</v>
      </c>
      <c r="G49" s="18"/>
      <c r="H49" s="143"/>
      <c r="I49" s="144"/>
      <c r="J49" s="18">
        <v>15474772.720000001</v>
      </c>
      <c r="K49" s="140">
        <v>22726.28</v>
      </c>
      <c r="L49" s="140">
        <v>12301.93</v>
      </c>
      <c r="M49" s="115">
        <v>10424.35</v>
      </c>
      <c r="N49" s="140">
        <v>16344336.939999999</v>
      </c>
      <c r="O49" s="171">
        <v>264947.8</v>
      </c>
      <c r="P49" s="28">
        <v>6660987.8399999999</v>
      </c>
      <c r="Q49" s="21">
        <f t="shared" si="8"/>
        <v>1.0965189632737235E-5</v>
      </c>
      <c r="R49" s="76">
        <v>16079389.1</v>
      </c>
      <c r="S49" s="21">
        <f t="shared" si="9"/>
        <v>2.7613725920184483E-5</v>
      </c>
      <c r="T49" s="22" t="e">
        <f>((#REF!-P49)/P49)</f>
        <v>#REF!</v>
      </c>
      <c r="U49" s="57" t="e">
        <f>(#REF!/#REF!)</f>
        <v>#REF!</v>
      </c>
      <c r="V49" s="23" t="e">
        <f>#REF!/#REF!</f>
        <v>#REF!</v>
      </c>
      <c r="W49" s="24" t="e">
        <f>#REF!/AE49</f>
        <v>#REF!</v>
      </c>
      <c r="X49" s="24" t="e">
        <f>#REF!/AE49</f>
        <v>#REF!</v>
      </c>
      <c r="Y49" s="18">
        <v>100</v>
      </c>
      <c r="Z49" s="18">
        <v>100</v>
      </c>
      <c r="AA49" s="113">
        <v>72</v>
      </c>
      <c r="AB49" s="51">
        <v>64635</v>
      </c>
      <c r="AC49" s="113">
        <f>AE49-AB49</f>
        <v>94250</v>
      </c>
      <c r="AD49" s="113"/>
      <c r="AE49" s="51">
        <v>158885</v>
      </c>
      <c r="AF49" s="5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</row>
    <row r="50" spans="1:241" ht="16.5" customHeight="1" x14ac:dyDescent="0.3">
      <c r="A50" s="168">
        <v>45</v>
      </c>
      <c r="B50" s="142" t="s">
        <v>152</v>
      </c>
      <c r="C50" s="56" t="s">
        <v>169</v>
      </c>
      <c r="D50" s="51"/>
      <c r="E50" s="51"/>
      <c r="F50" s="51">
        <v>958405114.87</v>
      </c>
      <c r="G50" s="51"/>
      <c r="H50" s="51"/>
      <c r="I50" s="51"/>
      <c r="J50" s="51">
        <v>958405114.87</v>
      </c>
      <c r="K50" s="51">
        <v>9433737.6899999995</v>
      </c>
      <c r="L50" s="51">
        <v>1631502.64</v>
      </c>
      <c r="M50" s="115">
        <v>7802235.0499999998</v>
      </c>
      <c r="N50" s="18">
        <v>1411352150.0799999</v>
      </c>
      <c r="O50" s="18">
        <v>46602345.520000003</v>
      </c>
      <c r="P50" s="28">
        <v>1181144189.1400001</v>
      </c>
      <c r="Q50" s="21">
        <f t="shared" si="8"/>
        <v>1.9443767694261032E-3</v>
      </c>
      <c r="R50" s="28">
        <v>1364749804.5599999</v>
      </c>
      <c r="S50" s="21">
        <f t="shared" si="9"/>
        <v>2.3437350025160581E-3</v>
      </c>
      <c r="T50" s="22">
        <f>((R50-P50)/P50)</f>
        <v>0.15544724946213762</v>
      </c>
      <c r="U50" s="57">
        <f t="shared" si="11"/>
        <v>1.1954591490313509E-3</v>
      </c>
      <c r="V50" s="23">
        <f t="shared" si="12"/>
        <v>5.7169709963911424E-3</v>
      </c>
      <c r="W50" s="24">
        <f t="shared" si="13"/>
        <v>99.85366777152629</v>
      </c>
      <c r="X50" s="24">
        <f t="shared" si="14"/>
        <v>0.57086052253309272</v>
      </c>
      <c r="Y50" s="18">
        <v>100</v>
      </c>
      <c r="Z50" s="18">
        <v>100</v>
      </c>
      <c r="AA50" s="113">
        <v>700</v>
      </c>
      <c r="AB50" s="113">
        <v>11827259</v>
      </c>
      <c r="AC50" s="113">
        <v>2600131</v>
      </c>
      <c r="AD50" s="113">
        <v>4440370</v>
      </c>
      <c r="AE50" s="51">
        <v>13667498</v>
      </c>
      <c r="AF50" s="5"/>
    </row>
    <row r="51" spans="1:241" ht="16.5" customHeight="1" x14ac:dyDescent="0.3">
      <c r="A51" s="172" t="s">
        <v>91</v>
      </c>
      <c r="B51" s="83"/>
      <c r="C51" s="33" t="s">
        <v>52</v>
      </c>
      <c r="D51" s="34"/>
      <c r="E51" s="34"/>
      <c r="F51" s="34">
        <f>SUM(F22:F50)</f>
        <v>479339006448.31995</v>
      </c>
      <c r="G51" s="34"/>
      <c r="H51" s="34"/>
      <c r="I51" s="34">
        <f t="shared" ref="I51:P51" si="15">SUM(I22:I50)</f>
        <v>7565305364.2300005</v>
      </c>
      <c r="J51" s="34">
        <f t="shared" si="15"/>
        <v>494569932990.65997</v>
      </c>
      <c r="K51" s="34">
        <f t="shared" si="15"/>
        <v>3437135573.2400007</v>
      </c>
      <c r="L51" s="34">
        <f t="shared" si="15"/>
        <v>902807019.93999982</v>
      </c>
      <c r="M51" s="34">
        <f t="shared" si="15"/>
        <v>2535321382.5499997</v>
      </c>
      <c r="N51" s="34">
        <f t="shared" si="15"/>
        <v>594046828073.25989</v>
      </c>
      <c r="O51" s="34">
        <f t="shared" si="15"/>
        <v>8731160253.3579998</v>
      </c>
      <c r="P51" s="122">
        <f t="shared" si="15"/>
        <v>607466725437.48987</v>
      </c>
      <c r="Q51" s="82">
        <f>(P51/$P$151)</f>
        <v>0.4270975235817539</v>
      </c>
      <c r="R51" s="35">
        <f>SUM(R22:R50)</f>
        <v>582296976021.14014</v>
      </c>
      <c r="S51" s="82">
        <f>(R51/$R$151)</f>
        <v>0.41929504730262807</v>
      </c>
      <c r="T51" s="36">
        <f t="shared" si="10"/>
        <v>-4.1433955741728562E-2</v>
      </c>
      <c r="U51" s="49"/>
      <c r="V51" s="37"/>
      <c r="W51" s="38"/>
      <c r="X51" s="38"/>
      <c r="Y51" s="34"/>
      <c r="Z51" s="34"/>
      <c r="AA51" s="39">
        <f>SUM(AA22:AA50)</f>
        <v>700158</v>
      </c>
      <c r="AB51" s="39"/>
      <c r="AC51" s="39"/>
      <c r="AD51" s="39"/>
      <c r="AE51" s="34"/>
      <c r="AF51" s="5"/>
    </row>
    <row r="52" spans="1:241" ht="16.5" customHeight="1" x14ac:dyDescent="0.3">
      <c r="A52" s="193" t="s">
        <v>188</v>
      </c>
      <c r="B52" s="193"/>
      <c r="C52" s="193"/>
      <c r="D52" s="43"/>
      <c r="E52" s="43"/>
      <c r="F52" s="43"/>
      <c r="G52" s="43"/>
      <c r="H52" s="43"/>
      <c r="I52" s="43"/>
      <c r="J52" s="43"/>
      <c r="K52" s="43"/>
      <c r="L52" s="43"/>
      <c r="M52" s="128"/>
      <c r="N52" s="43"/>
      <c r="O52" s="43"/>
      <c r="P52" s="152">
        <v>0</v>
      </c>
      <c r="Q52" s="22"/>
      <c r="R52" s="43">
        <v>0</v>
      </c>
      <c r="S52" s="22"/>
      <c r="T52" s="22"/>
      <c r="U52" s="22"/>
      <c r="V52" s="44"/>
      <c r="W52" s="45"/>
      <c r="X52" s="45"/>
      <c r="Y52" s="43"/>
      <c r="Z52" s="43"/>
      <c r="AA52" s="43"/>
      <c r="AB52" s="43"/>
      <c r="AC52" s="43"/>
      <c r="AD52" s="43"/>
      <c r="AE52" s="43"/>
      <c r="AF52" s="5"/>
    </row>
    <row r="53" spans="1:241" ht="16.5" customHeight="1" x14ac:dyDescent="0.3">
      <c r="A53" s="168">
        <v>46</v>
      </c>
      <c r="B53" s="142" t="s">
        <v>23</v>
      </c>
      <c r="C53" s="56" t="s">
        <v>92</v>
      </c>
      <c r="D53" s="18"/>
      <c r="E53" s="18"/>
      <c r="F53" s="18">
        <v>9849302870.3700008</v>
      </c>
      <c r="G53" s="18">
        <v>48134065604.389999</v>
      </c>
      <c r="H53" s="18"/>
      <c r="I53" s="18"/>
      <c r="J53" s="18">
        <v>57983368474.760002</v>
      </c>
      <c r="K53" s="18">
        <v>391691495.39999998</v>
      </c>
      <c r="L53" s="18">
        <v>107027878.81</v>
      </c>
      <c r="M53" s="115">
        <v>284663616.58999997</v>
      </c>
      <c r="N53" s="18">
        <v>58014788927.75</v>
      </c>
      <c r="O53" s="18">
        <v>732003377.45000005</v>
      </c>
      <c r="P53" s="28">
        <v>64975632077.110001</v>
      </c>
      <c r="Q53" s="21">
        <f t="shared" ref="Q53:Q81" si="16">(P53/$P$82)</f>
        <v>0.15467635028561802</v>
      </c>
      <c r="R53" s="28">
        <v>57282785550.300003</v>
      </c>
      <c r="S53" s="21">
        <f t="shared" ref="S53:S81" si="17">(R53/$R$82)</f>
        <v>0.14065257438055279</v>
      </c>
      <c r="T53" s="22">
        <f t="shared" ref="T53:T82" si="18">((R53-P53)/P53)</f>
        <v>-0.11839587058853836</v>
      </c>
      <c r="U53" s="57">
        <f>(L53/R53)</f>
        <v>1.8684126091601961E-3</v>
      </c>
      <c r="V53" s="23">
        <f>M53/R53</f>
        <v>4.9694443776662524E-3</v>
      </c>
      <c r="W53" s="24">
        <f>R53/AE53</f>
        <v>239.57416481829563</v>
      </c>
      <c r="X53" s="24">
        <f>M53/AE53</f>
        <v>1.1905504863903671</v>
      </c>
      <c r="Y53" s="112">
        <v>239.57</v>
      </c>
      <c r="Z53" s="112">
        <v>239.57</v>
      </c>
      <c r="AA53" s="113">
        <v>6822</v>
      </c>
      <c r="AB53" s="113">
        <v>271992166.39999998</v>
      </c>
      <c r="AC53" s="113">
        <v>2359957.25</v>
      </c>
      <c r="AD53" s="113">
        <v>35249607.759999998</v>
      </c>
      <c r="AE53" s="51">
        <v>239102515.88999999</v>
      </c>
      <c r="AF53" s="5"/>
    </row>
    <row r="54" spans="1:241" ht="16.5" customHeight="1" x14ac:dyDescent="0.3">
      <c r="A54" s="168">
        <v>47</v>
      </c>
      <c r="B54" s="142" t="s">
        <v>31</v>
      </c>
      <c r="C54" s="56" t="s">
        <v>93</v>
      </c>
      <c r="D54" s="18"/>
      <c r="E54" s="18"/>
      <c r="F54" s="18">
        <v>193681743.31999999</v>
      </c>
      <c r="G54" s="18">
        <v>1217413850.3699999</v>
      </c>
      <c r="H54" s="18"/>
      <c r="I54" s="18"/>
      <c r="J54" s="18">
        <v>1411095593.6900001</v>
      </c>
      <c r="K54" s="18">
        <v>12918099.310000001</v>
      </c>
      <c r="L54" s="18">
        <v>1829229.27</v>
      </c>
      <c r="M54" s="115">
        <v>11088870.039999999</v>
      </c>
      <c r="N54" s="18">
        <v>1426827612.0899999</v>
      </c>
      <c r="O54" s="18">
        <v>33945172.020000003</v>
      </c>
      <c r="P54" s="28">
        <v>1366946370.23</v>
      </c>
      <c r="Q54" s="21">
        <f t="shared" si="16"/>
        <v>3.2540549252745919E-3</v>
      </c>
      <c r="R54" s="28">
        <v>1392882440.0699999</v>
      </c>
      <c r="S54" s="21">
        <f t="shared" si="17"/>
        <v>3.4200938226595285E-3</v>
      </c>
      <c r="T54" s="22">
        <f t="shared" si="18"/>
        <v>1.8973728892989383E-2</v>
      </c>
      <c r="U54" s="57">
        <f>(L54/R54)</f>
        <v>1.3132689575066157E-3</v>
      </c>
      <c r="V54" s="23">
        <f>M54/R54</f>
        <v>7.9610954384942371E-3</v>
      </c>
      <c r="W54" s="24">
        <f>R54/AE54</f>
        <v>323.97071145429845</v>
      </c>
      <c r="X54" s="24">
        <f>M54/AE54</f>
        <v>2.5791617531645481</v>
      </c>
      <c r="Y54" s="112">
        <v>323.97070000000002</v>
      </c>
      <c r="Z54" s="112">
        <v>323.97070000000002</v>
      </c>
      <c r="AA54" s="113">
        <v>97</v>
      </c>
      <c r="AB54" s="51">
        <v>4299095.6728999997</v>
      </c>
      <c r="AC54" s="51">
        <v>312.85640000000001</v>
      </c>
      <c r="AD54" s="113"/>
      <c r="AE54" s="51">
        <v>4299408.5292999996</v>
      </c>
      <c r="AF54" s="5"/>
    </row>
    <row r="55" spans="1:241" ht="16.5" customHeight="1" x14ac:dyDescent="0.3">
      <c r="A55" s="168">
        <v>48</v>
      </c>
      <c r="B55" s="142" t="s">
        <v>37</v>
      </c>
      <c r="C55" s="56" t="s">
        <v>189</v>
      </c>
      <c r="D55" s="18"/>
      <c r="E55" s="18"/>
      <c r="F55" s="18">
        <v>19956572534.029999</v>
      </c>
      <c r="G55" s="18">
        <v>44885495506.989998</v>
      </c>
      <c r="H55" s="18"/>
      <c r="I55" s="18"/>
      <c r="J55" s="18">
        <v>64176574021.099998</v>
      </c>
      <c r="K55" s="18">
        <v>651969200.42999995</v>
      </c>
      <c r="L55" s="18">
        <v>75042580.760000005</v>
      </c>
      <c r="M55" s="115">
        <v>576926619.65999997</v>
      </c>
      <c r="N55" s="18">
        <v>65216527316.360001</v>
      </c>
      <c r="O55" s="18">
        <v>1039953295.23</v>
      </c>
      <c r="P55" s="28">
        <v>64506305974.900002</v>
      </c>
      <c r="Q55" s="21">
        <f t="shared" si="16"/>
        <v>0.15355910607785922</v>
      </c>
      <c r="R55" s="28">
        <v>64176574021.139999</v>
      </c>
      <c r="S55" s="21">
        <f t="shared" si="17"/>
        <v>0.1575796334672166</v>
      </c>
      <c r="T55" s="22">
        <f t="shared" si="18"/>
        <v>-5.1116235657379591E-3</v>
      </c>
      <c r="U55" s="57">
        <f>(L55/R55)</f>
        <v>1.1693142225897054E-3</v>
      </c>
      <c r="V55" s="23">
        <f>M55/R55</f>
        <v>8.9896761935275363E-3</v>
      </c>
      <c r="W55" s="24">
        <f>R55/AE55</f>
        <v>1469.8526141272196</v>
      </c>
      <c r="X55" s="24">
        <f>M55/AE55</f>
        <v>13.213499053213679</v>
      </c>
      <c r="Y55" s="112">
        <v>1469.85</v>
      </c>
      <c r="Z55" s="112">
        <v>1469.85</v>
      </c>
      <c r="AA55" s="113">
        <v>2390</v>
      </c>
      <c r="AB55" s="113">
        <v>44272215</v>
      </c>
      <c r="AC55" s="113">
        <v>3945693</v>
      </c>
      <c r="AD55" s="113">
        <v>4555997</v>
      </c>
      <c r="AE55" s="51">
        <v>43661911</v>
      </c>
      <c r="AF55" s="5"/>
    </row>
    <row r="56" spans="1:241" ht="16.5" customHeight="1" x14ac:dyDescent="0.3">
      <c r="A56" s="168">
        <v>49</v>
      </c>
      <c r="B56" s="59" t="s">
        <v>158</v>
      </c>
      <c r="C56" s="56" t="s">
        <v>160</v>
      </c>
      <c r="D56" s="18"/>
      <c r="E56" s="18"/>
      <c r="F56" s="18">
        <v>17310721.09</v>
      </c>
      <c r="G56" s="18">
        <v>476175320.79000002</v>
      </c>
      <c r="H56" s="27"/>
      <c r="I56" s="26">
        <v>1031902.4</v>
      </c>
      <c r="J56" s="26">
        <v>494517944.27999997</v>
      </c>
      <c r="K56" s="26">
        <v>5768778.71</v>
      </c>
      <c r="L56" s="18">
        <v>1164631.69</v>
      </c>
      <c r="M56" s="115">
        <v>4604147.0199999996</v>
      </c>
      <c r="N56" s="18">
        <v>653770837.33000004</v>
      </c>
      <c r="O56" s="18">
        <v>613606669.77999997</v>
      </c>
      <c r="P56" s="28">
        <v>639751546.25999999</v>
      </c>
      <c r="Q56" s="21">
        <f t="shared" si="16"/>
        <v>1.5229468510232125E-3</v>
      </c>
      <c r="R56" s="28">
        <v>643140848.38</v>
      </c>
      <c r="S56" s="21">
        <f t="shared" si="17"/>
        <v>1.579172785417486E-3</v>
      </c>
      <c r="T56" s="22">
        <f t="shared" si="18"/>
        <v>5.2978412319812764E-3</v>
      </c>
      <c r="U56" s="57">
        <f>(L56/R56)</f>
        <v>1.8108501317146582E-3</v>
      </c>
      <c r="V56" s="23">
        <f>M56/R56</f>
        <v>7.1588471352695632E-3</v>
      </c>
      <c r="W56" s="24">
        <f>R56/AE56</f>
        <v>1.0501466897821532</v>
      </c>
      <c r="X56" s="24">
        <f>M56/AE56</f>
        <v>7.5178396217597827E-3</v>
      </c>
      <c r="Y56" s="112">
        <v>1.05</v>
      </c>
      <c r="Z56" s="112">
        <v>1.05</v>
      </c>
      <c r="AA56" s="113">
        <v>40</v>
      </c>
      <c r="AB56" s="113">
        <v>613803278.42999995</v>
      </c>
      <c r="AC56" s="113">
        <v>171636.06</v>
      </c>
      <c r="AD56" s="113">
        <v>1545379.99</v>
      </c>
      <c r="AE56" s="51">
        <v>612429534.5</v>
      </c>
      <c r="AF56" s="5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</row>
    <row r="57" spans="1:241" ht="16.5" customHeight="1" x14ac:dyDescent="0.3">
      <c r="A57" s="168">
        <v>50</v>
      </c>
      <c r="B57" s="142" t="s">
        <v>82</v>
      </c>
      <c r="C57" s="55" t="s">
        <v>98</v>
      </c>
      <c r="D57" s="18"/>
      <c r="E57" s="18"/>
      <c r="F57" s="18">
        <v>704043951.82000005</v>
      </c>
      <c r="G57" s="18">
        <v>2045146626.5899999</v>
      </c>
      <c r="H57" s="18"/>
      <c r="I57" s="18"/>
      <c r="J57" s="18">
        <v>2749190578.4099998</v>
      </c>
      <c r="K57" s="18">
        <v>8530628.1999999993</v>
      </c>
      <c r="L57" s="18">
        <v>4210652.26</v>
      </c>
      <c r="M57" s="115">
        <v>4319975.9400000004</v>
      </c>
      <c r="N57" s="18">
        <v>2856710015.9200001</v>
      </c>
      <c r="O57" s="18">
        <v>35021658.560000002</v>
      </c>
      <c r="P57" s="28">
        <v>2901005910.5</v>
      </c>
      <c r="Q57" s="21">
        <f t="shared" si="16"/>
        <v>6.9059275308107834E-3</v>
      </c>
      <c r="R57" s="28">
        <v>2821688357.3600001</v>
      </c>
      <c r="S57" s="21">
        <f t="shared" si="17"/>
        <v>6.9283944163961615E-3</v>
      </c>
      <c r="T57" s="22">
        <f t="shared" si="18"/>
        <v>-2.734139660071536E-2</v>
      </c>
      <c r="U57" s="57">
        <f t="shared" ref="U57:U78" si="19">(L57/R57)</f>
        <v>1.4922456794412009E-3</v>
      </c>
      <c r="V57" s="23">
        <f t="shared" ref="V57:V78" si="20">M57/R57</f>
        <v>1.53098974545928E-3</v>
      </c>
      <c r="W57" s="24">
        <f t="shared" ref="W57:W75" si="21">R57/AE57</f>
        <v>3576.1979204887916</v>
      </c>
      <c r="X57" s="24">
        <f t="shared" ref="X57:X75" si="22">M57/AE57</f>
        <v>5.4751223440011412</v>
      </c>
      <c r="Y57" s="69">
        <v>3576.2</v>
      </c>
      <c r="Z57" s="69">
        <v>3576.2</v>
      </c>
      <c r="AA57" s="113">
        <v>1021</v>
      </c>
      <c r="AB57" s="113">
        <v>815325.6</v>
      </c>
      <c r="AC57" s="113">
        <v>1360.47</v>
      </c>
      <c r="AD57" s="113">
        <v>27667</v>
      </c>
      <c r="AE57" s="171">
        <v>789019.07</v>
      </c>
      <c r="AF57" s="5"/>
    </row>
    <row r="58" spans="1:241" ht="16.5" customHeight="1" x14ac:dyDescent="0.3">
      <c r="A58" s="168">
        <v>51</v>
      </c>
      <c r="B58" s="142" t="s">
        <v>33</v>
      </c>
      <c r="C58" s="56" t="s">
        <v>99</v>
      </c>
      <c r="D58" s="18"/>
      <c r="E58" s="18"/>
      <c r="F58" s="18">
        <v>91497115216</v>
      </c>
      <c r="G58" s="18">
        <v>91497115216</v>
      </c>
      <c r="H58" s="18"/>
      <c r="I58" s="18"/>
      <c r="J58" s="18">
        <v>94621950411</v>
      </c>
      <c r="K58" s="18">
        <v>759134325</v>
      </c>
      <c r="L58" s="18">
        <v>181747452</v>
      </c>
      <c r="M58" s="115">
        <v>577386873</v>
      </c>
      <c r="N58" s="18">
        <v>114130355939.49001</v>
      </c>
      <c r="O58" s="18">
        <v>919328659.23000002</v>
      </c>
      <c r="P58" s="28">
        <v>116116650853</v>
      </c>
      <c r="Q58" s="21">
        <f t="shared" si="16"/>
        <v>0.27641900797543245</v>
      </c>
      <c r="R58" s="28">
        <v>113211027280</v>
      </c>
      <c r="S58" s="21">
        <f t="shared" si="17"/>
        <v>0.27797919186762726</v>
      </c>
      <c r="T58" s="22">
        <f t="shared" si="18"/>
        <v>-2.502331536136387E-2</v>
      </c>
      <c r="U58" s="57">
        <f t="shared" si="19"/>
        <v>1.6053864748571867E-3</v>
      </c>
      <c r="V58" s="23">
        <f t="shared" si="20"/>
        <v>5.1000939296485109E-3</v>
      </c>
      <c r="W58" s="24">
        <f t="shared" si="21"/>
        <v>1.9041760890756065</v>
      </c>
      <c r="X58" s="24">
        <f t="shared" si="22"/>
        <v>9.7114769128763441E-3</v>
      </c>
      <c r="Y58" s="112">
        <v>1.9</v>
      </c>
      <c r="Z58" s="112">
        <v>1.9</v>
      </c>
      <c r="AA58" s="113">
        <v>2440</v>
      </c>
      <c r="AB58" s="113">
        <v>58010382073</v>
      </c>
      <c r="AC58" s="113">
        <v>7696349125</v>
      </c>
      <c r="AD58" s="113">
        <v>6252656583</v>
      </c>
      <c r="AE58" s="51">
        <v>59454074615</v>
      </c>
      <c r="AF58" s="5"/>
    </row>
    <row r="59" spans="1:241" ht="16.5" customHeight="1" x14ac:dyDescent="0.3">
      <c r="A59" s="168">
        <v>52</v>
      </c>
      <c r="B59" s="142" t="s">
        <v>44</v>
      </c>
      <c r="C59" s="163" t="s">
        <v>100</v>
      </c>
      <c r="D59" s="18">
        <v>36501087.5</v>
      </c>
      <c r="E59" s="18"/>
      <c r="F59" s="18">
        <v>581245314.44000006</v>
      </c>
      <c r="G59" s="18">
        <v>9673229800.9899998</v>
      </c>
      <c r="H59" s="18"/>
      <c r="I59" s="18"/>
      <c r="J59" s="18">
        <v>10290976202.93</v>
      </c>
      <c r="K59" s="18">
        <v>68457324.760000005</v>
      </c>
      <c r="L59" s="18">
        <v>15689825.890000001</v>
      </c>
      <c r="M59" s="115">
        <v>49775464.869999997</v>
      </c>
      <c r="N59" s="18">
        <v>10316091093.030001</v>
      </c>
      <c r="O59" s="18">
        <v>381484379.88999999</v>
      </c>
      <c r="P59" s="28">
        <v>9972592124.1399994</v>
      </c>
      <c r="Q59" s="21">
        <f t="shared" si="16"/>
        <v>2.3740040740480667E-2</v>
      </c>
      <c r="R59" s="28">
        <v>9934606713.1399994</v>
      </c>
      <c r="S59" s="21">
        <f t="shared" si="17"/>
        <v>2.4393506639694914E-2</v>
      </c>
      <c r="T59" s="22">
        <f t="shared" si="18"/>
        <v>-3.808980707037161E-3</v>
      </c>
      <c r="U59" s="57">
        <f t="shared" si="19"/>
        <v>1.5793102176101109E-3</v>
      </c>
      <c r="V59" s="23">
        <f t="shared" si="20"/>
        <v>5.0103105545350399E-3</v>
      </c>
      <c r="W59" s="24">
        <f t="shared" si="21"/>
        <v>1.0298624193878225</v>
      </c>
      <c r="X59" s="24">
        <f t="shared" si="22"/>
        <v>5.1599305495777991E-3</v>
      </c>
      <c r="Y59" s="112">
        <v>1</v>
      </c>
      <c r="Z59" s="112">
        <v>1</v>
      </c>
      <c r="AA59" s="113">
        <v>4467</v>
      </c>
      <c r="AB59" s="113">
        <v>9715675865.3700008</v>
      </c>
      <c r="AC59" s="113">
        <v>61535671.460000001</v>
      </c>
      <c r="AD59" s="113">
        <v>130673779.95</v>
      </c>
      <c r="AE59" s="51">
        <v>9646537757</v>
      </c>
      <c r="AF59" s="5"/>
    </row>
    <row r="60" spans="1:241" ht="16.5" customHeight="1" x14ac:dyDescent="0.3">
      <c r="A60" s="168">
        <v>53</v>
      </c>
      <c r="B60" s="59" t="s">
        <v>74</v>
      </c>
      <c r="C60" s="55" t="s">
        <v>112</v>
      </c>
      <c r="D60" s="18"/>
      <c r="E60" s="18"/>
      <c r="F60" s="18">
        <v>1044606621.74</v>
      </c>
      <c r="G60" s="18">
        <v>2919352432.8800001</v>
      </c>
      <c r="H60" s="18"/>
      <c r="I60" s="18"/>
      <c r="J60" s="18">
        <v>3963959054.6199999</v>
      </c>
      <c r="K60" s="18">
        <v>29755850.920000002</v>
      </c>
      <c r="L60" s="18">
        <v>6771414.9000000004</v>
      </c>
      <c r="M60" s="115">
        <v>22984436.02</v>
      </c>
      <c r="N60" s="18">
        <v>4058259747.0999999</v>
      </c>
      <c r="O60" s="18">
        <v>19981615.27</v>
      </c>
      <c r="P60" s="28">
        <v>4031799552.5599999</v>
      </c>
      <c r="Q60" s="21">
        <f t="shared" si="16"/>
        <v>9.5978141333520409E-3</v>
      </c>
      <c r="R60" s="28">
        <v>4038278131.8299999</v>
      </c>
      <c r="S60" s="21">
        <f t="shared" si="17"/>
        <v>9.9156179269219245E-3</v>
      </c>
      <c r="T60" s="22">
        <f t="shared" si="18"/>
        <v>1.606870377741471E-3</v>
      </c>
      <c r="U60" s="57">
        <f>(L60/R60)</f>
        <v>1.6768074607410566E-3</v>
      </c>
      <c r="V60" s="23">
        <f>M60/R60</f>
        <v>5.6916426431441198E-3</v>
      </c>
      <c r="W60" s="24">
        <f>R60/AE60</f>
        <v>22.789554908164757</v>
      </c>
      <c r="X60" s="24">
        <f>M60/AE60</f>
        <v>0.12971000253358492</v>
      </c>
      <c r="Y60" s="112">
        <v>22.7897</v>
      </c>
      <c r="Z60" s="112">
        <v>22.7897</v>
      </c>
      <c r="AA60" s="113">
        <v>1386</v>
      </c>
      <c r="AB60" s="113">
        <v>178086901.74000001</v>
      </c>
      <c r="AC60" s="113">
        <v>2081779.73</v>
      </c>
      <c r="AD60" s="113">
        <v>2970041.65</v>
      </c>
      <c r="AE60" s="51">
        <v>177198639.81999999</v>
      </c>
      <c r="AF60" s="5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</row>
    <row r="61" spans="1:241" ht="16.5" customHeight="1" x14ac:dyDescent="0.3">
      <c r="A61" s="168">
        <v>54</v>
      </c>
      <c r="B61" s="142" t="s">
        <v>101</v>
      </c>
      <c r="C61" s="56" t="s">
        <v>102</v>
      </c>
      <c r="D61" s="18"/>
      <c r="E61" s="18"/>
      <c r="F61" s="18">
        <v>50986189.259999998</v>
      </c>
      <c r="G61" s="18">
        <v>376595257.42000002</v>
      </c>
      <c r="H61" s="18"/>
      <c r="I61" s="18"/>
      <c r="J61" s="18">
        <v>427581446.68000001</v>
      </c>
      <c r="K61" s="18">
        <v>2947557.14</v>
      </c>
      <c r="L61" s="18">
        <v>878023.75</v>
      </c>
      <c r="M61" s="115">
        <v>2069533.39</v>
      </c>
      <c r="N61" s="18">
        <v>461619178.02999997</v>
      </c>
      <c r="O61" s="18">
        <v>3896362.29</v>
      </c>
      <c r="P61" s="28">
        <v>459925955.72000003</v>
      </c>
      <c r="Q61" s="21">
        <f t="shared" si="16"/>
        <v>1.0948668902207705E-3</v>
      </c>
      <c r="R61" s="28">
        <v>457722815.74000001</v>
      </c>
      <c r="S61" s="21">
        <f t="shared" si="17"/>
        <v>1.1238959797095489E-3</v>
      </c>
      <c r="T61" s="22">
        <f t="shared" si="18"/>
        <v>-4.7902057985639681E-3</v>
      </c>
      <c r="U61" s="57">
        <f t="shared" si="19"/>
        <v>1.9182433556004849E-3</v>
      </c>
      <c r="V61" s="23">
        <f t="shared" si="20"/>
        <v>4.5213682141979038E-3</v>
      </c>
      <c r="W61" s="24">
        <f>R61/AE66</f>
        <v>7374.2420229000936</v>
      </c>
      <c r="X61" s="24">
        <f>M61/AE66</f>
        <v>33.341663486142934</v>
      </c>
      <c r="Y61" s="112">
        <v>2.0943999999999998</v>
      </c>
      <c r="Z61" s="112">
        <v>2.0943999999999998</v>
      </c>
      <c r="AA61" s="113">
        <v>1411</v>
      </c>
      <c r="AB61" s="113">
        <v>218319973.2595</v>
      </c>
      <c r="AC61" s="113">
        <v>0</v>
      </c>
      <c r="AD61" s="113">
        <v>2023570.4712</v>
      </c>
      <c r="AE61" s="113">
        <v>216296402.78999999</v>
      </c>
      <c r="AF61" s="5"/>
    </row>
    <row r="62" spans="1:241" ht="18" customHeight="1" x14ac:dyDescent="0.3">
      <c r="A62" s="168">
        <v>55</v>
      </c>
      <c r="B62" s="142" t="s">
        <v>23</v>
      </c>
      <c r="C62" s="56" t="s">
        <v>103</v>
      </c>
      <c r="D62" s="18">
        <v>27769914.5</v>
      </c>
      <c r="E62" s="18"/>
      <c r="F62" s="18">
        <v>5627346250.0299997</v>
      </c>
      <c r="G62" s="18">
        <v>16108221987.049999</v>
      </c>
      <c r="H62" s="18"/>
      <c r="I62" s="18"/>
      <c r="J62" s="18">
        <v>21735568237.080002</v>
      </c>
      <c r="K62" s="18">
        <v>147276721.53999999</v>
      </c>
      <c r="L62" s="18">
        <v>38414134.68</v>
      </c>
      <c r="M62" s="115">
        <v>107187084.28</v>
      </c>
      <c r="N62" s="18">
        <v>21818046530.84</v>
      </c>
      <c r="O62" s="18">
        <v>128202874.64</v>
      </c>
      <c r="P62" s="28">
        <v>22429618907.630001</v>
      </c>
      <c r="Q62" s="21">
        <f t="shared" si="16"/>
        <v>5.3394349235606674E-2</v>
      </c>
      <c r="R62" s="28">
        <v>21689843656.200001</v>
      </c>
      <c r="S62" s="21">
        <f t="shared" si="17"/>
        <v>5.3257402181976367E-2</v>
      </c>
      <c r="T62" s="22">
        <f t="shared" si="18"/>
        <v>-3.2982069578469171E-2</v>
      </c>
      <c r="U62" s="57">
        <f t="shared" si="19"/>
        <v>1.7710655405770706E-3</v>
      </c>
      <c r="V62" s="23">
        <f t="shared" si="20"/>
        <v>4.9418099078533829E-3</v>
      </c>
      <c r="W62" s="24">
        <f t="shared" si="21"/>
        <v>321.7115120066743</v>
      </c>
      <c r="X62" s="24">
        <f t="shared" si="22"/>
        <v>1.5898371375050755</v>
      </c>
      <c r="Y62" s="112">
        <v>321.70999999999998</v>
      </c>
      <c r="Z62" s="112">
        <v>321.70999999999998</v>
      </c>
      <c r="AA62" s="113">
        <v>9903</v>
      </c>
      <c r="AB62" s="113">
        <v>70016938.680000007</v>
      </c>
      <c r="AC62" s="113">
        <v>2026417.88</v>
      </c>
      <c r="AD62" s="113">
        <v>4623190.21</v>
      </c>
      <c r="AE62" s="51">
        <v>67420166.349999994</v>
      </c>
      <c r="AF62" s="5"/>
    </row>
    <row r="63" spans="1:241" ht="16.5" customHeight="1" x14ac:dyDescent="0.3">
      <c r="A63" s="168">
        <v>56</v>
      </c>
      <c r="B63" s="142" t="s">
        <v>104</v>
      </c>
      <c r="C63" s="56" t="s">
        <v>105</v>
      </c>
      <c r="D63" s="18"/>
      <c r="E63" s="18"/>
      <c r="F63" s="18">
        <v>373457219.33999997</v>
      </c>
      <c r="G63" s="18">
        <v>6187071897.6099997</v>
      </c>
      <c r="H63" s="18"/>
      <c r="I63" s="18"/>
      <c r="J63" s="18">
        <v>6560529116.9499998</v>
      </c>
      <c r="K63" s="18">
        <v>59739107.270000003</v>
      </c>
      <c r="L63" s="18">
        <v>9085739.4399999995</v>
      </c>
      <c r="M63" s="115">
        <v>50653367.829999998</v>
      </c>
      <c r="N63" s="18">
        <v>7227926111</v>
      </c>
      <c r="O63" s="18">
        <v>73802309</v>
      </c>
      <c r="P63" s="28">
        <v>6748237321</v>
      </c>
      <c r="Q63" s="21">
        <f t="shared" si="16"/>
        <v>1.6064371923842968E-2</v>
      </c>
      <c r="R63" s="28">
        <v>7154123802</v>
      </c>
      <c r="S63" s="21">
        <f t="shared" si="17"/>
        <v>1.7566288380038778E-2</v>
      </c>
      <c r="T63" s="22">
        <f t="shared" si="18"/>
        <v>6.0147037173235184E-2</v>
      </c>
      <c r="U63" s="57">
        <f t="shared" si="19"/>
        <v>1.2700003091168199E-3</v>
      </c>
      <c r="V63" s="23">
        <f t="shared" si="20"/>
        <v>7.0803035049294772E-3</v>
      </c>
      <c r="W63" s="24">
        <f t="shared" si="21"/>
        <v>1.05</v>
      </c>
      <c r="X63" s="24">
        <f t="shared" si="22"/>
        <v>7.4343186801759508E-3</v>
      </c>
      <c r="Y63" s="51">
        <v>1.05</v>
      </c>
      <c r="Z63" s="112">
        <v>1.05</v>
      </c>
      <c r="AA63" s="113">
        <v>2281</v>
      </c>
      <c r="AB63" s="113">
        <v>6488689732</v>
      </c>
      <c r="AC63" s="118">
        <v>0</v>
      </c>
      <c r="AD63" s="118">
        <v>0</v>
      </c>
      <c r="AE63" s="51">
        <v>6813451240</v>
      </c>
      <c r="AF63" s="5"/>
      <c r="AG63" s="160"/>
    </row>
    <row r="64" spans="1:241" ht="15.75" customHeight="1" x14ac:dyDescent="0.3">
      <c r="A64" s="168">
        <v>57</v>
      </c>
      <c r="B64" s="59" t="s">
        <v>25</v>
      </c>
      <c r="C64" s="56" t="s">
        <v>190</v>
      </c>
      <c r="D64" s="18"/>
      <c r="E64" s="18"/>
      <c r="F64" s="18">
        <v>226304088.38999999</v>
      </c>
      <c r="G64" s="18">
        <v>3580258803.9299998</v>
      </c>
      <c r="H64" s="18"/>
      <c r="I64" s="18"/>
      <c r="J64" s="18">
        <v>3812792942.1300001</v>
      </c>
      <c r="K64" s="116">
        <v>57537153.18</v>
      </c>
      <c r="L64" s="116">
        <v>5726246.1799999997</v>
      </c>
      <c r="M64" s="115">
        <v>51810907</v>
      </c>
      <c r="N64" s="18">
        <v>3833868284.5999999</v>
      </c>
      <c r="O64" s="18">
        <v>21238251.469999999</v>
      </c>
      <c r="P64" s="28">
        <v>4826374097.8400002</v>
      </c>
      <c r="Q64" s="21">
        <f t="shared" si="16"/>
        <v>1.1489321561058335E-2</v>
      </c>
      <c r="R64" s="28">
        <v>3812630033.1300001</v>
      </c>
      <c r="S64" s="21">
        <f t="shared" si="17"/>
        <v>9.3615599201170192E-3</v>
      </c>
      <c r="T64" s="22">
        <f t="shared" si="18"/>
        <v>-0.21004257941042986</v>
      </c>
      <c r="U64" s="57">
        <f>(L65/R64)</f>
        <v>1.8905621548289963E-2</v>
      </c>
      <c r="V64" s="23">
        <f t="shared" si="20"/>
        <v>1.3589282608012596E-2</v>
      </c>
      <c r="W64" s="24">
        <f t="shared" si="21"/>
        <v>3.875019659278566</v>
      </c>
      <c r="X64" s="24">
        <f t="shared" si="22"/>
        <v>5.2658737261541112E-2</v>
      </c>
      <c r="Y64" s="117">
        <v>3.87</v>
      </c>
      <c r="Z64" s="117">
        <v>3.87</v>
      </c>
      <c r="AA64" s="116">
        <v>1558</v>
      </c>
      <c r="AB64" s="116">
        <v>1216894742</v>
      </c>
      <c r="AC64" s="116">
        <v>1167293</v>
      </c>
      <c r="AD64" s="116">
        <v>234162502</v>
      </c>
      <c r="AE64" s="51">
        <v>983899533</v>
      </c>
      <c r="AF64" s="5"/>
    </row>
    <row r="65" spans="1:241" ht="16.5" customHeight="1" x14ac:dyDescent="0.3">
      <c r="A65" s="168">
        <v>58</v>
      </c>
      <c r="B65" s="142" t="s">
        <v>23</v>
      </c>
      <c r="C65" s="55" t="s">
        <v>106</v>
      </c>
      <c r="D65" s="18"/>
      <c r="E65" s="18"/>
      <c r="F65" s="18">
        <v>16508861140.290001</v>
      </c>
      <c r="G65" s="18">
        <v>46534798556.940002</v>
      </c>
      <c r="H65" s="18"/>
      <c r="I65" s="18"/>
      <c r="J65" s="18">
        <v>63043659697.230003</v>
      </c>
      <c r="K65" s="18">
        <v>467344224.88999999</v>
      </c>
      <c r="L65" s="18">
        <v>72080140.510000005</v>
      </c>
      <c r="M65" s="115">
        <v>395264084.38</v>
      </c>
      <c r="N65" s="18">
        <v>65241256382.230003</v>
      </c>
      <c r="O65" s="18">
        <v>215959658.72</v>
      </c>
      <c r="P65" s="28">
        <v>65859012891.080002</v>
      </c>
      <c r="Q65" s="21">
        <f t="shared" si="16"/>
        <v>0.15677926357555819</v>
      </c>
      <c r="R65" s="28">
        <v>65025296723.510002</v>
      </c>
      <c r="S65" s="21">
        <f t="shared" si="17"/>
        <v>0.15966359345409151</v>
      </c>
      <c r="T65" s="22">
        <f t="shared" si="18"/>
        <v>-1.2659105124287686E-2</v>
      </c>
      <c r="U65" s="57">
        <f>(L66/R65)</f>
        <v>3.9763116492864369E-3</v>
      </c>
      <c r="V65" s="23">
        <f t="shared" si="20"/>
        <v>6.0786202339172353E-3</v>
      </c>
      <c r="W65" s="24">
        <f t="shared" si="21"/>
        <v>4415.4926022862155</v>
      </c>
      <c r="X65" s="24">
        <f t="shared" si="22"/>
        <v>26.840102674968858</v>
      </c>
      <c r="Y65" s="69">
        <v>4415.49</v>
      </c>
      <c r="Z65" s="69">
        <v>4415.49</v>
      </c>
      <c r="AA65" s="113">
        <v>450</v>
      </c>
      <c r="AB65" s="113">
        <v>15003315.939999999</v>
      </c>
      <c r="AC65" s="113">
        <v>1417789.62</v>
      </c>
      <c r="AD65" s="113">
        <v>1694482.15</v>
      </c>
      <c r="AE65" s="51">
        <v>14726623.41</v>
      </c>
      <c r="AF65" s="5"/>
    </row>
    <row r="66" spans="1:241" ht="16.5" customHeight="1" x14ac:dyDescent="0.3">
      <c r="A66" s="168">
        <v>59</v>
      </c>
      <c r="B66" s="142" t="s">
        <v>23</v>
      </c>
      <c r="C66" s="55" t="s">
        <v>107</v>
      </c>
      <c r="D66" s="51">
        <v>70340112.480000004</v>
      </c>
      <c r="E66" s="18"/>
      <c r="F66" s="18">
        <v>153395106.05000001</v>
      </c>
      <c r="G66" s="18"/>
      <c r="H66" s="18"/>
      <c r="I66" s="18"/>
      <c r="J66" s="18">
        <v>254760044.59</v>
      </c>
      <c r="K66" s="18">
        <v>1506429.22</v>
      </c>
      <c r="L66" s="18">
        <v>258560844.86000001</v>
      </c>
      <c r="M66" s="115"/>
      <c r="N66" s="18"/>
      <c r="O66" s="18"/>
      <c r="P66" s="28">
        <v>256207137.22</v>
      </c>
      <c r="Q66" s="21">
        <f t="shared" si="16"/>
        <v>6.0990841697832322E-4</v>
      </c>
      <c r="R66" s="28">
        <v>256896121.05000001</v>
      </c>
      <c r="S66" s="21">
        <f t="shared" si="17"/>
        <v>6.3078463148989413E-4</v>
      </c>
      <c r="T66" s="22">
        <f t="shared" si="18"/>
        <v>2.6891672007107138E-3</v>
      </c>
      <c r="U66" s="57">
        <f t="shared" si="19"/>
        <v>1.0064801438153128</v>
      </c>
      <c r="V66" s="23">
        <f t="shared" si="20"/>
        <v>0</v>
      </c>
      <c r="W66" s="24" t="e">
        <f>R66/#REF!</f>
        <v>#REF!</v>
      </c>
      <c r="X66" s="24" t="e">
        <f>M66/#REF!</f>
        <v>#REF!</v>
      </c>
      <c r="Y66" s="69">
        <v>4124.42</v>
      </c>
      <c r="Z66" s="69">
        <v>4146.72</v>
      </c>
      <c r="AA66" s="113">
        <v>15</v>
      </c>
      <c r="AB66" s="113">
        <v>62070.49</v>
      </c>
      <c r="AC66" s="113"/>
      <c r="AD66" s="113"/>
      <c r="AE66" s="51">
        <v>62070.49</v>
      </c>
      <c r="AF66" s="5"/>
    </row>
    <row r="67" spans="1:241" ht="16.5" customHeight="1" x14ac:dyDescent="0.3">
      <c r="A67" s="168">
        <v>60</v>
      </c>
      <c r="B67" s="59" t="s">
        <v>46</v>
      </c>
      <c r="C67" s="55" t="s">
        <v>109</v>
      </c>
      <c r="D67" s="18"/>
      <c r="E67" s="18"/>
      <c r="F67" s="18">
        <v>8634257.5299999993</v>
      </c>
      <c r="G67" s="18">
        <v>44564670.539999999</v>
      </c>
      <c r="H67" s="18"/>
      <c r="I67" s="18"/>
      <c r="J67" s="18">
        <v>53198928.07</v>
      </c>
      <c r="K67" s="18">
        <v>847056.23</v>
      </c>
      <c r="L67" s="18">
        <v>62238.6</v>
      </c>
      <c r="M67" s="115">
        <v>779817.63</v>
      </c>
      <c r="N67" s="18">
        <v>55083703.079999998</v>
      </c>
      <c r="O67" s="18">
        <v>190178.66</v>
      </c>
      <c r="P67" s="28">
        <v>55411143.380000003</v>
      </c>
      <c r="Q67" s="21">
        <f t="shared" si="16"/>
        <v>1.3190781142382845E-4</v>
      </c>
      <c r="R67" s="28">
        <v>54893524.420000002</v>
      </c>
      <c r="S67" s="21">
        <f t="shared" si="17"/>
        <v>1.3478596496874277E-4</v>
      </c>
      <c r="T67" s="22">
        <f t="shared" si="18"/>
        <v>-9.3414235553715246E-3</v>
      </c>
      <c r="U67" s="57">
        <f>(L67/R67)</f>
        <v>1.1338058661309763E-3</v>
      </c>
      <c r="V67" s="23">
        <f>M67/R67</f>
        <v>1.4206004045822933E-2</v>
      </c>
      <c r="W67" s="24">
        <f>R67/AE67</f>
        <v>11.611047156565416</v>
      </c>
      <c r="X67" s="24">
        <f>M67/AE67</f>
        <v>0.16494658288240915</v>
      </c>
      <c r="Y67" s="69">
        <v>11.611000000000001</v>
      </c>
      <c r="Z67" s="69">
        <v>11.651300000000001</v>
      </c>
      <c r="AA67" s="113">
        <v>47</v>
      </c>
      <c r="AB67" s="113">
        <v>4705241</v>
      </c>
      <c r="AC67" s="113">
        <v>27537</v>
      </c>
      <c r="AD67" s="113">
        <v>5080</v>
      </c>
      <c r="AE67" s="51">
        <v>4727698</v>
      </c>
      <c r="AF67" s="5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</row>
    <row r="68" spans="1:241" ht="16.5" customHeight="1" x14ac:dyDescent="0.3">
      <c r="A68" s="168">
        <v>61</v>
      </c>
      <c r="B68" s="142" t="s">
        <v>108</v>
      </c>
      <c r="C68" s="81" t="s">
        <v>218</v>
      </c>
      <c r="D68" s="18"/>
      <c r="E68" s="18"/>
      <c r="F68" s="18"/>
      <c r="G68" s="18">
        <v>4727580019.6999998</v>
      </c>
      <c r="H68" s="18"/>
      <c r="I68" s="18">
        <f>7855353378.07+15997138.58</f>
        <v>7871350516.6499996</v>
      </c>
      <c r="J68" s="18">
        <v>12598930536.35</v>
      </c>
      <c r="K68" s="18">
        <v>170523763.30000001</v>
      </c>
      <c r="L68" s="18">
        <v>20303513.100000001</v>
      </c>
      <c r="M68" s="115">
        <v>150220250.19999999</v>
      </c>
      <c r="N68" s="18">
        <v>15604890208.360001</v>
      </c>
      <c r="O68" s="18">
        <v>259170185.86000001</v>
      </c>
      <c r="P68" s="28">
        <v>14761682064.190001</v>
      </c>
      <c r="Q68" s="21">
        <f t="shared" si="16"/>
        <v>3.5140606297694575E-2</v>
      </c>
      <c r="R68" s="28">
        <v>15345720022.5</v>
      </c>
      <c r="S68" s="21">
        <f t="shared" si="17"/>
        <v>3.7679994192889164E-2</v>
      </c>
      <c r="T68" s="22">
        <f t="shared" si="18"/>
        <v>3.9564458560369803E-2</v>
      </c>
      <c r="U68" s="57">
        <f t="shared" si="19"/>
        <v>1.3230733435922754E-3</v>
      </c>
      <c r="V68" s="23">
        <f t="shared" si="20"/>
        <v>9.7890649627222458E-3</v>
      </c>
      <c r="W68" s="24">
        <f t="shared" si="21"/>
        <v>1176.1656168357761</v>
      </c>
      <c r="X68" s="24">
        <f t="shared" si="22"/>
        <v>11.513561630125693</v>
      </c>
      <c r="Y68" s="69">
        <v>1176.17</v>
      </c>
      <c r="Z68" s="69">
        <v>1176.17</v>
      </c>
      <c r="AA68" s="113">
        <v>6459</v>
      </c>
      <c r="AB68" s="113">
        <v>12677544.98</v>
      </c>
      <c r="AC68" s="113">
        <v>917758</v>
      </c>
      <c r="AD68" s="113">
        <v>548059</v>
      </c>
      <c r="AE68" s="51">
        <v>13047244.199999999</v>
      </c>
      <c r="AF68" s="5"/>
    </row>
    <row r="69" spans="1:241" ht="18.75" customHeight="1" x14ac:dyDescent="0.3">
      <c r="A69" s="168">
        <v>62</v>
      </c>
      <c r="B69" s="142" t="s">
        <v>78</v>
      </c>
      <c r="C69" s="56" t="s">
        <v>149</v>
      </c>
      <c r="D69" s="18"/>
      <c r="E69" s="18"/>
      <c r="F69" s="18"/>
      <c r="G69" s="18">
        <v>15659797.300000001</v>
      </c>
      <c r="H69" s="18"/>
      <c r="I69" s="18">
        <v>9807778.1999999993</v>
      </c>
      <c r="J69" s="18">
        <v>25467575.5</v>
      </c>
      <c r="K69" s="18">
        <v>205484.09</v>
      </c>
      <c r="L69" s="18">
        <v>165500.38</v>
      </c>
      <c r="M69" s="115">
        <v>39983.71</v>
      </c>
      <c r="N69" s="18">
        <v>22654138.510000002</v>
      </c>
      <c r="O69" s="18">
        <v>820645.41</v>
      </c>
      <c r="P69" s="28">
        <v>24167867.969999999</v>
      </c>
      <c r="Q69" s="21">
        <f t="shared" si="16"/>
        <v>5.7532300837765951E-5</v>
      </c>
      <c r="R69" s="28">
        <v>21833493.100000001</v>
      </c>
      <c r="S69" s="21">
        <f t="shared" si="17"/>
        <v>5.3610120086399209E-5</v>
      </c>
      <c r="T69" s="22">
        <f t="shared" si="18"/>
        <v>-9.6590020803560245E-2</v>
      </c>
      <c r="U69" s="57">
        <f t="shared" si="19"/>
        <v>7.5801146084132544E-3</v>
      </c>
      <c r="V69" s="23">
        <f t="shared" si="20"/>
        <v>1.8313015611780416E-3</v>
      </c>
      <c r="W69" s="24">
        <f t="shared" si="21"/>
        <v>0.70867149755057002</v>
      </c>
      <c r="X69" s="24">
        <f t="shared" si="22"/>
        <v>1.2977912198267395E-3</v>
      </c>
      <c r="Y69" s="69">
        <v>0.70860000000000001</v>
      </c>
      <c r="Z69" s="69">
        <v>0.70860000000000001</v>
      </c>
      <c r="AA69" s="113">
        <v>751</v>
      </c>
      <c r="AB69" s="113">
        <v>30809046.469999999</v>
      </c>
      <c r="AC69" s="113"/>
      <c r="AD69" s="113"/>
      <c r="AE69" s="51">
        <v>30809046.469999999</v>
      </c>
      <c r="AF69" s="5"/>
    </row>
    <row r="70" spans="1:241" ht="16.5" customHeight="1" x14ac:dyDescent="0.3">
      <c r="A70" s="168">
        <v>63</v>
      </c>
      <c r="B70" s="142" t="s">
        <v>70</v>
      </c>
      <c r="C70" s="56" t="s">
        <v>200</v>
      </c>
      <c r="D70" s="18"/>
      <c r="E70" s="18"/>
      <c r="F70" s="18">
        <v>128904899.11</v>
      </c>
      <c r="G70" s="18">
        <v>261848011.41999999</v>
      </c>
      <c r="H70" s="18"/>
      <c r="I70" s="18"/>
      <c r="J70" s="18">
        <v>422982368.05000001</v>
      </c>
      <c r="K70" s="18">
        <v>3693586.6</v>
      </c>
      <c r="L70" s="18">
        <v>797027.93</v>
      </c>
      <c r="M70" s="115">
        <v>2896558.67</v>
      </c>
      <c r="N70" s="18">
        <v>422982368.05000001</v>
      </c>
      <c r="O70" s="18">
        <v>5133196.43</v>
      </c>
      <c r="P70" s="28">
        <v>414475702.87</v>
      </c>
      <c r="Q70" s="21">
        <f t="shared" si="16"/>
        <v>9.8667126355793866E-4</v>
      </c>
      <c r="R70" s="28">
        <v>417849171.62</v>
      </c>
      <c r="S70" s="21">
        <f t="shared" si="17"/>
        <v>1.0259899396744092E-3</v>
      </c>
      <c r="T70" s="22">
        <f t="shared" si="18"/>
        <v>8.1391230574933988E-3</v>
      </c>
      <c r="U70" s="57">
        <f t="shared" si="19"/>
        <v>1.9074536558488918E-3</v>
      </c>
      <c r="V70" s="23">
        <f t="shared" si="20"/>
        <v>6.9320675179755662E-3</v>
      </c>
      <c r="W70" s="24" t="e">
        <f>R70/#REF!</f>
        <v>#REF!</v>
      </c>
      <c r="X70" s="24" t="e">
        <f>M70/#REF!</f>
        <v>#REF!</v>
      </c>
      <c r="Y70" s="69">
        <v>1163.6099999999999</v>
      </c>
      <c r="Z70" s="69">
        <v>1177.9100000000001</v>
      </c>
      <c r="AA70" s="113">
        <v>104</v>
      </c>
      <c r="AB70" s="113">
        <v>358441</v>
      </c>
      <c r="AC70" s="113">
        <v>657</v>
      </c>
      <c r="AD70" s="113">
        <v>0</v>
      </c>
      <c r="AE70" s="113">
        <v>359097</v>
      </c>
      <c r="AF70" s="5"/>
    </row>
    <row r="71" spans="1:241" ht="16.5" customHeight="1" x14ac:dyDescent="0.3">
      <c r="A71" s="168">
        <v>64</v>
      </c>
      <c r="B71" s="142" t="s">
        <v>44</v>
      </c>
      <c r="C71" s="162" t="s">
        <v>111</v>
      </c>
      <c r="D71" s="18"/>
      <c r="E71" s="18"/>
      <c r="F71" s="18">
        <v>8044186.2999999998</v>
      </c>
      <c r="G71" s="18">
        <v>157831395.88999999</v>
      </c>
      <c r="H71" s="18"/>
      <c r="I71" s="18"/>
      <c r="J71" s="18">
        <v>165875582.19</v>
      </c>
      <c r="K71" s="18">
        <v>1267354.28</v>
      </c>
      <c r="L71" s="18">
        <v>544223.68999999994</v>
      </c>
      <c r="M71" s="115">
        <v>723130.59</v>
      </c>
      <c r="N71" s="18">
        <v>169022301.55000001</v>
      </c>
      <c r="O71" s="18">
        <v>6227489.79</v>
      </c>
      <c r="P71" s="28">
        <v>162054791.69999999</v>
      </c>
      <c r="Q71" s="21">
        <f t="shared" si="16"/>
        <v>3.8577606596739019E-4</v>
      </c>
      <c r="R71" s="28">
        <v>162794811.75999999</v>
      </c>
      <c r="S71" s="21">
        <f t="shared" si="17"/>
        <v>3.9972758220242608E-4</v>
      </c>
      <c r="T71" s="22">
        <f t="shared" si="18"/>
        <v>4.5664805849736714E-3</v>
      </c>
      <c r="U71" s="57">
        <f t="shared" si="19"/>
        <v>3.3430038962317847E-3</v>
      </c>
      <c r="V71" s="23">
        <f t="shared" si="20"/>
        <v>4.4419756513252653E-3</v>
      </c>
      <c r="W71" s="24">
        <f t="shared" si="21"/>
        <v>141.13456906944108</v>
      </c>
      <c r="X71" s="24">
        <f t="shared" si="22"/>
        <v>0.62691631936674119</v>
      </c>
      <c r="Y71" s="112">
        <v>141.13</v>
      </c>
      <c r="Z71" s="112">
        <v>141.13</v>
      </c>
      <c r="AA71" s="113">
        <v>15</v>
      </c>
      <c r="AB71" s="113">
        <v>1153472.27</v>
      </c>
      <c r="AC71" s="113">
        <v>0</v>
      </c>
      <c r="AD71" s="113">
        <v>0</v>
      </c>
      <c r="AE71" s="51">
        <v>1153472.27</v>
      </c>
      <c r="AF71" s="5"/>
    </row>
    <row r="72" spans="1:241" ht="16.5" customHeight="1" x14ac:dyDescent="0.3">
      <c r="A72" s="168">
        <v>65</v>
      </c>
      <c r="B72" s="59" t="s">
        <v>114</v>
      </c>
      <c r="C72" s="55" t="s">
        <v>115</v>
      </c>
      <c r="D72" s="18"/>
      <c r="E72" s="18"/>
      <c r="F72" s="18">
        <v>205679768.12</v>
      </c>
      <c r="G72" s="18">
        <v>550104860.36000001</v>
      </c>
      <c r="H72" s="18"/>
      <c r="I72" s="18"/>
      <c r="J72" s="18">
        <v>771322781.05999994</v>
      </c>
      <c r="K72" s="18">
        <v>13713143.17</v>
      </c>
      <c r="L72" s="18">
        <v>3991617.71</v>
      </c>
      <c r="M72" s="115">
        <v>9721525.4600000009</v>
      </c>
      <c r="N72" s="18">
        <v>771322781.05999994</v>
      </c>
      <c r="O72" s="18">
        <v>3988364.73</v>
      </c>
      <c r="P72" s="28">
        <v>753359558.19000006</v>
      </c>
      <c r="Q72" s="21">
        <f t="shared" si="16"/>
        <v>1.793393972302205E-3</v>
      </c>
      <c r="R72" s="28">
        <v>767334416.33000004</v>
      </c>
      <c r="S72" s="21">
        <f t="shared" si="17"/>
        <v>1.8841185886961142E-3</v>
      </c>
      <c r="T72" s="22">
        <f t="shared" si="18"/>
        <v>1.8550050886160623E-2</v>
      </c>
      <c r="U72" s="57">
        <f t="shared" si="19"/>
        <v>5.2019271194573445E-3</v>
      </c>
      <c r="V72" s="23">
        <f t="shared" si="20"/>
        <v>1.2669215993850534E-2</v>
      </c>
      <c r="W72" s="24">
        <f t="shared" si="21"/>
        <v>190.8383667329185</v>
      </c>
      <c r="X72" s="24">
        <f t="shared" si="22"/>
        <v>2.4177724880530049</v>
      </c>
      <c r="Y72" s="112">
        <v>190.83840000000001</v>
      </c>
      <c r="Z72" s="112">
        <v>191.83029999999999</v>
      </c>
      <c r="AA72" s="113">
        <v>451</v>
      </c>
      <c r="AB72" s="113">
        <v>3981068.05</v>
      </c>
      <c r="AC72" s="113">
        <v>156975.28</v>
      </c>
      <c r="AD72" s="113">
        <v>117287.86</v>
      </c>
      <c r="AE72" s="51">
        <v>4020860.32</v>
      </c>
      <c r="AF72" s="5"/>
    </row>
    <row r="73" spans="1:241" ht="16.5" customHeight="1" x14ac:dyDescent="0.3">
      <c r="A73" s="168">
        <v>66</v>
      </c>
      <c r="B73" s="59" t="s">
        <v>72</v>
      </c>
      <c r="C73" s="55" t="s">
        <v>116</v>
      </c>
      <c r="D73" s="18"/>
      <c r="E73" s="18"/>
      <c r="F73" s="18">
        <v>45445191.229999997</v>
      </c>
      <c r="G73" s="18">
        <v>382064539.20999998</v>
      </c>
      <c r="H73" s="18"/>
      <c r="I73" s="18"/>
      <c r="J73" s="18">
        <v>427509730.44</v>
      </c>
      <c r="K73" s="18">
        <v>6029891.0199999996</v>
      </c>
      <c r="L73" s="18">
        <v>862219.94</v>
      </c>
      <c r="M73" s="115">
        <v>6036445.3600000003</v>
      </c>
      <c r="N73" s="18">
        <v>437226846.69999999</v>
      </c>
      <c r="O73" s="18">
        <v>5320324.4400000004</v>
      </c>
      <c r="P73" s="28">
        <v>425163975.20999998</v>
      </c>
      <c r="Q73" s="21">
        <f t="shared" si="16"/>
        <v>1.0121150015187784E-3</v>
      </c>
      <c r="R73" s="28">
        <v>431906522.25999999</v>
      </c>
      <c r="S73" s="21">
        <f t="shared" si="17"/>
        <v>1.0605064621774906E-3</v>
      </c>
      <c r="T73" s="22">
        <f t="shared" si="18"/>
        <v>1.5858697921595277E-2</v>
      </c>
      <c r="U73" s="57">
        <f t="shared" si="19"/>
        <v>1.9963114599157615E-3</v>
      </c>
      <c r="V73" s="23">
        <f t="shared" si="20"/>
        <v>1.3976277386165909E-2</v>
      </c>
      <c r="W73" s="24">
        <f t="shared" si="21"/>
        <v>1.5042147528108207</v>
      </c>
      <c r="X73" s="24">
        <f t="shared" si="22"/>
        <v>2.1023322633647017E-2</v>
      </c>
      <c r="Y73" s="112">
        <v>1.5041</v>
      </c>
      <c r="Z73" s="112">
        <v>1.5041</v>
      </c>
      <c r="AA73" s="113">
        <v>191</v>
      </c>
      <c r="AB73" s="113">
        <v>286378950.91000003</v>
      </c>
      <c r="AC73" s="113">
        <v>905663.08</v>
      </c>
      <c r="AD73" s="113">
        <v>153722.96</v>
      </c>
      <c r="AE73" s="51">
        <v>287130891.01999998</v>
      </c>
      <c r="AF73" s="5"/>
    </row>
    <row r="74" spans="1:241" ht="16.5" customHeight="1" x14ac:dyDescent="0.3">
      <c r="A74" s="168">
        <v>67</v>
      </c>
      <c r="B74" s="142" t="s">
        <v>50</v>
      </c>
      <c r="C74" s="56" t="s">
        <v>118</v>
      </c>
      <c r="D74" s="18"/>
      <c r="E74" s="18"/>
      <c r="F74" s="18">
        <v>186592633.5</v>
      </c>
      <c r="G74" s="18">
        <v>262483997.97</v>
      </c>
      <c r="H74" s="18"/>
      <c r="I74" s="18"/>
      <c r="J74" s="18">
        <v>449076631.47000003</v>
      </c>
      <c r="K74" s="18">
        <v>3675599.74</v>
      </c>
      <c r="L74" s="18">
        <v>636353.76</v>
      </c>
      <c r="M74" s="115">
        <v>3039245.98</v>
      </c>
      <c r="N74" s="18">
        <v>452404815.68000001</v>
      </c>
      <c r="O74" s="18">
        <v>636353.76</v>
      </c>
      <c r="P74" s="28">
        <v>450687133.70999998</v>
      </c>
      <c r="Q74" s="21">
        <f t="shared" si="16"/>
        <v>1.0728736102208261E-3</v>
      </c>
      <c r="R74" s="28">
        <v>451768461.92000002</v>
      </c>
      <c r="S74" s="21">
        <f t="shared" si="17"/>
        <v>1.109275615397477E-3</v>
      </c>
      <c r="T74" s="22">
        <f t="shared" si="18"/>
        <v>2.39928795192949E-3</v>
      </c>
      <c r="U74" s="57">
        <f t="shared" si="19"/>
        <v>1.4085838513284415E-3</v>
      </c>
      <c r="V74" s="23">
        <f t="shared" si="20"/>
        <v>6.7274416790479618E-3</v>
      </c>
      <c r="W74" s="24">
        <f t="shared" si="21"/>
        <v>1.2055148936972551</v>
      </c>
      <c r="X74" s="24">
        <f t="shared" si="22"/>
        <v>8.1100311405719865E-3</v>
      </c>
      <c r="Y74" s="112">
        <v>1.21</v>
      </c>
      <c r="Z74" s="112">
        <v>1.21</v>
      </c>
      <c r="AA74" s="113">
        <v>235</v>
      </c>
      <c r="AB74" s="113">
        <v>376981495.58999997</v>
      </c>
      <c r="AC74" s="113">
        <v>1953524.24</v>
      </c>
      <c r="AD74" s="113">
        <v>4183563.6</v>
      </c>
      <c r="AE74" s="51">
        <v>374751456.23000002</v>
      </c>
      <c r="AF74" s="5"/>
    </row>
    <row r="75" spans="1:241" ht="16.5" customHeight="1" x14ac:dyDescent="0.3">
      <c r="A75" s="168">
        <v>68</v>
      </c>
      <c r="B75" s="59" t="s">
        <v>35</v>
      </c>
      <c r="C75" s="56" t="s">
        <v>120</v>
      </c>
      <c r="D75" s="18"/>
      <c r="E75" s="18"/>
      <c r="F75" s="18">
        <v>57857788.859999999</v>
      </c>
      <c r="G75" s="18">
        <v>922231140.07000005</v>
      </c>
      <c r="H75" s="18"/>
      <c r="I75" s="18"/>
      <c r="J75" s="18">
        <v>980088928.92999995</v>
      </c>
      <c r="K75" s="18">
        <v>8710238.1300000008</v>
      </c>
      <c r="L75" s="18">
        <v>3311382.47</v>
      </c>
      <c r="M75" s="115">
        <v>5398855.6600000001</v>
      </c>
      <c r="N75" s="18">
        <v>1275249755.9200001</v>
      </c>
      <c r="O75" s="18">
        <v>32682933</v>
      </c>
      <c r="P75" s="28">
        <v>1268956625</v>
      </c>
      <c r="Q75" s="21">
        <f t="shared" si="16"/>
        <v>3.020787534514827E-3</v>
      </c>
      <c r="R75" s="28">
        <v>1242566823</v>
      </c>
      <c r="S75" s="21">
        <f t="shared" si="17"/>
        <v>3.0510077471939453E-3</v>
      </c>
      <c r="T75" s="22">
        <f t="shared" si="18"/>
        <v>-2.0796457089303583E-2</v>
      </c>
      <c r="U75" s="57">
        <f t="shared" si="19"/>
        <v>2.6649532312516926E-3</v>
      </c>
      <c r="V75" s="23">
        <f t="shared" si="20"/>
        <v>4.3449217861500876E-3</v>
      </c>
      <c r="W75" s="24">
        <f t="shared" si="21"/>
        <v>1.048032814427631</v>
      </c>
      <c r="X75" s="24">
        <f t="shared" si="22"/>
        <v>4.5536206080068059E-3</v>
      </c>
      <c r="Y75" s="112">
        <v>1.0427999999999999</v>
      </c>
      <c r="Z75" s="112">
        <v>1.048</v>
      </c>
      <c r="AA75" s="113">
        <v>246</v>
      </c>
      <c r="AB75" s="113">
        <v>1216110853</v>
      </c>
      <c r="AC75" s="113">
        <v>12565319</v>
      </c>
      <c r="AD75" s="113">
        <v>43057930</v>
      </c>
      <c r="AE75" s="51">
        <v>1185618242</v>
      </c>
      <c r="AF75" s="5"/>
    </row>
    <row r="76" spans="1:241" ht="16.5" customHeight="1" x14ac:dyDescent="0.3">
      <c r="A76" s="168">
        <v>69</v>
      </c>
      <c r="B76" s="142" t="s">
        <v>23</v>
      </c>
      <c r="C76" s="56" t="s">
        <v>162</v>
      </c>
      <c r="D76" s="18"/>
      <c r="E76" s="18"/>
      <c r="F76" s="18">
        <v>8763859746.6700001</v>
      </c>
      <c r="G76" s="18">
        <v>22135245988.810001</v>
      </c>
      <c r="H76" s="18"/>
      <c r="I76" s="18"/>
      <c r="J76" s="18">
        <v>30899105735.48</v>
      </c>
      <c r="K76" s="18">
        <v>231399452.09</v>
      </c>
      <c r="L76" s="18">
        <v>45618743.140000001</v>
      </c>
      <c r="M76" s="115">
        <v>185780708.94999999</v>
      </c>
      <c r="N76" s="18">
        <v>31312164862.900002</v>
      </c>
      <c r="O76" s="18">
        <v>135600565.02000001</v>
      </c>
      <c r="P76" s="28">
        <v>32029277088.330002</v>
      </c>
      <c r="Q76" s="21">
        <f t="shared" si="16"/>
        <v>7.6246610058833666E-2</v>
      </c>
      <c r="R76" s="28">
        <v>31176564297.880001</v>
      </c>
      <c r="S76" s="21">
        <f t="shared" si="17"/>
        <v>7.6551166056460881E-2</v>
      </c>
      <c r="T76" s="22">
        <f t="shared" si="18"/>
        <v>-2.6622917154776812E-2</v>
      </c>
      <c r="U76" s="57">
        <f>(L76/R76)</f>
        <v>1.4632383063165836E-3</v>
      </c>
      <c r="V76" s="23">
        <f>M76/R76</f>
        <v>5.9589859605740144E-3</v>
      </c>
      <c r="W76" s="24">
        <f>R76/AE76</f>
        <v>110.24349972671668</v>
      </c>
      <c r="X76" s="24">
        <f>M76/AE76</f>
        <v>0.65693946711604989</v>
      </c>
      <c r="Y76" s="112">
        <v>110.24</v>
      </c>
      <c r="Z76" s="112">
        <v>110.24</v>
      </c>
      <c r="AA76" s="173">
        <v>3121</v>
      </c>
      <c r="AB76" s="113">
        <v>292539034.11000001</v>
      </c>
      <c r="AC76" s="113">
        <v>30461951.73</v>
      </c>
      <c r="AD76" s="113">
        <v>40203683.729999997</v>
      </c>
      <c r="AE76" s="51">
        <v>282797302.11000001</v>
      </c>
      <c r="AF76" s="5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</row>
    <row r="77" spans="1:241" ht="16.5" customHeight="1" x14ac:dyDescent="0.3">
      <c r="A77" s="168">
        <v>70</v>
      </c>
      <c r="B77" s="59" t="s">
        <v>121</v>
      </c>
      <c r="C77" s="56" t="s">
        <v>151</v>
      </c>
      <c r="D77" s="18"/>
      <c r="E77" s="18"/>
      <c r="F77" s="18"/>
      <c r="G77" s="18">
        <v>264592468.53</v>
      </c>
      <c r="H77" s="18"/>
      <c r="I77" s="18"/>
      <c r="J77" s="18">
        <v>264592468.53</v>
      </c>
      <c r="K77" s="18">
        <v>2290203.4300000002</v>
      </c>
      <c r="L77" s="18">
        <v>414372.26</v>
      </c>
      <c r="M77" s="115">
        <v>1875831.17</v>
      </c>
      <c r="N77" s="18">
        <v>273111269.25</v>
      </c>
      <c r="O77" s="51">
        <v>8436975.0500000007</v>
      </c>
      <c r="P77" s="28">
        <v>264737072.75999999</v>
      </c>
      <c r="Q77" s="21">
        <f t="shared" si="16"/>
        <v>6.302141724642107E-4</v>
      </c>
      <c r="R77" s="28">
        <v>264674294.19999999</v>
      </c>
      <c r="S77" s="21">
        <f t="shared" si="17"/>
        <v>6.4988321524442425E-4</v>
      </c>
      <c r="T77" s="22">
        <f t="shared" si="18"/>
        <v>-2.3713550711091722E-4</v>
      </c>
      <c r="U77" s="57">
        <f>(L77/R77)</f>
        <v>1.5655931425168227E-3</v>
      </c>
      <c r="V77" s="23">
        <f>M77/R77</f>
        <v>7.087319060091783E-3</v>
      </c>
      <c r="W77" s="24">
        <f>R77/AE77</f>
        <v>1110.3041119221411</v>
      </c>
      <c r="X77" s="24">
        <f>M77/AE77</f>
        <v>7.8690794949240708</v>
      </c>
      <c r="Y77" s="69">
        <v>1119.4100000000001</v>
      </c>
      <c r="Z77" s="69">
        <v>1119.4100000000001</v>
      </c>
      <c r="AA77" s="113">
        <v>118</v>
      </c>
      <c r="AB77" s="113">
        <v>238380</v>
      </c>
      <c r="AC77" s="113">
        <v>610</v>
      </c>
      <c r="AD77" s="113">
        <v>2550</v>
      </c>
      <c r="AE77" s="51">
        <v>238380</v>
      </c>
      <c r="AF77" s="5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</row>
    <row r="78" spans="1:241" ht="16.5" customHeight="1" x14ac:dyDescent="0.3">
      <c r="A78" s="168">
        <v>71</v>
      </c>
      <c r="B78" s="59" t="s">
        <v>147</v>
      </c>
      <c r="C78" s="56" t="s">
        <v>148</v>
      </c>
      <c r="D78" s="18"/>
      <c r="E78" s="18"/>
      <c r="F78" s="18">
        <v>91724693.739999995</v>
      </c>
      <c r="G78" s="18">
        <v>1031375168.02</v>
      </c>
      <c r="H78" s="18"/>
      <c r="I78" s="18"/>
      <c r="J78" s="18">
        <v>1123068994.8199999</v>
      </c>
      <c r="K78" s="18">
        <v>11215262.23</v>
      </c>
      <c r="L78" s="18">
        <v>2009527.6</v>
      </c>
      <c r="M78" s="115">
        <v>9205734.6400000006</v>
      </c>
      <c r="N78" s="18">
        <v>1405019701.1400001</v>
      </c>
      <c r="O78" s="18">
        <v>6567699.1600000001</v>
      </c>
      <c r="P78" s="28">
        <v>1625128397.2</v>
      </c>
      <c r="Q78" s="21">
        <f t="shared" si="16"/>
        <v>3.8686646237792569E-3</v>
      </c>
      <c r="R78" s="28">
        <v>1398452001.98</v>
      </c>
      <c r="S78" s="21">
        <f t="shared" si="17"/>
        <v>3.4337693660760667E-3</v>
      </c>
      <c r="T78" s="22">
        <f t="shared" si="18"/>
        <v>-0.13948214529421185</v>
      </c>
      <c r="U78" s="57">
        <f t="shared" si="19"/>
        <v>1.4369657286448215E-3</v>
      </c>
      <c r="V78" s="23">
        <f t="shared" si="20"/>
        <v>6.5828034333434756E-3</v>
      </c>
      <c r="W78" s="24" t="e">
        <f>R78/AE82</f>
        <v>#DIV/0!</v>
      </c>
      <c r="X78" s="24" t="e">
        <f>M78/AE82</f>
        <v>#DIV/0!</v>
      </c>
      <c r="Y78" s="112">
        <v>1.0508</v>
      </c>
      <c r="Z78" s="112">
        <v>1.0508</v>
      </c>
      <c r="AA78" s="113">
        <v>631</v>
      </c>
      <c r="AB78" s="113">
        <v>1556435501.96</v>
      </c>
      <c r="AC78" s="113">
        <v>48616543.310000002</v>
      </c>
      <c r="AD78" s="113">
        <v>274153539.70999998</v>
      </c>
      <c r="AE78" s="51">
        <v>1330898505.5599999</v>
      </c>
      <c r="AF78" s="5"/>
    </row>
    <row r="79" spans="1:241" ht="16.5" customHeight="1" x14ac:dyDescent="0.3">
      <c r="A79" s="168">
        <v>72</v>
      </c>
      <c r="B79" s="142" t="s">
        <v>29</v>
      </c>
      <c r="C79" s="56" t="s">
        <v>196</v>
      </c>
      <c r="D79" s="18"/>
      <c r="E79" s="18"/>
      <c r="F79" s="18">
        <v>543196938.49000001</v>
      </c>
      <c r="G79" s="18">
        <v>1787443518.75</v>
      </c>
      <c r="H79" s="18"/>
      <c r="I79" s="124"/>
      <c r="J79" s="18">
        <v>2338071298.7600002</v>
      </c>
      <c r="K79" s="18">
        <v>14275729.630000001</v>
      </c>
      <c r="L79" s="18">
        <v>5170719.96</v>
      </c>
      <c r="M79" s="115">
        <v>9105009.6699999999</v>
      </c>
      <c r="N79" s="18">
        <v>2338071298.7600002</v>
      </c>
      <c r="O79" s="18">
        <v>8353304.0700000003</v>
      </c>
      <c r="P79" s="28">
        <v>1503114000.8199999</v>
      </c>
      <c r="Q79" s="21">
        <f t="shared" si="16"/>
        <v>3.5782058639173462E-3</v>
      </c>
      <c r="R79" s="28">
        <v>2329717994.6900001</v>
      </c>
      <c r="S79" s="21">
        <f t="shared" si="17"/>
        <v>5.7204067572117464E-3</v>
      </c>
      <c r="T79" s="22">
        <f t="shared" si="18"/>
        <v>0.54992767908426077</v>
      </c>
      <c r="U79" s="57">
        <f>(L79/R79)</f>
        <v>2.219461742487864E-3</v>
      </c>
      <c r="V79" s="23">
        <f>M79/R79</f>
        <v>3.9082024909248905E-3</v>
      </c>
      <c r="W79" s="24">
        <f>R79/AE79</f>
        <v>104.84954989750504</v>
      </c>
      <c r="X79" s="24">
        <f>M79/AE79</f>
        <v>0.40977327208178282</v>
      </c>
      <c r="Y79" s="112">
        <v>104.85</v>
      </c>
      <c r="Z79" s="112">
        <v>104.85</v>
      </c>
      <c r="AA79" s="113">
        <v>84</v>
      </c>
      <c r="AB79" s="113">
        <v>14406326</v>
      </c>
      <c r="AC79" s="113">
        <v>9444820</v>
      </c>
      <c r="AD79" s="113">
        <v>1631518</v>
      </c>
      <c r="AE79" s="51">
        <v>22219628</v>
      </c>
      <c r="AF79" s="5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</row>
    <row r="80" spans="1:241" ht="16.5" customHeight="1" x14ac:dyDescent="0.3">
      <c r="A80" s="168">
        <v>73</v>
      </c>
      <c r="B80" s="142" t="s">
        <v>65</v>
      </c>
      <c r="C80" s="56" t="s">
        <v>211</v>
      </c>
      <c r="D80" s="18"/>
      <c r="E80" s="18"/>
      <c r="F80" s="18">
        <v>30902260.350000001</v>
      </c>
      <c r="G80" s="18">
        <v>269726527.58999997</v>
      </c>
      <c r="H80" s="18"/>
      <c r="I80" s="124"/>
      <c r="J80" s="18">
        <v>300628787.94</v>
      </c>
      <c r="K80" s="18">
        <v>3667591.59</v>
      </c>
      <c r="L80" s="18">
        <v>688499.62</v>
      </c>
      <c r="M80" s="158">
        <v>2979091.97</v>
      </c>
      <c r="N80" s="18">
        <v>383659022.08999997</v>
      </c>
      <c r="O80" s="18">
        <v>5087867.0999999996</v>
      </c>
      <c r="P80" s="28">
        <v>357420611.08999997</v>
      </c>
      <c r="Q80" s="21">
        <f t="shared" si="16"/>
        <v>8.5084998595546461E-4</v>
      </c>
      <c r="R80" s="28">
        <v>378571154.99000001</v>
      </c>
      <c r="S80" s="21">
        <f t="shared" si="17"/>
        <v>9.2954640777387777E-4</v>
      </c>
      <c r="T80" s="22">
        <f t="shared" si="18"/>
        <v>5.917550147849264E-2</v>
      </c>
      <c r="U80" s="57">
        <f>(L80/R80)</f>
        <v>1.818679555810814E-3</v>
      </c>
      <c r="V80" s="23">
        <f>M80/R80</f>
        <v>7.869305230290705E-3</v>
      </c>
      <c r="W80" s="24">
        <f>R80/AE80</f>
        <v>98.803477278297052</v>
      </c>
      <c r="X80" s="24">
        <f>M80/AE80</f>
        <v>0.77751472051701176</v>
      </c>
      <c r="Y80" s="112">
        <v>102.27</v>
      </c>
      <c r="Z80" s="112">
        <v>102.27</v>
      </c>
      <c r="AA80" s="151">
        <v>95</v>
      </c>
      <c r="AB80" s="113">
        <v>3538841</v>
      </c>
      <c r="AC80" s="113">
        <v>312716</v>
      </c>
      <c r="AD80" s="113">
        <v>20000</v>
      </c>
      <c r="AE80" s="51">
        <v>3831557</v>
      </c>
      <c r="AF80" s="5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</row>
    <row r="81" spans="1:241" ht="16.5" customHeight="1" x14ac:dyDescent="0.3">
      <c r="A81" s="168">
        <v>74</v>
      </c>
      <c r="B81" s="142" t="s">
        <v>214</v>
      </c>
      <c r="C81" s="56" t="s">
        <v>215</v>
      </c>
      <c r="D81" s="18"/>
      <c r="E81" s="18"/>
      <c r="F81" s="18">
        <v>8912950.5199999996</v>
      </c>
      <c r="G81" s="18">
        <v>590499596.37</v>
      </c>
      <c r="H81" s="18"/>
      <c r="I81" s="124"/>
      <c r="J81" s="18">
        <v>599412546.88999999</v>
      </c>
      <c r="K81" s="18">
        <v>5583534.5099999998</v>
      </c>
      <c r="L81" s="18">
        <v>1649442.08</v>
      </c>
      <c r="M81" s="158">
        <v>3934092.43</v>
      </c>
      <c r="N81" s="18">
        <v>925360780</v>
      </c>
      <c r="O81" s="18">
        <v>3109691</v>
      </c>
      <c r="P81" s="28">
        <v>889071997</v>
      </c>
      <c r="Q81" s="21">
        <f t="shared" si="16"/>
        <v>2.1164613138954244E-3</v>
      </c>
      <c r="R81" s="28">
        <v>922251089</v>
      </c>
      <c r="S81" s="21">
        <f t="shared" si="17"/>
        <v>2.264502130037197E-3</v>
      </c>
      <c r="T81" s="22">
        <f t="shared" si="18"/>
        <v>3.7318790955014183E-2</v>
      </c>
      <c r="U81" s="57">
        <f>(L81/R81)</f>
        <v>1.7884956707272591E-3</v>
      </c>
      <c r="V81" s="23">
        <f>M81/R81</f>
        <v>4.2657498342081115E-3</v>
      </c>
      <c r="W81" s="24">
        <f>R81/AE81</f>
        <v>1.0042719462162215</v>
      </c>
      <c r="X81" s="24">
        <f>M81/AE81</f>
        <v>4.2839728880717043E-3</v>
      </c>
      <c r="Y81" s="112">
        <v>1.0043</v>
      </c>
      <c r="Z81" s="112">
        <v>1.0043</v>
      </c>
      <c r="AA81" s="151">
        <v>30</v>
      </c>
      <c r="AB81" s="113">
        <v>889102290</v>
      </c>
      <c r="AC81" s="113">
        <v>29225751</v>
      </c>
      <c r="AD81" s="113"/>
      <c r="AE81" s="51">
        <v>918328041</v>
      </c>
      <c r="AF81" s="5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</row>
    <row r="82" spans="1:241" ht="16.5" customHeight="1" x14ac:dyDescent="0.3">
      <c r="A82" s="172" t="s">
        <v>91</v>
      </c>
      <c r="B82" s="83"/>
      <c r="C82" s="33" t="s">
        <v>52</v>
      </c>
      <c r="D82" s="34">
        <f>SUM(D53:D81)</f>
        <v>134611114.48000002</v>
      </c>
      <c r="E82" s="34"/>
      <c r="F82" s="34">
        <f>SUM(F53:F81)</f>
        <v>156863984280.58994</v>
      </c>
      <c r="G82" s="34">
        <f>SUM(G53:G81)</f>
        <v>307038192562.48004</v>
      </c>
      <c r="H82" s="34"/>
      <c r="I82" s="34">
        <f>SUM(I53:I79)</f>
        <v>7882190197.249999</v>
      </c>
      <c r="J82" s="34">
        <f t="shared" ref="J82:P82" si="23">SUM(J53:J81)</f>
        <v>382945856659.92999</v>
      </c>
      <c r="K82" s="34">
        <f t="shared" si="23"/>
        <v>3141674786.0100007</v>
      </c>
      <c r="L82" s="34">
        <f t="shared" si="23"/>
        <v>864454177.24000025</v>
      </c>
      <c r="M82" s="34">
        <f t="shared" si="23"/>
        <v>2530471262.1099997</v>
      </c>
      <c r="N82" s="34">
        <f t="shared" si="23"/>
        <v>411104271828.82001</v>
      </c>
      <c r="O82" s="34">
        <f t="shared" si="23"/>
        <v>4699750057.0299988</v>
      </c>
      <c r="P82" s="122">
        <f t="shared" si="23"/>
        <v>420074768748.61011</v>
      </c>
      <c r="Q82" s="82">
        <f>(P82/$P$151)</f>
        <v>0.29534604273591841</v>
      </c>
      <c r="R82" s="122">
        <f>SUM(R53:R81)</f>
        <v>407264394573.49994</v>
      </c>
      <c r="S82" s="82">
        <f>(R82/$R$151)</f>
        <v>0.29325919697232344</v>
      </c>
      <c r="T82" s="36">
        <f t="shared" si="18"/>
        <v>-3.0495462065650555E-2</v>
      </c>
      <c r="U82" s="49"/>
      <c r="V82" s="37"/>
      <c r="W82" s="38"/>
      <c r="X82" s="38"/>
      <c r="Y82" s="34"/>
      <c r="Z82" s="34"/>
      <c r="AA82" s="39">
        <f>SUM(AA53:AA81)</f>
        <v>46859</v>
      </c>
      <c r="AB82" s="39"/>
      <c r="AC82" s="39"/>
      <c r="AD82" s="39"/>
      <c r="AE82" s="18">
        <v>0</v>
      </c>
      <c r="AF82" s="5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</row>
    <row r="83" spans="1:241" ht="16.5" customHeight="1" x14ac:dyDescent="0.3">
      <c r="A83" s="193" t="s">
        <v>177</v>
      </c>
      <c r="B83" s="193"/>
      <c r="C83" s="193"/>
      <c r="D83" s="43"/>
      <c r="E83" s="43"/>
      <c r="F83" s="43"/>
      <c r="G83" s="43"/>
      <c r="H83" s="43"/>
      <c r="I83" s="43"/>
      <c r="J83" s="43"/>
      <c r="K83" s="43"/>
      <c r="L83" s="43"/>
      <c r="M83" s="128"/>
      <c r="N83" s="43"/>
      <c r="O83" s="43"/>
      <c r="P83" s="152">
        <v>0</v>
      </c>
      <c r="Q83" s="22"/>
      <c r="R83" s="43">
        <v>0</v>
      </c>
      <c r="S83" s="22"/>
      <c r="T83" s="22"/>
      <c r="U83" s="22"/>
      <c r="V83" s="44"/>
      <c r="W83" s="45"/>
      <c r="X83" s="45"/>
      <c r="Y83" s="43"/>
      <c r="Z83" s="43"/>
      <c r="AA83" s="43"/>
      <c r="AB83" s="43"/>
      <c r="AC83" s="43"/>
      <c r="AD83" s="43"/>
      <c r="AE83" s="43"/>
      <c r="AF83" s="5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</row>
    <row r="84" spans="1:241" ht="16.5" customHeight="1" x14ac:dyDescent="0.3">
      <c r="A84" s="196" t="s">
        <v>176</v>
      </c>
      <c r="B84" s="196"/>
      <c r="C84" s="196"/>
      <c r="D84" s="84"/>
      <c r="E84" s="84"/>
      <c r="F84" s="84"/>
      <c r="G84" s="84"/>
      <c r="H84" s="84"/>
      <c r="I84" s="84"/>
      <c r="J84" s="84"/>
      <c r="K84" s="84"/>
      <c r="L84" s="84"/>
      <c r="M84" s="129"/>
      <c r="N84" s="84"/>
      <c r="O84" s="84"/>
      <c r="P84" s="153"/>
      <c r="Q84" s="85"/>
      <c r="R84" s="84"/>
      <c r="S84" s="85"/>
      <c r="T84" s="85"/>
      <c r="U84" s="86"/>
      <c r="V84" s="87"/>
      <c r="W84" s="88"/>
      <c r="X84" s="88"/>
      <c r="Y84" s="84"/>
      <c r="Z84" s="84"/>
      <c r="AA84" s="84"/>
      <c r="AB84" s="84"/>
      <c r="AC84" s="84"/>
      <c r="AD84" s="84"/>
      <c r="AE84" s="84"/>
      <c r="AF84" s="5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</row>
    <row r="85" spans="1:241" ht="16.5" customHeight="1" x14ac:dyDescent="0.3">
      <c r="A85" s="174" t="s">
        <v>216</v>
      </c>
      <c r="B85" s="142" t="s">
        <v>179</v>
      </c>
      <c r="C85" s="56" t="s">
        <v>198</v>
      </c>
      <c r="D85" s="18"/>
      <c r="E85" s="18"/>
      <c r="F85" s="102"/>
      <c r="G85" s="102"/>
      <c r="H85" s="102"/>
      <c r="I85" s="102"/>
      <c r="J85" s="102"/>
      <c r="K85" s="102"/>
      <c r="L85" s="102"/>
      <c r="M85" s="175"/>
      <c r="N85" s="102"/>
      <c r="O85" s="102"/>
      <c r="P85" s="20">
        <v>0</v>
      </c>
      <c r="Q85" s="111">
        <f t="shared" ref="Q85:Q93" si="24">(P85/$P$103)</f>
        <v>0</v>
      </c>
      <c r="R85" s="20">
        <v>0</v>
      </c>
      <c r="S85" s="21">
        <v>0</v>
      </c>
      <c r="T85" s="22" t="e">
        <f t="shared" ref="T85:T90" si="25">((R85-P85)/P85)</f>
        <v>#DIV/0!</v>
      </c>
      <c r="U85" s="57" t="e">
        <f>(L86/R85)</f>
        <v>#DIV/0!</v>
      </c>
      <c r="V85" s="23" t="e">
        <f>M86/R85</f>
        <v>#DIV/0!</v>
      </c>
      <c r="W85" s="24" t="e">
        <f t="shared" ref="W85:W90" si="26">R85/AE85</f>
        <v>#DIV/0!</v>
      </c>
      <c r="X85" s="24" t="e">
        <f>M86/AE85</f>
        <v>#DIV/0!</v>
      </c>
      <c r="Y85" s="18">
        <v>124.41</v>
      </c>
      <c r="Z85" s="26">
        <v>122.03</v>
      </c>
      <c r="AA85" s="25"/>
      <c r="AB85" s="25"/>
      <c r="AC85" s="25"/>
      <c r="AD85" s="25"/>
      <c r="AE85" s="18"/>
      <c r="AF85" s="5"/>
    </row>
    <row r="86" spans="1:241" ht="16.5" customHeight="1" x14ac:dyDescent="0.3">
      <c r="A86" s="174" t="s">
        <v>217</v>
      </c>
      <c r="B86" s="142" t="s">
        <v>179</v>
      </c>
      <c r="C86" s="56" t="s">
        <v>197</v>
      </c>
      <c r="D86" s="27"/>
      <c r="E86" s="18"/>
      <c r="F86" s="114">
        <v>2253678389.1500001</v>
      </c>
      <c r="G86" s="18">
        <v>8561858185.0500002</v>
      </c>
      <c r="H86" s="27"/>
      <c r="I86" s="46"/>
      <c r="J86" s="26">
        <v>10834417136.799999</v>
      </c>
      <c r="K86" s="26">
        <v>63454269.060000002</v>
      </c>
      <c r="L86" s="26">
        <v>14734189.49</v>
      </c>
      <c r="M86" s="130">
        <v>48720079.57</v>
      </c>
      <c r="N86" s="18">
        <v>10897391699.559999</v>
      </c>
      <c r="O86" s="72">
        <v>62974562.770000003</v>
      </c>
      <c r="P86" s="20">
        <v>10238524912.98</v>
      </c>
      <c r="Q86" s="21">
        <f t="shared" si="24"/>
        <v>3.6187191066449471E-2</v>
      </c>
      <c r="R86" s="20">
        <v>10834417136.799999</v>
      </c>
      <c r="S86" s="21">
        <f t="shared" ref="S86:S93" si="27">(R86/$R$103)</f>
        <v>3.8109189019146887E-2</v>
      </c>
      <c r="T86" s="22">
        <f t="shared" si="25"/>
        <v>5.8200983919524475E-2</v>
      </c>
      <c r="U86" s="57" t="e">
        <f>(#REF!/R86)</f>
        <v>#REF!</v>
      </c>
      <c r="V86" s="23" t="e">
        <f>#REF!/R86</f>
        <v>#REF!</v>
      </c>
      <c r="W86" s="24">
        <f t="shared" si="26"/>
        <v>52430.582900719441</v>
      </c>
      <c r="X86" s="24" t="e">
        <f>#REF!/AE86</f>
        <v>#REF!</v>
      </c>
      <c r="Y86" s="18">
        <v>124.03</v>
      </c>
      <c r="Z86" s="18">
        <v>121</v>
      </c>
      <c r="AA86" s="25">
        <v>1785</v>
      </c>
      <c r="AB86" s="25">
        <v>196861.01</v>
      </c>
      <c r="AC86" s="25">
        <v>12806.04</v>
      </c>
      <c r="AD86" s="25">
        <v>3023.97</v>
      </c>
      <c r="AE86" s="51">
        <v>206643.08</v>
      </c>
      <c r="AF86" s="5"/>
    </row>
    <row r="87" spans="1:241" ht="16.5" customHeight="1" x14ac:dyDescent="0.3">
      <c r="A87" s="168">
        <v>76</v>
      </c>
      <c r="B87" s="142" t="s">
        <v>33</v>
      </c>
      <c r="C87" s="56" t="s">
        <v>195</v>
      </c>
      <c r="D87" s="27"/>
      <c r="E87" s="18"/>
      <c r="F87" s="102"/>
      <c r="G87" s="18">
        <f>150191181.34*415.72</f>
        <v>62437477906.664803</v>
      </c>
      <c r="H87" s="18"/>
      <c r="I87" s="26"/>
      <c r="J87" s="18">
        <f>150191181.34*415.72</f>
        <v>62437477906.664803</v>
      </c>
      <c r="K87" s="26">
        <f>1119129*415.72</f>
        <v>465244307.88000005</v>
      </c>
      <c r="L87" s="26">
        <f>258611*415.72</f>
        <v>107509764.92</v>
      </c>
      <c r="M87" s="130">
        <f>860519*415.72</f>
        <v>357734958.68000001</v>
      </c>
      <c r="N87" s="18">
        <f>172749894*415.72</f>
        <v>71815585933.680008</v>
      </c>
      <c r="O87" s="18">
        <f>1800298*415.72</f>
        <v>748419884.56000006</v>
      </c>
      <c r="P87" s="20">
        <f>415.65*170291510</f>
        <v>70781666131.5</v>
      </c>
      <c r="Q87" s="111">
        <f t="shared" si="24"/>
        <v>0.25017174818366622</v>
      </c>
      <c r="R87" s="20">
        <f>170949596*415.72</f>
        <v>71067166049.12001</v>
      </c>
      <c r="S87" s="21">
        <f t="shared" si="27"/>
        <v>0.24997302852794964</v>
      </c>
      <c r="T87" s="22">
        <f>((R87-P87)/P87)</f>
        <v>4.033529206413442E-3</v>
      </c>
      <c r="U87" s="57">
        <f>(L87/R87)</f>
        <v>1.5127909398510656E-3</v>
      </c>
      <c r="V87" s="23">
        <f>M87/R87</f>
        <v>5.033758605665262E-3</v>
      </c>
      <c r="W87" s="24">
        <f>R87/AE87</f>
        <v>154343.18686568982</v>
      </c>
      <c r="X87" s="24">
        <f t="shared" ref="X87:X93" si="28">M87/AE87</f>
        <v>776.92634511096776</v>
      </c>
      <c r="Y87" s="18">
        <f>122.73*415.72</f>
        <v>51021.315600000002</v>
      </c>
      <c r="Z87" s="18">
        <f>122.73*415.72</f>
        <v>51021.315600000002</v>
      </c>
      <c r="AA87" s="25">
        <v>1219</v>
      </c>
      <c r="AB87" s="25">
        <v>1361172</v>
      </c>
      <c r="AC87" s="25">
        <v>492131</v>
      </c>
      <c r="AD87" s="25">
        <v>460449</v>
      </c>
      <c r="AE87" s="51">
        <v>460449</v>
      </c>
      <c r="AF87" s="5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</row>
    <row r="88" spans="1:241" ht="16.5" customHeight="1" x14ac:dyDescent="0.3">
      <c r="A88" s="168">
        <v>77</v>
      </c>
      <c r="B88" s="142" t="s">
        <v>180</v>
      </c>
      <c r="C88" s="56" t="s">
        <v>94</v>
      </c>
      <c r="D88" s="27"/>
      <c r="E88" s="18"/>
      <c r="F88" s="18">
        <f>1812068.02*415.72</f>
        <v>753312917.27440012</v>
      </c>
      <c r="G88" s="18">
        <f>11997714.52*415.72</f>
        <v>4987689880.2544003</v>
      </c>
      <c r="H88" s="18"/>
      <c r="I88" s="18"/>
      <c r="J88" s="26">
        <f>13869043.63*415.72</f>
        <v>5765638817.8636007</v>
      </c>
      <c r="K88" s="26">
        <f>76559.19*415.72</f>
        <v>31827186.466800004</v>
      </c>
      <c r="L88" s="26">
        <f>19731.83*415.72</f>
        <v>8202916.3676000014</v>
      </c>
      <c r="M88" s="130">
        <f>56827.36*415.72</f>
        <v>23624270.099200003</v>
      </c>
      <c r="N88" s="18">
        <f>13869043.63*415.72</f>
        <v>5765638817.8636007</v>
      </c>
      <c r="O88" s="18">
        <f>72821*415.72</f>
        <v>30273146.120000001</v>
      </c>
      <c r="P88" s="20">
        <f>415.65*13805862.53</f>
        <v>5738406760.5944996</v>
      </c>
      <c r="Q88" s="21">
        <f t="shared" si="24"/>
        <v>2.0281908148641545E-2</v>
      </c>
      <c r="R88" s="20">
        <f>13796222.87*415.72</f>
        <v>5735365771.5164003</v>
      </c>
      <c r="S88" s="21">
        <f t="shared" si="27"/>
        <v>2.0173686827902541E-2</v>
      </c>
      <c r="T88" s="22">
        <f t="shared" si="25"/>
        <v>-5.2993613122402704E-4</v>
      </c>
      <c r="U88" s="57">
        <f t="shared" ref="U88:U90" si="29">(L88/R88)</f>
        <v>1.4302342159829143E-3</v>
      </c>
      <c r="V88" s="23">
        <f t="shared" ref="V88:V90" si="30">M88/R88</f>
        <v>4.1190520431191036E-3</v>
      </c>
      <c r="W88" s="24">
        <f t="shared" si="26"/>
        <v>511.67122768608033</v>
      </c>
      <c r="X88" s="24">
        <f t="shared" si="28"/>
        <v>2.1076004158056092</v>
      </c>
      <c r="Y88" s="18">
        <f>1.23*415.72</f>
        <v>511.3356</v>
      </c>
      <c r="Z88" s="18">
        <f>1.23*415.72</f>
        <v>511.3356</v>
      </c>
      <c r="AA88" s="118">
        <v>123</v>
      </c>
      <c r="AB88" s="118">
        <v>11257719</v>
      </c>
      <c r="AC88" s="118">
        <v>94963</v>
      </c>
      <c r="AD88" s="118">
        <v>143598</v>
      </c>
      <c r="AE88" s="113">
        <v>11209084</v>
      </c>
      <c r="AF88" s="5"/>
    </row>
    <row r="89" spans="1:241" ht="16.5" customHeight="1" x14ac:dyDescent="0.3">
      <c r="A89" s="168">
        <v>78</v>
      </c>
      <c r="B89" s="142" t="s">
        <v>46</v>
      </c>
      <c r="C89" s="56" t="s">
        <v>95</v>
      </c>
      <c r="D89" s="27"/>
      <c r="E89" s="18"/>
      <c r="F89" s="26"/>
      <c r="G89" s="18">
        <v>658464464.51999998</v>
      </c>
      <c r="H89" s="18"/>
      <c r="I89" s="26">
        <v>17894960.550000001</v>
      </c>
      <c r="J89" s="18">
        <v>658464464.51999998</v>
      </c>
      <c r="K89" s="26">
        <v>8440904.2799999993</v>
      </c>
      <c r="L89" s="26">
        <v>816722.76</v>
      </c>
      <c r="M89" s="130">
        <v>7624181.5199999996</v>
      </c>
      <c r="N89" s="18">
        <v>676359425.07000005</v>
      </c>
      <c r="O89" s="26">
        <v>17090884.260000002</v>
      </c>
      <c r="P89" s="20">
        <v>641588056.5</v>
      </c>
      <c r="Q89" s="21">
        <f t="shared" si="24"/>
        <v>2.2676381396585297E-3</v>
      </c>
      <c r="R89" s="20">
        <v>659268540.80999994</v>
      </c>
      <c r="S89" s="21">
        <f t="shared" si="27"/>
        <v>2.3189239549185384E-3</v>
      </c>
      <c r="T89" s="22">
        <f t="shared" si="25"/>
        <v>2.7557377558508126E-2</v>
      </c>
      <c r="U89" s="57">
        <f t="shared" si="29"/>
        <v>1.2388316891270839E-3</v>
      </c>
      <c r="V89" s="23">
        <f t="shared" si="30"/>
        <v>1.1564606906060872E-2</v>
      </c>
      <c r="W89" s="24">
        <f t="shared" si="26"/>
        <v>48090.199198336857</v>
      </c>
      <c r="X89" s="24">
        <f t="shared" si="28"/>
        <v>556.14424976292946</v>
      </c>
      <c r="Y89" s="26">
        <v>117.004</v>
      </c>
      <c r="Z89" s="26">
        <v>120.0372</v>
      </c>
      <c r="AA89" s="25">
        <v>38</v>
      </c>
      <c r="AB89" s="25">
        <v>13671</v>
      </c>
      <c r="AC89" s="25">
        <v>38</v>
      </c>
      <c r="AD89" s="25"/>
      <c r="AE89" s="51">
        <v>13709</v>
      </c>
      <c r="AF89" s="5"/>
    </row>
    <row r="90" spans="1:241" ht="16.5" customHeight="1" x14ac:dyDescent="0.3">
      <c r="A90" s="168">
        <v>79</v>
      </c>
      <c r="B90" s="142" t="s">
        <v>31</v>
      </c>
      <c r="C90" s="56" t="s">
        <v>96</v>
      </c>
      <c r="D90" s="27"/>
      <c r="E90" s="27"/>
      <c r="F90" s="27"/>
      <c r="G90" s="19">
        <v>724905360.38</v>
      </c>
      <c r="H90" s="27"/>
      <c r="I90" s="27"/>
      <c r="J90" s="19">
        <v>724905360.38</v>
      </c>
      <c r="K90" s="19">
        <v>4762085.07</v>
      </c>
      <c r="L90" s="19">
        <v>1462241.06</v>
      </c>
      <c r="M90" s="130">
        <v>3299844.02</v>
      </c>
      <c r="N90" s="18">
        <v>746208403.82000005</v>
      </c>
      <c r="O90" s="26">
        <v>13982210.08</v>
      </c>
      <c r="P90" s="20">
        <v>738733224.88</v>
      </c>
      <c r="Q90" s="21">
        <f t="shared" si="24"/>
        <v>2.6109894328602257E-3</v>
      </c>
      <c r="R90" s="20">
        <v>732226193.74000001</v>
      </c>
      <c r="S90" s="21">
        <f t="shared" si="27"/>
        <v>2.575546618675777E-3</v>
      </c>
      <c r="T90" s="22">
        <f t="shared" si="25"/>
        <v>-8.8083639950768278E-3</v>
      </c>
      <c r="U90" s="57">
        <f t="shared" si="29"/>
        <v>1.9969799940251997E-3</v>
      </c>
      <c r="V90" s="23">
        <f t="shared" si="30"/>
        <v>4.5065910619030841E-3</v>
      </c>
      <c r="W90" s="24">
        <f t="shared" si="26"/>
        <v>569396.90080935135</v>
      </c>
      <c r="X90" s="24">
        <f t="shared" si="28"/>
        <v>2566.0389838627398</v>
      </c>
      <c r="Y90" s="149">
        <v>44092.801363781</v>
      </c>
      <c r="Z90" s="149">
        <v>44092.801363781</v>
      </c>
      <c r="AA90" s="25">
        <v>195</v>
      </c>
      <c r="AB90" s="18">
        <v>16852.942899999998</v>
      </c>
      <c r="AC90" s="18">
        <v>16852.942899999998</v>
      </c>
      <c r="AD90" s="18">
        <v>1285.9680000000001</v>
      </c>
      <c r="AE90" s="51">
        <v>1285.9680000000001</v>
      </c>
      <c r="AF90" s="5"/>
    </row>
    <row r="91" spans="1:241" ht="16.5" customHeight="1" x14ac:dyDescent="0.3">
      <c r="A91" s="168">
        <v>80</v>
      </c>
      <c r="B91" s="59" t="s">
        <v>35</v>
      </c>
      <c r="C91" s="56" t="s">
        <v>97</v>
      </c>
      <c r="D91" s="19"/>
      <c r="E91" s="27"/>
      <c r="F91" s="19"/>
      <c r="G91" s="19">
        <f>10834557.01*415.72</f>
        <v>4504142040.1971998</v>
      </c>
      <c r="H91" s="19"/>
      <c r="I91" s="27"/>
      <c r="J91" s="72">
        <f>10834557.01*415.72</f>
        <v>4504142040.1971998</v>
      </c>
      <c r="K91" s="72">
        <f>78613.2*415.72</f>
        <v>32681079.504000001</v>
      </c>
      <c r="L91" s="72">
        <f>24855.29*415.72</f>
        <v>10332841.1588</v>
      </c>
      <c r="M91" s="131">
        <f>38199.91*415.72</f>
        <v>15880466.585200002</v>
      </c>
      <c r="N91" s="72">
        <f>12903500*415.72</f>
        <v>5364243020</v>
      </c>
      <c r="O91" s="72">
        <f>278563*415.72</f>
        <v>115804210.36000001</v>
      </c>
      <c r="P91" s="20">
        <f>415.65*14138903</f>
        <v>5876835031.9499998</v>
      </c>
      <c r="Q91" s="111">
        <f t="shared" si="24"/>
        <v>2.0771171040231441E-2</v>
      </c>
      <c r="R91" s="20">
        <f>12624937*415.72</f>
        <v>5248438809.6400003</v>
      </c>
      <c r="S91" s="21">
        <f t="shared" si="27"/>
        <v>1.8460960486063781E-2</v>
      </c>
      <c r="T91" s="22">
        <f>((R91-P91)/P91)</f>
        <v>-0.10692766070404576</v>
      </c>
      <c r="U91" s="57">
        <f>(L91/R91)</f>
        <v>1.9687456658199561E-3</v>
      </c>
      <c r="V91" s="23">
        <f>M91/R91</f>
        <v>3.0257505443393503E-3</v>
      </c>
      <c r="W91" s="24">
        <f>R91/AE91</f>
        <v>444.0259609646842</v>
      </c>
      <c r="X91" s="24">
        <f t="shared" si="28"/>
        <v>1.3435117930896963</v>
      </c>
      <c r="Y91" s="149">
        <f>1.0628*415.72</f>
        <v>441.82721600000002</v>
      </c>
      <c r="Z91" s="149">
        <f>1.0681*415.72</f>
        <v>444.03053200000005</v>
      </c>
      <c r="AA91" s="25">
        <v>308</v>
      </c>
      <c r="AB91" s="25">
        <v>13286701</v>
      </c>
      <c r="AC91" s="25">
        <v>22783</v>
      </c>
      <c r="AD91" s="25">
        <v>1489367</v>
      </c>
      <c r="AE91" s="51">
        <v>11820117</v>
      </c>
      <c r="AF91" s="5"/>
    </row>
    <row r="92" spans="1:241" ht="16.5" customHeight="1" x14ac:dyDescent="0.3">
      <c r="A92" s="168">
        <v>81</v>
      </c>
      <c r="B92" s="59" t="s">
        <v>158</v>
      </c>
      <c r="C92" s="56" t="s">
        <v>161</v>
      </c>
      <c r="D92" s="27"/>
      <c r="E92" s="18"/>
      <c r="F92" s="26"/>
      <c r="G92" s="18">
        <v>774669551.17999995</v>
      </c>
      <c r="H92" s="18"/>
      <c r="I92" s="26">
        <v>12309132.470000001</v>
      </c>
      <c r="J92" s="26">
        <v>786978683.63999999</v>
      </c>
      <c r="K92" s="26">
        <v>4253846.59</v>
      </c>
      <c r="L92" s="26">
        <v>2127143.62</v>
      </c>
      <c r="M92" s="130">
        <v>2126702.96</v>
      </c>
      <c r="N92" s="18">
        <v>787984343.58000004</v>
      </c>
      <c r="O92" s="26">
        <f>N92-R92</f>
        <v>16163031.470000029</v>
      </c>
      <c r="P92" s="20">
        <v>797212934.21000004</v>
      </c>
      <c r="Q92" s="21">
        <f t="shared" si="24"/>
        <v>2.8176809663595761E-3</v>
      </c>
      <c r="R92" s="20">
        <v>771821312.11000001</v>
      </c>
      <c r="S92" s="21">
        <f t="shared" si="27"/>
        <v>2.7148192561555163E-3</v>
      </c>
      <c r="T92" s="22">
        <f>((R92-P92)/P92)</f>
        <v>-3.1850489386705587E-2</v>
      </c>
      <c r="U92" s="57">
        <f>(L92/R92)</f>
        <v>2.7560052911532449E-3</v>
      </c>
      <c r="V92" s="23">
        <f>M92/R92</f>
        <v>2.755434355895192E-3</v>
      </c>
      <c r="W92" s="24">
        <f>R92/AE92</f>
        <v>42641.448913441025</v>
      </c>
      <c r="X92" s="24">
        <f t="shared" si="28"/>
        <v>117.49571332124512</v>
      </c>
      <c r="Y92" s="26">
        <v>102.57</v>
      </c>
      <c r="Z92" s="26">
        <v>102.57</v>
      </c>
      <c r="AA92" s="25">
        <v>39</v>
      </c>
      <c r="AB92" s="18">
        <v>18740.900000000001</v>
      </c>
      <c r="AC92" s="25">
        <v>855.41</v>
      </c>
      <c r="AD92" s="25">
        <v>1496.05</v>
      </c>
      <c r="AE92" s="51">
        <v>18100.259999999998</v>
      </c>
      <c r="AF92" s="5"/>
    </row>
    <row r="93" spans="1:241" ht="16.5" customHeight="1" x14ac:dyDescent="0.3">
      <c r="A93" s="168">
        <v>82</v>
      </c>
      <c r="B93" s="59" t="s">
        <v>42</v>
      </c>
      <c r="C93" s="56" t="s">
        <v>203</v>
      </c>
      <c r="D93" s="27"/>
      <c r="E93" s="18"/>
      <c r="F93" s="18"/>
      <c r="G93" s="18">
        <f>5953665.94*415.72</f>
        <v>2475058004.5768003</v>
      </c>
      <c r="H93" s="18"/>
      <c r="I93" s="18"/>
      <c r="J93" s="18">
        <f>5953665.94*415.72</f>
        <v>2475058004.5768003</v>
      </c>
      <c r="K93" s="18">
        <f>107047.36*415.72</f>
        <v>44501728.499200001</v>
      </c>
      <c r="L93" s="18">
        <f>5447.96*415.72</f>
        <v>2264825.9312</v>
      </c>
      <c r="M93" s="130">
        <f>101599.4*415.72</f>
        <v>42236902.568000004</v>
      </c>
      <c r="N93" s="136">
        <f>6528047.94*415.72</f>
        <v>2713840089.6168003</v>
      </c>
      <c r="O93" s="136">
        <f>5447.96*415.72</f>
        <v>2264825.9312</v>
      </c>
      <c r="P93" s="20">
        <f>415.65*7224575.62</f>
        <v>3002894856.4530001</v>
      </c>
      <c r="Q93" s="21">
        <f t="shared" si="24"/>
        <v>1.0613475168201247E-2</v>
      </c>
      <c r="R93" s="20">
        <f>6522599.98*415.72</f>
        <v>2711575263.6856003</v>
      </c>
      <c r="S93" s="21">
        <f t="shared" si="27"/>
        <v>9.5377474356648593E-3</v>
      </c>
      <c r="T93" s="22">
        <f>((R93-P93)/P93)</f>
        <v>-9.7012918098472692E-2</v>
      </c>
      <c r="U93" s="57">
        <f>(L93/R93)</f>
        <v>8.3524361707062696E-4</v>
      </c>
      <c r="V93" s="23">
        <f>M93/R93</f>
        <v>1.5576518613977611E-2</v>
      </c>
      <c r="W93" s="24">
        <f>R93/AE93</f>
        <v>49155.154190183392</v>
      </c>
      <c r="X93" s="24">
        <f t="shared" si="28"/>
        <v>765.66617421633111</v>
      </c>
      <c r="Y93" s="26">
        <f>118.24*415.72</f>
        <v>49154.732799999998</v>
      </c>
      <c r="Z93" s="26">
        <f>118.24*415.72</f>
        <v>49154.732799999998</v>
      </c>
      <c r="AA93" s="25">
        <v>249</v>
      </c>
      <c r="AB93" s="18">
        <v>59731.14</v>
      </c>
      <c r="AC93" s="18">
        <v>59731.14</v>
      </c>
      <c r="AD93" s="18">
        <v>8297.36</v>
      </c>
      <c r="AE93" s="51">
        <v>55163.6</v>
      </c>
      <c r="AF93" s="5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</row>
    <row r="94" spans="1:241" ht="6" customHeight="1" x14ac:dyDescent="0.3">
      <c r="A94" s="176"/>
      <c r="B94" s="55"/>
      <c r="C94" s="56"/>
      <c r="D94" s="69"/>
      <c r="E94" s="69"/>
      <c r="F94" s="69"/>
      <c r="G94" s="69"/>
      <c r="H94" s="69"/>
      <c r="I94" s="51"/>
      <c r="J94" s="53"/>
      <c r="K94" s="53"/>
      <c r="L94" s="53"/>
      <c r="M94" s="130"/>
      <c r="N94" s="18"/>
      <c r="O94" s="18"/>
      <c r="P94" s="76"/>
      <c r="Q94" s="21"/>
      <c r="R94" s="28"/>
      <c r="S94" s="21"/>
      <c r="T94" s="22"/>
      <c r="U94" s="57"/>
      <c r="V94" s="23"/>
      <c r="W94" s="24"/>
      <c r="X94" s="24"/>
      <c r="Y94" s="18"/>
      <c r="Z94" s="18"/>
      <c r="AA94" s="25"/>
      <c r="AB94" s="25"/>
      <c r="AC94" s="25"/>
      <c r="AD94" s="25"/>
      <c r="AE94" s="19"/>
      <c r="AF94" s="5"/>
    </row>
    <row r="95" spans="1:241" ht="16.5" customHeight="1" x14ac:dyDescent="0.3">
      <c r="A95" s="196" t="s">
        <v>178</v>
      </c>
      <c r="B95" s="196"/>
      <c r="C95" s="196"/>
      <c r="D95" s="84"/>
      <c r="E95" s="84"/>
      <c r="F95" s="84"/>
      <c r="G95" s="84"/>
      <c r="H95" s="84"/>
      <c r="I95" s="84"/>
      <c r="J95" s="84"/>
      <c r="K95" s="84"/>
      <c r="L95" s="84"/>
      <c r="M95" s="129"/>
      <c r="N95" s="84"/>
      <c r="O95" s="84"/>
      <c r="P95" s="153"/>
      <c r="Q95" s="85"/>
      <c r="R95" s="84"/>
      <c r="S95" s="85"/>
      <c r="T95" s="85"/>
      <c r="U95" s="86"/>
      <c r="V95" s="87"/>
      <c r="W95" s="88"/>
      <c r="X95" s="88"/>
      <c r="Y95" s="84"/>
      <c r="Z95" s="84"/>
      <c r="AA95" s="84"/>
      <c r="AB95" s="84"/>
      <c r="AC95" s="84"/>
      <c r="AD95" s="84"/>
      <c r="AE95" s="84"/>
      <c r="AF95" s="5"/>
    </row>
    <row r="96" spans="1:241" ht="16.5" customHeight="1" x14ac:dyDescent="0.3">
      <c r="A96" s="168">
        <v>83</v>
      </c>
      <c r="B96" s="142" t="s">
        <v>23</v>
      </c>
      <c r="C96" s="56" t="s">
        <v>110</v>
      </c>
      <c r="D96" s="51"/>
      <c r="E96" s="51"/>
      <c r="F96" s="51">
        <f>124617569.63*415.72</f>
        <v>51806016046.583603</v>
      </c>
      <c r="G96" s="51">
        <f>283570463.87*415.72</f>
        <v>117885913240.03641</v>
      </c>
      <c r="H96" s="51"/>
      <c r="I96" s="51"/>
      <c r="J96" s="51">
        <f>408188033.5*415.72</f>
        <v>169691929286.62003</v>
      </c>
      <c r="K96" s="51">
        <f>2436234.07*415.72</f>
        <v>1012791227.5804</v>
      </c>
      <c r="L96" s="51">
        <f>658521.49*415.72</f>
        <v>273760553.82280004</v>
      </c>
      <c r="M96" s="131">
        <f>1777712.58*415.72</f>
        <v>739030673.75760007</v>
      </c>
      <c r="N96" s="51">
        <f>418822836.65*415.72</f>
        <v>174113029652.138</v>
      </c>
      <c r="O96" s="51">
        <f>2215055.46*415.72</f>
        <v>920842855.8312</v>
      </c>
      <c r="P96" s="28">
        <f>415.65*415410056.47</f>
        <v>172665189971.75549</v>
      </c>
      <c r="Q96" s="21">
        <f t="shared" ref="Q96:Q102" si="31">(P96/$P$103)</f>
        <v>0.61027035370216287</v>
      </c>
      <c r="R96" s="28">
        <v>173192186796.30682</v>
      </c>
      <c r="S96" s="21">
        <f t="shared" ref="S96:S102" si="32">(R96/$R$103)</f>
        <v>0.60918955767742011</v>
      </c>
      <c r="T96" s="22">
        <f t="shared" ref="T96:T103" si="33">((R96-P96)/P96)</f>
        <v>3.0521312641971234E-3</v>
      </c>
      <c r="U96" s="57">
        <f t="shared" ref="U96:U102" si="34">(L96/R96)</f>
        <v>1.5806749651170625E-3</v>
      </c>
      <c r="V96" s="23">
        <f>M96/R96</f>
        <v>4.2671132423934451E-3</v>
      </c>
      <c r="W96" s="24">
        <f t="shared" ref="W96:W102" si="35">R96/AE96</f>
        <v>550.38838678864147</v>
      </c>
      <c r="X96" s="24">
        <f>M96/AE96</f>
        <v>2.3485695737253778</v>
      </c>
      <c r="Y96" s="18">
        <f>1.3239*415.72</f>
        <v>550.37170800000001</v>
      </c>
      <c r="Z96" s="18">
        <f>1.3239*415.72</f>
        <v>550.37170800000001</v>
      </c>
      <c r="AA96" s="41">
        <v>4184</v>
      </c>
      <c r="AB96" s="41">
        <v>315101081.69999999</v>
      </c>
      <c r="AC96" s="41">
        <v>12611391.98</v>
      </c>
      <c r="AD96" s="41">
        <v>13039797.16</v>
      </c>
      <c r="AE96" s="51">
        <v>314672676.51999998</v>
      </c>
      <c r="AF96" s="5"/>
    </row>
    <row r="97" spans="1:241" ht="16.5" customHeight="1" x14ac:dyDescent="0.3">
      <c r="A97" s="168">
        <v>84</v>
      </c>
      <c r="B97" s="59" t="s">
        <v>44</v>
      </c>
      <c r="C97" s="55" t="s">
        <v>113</v>
      </c>
      <c r="D97" s="51"/>
      <c r="E97" s="51"/>
      <c r="F97" s="51">
        <f>415.65*680300.93</f>
        <v>282767081.55449998</v>
      </c>
      <c r="G97" s="51">
        <v>0</v>
      </c>
      <c r="H97" s="51"/>
      <c r="I97" s="51"/>
      <c r="J97" s="51">
        <f>415.65*4020622.35</f>
        <v>1671171679.7774999</v>
      </c>
      <c r="K97" s="51">
        <f>415.65*23163.86</f>
        <v>9628058.409</v>
      </c>
      <c r="L97" s="51">
        <f>415.65*10278.47</f>
        <v>4272246.0554999998</v>
      </c>
      <c r="M97" s="131">
        <f>415.65*12885.39</f>
        <v>5355812.3534999993</v>
      </c>
      <c r="N97" s="51">
        <f>415.65*4244508.78</f>
        <v>1764230074.4070001</v>
      </c>
      <c r="O97" s="51">
        <f>415.65*38776.7</f>
        <v>16117535.354999999</v>
      </c>
      <c r="P97" s="28">
        <f>415.65*4205732.08</f>
        <v>1748112539.052</v>
      </c>
      <c r="Q97" s="21">
        <f t="shared" si="31"/>
        <v>6.1785543321902945E-3</v>
      </c>
      <c r="R97" s="28">
        <f>415.65*4205732.08</f>
        <v>1748112539.052</v>
      </c>
      <c r="S97" s="21">
        <f t="shared" si="32"/>
        <v>6.1488449573531721E-3</v>
      </c>
      <c r="T97" s="22">
        <f t="shared" si="33"/>
        <v>0</v>
      </c>
      <c r="U97" s="57">
        <f t="shared" si="34"/>
        <v>2.4439193473303699E-3</v>
      </c>
      <c r="V97" s="23">
        <f>M97/R97</f>
        <v>3.0637686269354555E-3</v>
      </c>
      <c r="W97" s="24">
        <f t="shared" si="35"/>
        <v>451.87357225241033</v>
      </c>
      <c r="X97" s="24">
        <f>M97/AE97</f>
        <v>1.3844360740081865</v>
      </c>
      <c r="Y97" s="18">
        <f>415.65*1.09</f>
        <v>453.05849999999998</v>
      </c>
      <c r="Z97" s="18">
        <f>415.65*1.09</f>
        <v>453.05849999999998</v>
      </c>
      <c r="AA97" s="41">
        <v>256</v>
      </c>
      <c r="AB97" s="41">
        <v>4024479.25</v>
      </c>
      <c r="AC97" s="41">
        <v>35293.39</v>
      </c>
      <c r="AD97" s="41">
        <v>191184.95</v>
      </c>
      <c r="AE97" s="51">
        <v>3868587.69</v>
      </c>
      <c r="AF97" s="5"/>
    </row>
    <row r="98" spans="1:241" ht="16.5" customHeight="1" x14ac:dyDescent="0.3">
      <c r="A98" s="168">
        <v>85</v>
      </c>
      <c r="B98" s="142" t="s">
        <v>65</v>
      </c>
      <c r="C98" s="56" t="s">
        <v>119</v>
      </c>
      <c r="D98" s="51"/>
      <c r="E98" s="51"/>
      <c r="F98" s="51"/>
      <c r="G98" s="51">
        <f>12403502.04*415.72</f>
        <v>5156383868.0688</v>
      </c>
      <c r="H98" s="51"/>
      <c r="I98" s="51"/>
      <c r="J98" s="51">
        <f>12403502.04*415.72</f>
        <v>5156383868.0688</v>
      </c>
      <c r="K98" s="51">
        <f>84057.25*415.72</f>
        <v>34944279.969999999</v>
      </c>
      <c r="L98" s="51">
        <f>20938.11*415.72</f>
        <v>8704391.0892000012</v>
      </c>
      <c r="M98" s="131">
        <f>63119.14*415.72</f>
        <v>26239888.880800001</v>
      </c>
      <c r="N98" s="51">
        <f>14551931.65*415.72</f>
        <v>6049529025.5380001</v>
      </c>
      <c r="O98" s="51">
        <f>102714.08*415.72</f>
        <v>42700297.3376</v>
      </c>
      <c r="P98" s="28">
        <f>415.65*13127148.64</f>
        <v>5456299332.2159996</v>
      </c>
      <c r="Q98" s="21">
        <f t="shared" si="31"/>
        <v>1.9284823558940997E-2</v>
      </c>
      <c r="R98" s="28">
        <f>14449217.57*415.72</f>
        <v>6006828728.2004004</v>
      </c>
      <c r="S98" s="21">
        <f t="shared" si="32"/>
        <v>2.1128535897985749E-2</v>
      </c>
      <c r="T98" s="22">
        <f t="shared" si="33"/>
        <v>0.10089794611044753</v>
      </c>
      <c r="U98" s="57">
        <f>(M98/R98)</f>
        <v>4.3683431088372762E-3</v>
      </c>
      <c r="V98" s="23" t="e">
        <f>#REF!/R98</f>
        <v>#REF!</v>
      </c>
      <c r="W98" s="24">
        <f t="shared" si="35"/>
        <v>45979.659740819501</v>
      </c>
      <c r="X98" s="24" t="e">
        <f>#REF!/AE98</f>
        <v>#REF!</v>
      </c>
      <c r="Y98" s="18">
        <f>110.09*415.72</f>
        <v>45766.614800000003</v>
      </c>
      <c r="Z98" s="18">
        <f>110.09*415.72</f>
        <v>45766.614800000003</v>
      </c>
      <c r="AA98" s="41">
        <v>616</v>
      </c>
      <c r="AB98" s="41">
        <v>122043</v>
      </c>
      <c r="AC98" s="41">
        <v>12870</v>
      </c>
      <c r="AD98" s="41">
        <v>4272</v>
      </c>
      <c r="AE98" s="51">
        <v>130641</v>
      </c>
      <c r="AF98" s="5"/>
    </row>
    <row r="99" spans="1:241" ht="16.5" customHeight="1" x14ac:dyDescent="0.3">
      <c r="A99" s="168">
        <v>86</v>
      </c>
      <c r="B99" s="59" t="s">
        <v>121</v>
      </c>
      <c r="C99" s="56" t="s">
        <v>122</v>
      </c>
      <c r="D99" s="51"/>
      <c r="E99" s="51"/>
      <c r="F99" s="51"/>
      <c r="G99" s="51">
        <f>932597.29*415.72</f>
        <v>387699345.39880002</v>
      </c>
      <c r="H99" s="51"/>
      <c r="I99" s="51"/>
      <c r="J99" s="51">
        <f>932597.29*415.72</f>
        <v>387699345.39880002</v>
      </c>
      <c r="K99" s="51">
        <f>6924.5*415.72</f>
        <v>2878653.14</v>
      </c>
      <c r="L99" s="51">
        <f>1735.91*415.72</f>
        <v>721652.50520000013</v>
      </c>
      <c r="M99" s="131">
        <f>5188.59*415.72</f>
        <v>2157000.6348000001</v>
      </c>
      <c r="N99" s="51">
        <f>1157811.53*415.72</f>
        <v>481325409.25160003</v>
      </c>
      <c r="O99" s="51">
        <f>43754.9*415.72</f>
        <v>18189787.028000001</v>
      </c>
      <c r="P99" s="28">
        <f>415.65*1108868.07</f>
        <v>460901013.29549998</v>
      </c>
      <c r="Q99" s="21">
        <f t="shared" si="31"/>
        <v>1.6290152314519261E-3</v>
      </c>
      <c r="R99" s="28">
        <f>1114056.63*415.72</f>
        <v>463135622.22359997</v>
      </c>
      <c r="S99" s="21">
        <f t="shared" si="32"/>
        <v>1.6290422222041483E-3</v>
      </c>
      <c r="T99" s="22">
        <f t="shared" si="33"/>
        <v>4.8483489157948607E-3</v>
      </c>
      <c r="U99" s="57">
        <f t="shared" si="34"/>
        <v>1.5581882942521516E-3</v>
      </c>
      <c r="V99" s="23" t="e">
        <f>#REF!/R99</f>
        <v>#REF!</v>
      </c>
      <c r="W99" s="24">
        <f t="shared" si="35"/>
        <v>44061.994312967363</v>
      </c>
      <c r="X99" s="24" t="e">
        <f>#REF!/AE99</f>
        <v>#REF!</v>
      </c>
      <c r="Y99" s="18">
        <f>105.99*415.72</f>
        <v>44062.162799999998</v>
      </c>
      <c r="Z99" s="18">
        <f>105.99*415.72</f>
        <v>44062.162799999998</v>
      </c>
      <c r="AA99" s="41">
        <v>25</v>
      </c>
      <c r="AB99" s="41">
        <v>10511</v>
      </c>
      <c r="AC99" s="41"/>
      <c r="AD99" s="41"/>
      <c r="AE99" s="51">
        <v>10511</v>
      </c>
      <c r="AF99" s="5"/>
    </row>
    <row r="100" spans="1:241" ht="15.75" customHeight="1" x14ac:dyDescent="0.3">
      <c r="A100" s="168">
        <v>87</v>
      </c>
      <c r="B100" s="59" t="s">
        <v>82</v>
      </c>
      <c r="C100" s="56" t="s">
        <v>123</v>
      </c>
      <c r="D100" s="51"/>
      <c r="E100" s="51"/>
      <c r="F100" s="51">
        <f>797111.86*415.72</f>
        <v>331375342.43920004</v>
      </c>
      <c r="G100" s="51">
        <f>3952603.36*415.72</f>
        <v>1643176268.8192</v>
      </c>
      <c r="H100" s="51"/>
      <c r="I100" s="51"/>
      <c r="J100" s="51">
        <f>4749715.22*415.72</f>
        <v>1974551611.2584</v>
      </c>
      <c r="K100" s="51">
        <f>31077.64*415.72</f>
        <v>12919596.500800001</v>
      </c>
      <c r="L100" s="51">
        <f>10617.21*415.72</f>
        <v>4413786.5411999999</v>
      </c>
      <c r="M100" s="131">
        <f>21268.75*415.72</f>
        <v>8841844.75</v>
      </c>
      <c r="N100" s="51">
        <f>4955369.6*415.72</f>
        <v>2060046250.112</v>
      </c>
      <c r="O100" s="51">
        <f>17553.03*415.72</f>
        <v>7297145.6316</v>
      </c>
      <c r="P100" s="28">
        <f>415.65*4778128.78</f>
        <v>1986029227.4070001</v>
      </c>
      <c r="Q100" s="21">
        <f t="shared" si="31"/>
        <v>7.0194505289153195E-3</v>
      </c>
      <c r="R100" s="28">
        <f>4937816.57*415.72</f>
        <v>2052749104.4804003</v>
      </c>
      <c r="S100" s="21">
        <f t="shared" si="32"/>
        <v>7.2203795223850223E-3</v>
      </c>
      <c r="T100" s="22">
        <f t="shared" si="33"/>
        <v>3.3594609864080943E-2</v>
      </c>
      <c r="U100" s="57">
        <f t="shared" si="34"/>
        <v>2.1501831527127786E-3</v>
      </c>
      <c r="V100" s="23">
        <f>M100/R100</f>
        <v>4.3073187710575478E-3</v>
      </c>
      <c r="W100" s="24">
        <f t="shared" si="35"/>
        <v>469.9966862398154</v>
      </c>
      <c r="X100" s="24">
        <f>M100/AE100</f>
        <v>2.0244255489756018</v>
      </c>
      <c r="Y100" s="18">
        <f>1.11*415.72</f>
        <v>461.44920000000008</v>
      </c>
      <c r="Z100" s="18">
        <f>1.11*415.72</f>
        <v>461.44920000000008</v>
      </c>
      <c r="AA100" s="41">
        <v>119</v>
      </c>
      <c r="AB100" s="41">
        <v>4338589.8600000003</v>
      </c>
      <c r="AC100" s="19">
        <v>92281.82</v>
      </c>
      <c r="AD100" s="19">
        <v>63289.599999999999</v>
      </c>
      <c r="AE100" s="51">
        <v>4367582.08</v>
      </c>
      <c r="AF100" s="5"/>
    </row>
    <row r="101" spans="1:241" ht="16.5" customHeight="1" x14ac:dyDescent="0.3">
      <c r="A101" s="168">
        <v>88</v>
      </c>
      <c r="B101" s="59" t="s">
        <v>89</v>
      </c>
      <c r="C101" s="56" t="s">
        <v>124</v>
      </c>
      <c r="D101" s="51"/>
      <c r="E101" s="51"/>
      <c r="F101" s="51"/>
      <c r="G101" s="51">
        <v>66677780.8728</v>
      </c>
      <c r="H101" s="51"/>
      <c r="I101" s="51"/>
      <c r="J101" s="51">
        <v>66677780.8728</v>
      </c>
      <c r="K101" s="51">
        <v>474745.01040000003</v>
      </c>
      <c r="L101" s="51">
        <v>35310.933599999997</v>
      </c>
      <c r="M101" s="131">
        <v>439434.07679999998</v>
      </c>
      <c r="N101" s="51">
        <v>81873087.007200003</v>
      </c>
      <c r="O101" s="51">
        <v>1155549.1728000001</v>
      </c>
      <c r="P101" s="28">
        <f>410.64*221776.42</f>
        <v>91070269.108800009</v>
      </c>
      <c r="Q101" s="21">
        <f t="shared" si="31"/>
        <v>3.2188008103932171E-4</v>
      </c>
      <c r="R101" s="28">
        <v>81120260.695199996</v>
      </c>
      <c r="S101" s="21">
        <f t="shared" si="32"/>
        <v>2.8533397866098014E-4</v>
      </c>
      <c r="T101" s="22">
        <f t="shared" si="33"/>
        <v>-0.10925638532716882</v>
      </c>
      <c r="U101" s="57">
        <f t="shared" si="34"/>
        <v>4.3529117507002041E-4</v>
      </c>
      <c r="V101" s="23">
        <f>M101/R101</f>
        <v>5.4170693367360185E-3</v>
      </c>
      <c r="W101" s="24">
        <f t="shared" si="35"/>
        <v>317.51476875432996</v>
      </c>
      <c r="X101" s="24">
        <f>M101/AE101</f>
        <v>1.7199995177799088</v>
      </c>
      <c r="Y101" s="18">
        <v>421.29</v>
      </c>
      <c r="Z101" s="18">
        <v>421.29</v>
      </c>
      <c r="AA101" s="41">
        <v>5</v>
      </c>
      <c r="AB101" s="41">
        <v>220112.28</v>
      </c>
      <c r="AC101" s="41"/>
      <c r="AD101" s="41"/>
      <c r="AE101" s="41">
        <v>255485</v>
      </c>
      <c r="AF101" s="5"/>
    </row>
    <row r="102" spans="1:241" ht="16.5" customHeight="1" x14ac:dyDescent="0.3">
      <c r="A102" s="168">
        <v>89</v>
      </c>
      <c r="B102" s="59" t="s">
        <v>29</v>
      </c>
      <c r="C102" s="55" t="s">
        <v>181</v>
      </c>
      <c r="D102" s="51"/>
      <c r="E102" s="51"/>
      <c r="F102" s="150">
        <f>281429.6*415.72</f>
        <v>116995913.31199999</v>
      </c>
      <c r="G102" s="51">
        <f>6918863*415.72</f>
        <v>2876309726.3600001</v>
      </c>
      <c r="H102" s="51"/>
      <c r="I102" s="51"/>
      <c r="J102" s="51">
        <f>7200292.6*415.72</f>
        <v>2993305639.6719999</v>
      </c>
      <c r="K102" s="51">
        <f>46621.5*415.72</f>
        <v>19381489.98</v>
      </c>
      <c r="L102" s="51">
        <f>12201*415.72</f>
        <v>5072199.7200000007</v>
      </c>
      <c r="M102" s="131">
        <f>34420.5*415.72</f>
        <v>14309290.260000002</v>
      </c>
      <c r="N102" s="51">
        <f>7243060.5*415.72</f>
        <v>3011085111.0600004</v>
      </c>
      <c r="O102" s="51">
        <f>38875.1*415.72</f>
        <v>16161156.572000001</v>
      </c>
      <c r="P102" s="28">
        <f>415.65*6517088.5</f>
        <v>2708827835.0249996</v>
      </c>
      <c r="Q102" s="111">
        <f t="shared" si="31"/>
        <v>9.5741204192309227E-3</v>
      </c>
      <c r="R102" s="28">
        <f>7204185.4*415.72</f>
        <v>2994923954.4880004</v>
      </c>
      <c r="S102" s="21">
        <f t="shared" si="32"/>
        <v>1.0534403617513307E-2</v>
      </c>
      <c r="T102" s="22">
        <f t="shared" si="33"/>
        <v>0.10561620630288614</v>
      </c>
      <c r="U102" s="57">
        <f t="shared" si="34"/>
        <v>1.6935988349217109E-3</v>
      </c>
      <c r="V102" s="23">
        <f>M102/R102</f>
        <v>4.7778476106403369E-3</v>
      </c>
      <c r="W102" s="24">
        <f t="shared" si="35"/>
        <v>432.86935707049713</v>
      </c>
      <c r="X102" s="24">
        <f>M102/AE102</f>
        <v>2.0681838233986936</v>
      </c>
      <c r="Y102" s="18">
        <f>1.0412*415.72</f>
        <v>432.84766400000001</v>
      </c>
      <c r="Z102" s="18">
        <f>1.0412*415.72</f>
        <v>432.84766400000001</v>
      </c>
      <c r="AA102" s="41">
        <v>233</v>
      </c>
      <c r="AB102" s="19">
        <v>6290164</v>
      </c>
      <c r="AC102" s="41">
        <v>649822</v>
      </c>
      <c r="AD102" s="157">
        <v>21215</v>
      </c>
      <c r="AE102" s="51">
        <v>6918771</v>
      </c>
      <c r="AF102" s="5"/>
    </row>
    <row r="103" spans="1:241" ht="16.5" customHeight="1" x14ac:dyDescent="0.3">
      <c r="A103" s="177"/>
      <c r="B103" s="73"/>
      <c r="C103" s="74" t="s">
        <v>52</v>
      </c>
      <c r="D103" s="79">
        <f>SUM(D84:D102)</f>
        <v>0</v>
      </c>
      <c r="E103" s="79"/>
      <c r="F103" s="79">
        <f>SUM(F84:F102)</f>
        <v>55544145690.313698</v>
      </c>
      <c r="G103" s="79">
        <f>SUM(G84:G102)</f>
        <v>213140425622.37921</v>
      </c>
      <c r="H103" s="79"/>
      <c r="I103" s="79"/>
      <c r="J103" s="79">
        <f t="shared" ref="J103:O103" si="36">SUM(J84:J102)</f>
        <v>270128801626.31073</v>
      </c>
      <c r="K103" s="79">
        <f t="shared" si="36"/>
        <v>1748183457.9405999</v>
      </c>
      <c r="L103" s="79">
        <f t="shared" si="36"/>
        <v>444430785.9751001</v>
      </c>
      <c r="M103" s="79">
        <f t="shared" si="36"/>
        <v>1297621350.7158999</v>
      </c>
      <c r="N103" s="79">
        <f t="shared" si="36"/>
        <v>286328370342.70422</v>
      </c>
      <c r="O103" s="79">
        <f t="shared" si="36"/>
        <v>2029437082.4794002</v>
      </c>
      <c r="P103" s="122">
        <f>SUM(P85:P102)</f>
        <v>282932292096.92731</v>
      </c>
      <c r="Q103" s="82">
        <f>(P103/$P$151)</f>
        <v>0.19892395128124898</v>
      </c>
      <c r="R103" s="35">
        <f>SUM(R85:R102)</f>
        <v>284299336082.86841</v>
      </c>
      <c r="S103" s="82">
        <f>(R103/$R$151)</f>
        <v>0.20471564936762499</v>
      </c>
      <c r="T103" s="36">
        <f t="shared" si="33"/>
        <v>4.8317001067972026E-3</v>
      </c>
      <c r="U103" s="49"/>
      <c r="V103" s="37"/>
      <c r="W103" s="38"/>
      <c r="X103" s="38"/>
      <c r="Y103" s="34"/>
      <c r="Z103" s="34"/>
      <c r="AA103" s="99">
        <f>SUM(AA85:AA102)</f>
        <v>9394</v>
      </c>
      <c r="AB103" s="99"/>
      <c r="AC103" s="99"/>
      <c r="AD103" s="99"/>
      <c r="AE103" s="34"/>
      <c r="AF103" s="5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</row>
    <row r="104" spans="1:241" s="64" customFormat="1" ht="16.5" customHeight="1" x14ac:dyDescent="0.3">
      <c r="A104" s="197" t="s">
        <v>125</v>
      </c>
      <c r="B104" s="197"/>
      <c r="C104" s="197"/>
      <c r="D104" s="75"/>
      <c r="E104" s="43"/>
      <c r="F104" s="43"/>
      <c r="G104" s="43"/>
      <c r="H104" s="43"/>
      <c r="I104" s="43"/>
      <c r="J104" s="43"/>
      <c r="K104" s="43"/>
      <c r="L104" s="43"/>
      <c r="M104" s="128"/>
      <c r="N104" s="43"/>
      <c r="O104" s="43"/>
      <c r="P104" s="152">
        <v>0</v>
      </c>
      <c r="Q104" s="22"/>
      <c r="R104" s="43">
        <v>0</v>
      </c>
      <c r="S104" s="22"/>
      <c r="T104" s="22"/>
      <c r="U104" s="22"/>
      <c r="V104" s="44"/>
      <c r="W104" s="45"/>
      <c r="X104" s="45"/>
      <c r="Y104" s="43"/>
      <c r="Z104" s="43"/>
      <c r="AA104" s="43"/>
      <c r="AB104" s="43"/>
      <c r="AC104" s="43"/>
      <c r="AD104" s="43"/>
      <c r="AE104" s="43"/>
      <c r="AF104" s="62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3"/>
      <c r="BY104" s="63"/>
      <c r="BZ104" s="63"/>
      <c r="CA104" s="63"/>
      <c r="CB104" s="63"/>
      <c r="CC104" s="63"/>
      <c r="CD104" s="63"/>
      <c r="CE104" s="63"/>
      <c r="CF104" s="63"/>
      <c r="CG104" s="63"/>
      <c r="CH104" s="63"/>
      <c r="CI104" s="63"/>
      <c r="CJ104" s="63"/>
      <c r="CK104" s="63"/>
      <c r="CL104" s="63"/>
      <c r="CM104" s="63"/>
      <c r="CN104" s="63"/>
      <c r="CO104" s="63"/>
      <c r="CP104" s="63"/>
      <c r="CQ104" s="63"/>
      <c r="CR104" s="63"/>
      <c r="CS104" s="63"/>
      <c r="CT104" s="63"/>
      <c r="CU104" s="63"/>
      <c r="CV104" s="63"/>
      <c r="CW104" s="63"/>
      <c r="CX104" s="63"/>
      <c r="CY104" s="63"/>
      <c r="CZ104" s="63"/>
      <c r="DA104" s="63"/>
      <c r="DB104" s="63"/>
      <c r="DC104" s="63"/>
      <c r="DD104" s="63"/>
      <c r="DE104" s="63"/>
      <c r="DF104" s="63"/>
      <c r="DG104" s="63"/>
      <c r="DH104" s="63"/>
      <c r="DI104" s="63"/>
      <c r="DJ104" s="63"/>
      <c r="DK104" s="63"/>
      <c r="DL104" s="63"/>
      <c r="DM104" s="63"/>
      <c r="DN104" s="63"/>
      <c r="DO104" s="63"/>
      <c r="DP104" s="63"/>
      <c r="DQ104" s="63"/>
      <c r="DR104" s="63"/>
      <c r="DS104" s="63"/>
      <c r="DT104" s="63"/>
      <c r="DU104" s="63"/>
      <c r="DV104" s="63"/>
      <c r="DW104" s="63"/>
      <c r="DX104" s="63"/>
      <c r="DY104" s="63"/>
      <c r="DZ104" s="63"/>
      <c r="EA104" s="63"/>
      <c r="EB104" s="63"/>
      <c r="EC104" s="63"/>
      <c r="ED104" s="63"/>
      <c r="EE104" s="63"/>
      <c r="EF104" s="63"/>
      <c r="EG104" s="63"/>
      <c r="EH104" s="63"/>
      <c r="EI104" s="63"/>
      <c r="EJ104" s="63"/>
      <c r="EK104" s="63"/>
      <c r="EL104" s="63"/>
      <c r="EM104" s="63"/>
      <c r="EN104" s="63"/>
      <c r="EO104" s="63"/>
      <c r="EP104" s="63"/>
      <c r="EQ104" s="63"/>
      <c r="ER104" s="63"/>
      <c r="ES104" s="63"/>
      <c r="ET104" s="63"/>
      <c r="EU104" s="63"/>
      <c r="EV104" s="63"/>
      <c r="EW104" s="63"/>
      <c r="EX104" s="63"/>
      <c r="EY104" s="63"/>
      <c r="EZ104" s="63"/>
      <c r="FA104" s="63"/>
      <c r="FB104" s="63"/>
      <c r="FC104" s="63"/>
      <c r="FD104" s="63"/>
      <c r="FE104" s="63"/>
      <c r="FF104" s="63"/>
      <c r="FG104" s="63"/>
      <c r="FH104" s="63"/>
      <c r="FI104" s="63"/>
      <c r="FJ104" s="63"/>
      <c r="FK104" s="63"/>
      <c r="FL104" s="63"/>
      <c r="FM104" s="63"/>
      <c r="FN104" s="63"/>
      <c r="FO104" s="63"/>
      <c r="FP104" s="63"/>
      <c r="FQ104" s="63"/>
      <c r="FR104" s="63"/>
      <c r="FS104" s="63"/>
      <c r="FT104" s="63"/>
      <c r="FU104" s="63"/>
      <c r="FV104" s="63"/>
      <c r="FW104" s="63"/>
      <c r="FX104" s="63"/>
      <c r="FY104" s="63"/>
      <c r="FZ104" s="63"/>
      <c r="GA104" s="63"/>
      <c r="GB104" s="63"/>
      <c r="GC104" s="63"/>
      <c r="GD104" s="63"/>
      <c r="GE104" s="63"/>
      <c r="GF104" s="63"/>
      <c r="GG104" s="63"/>
      <c r="GH104" s="63"/>
      <c r="GI104" s="63"/>
      <c r="GJ104" s="63"/>
      <c r="GK104" s="63"/>
      <c r="GL104" s="63"/>
      <c r="GM104" s="63"/>
      <c r="GN104" s="63"/>
      <c r="GO104" s="63"/>
      <c r="GP104" s="63"/>
      <c r="GQ104" s="63"/>
      <c r="GR104" s="63"/>
      <c r="GS104" s="63"/>
      <c r="GT104" s="63"/>
      <c r="GU104" s="63"/>
      <c r="GV104" s="63"/>
      <c r="GW104" s="63"/>
      <c r="GX104" s="63"/>
      <c r="GY104" s="63"/>
      <c r="GZ104" s="63"/>
      <c r="HA104" s="63"/>
      <c r="HB104" s="63"/>
      <c r="HC104" s="63"/>
      <c r="HD104" s="63"/>
      <c r="HE104" s="63"/>
      <c r="HF104" s="63"/>
      <c r="HG104" s="63"/>
      <c r="HH104" s="63"/>
      <c r="HI104" s="63"/>
      <c r="HJ104" s="63"/>
      <c r="HK104" s="63"/>
      <c r="HL104" s="63"/>
      <c r="HM104" s="63"/>
      <c r="HN104" s="63"/>
      <c r="HO104" s="63"/>
      <c r="HP104" s="63"/>
      <c r="HQ104" s="63"/>
      <c r="HR104" s="63"/>
      <c r="HS104" s="63"/>
      <c r="HT104" s="63"/>
      <c r="HU104" s="63"/>
      <c r="HV104" s="63"/>
      <c r="HW104" s="63"/>
      <c r="HX104" s="63"/>
      <c r="HY104" s="63"/>
      <c r="HZ104" s="63"/>
      <c r="IA104" s="63"/>
      <c r="IB104" s="63"/>
      <c r="IC104" s="63"/>
      <c r="ID104" s="63"/>
      <c r="IE104" s="63"/>
      <c r="IF104" s="63"/>
      <c r="IG104" s="63"/>
    </row>
    <row r="105" spans="1:241" ht="16.5" customHeight="1" x14ac:dyDescent="0.3">
      <c r="A105" s="178">
        <v>90</v>
      </c>
      <c r="B105" s="166" t="s">
        <v>104</v>
      </c>
      <c r="C105" s="56" t="s">
        <v>126</v>
      </c>
      <c r="D105" s="18"/>
      <c r="E105" s="47"/>
      <c r="F105" s="47"/>
      <c r="G105" s="18">
        <v>320574122.39999998</v>
      </c>
      <c r="H105" s="18">
        <v>1820390000</v>
      </c>
      <c r="I105" s="65">
        <v>1608475.37</v>
      </c>
      <c r="J105" s="18">
        <v>2142572597.77</v>
      </c>
      <c r="K105" s="18">
        <v>19902232.59</v>
      </c>
      <c r="L105" s="19">
        <v>4953949.5999999996</v>
      </c>
      <c r="M105" s="48">
        <v>14948282.99</v>
      </c>
      <c r="N105" s="18">
        <v>2462587403.8699999</v>
      </c>
      <c r="O105" s="18">
        <v>112886582.86</v>
      </c>
      <c r="P105" s="28">
        <v>2334752538.0300002</v>
      </c>
      <c r="Q105" s="21">
        <f>(P105/$P$109)</f>
        <v>5.1443929876807355E-2</v>
      </c>
      <c r="R105" s="28">
        <v>2349700821.02</v>
      </c>
      <c r="S105" s="21">
        <f>(R105/$R$109)</f>
        <v>5.169409953191665E-2</v>
      </c>
      <c r="T105" s="22">
        <f>((R105-P105)/P105)</f>
        <v>6.4025127916180445E-3</v>
      </c>
      <c r="U105" s="57">
        <f>(L105/R105)</f>
        <v>2.1083320717611618E-3</v>
      </c>
      <c r="V105" s="23">
        <f>M105/R105</f>
        <v>6.3617814047964554E-3</v>
      </c>
      <c r="W105" s="24" t="e">
        <f>R105/AE105</f>
        <v>#DIV/0!</v>
      </c>
      <c r="X105" s="24" t="e">
        <f>M105/AE105</f>
        <v>#DIV/0!</v>
      </c>
      <c r="Y105" s="18"/>
      <c r="Z105" s="18"/>
      <c r="AA105" s="18">
        <v>2715</v>
      </c>
      <c r="AB105" s="18"/>
      <c r="AC105" s="18"/>
      <c r="AD105" s="18"/>
      <c r="AE105" s="18"/>
      <c r="AF105" s="5"/>
    </row>
    <row r="106" spans="1:241" ht="16.5" customHeight="1" x14ac:dyDescent="0.3">
      <c r="A106" s="168">
        <v>91</v>
      </c>
      <c r="B106" s="142" t="s">
        <v>104</v>
      </c>
      <c r="C106" s="56" t="s">
        <v>127</v>
      </c>
      <c r="D106" s="18"/>
      <c r="E106" s="47"/>
      <c r="F106" s="47"/>
      <c r="G106" s="18">
        <v>398688133.39999998</v>
      </c>
      <c r="H106" s="18">
        <v>9932058627.3999996</v>
      </c>
      <c r="I106" s="65">
        <v>131740599.2</v>
      </c>
      <c r="J106" s="18">
        <v>10495847171.790001</v>
      </c>
      <c r="K106" s="18">
        <v>56435921.18</v>
      </c>
      <c r="L106" s="19">
        <v>24935116.649999999</v>
      </c>
      <c r="M106" s="48">
        <v>31500804.530000001</v>
      </c>
      <c r="N106" s="18">
        <v>10850745434.469999</v>
      </c>
      <c r="O106" s="18">
        <v>1119692436.01</v>
      </c>
      <c r="P106" s="28">
        <v>9704521005</v>
      </c>
      <c r="Q106" s="21">
        <f>(P106/$P$109)</f>
        <v>0.21382938445822094</v>
      </c>
      <c r="R106" s="28">
        <v>9731052998</v>
      </c>
      <c r="S106" s="21">
        <f>(R106/$R$109)</f>
        <v>0.21408598819427582</v>
      </c>
      <c r="T106" s="22">
        <f>((R106-P106)/P106)</f>
        <v>2.7339827474565808E-3</v>
      </c>
      <c r="U106" s="57">
        <f>(L106/R106)</f>
        <v>2.5624273812016904E-3</v>
      </c>
      <c r="V106" s="23">
        <f>M106/R106</f>
        <v>3.2371424281086832E-3</v>
      </c>
      <c r="W106" s="24">
        <f>R106/AE106</f>
        <v>51.725959506539056</v>
      </c>
      <c r="X106" s="24">
        <f>M106/AE106</f>
        <v>0.16744429815324927</v>
      </c>
      <c r="Y106" s="80">
        <v>36.6</v>
      </c>
      <c r="Z106" s="80">
        <v>36.6</v>
      </c>
      <c r="AA106" s="25">
        <v>5251</v>
      </c>
      <c r="AB106" s="25">
        <v>188127066</v>
      </c>
      <c r="AC106" s="25">
        <v>0</v>
      </c>
      <c r="AD106" s="25">
        <v>0</v>
      </c>
      <c r="AE106" s="25">
        <v>188127066</v>
      </c>
      <c r="AF106" s="5"/>
    </row>
    <row r="107" spans="1:241" ht="16.5" customHeight="1" x14ac:dyDescent="0.3">
      <c r="A107" s="168">
        <v>92</v>
      </c>
      <c r="B107" s="59" t="s">
        <v>194</v>
      </c>
      <c r="C107" s="56" t="s">
        <v>128</v>
      </c>
      <c r="D107" s="18"/>
      <c r="E107" s="47"/>
      <c r="F107" s="18">
        <v>1866624312.0699999</v>
      </c>
      <c r="G107" s="18">
        <v>1588788242.96</v>
      </c>
      <c r="H107" s="18">
        <v>21480000000</v>
      </c>
      <c r="I107" s="65"/>
      <c r="J107" s="18">
        <v>24935412555.029999</v>
      </c>
      <c r="K107" s="18">
        <v>130569454.09999999</v>
      </c>
      <c r="L107" s="47" t="s">
        <v>221</v>
      </c>
      <c r="M107" s="48">
        <v>78049564.859999999</v>
      </c>
      <c r="N107" s="18">
        <v>25980611771.880001</v>
      </c>
      <c r="O107" s="18">
        <v>114006928.45999999</v>
      </c>
      <c r="P107" s="28">
        <v>25741307660.389999</v>
      </c>
      <c r="Q107" s="21">
        <f>(P107/$P$109)</f>
        <v>0.56718388979064105</v>
      </c>
      <c r="R107" s="28">
        <v>25866604843.419998</v>
      </c>
      <c r="S107" s="21">
        <f>(R107/$R$109)</f>
        <v>0.56907280848974484</v>
      </c>
      <c r="T107" s="22">
        <f>((R107-P107)/P107)</f>
        <v>4.8675531438833065E-3</v>
      </c>
      <c r="U107" s="57">
        <f>(L107/R107)</f>
        <v>2.0304129420123771E-3</v>
      </c>
      <c r="V107" s="23">
        <f>M107/R107</f>
        <v>3.0173872965726469E-3</v>
      </c>
      <c r="W107" s="24">
        <f>R107/AE107</f>
        <v>9.6941500262323572</v>
      </c>
      <c r="X107" s="24">
        <f>M107/AE107</f>
        <v>2.9251005140222906E-2</v>
      </c>
      <c r="Y107" s="80">
        <v>9.68</v>
      </c>
      <c r="Z107" s="80">
        <v>9.68</v>
      </c>
      <c r="AA107" s="25">
        <v>28836</v>
      </c>
      <c r="AB107" s="25">
        <v>2668269500</v>
      </c>
      <c r="AC107" s="25"/>
      <c r="AD107" s="25"/>
      <c r="AE107" s="51">
        <v>2668269500</v>
      </c>
      <c r="AF107" s="5"/>
    </row>
    <row r="108" spans="1:241" ht="16.5" customHeight="1" x14ac:dyDescent="0.3">
      <c r="A108" s="168">
        <v>93</v>
      </c>
      <c r="B108" s="142" t="s">
        <v>29</v>
      </c>
      <c r="C108" s="56" t="s">
        <v>129</v>
      </c>
      <c r="D108" s="18"/>
      <c r="E108" s="47"/>
      <c r="F108" s="18">
        <v>6896224338</v>
      </c>
      <c r="G108" s="137"/>
      <c r="H108" s="18">
        <v>730060000</v>
      </c>
      <c r="I108" s="65"/>
      <c r="J108" s="18">
        <v>7744566809</v>
      </c>
      <c r="K108" s="18">
        <v>61018933</v>
      </c>
      <c r="L108" s="65">
        <v>15894728</v>
      </c>
      <c r="M108" s="48">
        <v>-97243795</v>
      </c>
      <c r="N108" s="18">
        <v>7744566809</v>
      </c>
      <c r="O108" s="18">
        <v>237979232</v>
      </c>
      <c r="P108" s="28">
        <v>7603831372</v>
      </c>
      <c r="Q108" s="21">
        <f>(P108/$P$109)</f>
        <v>0.16754279587433071</v>
      </c>
      <c r="R108" s="28">
        <v>7506587577</v>
      </c>
      <c r="S108" s="21">
        <f>(R108/$R$109)</f>
        <v>0.16514710378406261</v>
      </c>
      <c r="T108" s="22">
        <f>((R108-P108)/P108)</f>
        <v>-1.2788788998936259E-2</v>
      </c>
      <c r="U108" s="57">
        <f>(L108/R108)</f>
        <v>2.1174372292279723E-3</v>
      </c>
      <c r="V108" s="23">
        <f>M108/R108</f>
        <v>-1.2954460865540635E-2</v>
      </c>
      <c r="W108" s="24">
        <f>R108/AE108</f>
        <v>101.2351662440998</v>
      </c>
      <c r="X108" s="24">
        <f>M108/AE108</f>
        <v>-1.3114469993256912</v>
      </c>
      <c r="Y108" s="80">
        <v>101.24</v>
      </c>
      <c r="Z108" s="80">
        <v>101.24</v>
      </c>
      <c r="AA108" s="25">
        <v>56</v>
      </c>
      <c r="AB108" s="25">
        <v>74150000</v>
      </c>
      <c r="AC108" s="25">
        <v>0</v>
      </c>
      <c r="AD108" s="25">
        <v>0</v>
      </c>
      <c r="AE108" s="25">
        <v>74150000</v>
      </c>
      <c r="AF108" s="5"/>
    </row>
    <row r="109" spans="1:241" ht="16.5" customHeight="1" x14ac:dyDescent="0.3">
      <c r="A109" s="179"/>
      <c r="B109" s="42"/>
      <c r="C109" s="33" t="s">
        <v>52</v>
      </c>
      <c r="D109" s="34"/>
      <c r="E109" s="34"/>
      <c r="F109" s="34">
        <f t="shared" ref="F109:P109" si="37">SUM(F105:F108)</f>
        <v>8762848650.0699997</v>
      </c>
      <c r="G109" s="34">
        <f t="shared" si="37"/>
        <v>2308050498.7600002</v>
      </c>
      <c r="H109" s="34">
        <f t="shared" si="37"/>
        <v>33962508627.400002</v>
      </c>
      <c r="I109" s="34">
        <f t="shared" si="37"/>
        <v>133349074.57000001</v>
      </c>
      <c r="J109" s="34">
        <f t="shared" si="37"/>
        <v>45318399133.589996</v>
      </c>
      <c r="K109" s="34">
        <f t="shared" si="37"/>
        <v>267926540.87</v>
      </c>
      <c r="L109" s="34">
        <f t="shared" si="37"/>
        <v>45783794.25</v>
      </c>
      <c r="M109" s="34">
        <f t="shared" si="37"/>
        <v>27254857.379999995</v>
      </c>
      <c r="N109" s="34">
        <f t="shared" si="37"/>
        <v>47038511419.220001</v>
      </c>
      <c r="O109" s="34">
        <f t="shared" si="37"/>
        <v>1584565179.3299999</v>
      </c>
      <c r="P109" s="122">
        <f t="shared" si="37"/>
        <v>45384412575.419998</v>
      </c>
      <c r="Q109" s="82">
        <f>(P109/$P$151)</f>
        <v>3.1908859215646235E-2</v>
      </c>
      <c r="R109" s="35">
        <f>SUM(R105:R108)</f>
        <v>45453946239.440002</v>
      </c>
      <c r="S109" s="82">
        <f>(R109/$R$151)</f>
        <v>3.2730059271104971E-2</v>
      </c>
      <c r="T109" s="36">
        <f>((R109-P109)/P109)</f>
        <v>1.5321045282772571E-3</v>
      </c>
      <c r="U109" s="49"/>
      <c r="V109" s="37"/>
      <c r="W109" s="38"/>
      <c r="X109" s="38"/>
      <c r="Y109" s="34"/>
      <c r="Z109" s="34"/>
      <c r="AA109" s="39">
        <f>SUM(AA105:AA108)</f>
        <v>36858</v>
      </c>
      <c r="AB109" s="39"/>
      <c r="AC109" s="39"/>
      <c r="AD109" s="39"/>
      <c r="AE109" s="34"/>
      <c r="AF109" s="5"/>
    </row>
    <row r="110" spans="1:241" ht="16.5" customHeight="1" x14ac:dyDescent="0.3">
      <c r="A110" s="193" t="s">
        <v>182</v>
      </c>
      <c r="B110" s="193"/>
      <c r="C110" s="193"/>
      <c r="D110" s="43"/>
      <c r="E110" s="43"/>
      <c r="F110" s="43"/>
      <c r="G110" s="43"/>
      <c r="H110" s="43"/>
      <c r="I110" s="43"/>
      <c r="J110" s="43"/>
      <c r="K110" s="43"/>
      <c r="L110" s="43"/>
      <c r="M110" s="128"/>
      <c r="N110" s="43"/>
      <c r="O110" s="43"/>
      <c r="P110" s="152"/>
      <c r="Q110" s="22"/>
      <c r="R110" s="43"/>
      <c r="S110" s="22"/>
      <c r="T110" s="22"/>
      <c r="U110" s="22"/>
      <c r="V110" s="44"/>
      <c r="W110" s="45"/>
      <c r="X110" s="45"/>
      <c r="Y110" s="43"/>
      <c r="Z110" s="43"/>
      <c r="AA110" s="43"/>
      <c r="AB110" s="43"/>
      <c r="AC110" s="43"/>
      <c r="AD110" s="43"/>
      <c r="AE110" s="43"/>
      <c r="AF110" s="5"/>
    </row>
    <row r="111" spans="1:241" s="146" customFormat="1" ht="16.5" customHeight="1" x14ac:dyDescent="0.3">
      <c r="A111" s="168">
        <v>94</v>
      </c>
      <c r="B111" s="142" t="s">
        <v>23</v>
      </c>
      <c r="C111" s="56" t="s">
        <v>130</v>
      </c>
      <c r="D111" s="18">
        <v>930576535.89999998</v>
      </c>
      <c r="E111" s="18"/>
      <c r="F111" s="18">
        <v>399202596.31999999</v>
      </c>
      <c r="G111" s="18">
        <v>1280127931.3</v>
      </c>
      <c r="H111" s="27"/>
      <c r="I111" s="26"/>
      <c r="J111" s="26">
        <v>1679330527.6199999</v>
      </c>
      <c r="K111" s="26">
        <v>7819662.0199999996</v>
      </c>
      <c r="L111" s="18">
        <v>2417725.34</v>
      </c>
      <c r="M111" s="115">
        <v>-23648819.420000002</v>
      </c>
      <c r="N111" s="18">
        <v>1691085805.8199999</v>
      </c>
      <c r="O111" s="18">
        <v>9775525.8800000008</v>
      </c>
      <c r="P111" s="76">
        <v>1726827340.6700001</v>
      </c>
      <c r="Q111" s="21">
        <f t="shared" ref="Q111:Q133" si="38">(P111/$P$151)</f>
        <v>1.2140972500547539E-3</v>
      </c>
      <c r="R111" s="76">
        <v>1681310279.9400001</v>
      </c>
      <c r="S111" s="21">
        <f t="shared" ref="S111:S131" si="39">(R111/$R$133)</f>
        <v>5.445370111217019E-2</v>
      </c>
      <c r="T111" s="22">
        <f>((R111-P111)/P111)</f>
        <v>-2.6358779281511511E-2</v>
      </c>
      <c r="U111" s="57">
        <f>(L111/R111)</f>
        <v>1.438000688419201E-3</v>
      </c>
      <c r="V111" s="23">
        <f t="shared" ref="V111:V120" si="40">M111/R111</f>
        <v>-1.4065707979162503E-2</v>
      </c>
      <c r="W111" s="24">
        <f>R111/AE111</f>
        <v>3718.9529271428996</v>
      </c>
      <c r="X111" s="24">
        <f>M111/AE111</f>
        <v>-52.309705861443632</v>
      </c>
      <c r="Y111" s="18">
        <v>3691.68</v>
      </c>
      <c r="Z111" s="18">
        <v>3733.88</v>
      </c>
      <c r="AA111" s="25">
        <v>1416</v>
      </c>
      <c r="AB111" s="25">
        <v>461099.32</v>
      </c>
      <c r="AC111" s="25">
        <v>3286.49</v>
      </c>
      <c r="AD111" s="25">
        <v>12293.43</v>
      </c>
      <c r="AE111" s="51">
        <v>452092.38</v>
      </c>
      <c r="AF111" s="145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K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D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  <c r="CW111" s="70"/>
      <c r="CX111" s="70"/>
      <c r="CY111" s="70"/>
      <c r="CZ111" s="70"/>
      <c r="DA111" s="70"/>
      <c r="DB111" s="70"/>
      <c r="DC111" s="70"/>
      <c r="DD111" s="70"/>
      <c r="DE111" s="70"/>
      <c r="DF111" s="70"/>
      <c r="DG111" s="70"/>
      <c r="DH111" s="70"/>
      <c r="DI111" s="70"/>
      <c r="DJ111" s="70"/>
      <c r="DK111" s="70"/>
      <c r="DL111" s="70"/>
      <c r="DM111" s="70"/>
      <c r="DN111" s="70"/>
      <c r="DO111" s="70"/>
      <c r="DP111" s="70"/>
      <c r="DQ111" s="70"/>
      <c r="DR111" s="70"/>
      <c r="DS111" s="70"/>
      <c r="DT111" s="70"/>
      <c r="DU111" s="70"/>
      <c r="DV111" s="70"/>
      <c r="DW111" s="70"/>
      <c r="DX111" s="70"/>
      <c r="DY111" s="70"/>
      <c r="DZ111" s="70"/>
      <c r="EA111" s="70"/>
      <c r="EB111" s="70"/>
      <c r="EC111" s="70"/>
      <c r="ED111" s="70"/>
      <c r="EE111" s="70"/>
      <c r="EF111" s="70"/>
      <c r="EG111" s="70"/>
      <c r="EH111" s="70"/>
      <c r="EI111" s="70"/>
      <c r="EJ111" s="70"/>
      <c r="EK111" s="70"/>
      <c r="EL111" s="70"/>
      <c r="EM111" s="70"/>
      <c r="EN111" s="70"/>
      <c r="EO111" s="70"/>
      <c r="EP111" s="70"/>
      <c r="EQ111" s="70"/>
      <c r="ER111" s="70"/>
      <c r="ES111" s="70"/>
      <c r="ET111" s="70"/>
      <c r="EU111" s="70"/>
      <c r="EV111" s="70"/>
      <c r="EW111" s="70"/>
      <c r="EX111" s="70"/>
      <c r="EY111" s="70"/>
      <c r="EZ111" s="70"/>
      <c r="FA111" s="70"/>
      <c r="FB111" s="70"/>
      <c r="FC111" s="70"/>
      <c r="FD111" s="70"/>
      <c r="FE111" s="70"/>
      <c r="FF111" s="70"/>
      <c r="FG111" s="70"/>
      <c r="FH111" s="70"/>
      <c r="FI111" s="70"/>
      <c r="FJ111" s="70"/>
      <c r="FK111" s="70"/>
      <c r="FL111" s="70"/>
      <c r="FM111" s="70"/>
      <c r="FN111" s="70"/>
      <c r="FO111" s="70"/>
      <c r="FP111" s="70"/>
      <c r="FQ111" s="70"/>
      <c r="FR111" s="70"/>
      <c r="FS111" s="70"/>
      <c r="FT111" s="70"/>
      <c r="FU111" s="70"/>
      <c r="FV111" s="70"/>
      <c r="FW111" s="70"/>
      <c r="FX111" s="70"/>
      <c r="FY111" s="70"/>
      <c r="FZ111" s="70"/>
      <c r="GA111" s="70"/>
      <c r="GB111" s="70"/>
      <c r="GC111" s="70"/>
      <c r="GD111" s="70"/>
      <c r="GE111" s="70"/>
      <c r="GF111" s="70"/>
      <c r="GG111" s="70"/>
      <c r="GH111" s="70"/>
      <c r="GI111" s="70"/>
      <c r="GJ111" s="70"/>
      <c r="GK111" s="70"/>
      <c r="GL111" s="70"/>
      <c r="GM111" s="70"/>
      <c r="GN111" s="70"/>
      <c r="GO111" s="70"/>
      <c r="GP111" s="70"/>
      <c r="GQ111" s="70"/>
      <c r="GR111" s="70"/>
      <c r="GS111" s="70"/>
      <c r="GT111" s="70"/>
      <c r="GU111" s="70"/>
      <c r="GV111" s="70"/>
      <c r="GW111" s="70"/>
      <c r="GX111" s="70"/>
      <c r="GY111" s="70"/>
      <c r="GZ111" s="70"/>
      <c r="HA111" s="70"/>
      <c r="HB111" s="70"/>
      <c r="HC111" s="70"/>
      <c r="HD111" s="70"/>
      <c r="HE111" s="70"/>
      <c r="HF111" s="70"/>
      <c r="HG111" s="70"/>
      <c r="HH111" s="70"/>
      <c r="HI111" s="70"/>
      <c r="HJ111" s="70"/>
      <c r="HK111" s="70"/>
      <c r="HL111" s="70"/>
      <c r="HM111" s="70"/>
      <c r="HN111" s="70"/>
      <c r="HO111" s="70"/>
      <c r="HP111" s="70"/>
      <c r="HQ111" s="70"/>
      <c r="HR111" s="70"/>
      <c r="HS111" s="70"/>
      <c r="HT111" s="70"/>
      <c r="HU111" s="70"/>
      <c r="HV111" s="70"/>
      <c r="HW111" s="70"/>
      <c r="HX111" s="70"/>
      <c r="HY111" s="70"/>
      <c r="HZ111" s="70"/>
      <c r="IA111" s="70"/>
      <c r="IB111" s="70"/>
      <c r="IC111" s="70"/>
      <c r="ID111" s="70"/>
      <c r="IE111" s="70"/>
      <c r="IF111" s="70"/>
      <c r="IG111" s="70"/>
    </row>
    <row r="112" spans="1:241" ht="16.5" customHeight="1" x14ac:dyDescent="0.3">
      <c r="A112" s="168">
        <v>95</v>
      </c>
      <c r="B112" s="142" t="s">
        <v>29</v>
      </c>
      <c r="C112" s="56" t="s">
        <v>174</v>
      </c>
      <c r="D112" s="18">
        <v>114537741.40000001</v>
      </c>
      <c r="E112" s="34"/>
      <c r="F112" s="18">
        <v>31579484.280000001</v>
      </c>
      <c r="G112" s="18">
        <v>52389672.07</v>
      </c>
      <c r="H112" s="27"/>
      <c r="I112" s="26"/>
      <c r="J112" s="26">
        <v>200347618.58000001</v>
      </c>
      <c r="K112" s="26">
        <v>879069.93</v>
      </c>
      <c r="L112" s="18">
        <v>426076.77</v>
      </c>
      <c r="M112" s="115">
        <v>452993.16</v>
      </c>
      <c r="N112" s="18">
        <v>200347618.58000001</v>
      </c>
      <c r="O112" s="18">
        <v>1502972.13</v>
      </c>
      <c r="P112" s="76">
        <v>202511727.84</v>
      </c>
      <c r="Q112" s="21">
        <f t="shared" si="38"/>
        <v>1.4238188502330805E-4</v>
      </c>
      <c r="R112" s="76">
        <v>198844646.44999999</v>
      </c>
      <c r="S112" s="21">
        <f t="shared" si="39"/>
        <v>6.4401122593087693E-3</v>
      </c>
      <c r="T112" s="22">
        <f>((R112-P112)/P112)</f>
        <v>-1.8107995171999593E-2</v>
      </c>
      <c r="U112" s="57">
        <f>(L112/R112)</f>
        <v>2.1427620889312611E-3</v>
      </c>
      <c r="V112" s="23">
        <f t="shared" si="40"/>
        <v>2.278126004835168E-3</v>
      </c>
      <c r="W112" s="24">
        <f>R112/AE112</f>
        <v>151.64152187822441</v>
      </c>
      <c r="X112" s="24">
        <f>M112/AE112</f>
        <v>0.34545849440356413</v>
      </c>
      <c r="Y112" s="18">
        <v>150.41999999999999</v>
      </c>
      <c r="Z112" s="18">
        <v>152.30000000000001</v>
      </c>
      <c r="AA112" s="25">
        <v>721</v>
      </c>
      <c r="AB112" s="25">
        <v>1310315</v>
      </c>
      <c r="AC112" s="25">
        <v>966</v>
      </c>
      <c r="AD112" s="25"/>
      <c r="AE112" s="18">
        <v>1311281</v>
      </c>
      <c r="AF112" s="5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</row>
    <row r="113" spans="1:241" s="146" customFormat="1" ht="16.5" customHeight="1" x14ac:dyDescent="0.3">
      <c r="A113" s="168">
        <v>96</v>
      </c>
      <c r="B113" s="142" t="s">
        <v>33</v>
      </c>
      <c r="C113" s="56" t="s">
        <v>131</v>
      </c>
      <c r="D113" s="18">
        <v>602156104.5</v>
      </c>
      <c r="E113" s="180"/>
      <c r="F113" s="181">
        <v>9617424</v>
      </c>
      <c r="G113" s="18">
        <v>302535787</v>
      </c>
      <c r="H113" s="180"/>
      <c r="I113" s="180"/>
      <c r="J113" s="181">
        <v>914309316</v>
      </c>
      <c r="K113" s="181">
        <v>4233768</v>
      </c>
      <c r="L113" s="181">
        <v>1972348</v>
      </c>
      <c r="M113" s="115">
        <v>-5063183</v>
      </c>
      <c r="N113" s="181">
        <v>1092463622</v>
      </c>
      <c r="O113" s="181">
        <v>20219979</v>
      </c>
      <c r="P113" s="76">
        <v>1087260043.77</v>
      </c>
      <c r="Q113" s="21">
        <f t="shared" si="38"/>
        <v>7.6443046629282572E-4</v>
      </c>
      <c r="R113" s="76">
        <v>1072243642.92</v>
      </c>
      <c r="S113" s="21">
        <f>(R123/$R$133)</f>
        <v>2.1150762657368271E-2</v>
      </c>
      <c r="T113" s="22">
        <f>((R123-P113)/P113)</f>
        <v>-0.39936163501824884</v>
      </c>
      <c r="U113" s="57">
        <f>(L123/R123)</f>
        <v>1.8030653528960899E-3</v>
      </c>
      <c r="V113" s="23">
        <f>M123/R123</f>
        <v>9.4789711346722951E-3</v>
      </c>
      <c r="W113" s="24">
        <f>R123/AE123</f>
        <v>1.1727404310311875</v>
      </c>
      <c r="X113" s="24">
        <f>M123/AE123</f>
        <v>1.1116372694207772E-2</v>
      </c>
      <c r="Y113" s="180">
        <v>1.39</v>
      </c>
      <c r="Z113" s="180">
        <v>1.42</v>
      </c>
      <c r="AA113" s="181">
        <v>1309</v>
      </c>
      <c r="AB113" s="181">
        <v>697301002</v>
      </c>
      <c r="AC113" s="181">
        <v>697301002</v>
      </c>
      <c r="AD113" s="181">
        <v>291457</v>
      </c>
      <c r="AE113" s="181">
        <v>769246852</v>
      </c>
      <c r="AF113" s="145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  <c r="BI113" s="70"/>
      <c r="BJ113" s="70"/>
      <c r="BK113" s="70"/>
      <c r="BL113" s="70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  <c r="EE113" s="70"/>
      <c r="EF113" s="70"/>
      <c r="EG113" s="70"/>
      <c r="EH113" s="70"/>
      <c r="EI113" s="70"/>
      <c r="EJ113" s="70"/>
      <c r="EK113" s="70"/>
      <c r="EL113" s="70"/>
      <c r="EM113" s="70"/>
      <c r="EN113" s="70"/>
      <c r="EO113" s="70"/>
      <c r="EP113" s="70"/>
      <c r="EQ113" s="70"/>
      <c r="ER113" s="70"/>
      <c r="ES113" s="70"/>
      <c r="ET113" s="70"/>
      <c r="EU113" s="70"/>
      <c r="EV113" s="70"/>
      <c r="EW113" s="70"/>
      <c r="EX113" s="70"/>
      <c r="EY113" s="70"/>
      <c r="EZ113" s="70"/>
      <c r="FA113" s="70"/>
      <c r="FB113" s="70"/>
      <c r="FC113" s="70"/>
      <c r="FD113" s="70"/>
      <c r="FE113" s="70"/>
      <c r="FF113" s="70"/>
      <c r="FG113" s="70"/>
      <c r="FH113" s="70"/>
      <c r="FI113" s="70"/>
      <c r="FJ113" s="70"/>
      <c r="FK113" s="70"/>
      <c r="FL113" s="70"/>
      <c r="FM113" s="70"/>
      <c r="FN113" s="70"/>
      <c r="FO113" s="70"/>
      <c r="FP113" s="70"/>
      <c r="FQ113" s="70"/>
      <c r="FR113" s="70"/>
      <c r="FS113" s="70"/>
      <c r="FT113" s="70"/>
      <c r="FU113" s="70"/>
      <c r="FV113" s="70"/>
      <c r="FW113" s="70"/>
      <c r="FX113" s="70"/>
      <c r="FY113" s="70"/>
      <c r="FZ113" s="70"/>
      <c r="GA113" s="70"/>
      <c r="GB113" s="70"/>
      <c r="GC113" s="70"/>
      <c r="GD113" s="70"/>
      <c r="GE113" s="70"/>
      <c r="GF113" s="70"/>
      <c r="GG113" s="70"/>
      <c r="GH113" s="70"/>
      <c r="GI113" s="70"/>
      <c r="GJ113" s="70"/>
      <c r="GK113" s="70"/>
      <c r="GL113" s="70"/>
      <c r="GM113" s="70"/>
      <c r="GN113" s="70"/>
      <c r="GO113" s="70"/>
      <c r="GP113" s="70"/>
      <c r="GQ113" s="70"/>
      <c r="GR113" s="70"/>
      <c r="GS113" s="70"/>
      <c r="GT113" s="70"/>
      <c r="GU113" s="70"/>
      <c r="GV113" s="70"/>
      <c r="GW113" s="70"/>
      <c r="GX113" s="70"/>
      <c r="GY113" s="70"/>
      <c r="GZ113" s="70"/>
      <c r="HA113" s="70"/>
      <c r="HB113" s="70"/>
      <c r="HC113" s="70"/>
      <c r="HD113" s="70"/>
      <c r="HE113" s="70"/>
      <c r="HF113" s="70"/>
      <c r="HG113" s="70"/>
      <c r="HH113" s="70"/>
      <c r="HI113" s="70"/>
      <c r="HJ113" s="70"/>
      <c r="HK113" s="70"/>
      <c r="HL113" s="70"/>
      <c r="HM113" s="70"/>
      <c r="HN113" s="70"/>
      <c r="HO113" s="70"/>
      <c r="HP113" s="70"/>
      <c r="HQ113" s="70"/>
      <c r="HR113" s="70"/>
      <c r="HS113" s="70"/>
      <c r="HT113" s="70"/>
      <c r="HU113" s="70"/>
      <c r="HV113" s="70"/>
      <c r="HW113" s="70"/>
      <c r="HX113" s="70"/>
      <c r="HY113" s="70"/>
      <c r="HZ113" s="70"/>
      <c r="IA113" s="70"/>
      <c r="IB113" s="70"/>
      <c r="IC113" s="70"/>
      <c r="ID113" s="70"/>
      <c r="IE113" s="70"/>
      <c r="IF113" s="70"/>
      <c r="IG113" s="70"/>
    </row>
    <row r="114" spans="1:241" s="146" customFormat="1" ht="16.5" customHeight="1" x14ac:dyDescent="0.3">
      <c r="A114" s="168">
        <v>97</v>
      </c>
      <c r="B114" s="59" t="s">
        <v>35</v>
      </c>
      <c r="C114" s="56" t="s">
        <v>167</v>
      </c>
      <c r="D114" s="18">
        <v>2922544163.3000002</v>
      </c>
      <c r="E114" s="18"/>
      <c r="F114" s="18"/>
      <c r="G114" s="18">
        <v>463793941.68000001</v>
      </c>
      <c r="H114" s="72">
        <v>4017104.1</v>
      </c>
      <c r="I114" s="26"/>
      <c r="J114" s="26">
        <v>3390355209.0799999</v>
      </c>
      <c r="K114" s="26">
        <v>52610798.920000002</v>
      </c>
      <c r="L114" s="18">
        <v>14771171.18</v>
      </c>
      <c r="M114" s="115">
        <v>-11460249.66</v>
      </c>
      <c r="N114" s="18">
        <v>5000312708</v>
      </c>
      <c r="O114" s="18">
        <v>141584767</v>
      </c>
      <c r="P114" s="76">
        <v>4912186970</v>
      </c>
      <c r="Q114" s="21">
        <f t="shared" si="38"/>
        <v>3.4536589452642337E-3</v>
      </c>
      <c r="R114" s="76">
        <v>4858727941</v>
      </c>
      <c r="S114" s="21">
        <f t="shared" si="39"/>
        <v>0.15736281532401375</v>
      </c>
      <c r="T114" s="22">
        <f>((R114-P114)/P114)</f>
        <v>-1.0882938562088161E-2</v>
      </c>
      <c r="U114" s="57">
        <f>(L114/R114)</f>
        <v>3.0401313593532609E-3</v>
      </c>
      <c r="V114" s="23">
        <f t="shared" si="40"/>
        <v>-2.3586934274079374E-3</v>
      </c>
      <c r="W114" s="24">
        <f>R114/AE114</f>
        <v>519.45259962149146</v>
      </c>
      <c r="X114" s="24">
        <f>M114/AE114</f>
        <v>-1.2252294325771786</v>
      </c>
      <c r="Y114" s="18">
        <v>516.85530000000006</v>
      </c>
      <c r="Z114" s="18">
        <v>532.43889999999999</v>
      </c>
      <c r="AA114" s="25">
        <v>1869</v>
      </c>
      <c r="AB114" s="25">
        <v>9433577</v>
      </c>
      <c r="AC114" s="25">
        <v>35356</v>
      </c>
      <c r="AD114" s="25">
        <v>115379</v>
      </c>
      <c r="AE114" s="18">
        <v>9353554</v>
      </c>
      <c r="AF114" s="145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  <c r="BI114" s="70"/>
      <c r="BJ114" s="70"/>
      <c r="BK114" s="70"/>
      <c r="BL114" s="70"/>
      <c r="BM114" s="70"/>
      <c r="BN114" s="70"/>
      <c r="BO114" s="70"/>
      <c r="BP114" s="70"/>
      <c r="BQ114" s="70"/>
      <c r="BR114" s="70"/>
      <c r="BS114" s="70"/>
      <c r="BT114" s="70"/>
      <c r="BU114" s="70"/>
      <c r="BV114" s="70"/>
      <c r="BW114" s="70"/>
      <c r="BX114" s="70"/>
      <c r="BY114" s="70"/>
      <c r="BZ114" s="70"/>
      <c r="CA114" s="70"/>
      <c r="CB114" s="70"/>
      <c r="CC114" s="70"/>
      <c r="CD114" s="70"/>
      <c r="CE114" s="70"/>
      <c r="CF114" s="70"/>
      <c r="CG114" s="70"/>
      <c r="CH114" s="70"/>
      <c r="CI114" s="70"/>
      <c r="CJ114" s="70"/>
      <c r="CK114" s="70"/>
      <c r="CL114" s="70"/>
      <c r="CM114" s="70"/>
      <c r="CN114" s="70"/>
      <c r="CO114" s="70"/>
      <c r="CP114" s="70"/>
      <c r="CQ114" s="70"/>
      <c r="CR114" s="70"/>
      <c r="CS114" s="70"/>
      <c r="CT114" s="70"/>
      <c r="CU114" s="70"/>
      <c r="CV114" s="70"/>
      <c r="CW114" s="70"/>
      <c r="CX114" s="70"/>
      <c r="CY114" s="70"/>
      <c r="CZ114" s="70"/>
      <c r="DA114" s="70"/>
      <c r="DB114" s="70"/>
      <c r="DC114" s="70"/>
      <c r="DD114" s="70"/>
      <c r="DE114" s="70"/>
      <c r="DF114" s="70"/>
      <c r="DG114" s="70"/>
      <c r="DH114" s="70"/>
      <c r="DI114" s="70"/>
      <c r="DJ114" s="70"/>
      <c r="DK114" s="70"/>
      <c r="DL114" s="70"/>
      <c r="DM114" s="70"/>
      <c r="DN114" s="70"/>
      <c r="DO114" s="70"/>
      <c r="DP114" s="70"/>
      <c r="DQ114" s="70"/>
      <c r="DR114" s="70"/>
      <c r="DS114" s="70"/>
      <c r="DT114" s="70"/>
      <c r="DU114" s="70"/>
      <c r="DV114" s="70"/>
      <c r="DW114" s="70"/>
      <c r="DX114" s="70"/>
      <c r="DY114" s="70"/>
      <c r="DZ114" s="70"/>
      <c r="EA114" s="70"/>
      <c r="EB114" s="70"/>
      <c r="EC114" s="70"/>
      <c r="ED114" s="70"/>
      <c r="EE114" s="70"/>
      <c r="EF114" s="70"/>
      <c r="EG114" s="70"/>
      <c r="EH114" s="70"/>
      <c r="EI114" s="70"/>
      <c r="EJ114" s="70"/>
      <c r="EK114" s="70"/>
      <c r="EL114" s="70"/>
      <c r="EM114" s="70"/>
      <c r="EN114" s="70"/>
      <c r="EO114" s="70"/>
      <c r="EP114" s="70"/>
      <c r="EQ114" s="70"/>
      <c r="ER114" s="70"/>
      <c r="ES114" s="70"/>
      <c r="ET114" s="70"/>
      <c r="EU114" s="70"/>
      <c r="EV114" s="70"/>
      <c r="EW114" s="70"/>
      <c r="EX114" s="70"/>
      <c r="EY114" s="70"/>
      <c r="EZ114" s="70"/>
      <c r="FA114" s="70"/>
      <c r="FB114" s="70"/>
      <c r="FC114" s="70"/>
      <c r="FD114" s="70"/>
      <c r="FE114" s="70"/>
      <c r="FF114" s="70"/>
      <c r="FG114" s="70"/>
      <c r="FH114" s="70"/>
      <c r="FI114" s="70"/>
      <c r="FJ114" s="70"/>
      <c r="FK114" s="70"/>
      <c r="FL114" s="70"/>
      <c r="FM114" s="70"/>
      <c r="FN114" s="70"/>
      <c r="FO114" s="70"/>
      <c r="FP114" s="70"/>
      <c r="FQ114" s="70"/>
      <c r="FR114" s="70"/>
      <c r="FS114" s="70"/>
      <c r="FT114" s="70"/>
      <c r="FU114" s="70"/>
      <c r="FV114" s="70"/>
      <c r="FW114" s="70"/>
      <c r="FX114" s="70"/>
      <c r="FY114" s="70"/>
      <c r="FZ114" s="70"/>
      <c r="GA114" s="70"/>
      <c r="GB114" s="70"/>
      <c r="GC114" s="70"/>
      <c r="GD114" s="70"/>
      <c r="GE114" s="70"/>
      <c r="GF114" s="70"/>
      <c r="GG114" s="70"/>
      <c r="GH114" s="70"/>
      <c r="GI114" s="70"/>
      <c r="GJ114" s="70"/>
      <c r="GK114" s="70"/>
      <c r="GL114" s="70"/>
      <c r="GM114" s="70"/>
      <c r="GN114" s="70"/>
      <c r="GO114" s="70"/>
      <c r="GP114" s="70"/>
      <c r="GQ114" s="70"/>
      <c r="GR114" s="70"/>
      <c r="GS114" s="70"/>
      <c r="GT114" s="70"/>
      <c r="GU114" s="70"/>
      <c r="GV114" s="70"/>
      <c r="GW114" s="70"/>
      <c r="GX114" s="70"/>
      <c r="GY114" s="70"/>
      <c r="GZ114" s="70"/>
      <c r="HA114" s="70"/>
      <c r="HB114" s="70"/>
      <c r="HC114" s="70"/>
      <c r="HD114" s="70"/>
      <c r="HE114" s="70"/>
      <c r="HF114" s="70"/>
      <c r="HG114" s="70"/>
      <c r="HH114" s="70"/>
      <c r="HI114" s="70"/>
      <c r="HJ114" s="70"/>
      <c r="HK114" s="70"/>
      <c r="HL114" s="70"/>
      <c r="HM114" s="70"/>
      <c r="HN114" s="70"/>
      <c r="HO114" s="70"/>
      <c r="HP114" s="70"/>
      <c r="HQ114" s="70"/>
      <c r="HR114" s="70"/>
      <c r="HS114" s="70"/>
      <c r="HT114" s="70"/>
      <c r="HU114" s="70"/>
      <c r="HV114" s="70"/>
      <c r="HW114" s="70"/>
      <c r="HX114" s="70"/>
      <c r="HY114" s="70"/>
      <c r="HZ114" s="70"/>
      <c r="IA114" s="70"/>
      <c r="IB114" s="70"/>
      <c r="IC114" s="70"/>
      <c r="ID114" s="70"/>
      <c r="IE114" s="70"/>
      <c r="IF114" s="70"/>
      <c r="IG114" s="70"/>
    </row>
    <row r="115" spans="1:241" s="146" customFormat="1" ht="16.5" customHeight="1" x14ac:dyDescent="0.3">
      <c r="A115" s="168">
        <v>98</v>
      </c>
      <c r="B115" s="142" t="s">
        <v>74</v>
      </c>
      <c r="C115" s="56" t="s">
        <v>210</v>
      </c>
      <c r="D115" s="18">
        <v>1163377651.8499999</v>
      </c>
      <c r="E115" s="18"/>
      <c r="F115" s="18">
        <v>348577367.42000002</v>
      </c>
      <c r="G115" s="18">
        <v>1013644885.97</v>
      </c>
      <c r="H115" s="27"/>
      <c r="I115" s="26"/>
      <c r="J115" s="26">
        <v>2525599905.2399998</v>
      </c>
      <c r="K115" s="26">
        <v>11186365.960000001</v>
      </c>
      <c r="L115" s="18">
        <v>18524625.890000001</v>
      </c>
      <c r="M115" s="115">
        <v>-34192983.329999998</v>
      </c>
      <c r="N115" s="18">
        <v>2592778373.46</v>
      </c>
      <c r="O115" s="18">
        <v>-27308448.23</v>
      </c>
      <c r="P115" s="76">
        <v>2585330124.0999999</v>
      </c>
      <c r="Q115" s="21">
        <f t="shared" si="38"/>
        <v>1.8176931301861778E-3</v>
      </c>
      <c r="R115" s="76">
        <v>2565469925.23</v>
      </c>
      <c r="S115" s="21">
        <f t="shared" si="39"/>
        <v>8.3089560676284813E-2</v>
      </c>
      <c r="T115" s="22">
        <f>((R115-P115)/P115)</f>
        <v>-7.6818811976337373E-3</v>
      </c>
      <c r="U115" s="57">
        <f>(L115/R115)</f>
        <v>7.2207534798285457E-3</v>
      </c>
      <c r="V115" s="23">
        <f t="shared" si="40"/>
        <v>-1.3328155981767949E-2</v>
      </c>
      <c r="W115" s="24">
        <f>R115/AE115</f>
        <v>13.986396834469184</v>
      </c>
      <c r="X115" s="24">
        <f>M115/AE115</f>
        <v>-0.18641287863271078</v>
      </c>
      <c r="Y115" s="18">
        <v>13.986499999999999</v>
      </c>
      <c r="Z115" s="18">
        <v>14.119400000000001</v>
      </c>
      <c r="AA115" s="25">
        <v>6376</v>
      </c>
      <c r="AB115" s="25">
        <v>183531940.28999999</v>
      </c>
      <c r="AC115" s="25">
        <v>105405.92</v>
      </c>
      <c r="AD115" s="25">
        <v>-211267.6</v>
      </c>
      <c r="AE115" s="18">
        <v>183426078.61000001</v>
      </c>
      <c r="AF115" s="145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  <c r="BH115" s="70"/>
      <c r="BI115" s="70"/>
      <c r="BJ115" s="70"/>
      <c r="BK115" s="70"/>
      <c r="BL115" s="70"/>
      <c r="BM115" s="70"/>
      <c r="BN115" s="70"/>
      <c r="BO115" s="70"/>
      <c r="BP115" s="70"/>
      <c r="BQ115" s="70"/>
      <c r="BR115" s="70"/>
      <c r="BS115" s="70"/>
      <c r="BT115" s="70"/>
      <c r="BU115" s="70"/>
      <c r="BV115" s="70"/>
      <c r="BW115" s="70"/>
      <c r="BX115" s="70"/>
      <c r="BY115" s="70"/>
      <c r="BZ115" s="70"/>
      <c r="CA115" s="70"/>
      <c r="CB115" s="70"/>
      <c r="CC115" s="70"/>
      <c r="CD115" s="70"/>
      <c r="CE115" s="70"/>
      <c r="CF115" s="70"/>
      <c r="CG115" s="70"/>
      <c r="CH115" s="70"/>
      <c r="CI115" s="70"/>
      <c r="CJ115" s="70"/>
      <c r="CK115" s="70"/>
      <c r="CL115" s="70"/>
      <c r="CM115" s="70"/>
      <c r="CN115" s="70"/>
      <c r="CO115" s="70"/>
      <c r="CP115" s="70"/>
      <c r="CQ115" s="70"/>
      <c r="CR115" s="70"/>
      <c r="CS115" s="70"/>
      <c r="CT115" s="70"/>
      <c r="CU115" s="70"/>
      <c r="CV115" s="70"/>
      <c r="CW115" s="70"/>
      <c r="CX115" s="70"/>
      <c r="CY115" s="70"/>
      <c r="CZ115" s="70"/>
      <c r="DA115" s="70"/>
      <c r="DB115" s="70"/>
      <c r="DC115" s="70"/>
      <c r="DD115" s="70"/>
      <c r="DE115" s="70"/>
      <c r="DF115" s="70"/>
      <c r="DG115" s="70"/>
      <c r="DH115" s="70"/>
      <c r="DI115" s="70"/>
      <c r="DJ115" s="70"/>
      <c r="DK115" s="70"/>
      <c r="DL115" s="70"/>
      <c r="DM115" s="70"/>
      <c r="DN115" s="70"/>
      <c r="DO115" s="70"/>
      <c r="DP115" s="70"/>
      <c r="DQ115" s="70"/>
      <c r="DR115" s="70"/>
      <c r="DS115" s="70"/>
      <c r="DT115" s="70"/>
      <c r="DU115" s="70"/>
      <c r="DV115" s="70"/>
      <c r="DW115" s="70"/>
      <c r="DX115" s="70"/>
      <c r="DY115" s="70"/>
      <c r="DZ115" s="70"/>
      <c r="EA115" s="70"/>
      <c r="EB115" s="70"/>
      <c r="EC115" s="70"/>
      <c r="ED115" s="70"/>
      <c r="EE115" s="70"/>
      <c r="EF115" s="70"/>
      <c r="EG115" s="70"/>
      <c r="EH115" s="70"/>
      <c r="EI115" s="70"/>
      <c r="EJ115" s="70"/>
      <c r="EK115" s="70"/>
      <c r="EL115" s="70"/>
      <c r="EM115" s="70"/>
      <c r="EN115" s="70"/>
      <c r="EO115" s="70"/>
      <c r="EP115" s="70"/>
      <c r="EQ115" s="70"/>
      <c r="ER115" s="70"/>
      <c r="ES115" s="70"/>
      <c r="ET115" s="70"/>
      <c r="EU115" s="70"/>
      <c r="EV115" s="70"/>
      <c r="EW115" s="70"/>
      <c r="EX115" s="70"/>
      <c r="EY115" s="70"/>
      <c r="EZ115" s="70"/>
      <c r="FA115" s="70"/>
      <c r="FB115" s="70"/>
      <c r="FC115" s="70"/>
      <c r="FD115" s="70"/>
      <c r="FE115" s="70"/>
      <c r="FF115" s="70"/>
      <c r="FG115" s="70"/>
      <c r="FH115" s="70"/>
      <c r="FI115" s="70"/>
      <c r="FJ115" s="70"/>
      <c r="FK115" s="70"/>
      <c r="FL115" s="70"/>
      <c r="FM115" s="70"/>
      <c r="FN115" s="70"/>
      <c r="FO115" s="70"/>
      <c r="FP115" s="70"/>
      <c r="FQ115" s="70"/>
      <c r="FR115" s="70"/>
      <c r="FS115" s="70"/>
      <c r="FT115" s="70"/>
      <c r="FU115" s="70"/>
      <c r="FV115" s="70"/>
      <c r="FW115" s="70"/>
      <c r="FX115" s="70"/>
      <c r="FY115" s="70"/>
      <c r="FZ115" s="70"/>
      <c r="GA115" s="70"/>
      <c r="GB115" s="70"/>
      <c r="GC115" s="70"/>
      <c r="GD115" s="70"/>
      <c r="GE115" s="70"/>
      <c r="GF115" s="70"/>
      <c r="GG115" s="70"/>
      <c r="GH115" s="70"/>
      <c r="GI115" s="70"/>
      <c r="GJ115" s="70"/>
      <c r="GK115" s="70"/>
      <c r="GL115" s="70"/>
      <c r="GM115" s="70"/>
      <c r="GN115" s="70"/>
      <c r="GO115" s="70"/>
      <c r="GP115" s="70"/>
      <c r="GQ115" s="70"/>
      <c r="GR115" s="70"/>
      <c r="GS115" s="70"/>
      <c r="GT115" s="70"/>
      <c r="GU115" s="70"/>
      <c r="GV115" s="70"/>
      <c r="GW115" s="70"/>
      <c r="GX115" s="70"/>
      <c r="GY115" s="70"/>
      <c r="GZ115" s="70"/>
      <c r="HA115" s="70"/>
      <c r="HB115" s="70"/>
      <c r="HC115" s="70"/>
      <c r="HD115" s="70"/>
      <c r="HE115" s="70"/>
      <c r="HF115" s="70"/>
      <c r="HG115" s="70"/>
      <c r="HH115" s="70"/>
      <c r="HI115" s="70"/>
      <c r="HJ115" s="70"/>
      <c r="HK115" s="70"/>
      <c r="HL115" s="70"/>
      <c r="HM115" s="70"/>
      <c r="HN115" s="70"/>
      <c r="HO115" s="70"/>
      <c r="HP115" s="70"/>
      <c r="HQ115" s="70"/>
      <c r="HR115" s="70"/>
      <c r="HS115" s="70"/>
      <c r="HT115" s="70"/>
      <c r="HU115" s="70"/>
      <c r="HV115" s="70"/>
      <c r="HW115" s="70"/>
      <c r="HX115" s="70"/>
      <c r="HY115" s="70"/>
      <c r="HZ115" s="70"/>
      <c r="IA115" s="70"/>
      <c r="IB115" s="70"/>
      <c r="IC115" s="70"/>
      <c r="ID115" s="70"/>
      <c r="IE115" s="70"/>
      <c r="IF115" s="70"/>
      <c r="IG115" s="70"/>
    </row>
    <row r="116" spans="1:241" ht="16.5" customHeight="1" x14ac:dyDescent="0.3">
      <c r="A116" s="168">
        <v>99</v>
      </c>
      <c r="B116" s="59" t="s">
        <v>55</v>
      </c>
      <c r="C116" s="55" t="s">
        <v>134</v>
      </c>
      <c r="D116" s="18">
        <v>1950372808.8399999</v>
      </c>
      <c r="E116" s="18"/>
      <c r="F116" s="182">
        <v>1762576836.47</v>
      </c>
      <c r="G116" s="18">
        <v>1139751916.27</v>
      </c>
      <c r="H116" s="143"/>
      <c r="I116" s="144"/>
      <c r="J116" s="26">
        <v>4817705487.6499996</v>
      </c>
      <c r="K116" s="26">
        <v>33480799.059999999</v>
      </c>
      <c r="L116" s="18">
        <v>7651571.7300000004</v>
      </c>
      <c r="M116" s="115">
        <v>-17773068.32</v>
      </c>
      <c r="N116" s="18">
        <v>4847161484.7399998</v>
      </c>
      <c r="O116" s="18">
        <v>29455997.09</v>
      </c>
      <c r="P116" s="76">
        <v>4578354847.0699997</v>
      </c>
      <c r="Q116" s="21">
        <f t="shared" si="38"/>
        <v>3.2189483561488228E-3</v>
      </c>
      <c r="R116" s="76">
        <v>4817705487.6499996</v>
      </c>
      <c r="S116" s="21">
        <f t="shared" si="39"/>
        <v>0.1560341941645163</v>
      </c>
      <c r="T116" s="22">
        <f t="shared" ref="T116:T125" si="41">((R116-P116)/P116)</f>
        <v>5.2278743910200987E-2</v>
      </c>
      <c r="U116" s="57">
        <f t="shared" ref="U116:U125" si="42">(L116/R116)</f>
        <v>1.5882190701807129E-3</v>
      </c>
      <c r="V116" s="23">
        <f t="shared" si="40"/>
        <v>-3.6891147384497803E-3</v>
      </c>
      <c r="W116" s="24">
        <f t="shared" ref="W116:W125" si="43">R116/AE116</f>
        <v>142618.11377494564</v>
      </c>
      <c r="X116" s="24">
        <f t="shared" ref="X116:X121" si="44">M116/AE116</f>
        <v>-526.13458549705956</v>
      </c>
      <c r="Y116" s="18">
        <v>195.45</v>
      </c>
      <c r="Z116" s="18">
        <v>196.75</v>
      </c>
      <c r="AA116" s="25">
        <v>5464</v>
      </c>
      <c r="AB116" s="25">
        <v>23486143.969999999</v>
      </c>
      <c r="AC116" s="25">
        <v>1197503.2</v>
      </c>
      <c r="AD116" s="25">
        <v>33780.46</v>
      </c>
      <c r="AE116" s="18">
        <v>33780.46</v>
      </c>
      <c r="AF116" s="5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  <c r="IG116" s="17"/>
    </row>
    <row r="117" spans="1:241" s="146" customFormat="1" ht="16.5" customHeight="1" x14ac:dyDescent="0.3">
      <c r="A117" s="168">
        <v>100</v>
      </c>
      <c r="B117" s="142" t="s">
        <v>87</v>
      </c>
      <c r="C117" s="159" t="s">
        <v>135</v>
      </c>
      <c r="D117" s="18">
        <v>2939590122.4000001</v>
      </c>
      <c r="E117" s="18"/>
      <c r="F117" s="18">
        <v>70586187.329999998</v>
      </c>
      <c r="G117" s="18">
        <v>1011735294.61</v>
      </c>
      <c r="H117" s="27"/>
      <c r="I117" s="26"/>
      <c r="J117" s="26">
        <v>4034605438.3400002</v>
      </c>
      <c r="K117" s="26">
        <v>21242425.129999999</v>
      </c>
      <c r="L117" s="18">
        <v>4572446.6399999997</v>
      </c>
      <c r="M117" s="131">
        <v>-36226597.170000002</v>
      </c>
      <c r="N117" s="18">
        <v>4933038301.7700005</v>
      </c>
      <c r="O117" s="18">
        <v>24723984.969999999</v>
      </c>
      <c r="P117" s="76">
        <v>5506517276.4399996</v>
      </c>
      <c r="Q117" s="21">
        <f t="shared" si="38"/>
        <v>3.8715205193073201E-3</v>
      </c>
      <c r="R117" s="76">
        <v>4908314318.6899996</v>
      </c>
      <c r="S117" s="21">
        <f t="shared" si="39"/>
        <v>0.15896880192992613</v>
      </c>
      <c r="T117" s="22">
        <f t="shared" si="41"/>
        <v>-0.10863544554912252</v>
      </c>
      <c r="U117" s="57">
        <f t="shared" si="42"/>
        <v>9.3157168492427741E-4</v>
      </c>
      <c r="V117" s="23">
        <f t="shared" si="40"/>
        <v>-7.3806595946912931E-3</v>
      </c>
      <c r="W117" s="24">
        <f t="shared" si="43"/>
        <v>197.93376985486711</v>
      </c>
      <c r="X117" s="24">
        <f t="shared" si="44"/>
        <v>-1.4608817775927432</v>
      </c>
      <c r="Y117" s="18">
        <v>195.4444</v>
      </c>
      <c r="Z117" s="18">
        <v>199.5341</v>
      </c>
      <c r="AA117" s="25">
        <v>27</v>
      </c>
      <c r="AB117" s="25">
        <v>27477934</v>
      </c>
      <c r="AC117" s="25">
        <v>75132</v>
      </c>
      <c r="AD117" s="25">
        <v>2755305</v>
      </c>
      <c r="AE117" s="18">
        <v>24797761</v>
      </c>
      <c r="AF117" s="145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  <c r="BI117" s="70"/>
      <c r="BJ117" s="70"/>
      <c r="BK117" s="70"/>
      <c r="BL117" s="70"/>
      <c r="BM117" s="70"/>
      <c r="BN117" s="70"/>
      <c r="BO117" s="70"/>
      <c r="BP117" s="70"/>
      <c r="BQ117" s="70"/>
      <c r="BR117" s="70"/>
      <c r="BS117" s="70"/>
      <c r="BT117" s="70"/>
      <c r="BU117" s="70"/>
      <c r="BV117" s="70"/>
      <c r="BW117" s="70"/>
      <c r="BX117" s="70"/>
      <c r="BY117" s="70"/>
      <c r="BZ117" s="70"/>
      <c r="CA117" s="70"/>
      <c r="CB117" s="70"/>
      <c r="CC117" s="70"/>
      <c r="CD117" s="70"/>
      <c r="CE117" s="70"/>
      <c r="CF117" s="70"/>
      <c r="CG117" s="70"/>
      <c r="CH117" s="70"/>
      <c r="CI117" s="70"/>
      <c r="CJ117" s="70"/>
      <c r="CK117" s="70"/>
      <c r="CL117" s="70"/>
      <c r="CM117" s="70"/>
      <c r="CN117" s="70"/>
      <c r="CO117" s="70"/>
      <c r="CP117" s="70"/>
      <c r="CQ117" s="70"/>
      <c r="CR117" s="70"/>
      <c r="CS117" s="70"/>
      <c r="CT117" s="70"/>
      <c r="CU117" s="70"/>
      <c r="CV117" s="70"/>
      <c r="CW117" s="70"/>
      <c r="CX117" s="70"/>
      <c r="CY117" s="70"/>
      <c r="CZ117" s="70"/>
      <c r="DA117" s="70"/>
      <c r="DB117" s="70"/>
      <c r="DC117" s="70"/>
      <c r="DD117" s="70"/>
      <c r="DE117" s="70"/>
      <c r="DF117" s="70"/>
      <c r="DG117" s="70"/>
      <c r="DH117" s="70"/>
      <c r="DI117" s="70"/>
      <c r="DJ117" s="70"/>
      <c r="DK117" s="70"/>
      <c r="DL117" s="70"/>
      <c r="DM117" s="70"/>
      <c r="DN117" s="70"/>
      <c r="DO117" s="70"/>
      <c r="DP117" s="70"/>
      <c r="DQ117" s="70"/>
      <c r="DR117" s="70"/>
      <c r="DS117" s="70"/>
      <c r="DT117" s="70"/>
      <c r="DU117" s="70"/>
      <c r="DV117" s="70"/>
      <c r="DW117" s="70"/>
      <c r="DX117" s="70"/>
      <c r="DY117" s="70"/>
      <c r="DZ117" s="70"/>
      <c r="EA117" s="70"/>
      <c r="EB117" s="70"/>
      <c r="EC117" s="70"/>
      <c r="ED117" s="70"/>
      <c r="EE117" s="70"/>
      <c r="EF117" s="70"/>
      <c r="EG117" s="70"/>
      <c r="EH117" s="70"/>
      <c r="EI117" s="70"/>
      <c r="EJ117" s="70"/>
      <c r="EK117" s="70"/>
      <c r="EL117" s="70"/>
      <c r="EM117" s="70"/>
      <c r="EN117" s="70"/>
      <c r="EO117" s="70"/>
      <c r="EP117" s="70"/>
      <c r="EQ117" s="70"/>
      <c r="ER117" s="70"/>
      <c r="ES117" s="70"/>
      <c r="ET117" s="70"/>
      <c r="EU117" s="70"/>
      <c r="EV117" s="70"/>
      <c r="EW117" s="70"/>
      <c r="EX117" s="70"/>
      <c r="EY117" s="70"/>
      <c r="EZ117" s="70"/>
      <c r="FA117" s="70"/>
      <c r="FB117" s="70"/>
      <c r="FC117" s="70"/>
      <c r="FD117" s="70"/>
      <c r="FE117" s="70"/>
      <c r="FF117" s="70"/>
      <c r="FG117" s="70"/>
      <c r="FH117" s="70"/>
      <c r="FI117" s="70"/>
      <c r="FJ117" s="70"/>
      <c r="FK117" s="70"/>
      <c r="FL117" s="70"/>
      <c r="FM117" s="70"/>
      <c r="FN117" s="70"/>
      <c r="FO117" s="70"/>
      <c r="FP117" s="70"/>
      <c r="FQ117" s="70"/>
      <c r="FR117" s="70"/>
      <c r="FS117" s="70"/>
      <c r="FT117" s="70"/>
      <c r="FU117" s="70"/>
      <c r="FV117" s="70"/>
      <c r="FW117" s="70"/>
      <c r="FX117" s="70"/>
      <c r="FY117" s="70"/>
      <c r="FZ117" s="70"/>
      <c r="GA117" s="70"/>
      <c r="GB117" s="70"/>
      <c r="GC117" s="70"/>
      <c r="GD117" s="70"/>
      <c r="GE117" s="70"/>
      <c r="GF117" s="70"/>
      <c r="GG117" s="70"/>
      <c r="GH117" s="70"/>
      <c r="GI117" s="70"/>
      <c r="GJ117" s="70"/>
      <c r="GK117" s="70"/>
      <c r="GL117" s="70"/>
      <c r="GM117" s="70"/>
      <c r="GN117" s="70"/>
      <c r="GO117" s="70"/>
      <c r="GP117" s="70"/>
      <c r="GQ117" s="70"/>
      <c r="GR117" s="70"/>
      <c r="GS117" s="70"/>
      <c r="GT117" s="70"/>
      <c r="GU117" s="70"/>
      <c r="GV117" s="70"/>
      <c r="GW117" s="70"/>
      <c r="GX117" s="70"/>
      <c r="GY117" s="70"/>
      <c r="GZ117" s="70"/>
      <c r="HA117" s="70"/>
      <c r="HB117" s="70"/>
      <c r="HC117" s="70"/>
      <c r="HD117" s="70"/>
      <c r="HE117" s="70"/>
      <c r="HF117" s="70"/>
      <c r="HG117" s="70"/>
      <c r="HH117" s="70"/>
      <c r="HI117" s="70"/>
      <c r="HJ117" s="70"/>
      <c r="HK117" s="70"/>
      <c r="HL117" s="70"/>
      <c r="HM117" s="70"/>
      <c r="HN117" s="70"/>
      <c r="HO117" s="70"/>
      <c r="HP117" s="70"/>
      <c r="HQ117" s="70"/>
      <c r="HR117" s="70"/>
      <c r="HS117" s="70"/>
      <c r="HT117" s="70"/>
      <c r="HU117" s="70"/>
      <c r="HV117" s="70"/>
      <c r="HW117" s="70"/>
      <c r="HX117" s="70"/>
      <c r="HY117" s="70"/>
      <c r="HZ117" s="70"/>
      <c r="IA117" s="70"/>
      <c r="IB117" s="70"/>
      <c r="IC117" s="70"/>
      <c r="ID117" s="70"/>
      <c r="IE117" s="70"/>
      <c r="IF117" s="70"/>
      <c r="IG117" s="70"/>
    </row>
    <row r="118" spans="1:241" s="146" customFormat="1" ht="16.5" customHeight="1" x14ac:dyDescent="0.3">
      <c r="A118" s="168">
        <v>101</v>
      </c>
      <c r="B118" s="142" t="s">
        <v>82</v>
      </c>
      <c r="C118" s="56" t="s">
        <v>173</v>
      </c>
      <c r="D118" s="18">
        <v>1025747473.16</v>
      </c>
      <c r="E118" s="18"/>
      <c r="F118" s="18">
        <v>786972629.26999998</v>
      </c>
      <c r="G118" s="18">
        <v>483745316.25</v>
      </c>
      <c r="H118" s="27"/>
      <c r="I118" s="26"/>
      <c r="J118" s="26">
        <v>2296465418.6799998</v>
      </c>
      <c r="K118" s="26">
        <v>17848417.809999999</v>
      </c>
      <c r="L118" s="18">
        <v>7338114.9699999997</v>
      </c>
      <c r="M118" s="115">
        <v>10907721.6</v>
      </c>
      <c r="N118" s="18">
        <v>2307526331.8400002</v>
      </c>
      <c r="O118" s="18">
        <v>23808066.100000001</v>
      </c>
      <c r="P118" s="76">
        <v>2311964566.6399999</v>
      </c>
      <c r="Q118" s="21">
        <f t="shared" si="38"/>
        <v>1.6254953558313321E-3</v>
      </c>
      <c r="R118" s="76">
        <v>2291241761.7399998</v>
      </c>
      <c r="S118" s="21">
        <f t="shared" si="39"/>
        <v>7.4207952903234897E-2</v>
      </c>
      <c r="T118" s="22">
        <f t="shared" si="41"/>
        <v>-8.9632882782960405E-3</v>
      </c>
      <c r="U118" s="57">
        <f t="shared" si="42"/>
        <v>3.2026803511242467E-3</v>
      </c>
      <c r="V118" s="23">
        <f t="shared" si="40"/>
        <v>4.7606157421452239E-3</v>
      </c>
      <c r="W118" s="24">
        <f t="shared" si="43"/>
        <v>4194.3967924799226</v>
      </c>
      <c r="X118" s="24">
        <f t="shared" si="44"/>
        <v>19.967911399083356</v>
      </c>
      <c r="Y118" s="18">
        <v>4165.29</v>
      </c>
      <c r="Z118" s="18">
        <v>4225.38</v>
      </c>
      <c r="AA118" s="25">
        <v>822</v>
      </c>
      <c r="AB118" s="25">
        <v>546503.35</v>
      </c>
      <c r="AC118" s="25">
        <v>66.63</v>
      </c>
      <c r="AD118" s="25">
        <v>307.45</v>
      </c>
      <c r="AE118" s="18">
        <v>546262.52</v>
      </c>
      <c r="AF118" s="145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70"/>
      <c r="BD118" s="70"/>
      <c r="BE118" s="70"/>
      <c r="BF118" s="70"/>
      <c r="BG118" s="70"/>
      <c r="BH118" s="70"/>
      <c r="BI118" s="70"/>
      <c r="BJ118" s="70"/>
      <c r="BK118" s="70"/>
      <c r="BL118" s="70"/>
      <c r="BM118" s="70"/>
      <c r="BN118" s="70"/>
      <c r="BO118" s="70"/>
      <c r="BP118" s="70"/>
      <c r="BQ118" s="70"/>
      <c r="BR118" s="70"/>
      <c r="BS118" s="70"/>
      <c r="BT118" s="70"/>
      <c r="BU118" s="70"/>
      <c r="BV118" s="70"/>
      <c r="BW118" s="70"/>
      <c r="BX118" s="70"/>
      <c r="BY118" s="70"/>
      <c r="BZ118" s="70"/>
      <c r="CA118" s="70"/>
      <c r="CB118" s="70"/>
      <c r="CC118" s="70"/>
      <c r="CD118" s="70"/>
      <c r="CE118" s="70"/>
      <c r="CF118" s="70"/>
      <c r="CG118" s="70"/>
      <c r="CH118" s="70"/>
      <c r="CI118" s="70"/>
      <c r="CJ118" s="70"/>
      <c r="CK118" s="70"/>
      <c r="CL118" s="70"/>
      <c r="CM118" s="70"/>
      <c r="CN118" s="70"/>
      <c r="CO118" s="70"/>
      <c r="CP118" s="70"/>
      <c r="CQ118" s="70"/>
      <c r="CR118" s="70"/>
      <c r="CS118" s="70"/>
      <c r="CT118" s="70"/>
      <c r="CU118" s="70"/>
      <c r="CV118" s="70"/>
      <c r="CW118" s="70"/>
      <c r="CX118" s="70"/>
      <c r="CY118" s="70"/>
      <c r="CZ118" s="70"/>
      <c r="DA118" s="70"/>
      <c r="DB118" s="70"/>
      <c r="DC118" s="70"/>
      <c r="DD118" s="70"/>
      <c r="DE118" s="70"/>
      <c r="DF118" s="70"/>
      <c r="DG118" s="70"/>
      <c r="DH118" s="70"/>
      <c r="DI118" s="70"/>
      <c r="DJ118" s="70"/>
      <c r="DK118" s="70"/>
      <c r="DL118" s="70"/>
      <c r="DM118" s="70"/>
      <c r="DN118" s="70"/>
      <c r="DO118" s="70"/>
      <c r="DP118" s="70"/>
      <c r="DQ118" s="70"/>
      <c r="DR118" s="70"/>
      <c r="DS118" s="70"/>
      <c r="DT118" s="70"/>
      <c r="DU118" s="70"/>
      <c r="DV118" s="70"/>
      <c r="DW118" s="70"/>
      <c r="DX118" s="70"/>
      <c r="DY118" s="70"/>
      <c r="DZ118" s="70"/>
      <c r="EA118" s="70"/>
      <c r="EB118" s="70"/>
      <c r="EC118" s="70"/>
      <c r="ED118" s="70"/>
      <c r="EE118" s="70"/>
      <c r="EF118" s="70"/>
      <c r="EG118" s="70"/>
      <c r="EH118" s="70"/>
      <c r="EI118" s="70"/>
      <c r="EJ118" s="70"/>
      <c r="EK118" s="70"/>
      <c r="EL118" s="70"/>
      <c r="EM118" s="70"/>
      <c r="EN118" s="70"/>
      <c r="EO118" s="70"/>
      <c r="EP118" s="70"/>
      <c r="EQ118" s="70"/>
      <c r="ER118" s="70"/>
      <c r="ES118" s="70"/>
      <c r="ET118" s="70"/>
      <c r="EU118" s="70"/>
      <c r="EV118" s="70"/>
      <c r="EW118" s="70"/>
      <c r="EX118" s="70"/>
      <c r="EY118" s="70"/>
      <c r="EZ118" s="70"/>
      <c r="FA118" s="70"/>
      <c r="FB118" s="70"/>
      <c r="FC118" s="70"/>
      <c r="FD118" s="70"/>
      <c r="FE118" s="70"/>
      <c r="FF118" s="70"/>
      <c r="FG118" s="70"/>
      <c r="FH118" s="70"/>
      <c r="FI118" s="70"/>
      <c r="FJ118" s="70"/>
      <c r="FK118" s="70"/>
      <c r="FL118" s="70"/>
      <c r="FM118" s="70"/>
      <c r="FN118" s="70"/>
      <c r="FO118" s="70"/>
      <c r="FP118" s="70"/>
      <c r="FQ118" s="70"/>
      <c r="FR118" s="70"/>
      <c r="FS118" s="70"/>
      <c r="FT118" s="70"/>
      <c r="FU118" s="70"/>
      <c r="FV118" s="70"/>
      <c r="FW118" s="70"/>
      <c r="FX118" s="70"/>
      <c r="FY118" s="70"/>
      <c r="FZ118" s="70"/>
      <c r="GA118" s="70"/>
      <c r="GB118" s="70"/>
      <c r="GC118" s="70"/>
      <c r="GD118" s="70"/>
      <c r="GE118" s="70"/>
      <c r="GF118" s="70"/>
      <c r="GG118" s="70"/>
      <c r="GH118" s="70"/>
      <c r="GI118" s="70"/>
      <c r="GJ118" s="70"/>
      <c r="GK118" s="70"/>
      <c r="GL118" s="70"/>
      <c r="GM118" s="70"/>
      <c r="GN118" s="70"/>
      <c r="GO118" s="70"/>
      <c r="GP118" s="70"/>
      <c r="GQ118" s="70"/>
      <c r="GR118" s="70"/>
      <c r="GS118" s="70"/>
      <c r="GT118" s="70"/>
      <c r="GU118" s="70"/>
      <c r="GV118" s="70"/>
      <c r="GW118" s="70"/>
      <c r="GX118" s="70"/>
      <c r="GY118" s="70"/>
      <c r="GZ118" s="70"/>
      <c r="HA118" s="70"/>
      <c r="HB118" s="70"/>
      <c r="HC118" s="70"/>
      <c r="HD118" s="70"/>
      <c r="HE118" s="70"/>
      <c r="HF118" s="70"/>
      <c r="HG118" s="70"/>
      <c r="HH118" s="70"/>
      <c r="HI118" s="70"/>
      <c r="HJ118" s="70"/>
      <c r="HK118" s="70"/>
      <c r="HL118" s="70"/>
      <c r="HM118" s="70"/>
      <c r="HN118" s="70"/>
      <c r="HO118" s="70"/>
      <c r="HP118" s="70"/>
      <c r="HQ118" s="70"/>
      <c r="HR118" s="70"/>
      <c r="HS118" s="70"/>
      <c r="HT118" s="70"/>
      <c r="HU118" s="70"/>
      <c r="HV118" s="70"/>
      <c r="HW118" s="70"/>
      <c r="HX118" s="70"/>
      <c r="HY118" s="70"/>
      <c r="HZ118" s="70"/>
      <c r="IA118" s="70"/>
      <c r="IB118" s="70"/>
      <c r="IC118" s="70"/>
      <c r="ID118" s="70"/>
      <c r="IE118" s="70"/>
      <c r="IF118" s="70"/>
      <c r="IG118" s="70"/>
    </row>
    <row r="119" spans="1:241" s="146" customFormat="1" ht="16.5" customHeight="1" x14ac:dyDescent="0.3">
      <c r="A119" s="168">
        <v>102</v>
      </c>
      <c r="B119" s="142" t="s">
        <v>78</v>
      </c>
      <c r="C119" s="147" t="s">
        <v>175</v>
      </c>
      <c r="D119" s="18">
        <v>1021184919.11</v>
      </c>
      <c r="E119" s="18"/>
      <c r="F119" s="18"/>
      <c r="G119" s="18">
        <v>727677261.48000002</v>
      </c>
      <c r="H119" s="27"/>
      <c r="I119" s="26"/>
      <c r="J119" s="26">
        <v>2259122549.5300002</v>
      </c>
      <c r="K119" s="26">
        <v>-14376495.73</v>
      </c>
      <c r="L119" s="18">
        <v>6557258.8200000003</v>
      </c>
      <c r="M119" s="115">
        <v>-20933754.550000001</v>
      </c>
      <c r="N119" s="18">
        <v>2311181917.2800002</v>
      </c>
      <c r="O119" s="18">
        <v>228977309.59</v>
      </c>
      <c r="P119" s="76">
        <v>2113851590.51</v>
      </c>
      <c r="Q119" s="21">
        <f t="shared" si="38"/>
        <v>1.4862061438442947E-3</v>
      </c>
      <c r="R119" s="76">
        <v>2082204607.6900001</v>
      </c>
      <c r="S119" s="21">
        <f t="shared" si="39"/>
        <v>6.7437729201049734E-2</v>
      </c>
      <c r="T119" s="22">
        <f t="shared" si="41"/>
        <v>-1.4971241577259736E-2</v>
      </c>
      <c r="U119" s="57">
        <f t="shared" si="42"/>
        <v>3.1491904281561599E-3</v>
      </c>
      <c r="V119" s="23">
        <f t="shared" si="40"/>
        <v>-1.005364913356134E-2</v>
      </c>
      <c r="W119" s="24">
        <f t="shared" si="43"/>
        <v>1.3588301661044704</v>
      </c>
      <c r="X119" s="24">
        <f t="shared" si="44"/>
        <v>-1.3661201722113221E-2</v>
      </c>
      <c r="Y119" s="18">
        <v>1.3137000000000001</v>
      </c>
      <c r="Z119" s="18">
        <v>1.3396999999999999</v>
      </c>
      <c r="AA119" s="25">
        <v>10329</v>
      </c>
      <c r="AB119" s="25">
        <v>1571415978.7</v>
      </c>
      <c r="AC119" s="18">
        <v>17570348.640000001</v>
      </c>
      <c r="AD119" s="18">
        <v>56635442.270000003</v>
      </c>
      <c r="AE119" s="51">
        <v>1532350885.0699999</v>
      </c>
      <c r="AF119" s="145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  <c r="BH119" s="70"/>
      <c r="BI119" s="70"/>
      <c r="BJ119" s="70"/>
      <c r="BK119" s="70"/>
      <c r="BL119" s="70"/>
      <c r="BM119" s="70"/>
      <c r="BN119" s="70"/>
      <c r="BO119" s="70"/>
      <c r="BP119" s="70"/>
      <c r="BQ119" s="70"/>
      <c r="BR119" s="70"/>
      <c r="BS119" s="70"/>
      <c r="BT119" s="70"/>
      <c r="BU119" s="70"/>
      <c r="BV119" s="70"/>
      <c r="BW119" s="70"/>
      <c r="BX119" s="70"/>
      <c r="BY119" s="70"/>
      <c r="BZ119" s="70"/>
      <c r="CA119" s="70"/>
      <c r="CB119" s="70"/>
      <c r="CC119" s="70"/>
      <c r="CD119" s="70"/>
      <c r="CE119" s="70"/>
      <c r="CF119" s="70"/>
      <c r="CG119" s="70"/>
      <c r="CH119" s="70"/>
      <c r="CI119" s="70"/>
      <c r="CJ119" s="70"/>
      <c r="CK119" s="70"/>
      <c r="CL119" s="70"/>
      <c r="CM119" s="70"/>
      <c r="CN119" s="70"/>
      <c r="CO119" s="70"/>
      <c r="CP119" s="70"/>
      <c r="CQ119" s="70"/>
      <c r="CR119" s="70"/>
      <c r="CS119" s="70"/>
      <c r="CT119" s="70"/>
      <c r="CU119" s="70"/>
      <c r="CV119" s="70"/>
      <c r="CW119" s="70"/>
      <c r="CX119" s="70"/>
      <c r="CY119" s="70"/>
      <c r="CZ119" s="70"/>
      <c r="DA119" s="70"/>
      <c r="DB119" s="70"/>
      <c r="DC119" s="70"/>
      <c r="DD119" s="70"/>
      <c r="DE119" s="70"/>
      <c r="DF119" s="70"/>
      <c r="DG119" s="70"/>
      <c r="DH119" s="70"/>
      <c r="DI119" s="70"/>
      <c r="DJ119" s="70"/>
      <c r="DK119" s="70"/>
      <c r="DL119" s="70"/>
      <c r="DM119" s="70"/>
      <c r="DN119" s="70"/>
      <c r="DO119" s="70"/>
      <c r="DP119" s="70"/>
      <c r="DQ119" s="70"/>
      <c r="DR119" s="70"/>
      <c r="DS119" s="70"/>
      <c r="DT119" s="70"/>
      <c r="DU119" s="70"/>
      <c r="DV119" s="70"/>
      <c r="DW119" s="70"/>
      <c r="DX119" s="70"/>
      <c r="DY119" s="70"/>
      <c r="DZ119" s="70"/>
      <c r="EA119" s="70"/>
      <c r="EB119" s="70"/>
      <c r="EC119" s="70"/>
      <c r="ED119" s="70"/>
      <c r="EE119" s="70"/>
      <c r="EF119" s="70"/>
      <c r="EG119" s="70"/>
      <c r="EH119" s="70"/>
      <c r="EI119" s="70"/>
      <c r="EJ119" s="70"/>
      <c r="EK119" s="70"/>
      <c r="EL119" s="70"/>
      <c r="EM119" s="70"/>
      <c r="EN119" s="70"/>
      <c r="EO119" s="70"/>
      <c r="EP119" s="70"/>
      <c r="EQ119" s="70"/>
      <c r="ER119" s="70"/>
      <c r="ES119" s="70"/>
      <c r="ET119" s="70"/>
      <c r="EU119" s="70"/>
      <c r="EV119" s="70"/>
      <c r="EW119" s="70"/>
      <c r="EX119" s="70"/>
      <c r="EY119" s="70"/>
      <c r="EZ119" s="70"/>
      <c r="FA119" s="70"/>
      <c r="FB119" s="70"/>
      <c r="FC119" s="70"/>
      <c r="FD119" s="70"/>
      <c r="FE119" s="70"/>
      <c r="FF119" s="70"/>
      <c r="FG119" s="70"/>
      <c r="FH119" s="70"/>
      <c r="FI119" s="70"/>
      <c r="FJ119" s="70"/>
      <c r="FK119" s="70"/>
      <c r="FL119" s="70"/>
      <c r="FM119" s="70"/>
      <c r="FN119" s="70"/>
      <c r="FO119" s="70"/>
      <c r="FP119" s="70"/>
      <c r="FQ119" s="70"/>
      <c r="FR119" s="70"/>
      <c r="FS119" s="70"/>
      <c r="FT119" s="70"/>
      <c r="FU119" s="70"/>
      <c r="FV119" s="70"/>
      <c r="FW119" s="70"/>
      <c r="FX119" s="70"/>
      <c r="FY119" s="70"/>
      <c r="FZ119" s="70"/>
      <c r="GA119" s="70"/>
      <c r="GB119" s="70"/>
      <c r="GC119" s="70"/>
      <c r="GD119" s="70"/>
      <c r="GE119" s="70"/>
      <c r="GF119" s="70"/>
      <c r="GG119" s="70"/>
      <c r="GH119" s="70"/>
      <c r="GI119" s="70"/>
      <c r="GJ119" s="70"/>
      <c r="GK119" s="70"/>
      <c r="GL119" s="70"/>
      <c r="GM119" s="70"/>
      <c r="GN119" s="70"/>
      <c r="GO119" s="70"/>
      <c r="GP119" s="70"/>
      <c r="GQ119" s="70"/>
      <c r="GR119" s="70"/>
      <c r="GS119" s="70"/>
      <c r="GT119" s="70"/>
      <c r="GU119" s="70"/>
      <c r="GV119" s="70"/>
      <c r="GW119" s="70"/>
      <c r="GX119" s="70"/>
      <c r="GY119" s="70"/>
      <c r="GZ119" s="70"/>
      <c r="HA119" s="70"/>
      <c r="HB119" s="70"/>
      <c r="HC119" s="70"/>
      <c r="HD119" s="70"/>
      <c r="HE119" s="70"/>
      <c r="HF119" s="70"/>
      <c r="HG119" s="70"/>
      <c r="HH119" s="70"/>
      <c r="HI119" s="70"/>
      <c r="HJ119" s="70"/>
      <c r="HK119" s="70"/>
      <c r="HL119" s="70"/>
      <c r="HM119" s="70"/>
      <c r="HN119" s="70"/>
      <c r="HO119" s="70"/>
      <c r="HP119" s="70"/>
      <c r="HQ119" s="70"/>
      <c r="HR119" s="70"/>
      <c r="HS119" s="70"/>
      <c r="HT119" s="70"/>
      <c r="HU119" s="70"/>
      <c r="HV119" s="70"/>
      <c r="HW119" s="70"/>
      <c r="HX119" s="70"/>
      <c r="HY119" s="70"/>
      <c r="HZ119" s="70"/>
      <c r="IA119" s="70"/>
      <c r="IB119" s="70"/>
      <c r="IC119" s="70"/>
      <c r="ID119" s="70"/>
      <c r="IE119" s="70"/>
      <c r="IF119" s="70"/>
      <c r="IG119" s="70"/>
    </row>
    <row r="120" spans="1:241" s="146" customFormat="1" ht="16.5" customHeight="1" x14ac:dyDescent="0.3">
      <c r="A120" s="168">
        <v>103</v>
      </c>
      <c r="B120" s="59" t="s">
        <v>27</v>
      </c>
      <c r="C120" s="56" t="s">
        <v>136</v>
      </c>
      <c r="D120" s="18">
        <v>228863208.21000001</v>
      </c>
      <c r="E120" s="18"/>
      <c r="F120" s="18">
        <v>1011255435.3099999</v>
      </c>
      <c r="G120" s="18"/>
      <c r="H120" s="27"/>
      <c r="I120" s="26"/>
      <c r="J120" s="26">
        <v>1240118643.52</v>
      </c>
      <c r="K120" s="26">
        <v>11447700.619999999</v>
      </c>
      <c r="L120" s="18">
        <v>2182312.2200000002</v>
      </c>
      <c r="M120" s="115">
        <v>9265388.4000000004</v>
      </c>
      <c r="N120" s="18">
        <v>1250549900.1099999</v>
      </c>
      <c r="O120" s="18">
        <v>26785550.789999999</v>
      </c>
      <c r="P120" s="76">
        <v>1235006024.45</v>
      </c>
      <c r="Q120" s="21">
        <f t="shared" si="38"/>
        <v>8.6830766618742154E-4</v>
      </c>
      <c r="R120" s="76">
        <v>1223764349.3199999</v>
      </c>
      <c r="S120" s="21">
        <f t="shared" si="39"/>
        <v>3.9634860325709065E-2</v>
      </c>
      <c r="T120" s="22">
        <f t="shared" si="41"/>
        <v>-9.1025265524566999E-3</v>
      </c>
      <c r="U120" s="57">
        <f t="shared" si="42"/>
        <v>1.7832781460030516E-3</v>
      </c>
      <c r="V120" s="23">
        <f t="shared" si="40"/>
        <v>7.5712194142184561E-3</v>
      </c>
      <c r="W120" s="24">
        <f t="shared" si="43"/>
        <v>1640.5447406930759</v>
      </c>
      <c r="X120" s="24">
        <f t="shared" si="44"/>
        <v>12.4209241906294</v>
      </c>
      <c r="Y120" s="18">
        <v>552.20000000000005</v>
      </c>
      <c r="Z120" s="18">
        <v>552.20000000000005</v>
      </c>
      <c r="AA120" s="25">
        <v>830</v>
      </c>
      <c r="AB120" s="25">
        <v>745950</v>
      </c>
      <c r="AC120" s="25"/>
      <c r="AD120" s="25"/>
      <c r="AE120" s="25">
        <v>745950</v>
      </c>
      <c r="AF120" s="145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70"/>
      <c r="BC120" s="70"/>
      <c r="BD120" s="70"/>
      <c r="BE120" s="70"/>
      <c r="BF120" s="70"/>
      <c r="BG120" s="70"/>
      <c r="BH120" s="70"/>
      <c r="BI120" s="70"/>
      <c r="BJ120" s="70"/>
      <c r="BK120" s="70"/>
      <c r="BL120" s="70"/>
      <c r="BM120" s="70"/>
      <c r="BN120" s="70"/>
      <c r="BO120" s="70"/>
      <c r="BP120" s="70"/>
      <c r="BQ120" s="70"/>
      <c r="BR120" s="70"/>
      <c r="BS120" s="70"/>
      <c r="BT120" s="70"/>
      <c r="BU120" s="70"/>
      <c r="BV120" s="70"/>
      <c r="BW120" s="70"/>
      <c r="BX120" s="70"/>
      <c r="BY120" s="70"/>
      <c r="BZ120" s="70"/>
      <c r="CA120" s="70"/>
      <c r="CB120" s="70"/>
      <c r="CC120" s="70"/>
      <c r="CD120" s="70"/>
      <c r="CE120" s="70"/>
      <c r="CF120" s="70"/>
      <c r="CG120" s="70"/>
      <c r="CH120" s="70"/>
      <c r="CI120" s="70"/>
      <c r="CJ120" s="70"/>
      <c r="CK120" s="70"/>
      <c r="CL120" s="70"/>
      <c r="CM120" s="70"/>
      <c r="CN120" s="70"/>
      <c r="CO120" s="70"/>
      <c r="CP120" s="70"/>
      <c r="CQ120" s="70"/>
      <c r="CR120" s="70"/>
      <c r="CS120" s="70"/>
      <c r="CT120" s="70"/>
      <c r="CU120" s="70"/>
      <c r="CV120" s="70"/>
      <c r="CW120" s="70"/>
      <c r="CX120" s="70"/>
      <c r="CY120" s="70"/>
      <c r="CZ120" s="70"/>
      <c r="DA120" s="70"/>
      <c r="DB120" s="70"/>
      <c r="DC120" s="70"/>
      <c r="DD120" s="70"/>
      <c r="DE120" s="70"/>
      <c r="DF120" s="70"/>
      <c r="DG120" s="70"/>
      <c r="DH120" s="70"/>
      <c r="DI120" s="70"/>
      <c r="DJ120" s="70"/>
      <c r="DK120" s="70"/>
      <c r="DL120" s="70"/>
      <c r="DM120" s="70"/>
      <c r="DN120" s="70"/>
      <c r="DO120" s="70"/>
      <c r="DP120" s="70"/>
      <c r="DQ120" s="70"/>
      <c r="DR120" s="70"/>
      <c r="DS120" s="70"/>
      <c r="DT120" s="70"/>
      <c r="DU120" s="70"/>
      <c r="DV120" s="70"/>
      <c r="DW120" s="70"/>
      <c r="DX120" s="70"/>
      <c r="DY120" s="70"/>
      <c r="DZ120" s="70"/>
      <c r="EA120" s="70"/>
      <c r="EB120" s="70"/>
      <c r="EC120" s="70"/>
      <c r="ED120" s="70"/>
      <c r="EE120" s="70"/>
      <c r="EF120" s="70"/>
      <c r="EG120" s="70"/>
      <c r="EH120" s="70"/>
      <c r="EI120" s="70"/>
      <c r="EJ120" s="70"/>
      <c r="EK120" s="70"/>
      <c r="EL120" s="70"/>
      <c r="EM120" s="70"/>
      <c r="EN120" s="70"/>
      <c r="EO120" s="70"/>
      <c r="EP120" s="70"/>
      <c r="EQ120" s="70"/>
      <c r="ER120" s="70"/>
      <c r="ES120" s="70"/>
      <c r="ET120" s="70"/>
      <c r="EU120" s="70"/>
      <c r="EV120" s="70"/>
      <c r="EW120" s="70"/>
      <c r="EX120" s="70"/>
      <c r="EY120" s="70"/>
      <c r="EZ120" s="70"/>
      <c r="FA120" s="70"/>
      <c r="FB120" s="70"/>
      <c r="FC120" s="70"/>
      <c r="FD120" s="70"/>
      <c r="FE120" s="70"/>
      <c r="FF120" s="70"/>
      <c r="FG120" s="70"/>
      <c r="FH120" s="70"/>
      <c r="FI120" s="70"/>
      <c r="FJ120" s="70"/>
      <c r="FK120" s="70"/>
      <c r="FL120" s="70"/>
      <c r="FM120" s="70"/>
      <c r="FN120" s="70"/>
      <c r="FO120" s="70"/>
      <c r="FP120" s="70"/>
      <c r="FQ120" s="70"/>
      <c r="FR120" s="70"/>
      <c r="FS120" s="70"/>
      <c r="FT120" s="70"/>
      <c r="FU120" s="70"/>
      <c r="FV120" s="70"/>
      <c r="FW120" s="70"/>
      <c r="FX120" s="70"/>
      <c r="FY120" s="70"/>
      <c r="FZ120" s="70"/>
      <c r="GA120" s="70"/>
      <c r="GB120" s="70"/>
      <c r="GC120" s="70"/>
      <c r="GD120" s="70"/>
      <c r="GE120" s="70"/>
      <c r="GF120" s="70"/>
      <c r="GG120" s="70"/>
      <c r="GH120" s="70"/>
      <c r="GI120" s="70"/>
      <c r="GJ120" s="70"/>
      <c r="GK120" s="70"/>
      <c r="GL120" s="70"/>
      <c r="GM120" s="70"/>
      <c r="GN120" s="70"/>
      <c r="GO120" s="70"/>
      <c r="GP120" s="70"/>
      <c r="GQ120" s="70"/>
      <c r="GR120" s="70"/>
      <c r="GS120" s="70"/>
      <c r="GT120" s="70"/>
      <c r="GU120" s="70"/>
      <c r="GV120" s="70"/>
      <c r="GW120" s="70"/>
      <c r="GX120" s="70"/>
      <c r="GY120" s="70"/>
      <c r="GZ120" s="70"/>
      <c r="HA120" s="70"/>
      <c r="HB120" s="70"/>
      <c r="HC120" s="70"/>
      <c r="HD120" s="70"/>
      <c r="HE120" s="70"/>
      <c r="HF120" s="70"/>
      <c r="HG120" s="70"/>
      <c r="HH120" s="70"/>
      <c r="HI120" s="70"/>
      <c r="HJ120" s="70"/>
      <c r="HK120" s="70"/>
      <c r="HL120" s="70"/>
      <c r="HM120" s="70"/>
      <c r="HN120" s="70"/>
      <c r="HO120" s="70"/>
      <c r="HP120" s="70"/>
      <c r="HQ120" s="70"/>
      <c r="HR120" s="70"/>
      <c r="HS120" s="70"/>
      <c r="HT120" s="70"/>
      <c r="HU120" s="70"/>
      <c r="HV120" s="70"/>
      <c r="HW120" s="70"/>
      <c r="HX120" s="70"/>
      <c r="HY120" s="70"/>
      <c r="HZ120" s="70"/>
      <c r="IA120" s="70"/>
      <c r="IB120" s="70"/>
      <c r="IC120" s="70"/>
      <c r="ID120" s="70"/>
      <c r="IE120" s="70"/>
      <c r="IF120" s="70"/>
      <c r="IG120" s="70"/>
    </row>
    <row r="121" spans="1:241" s="146" customFormat="1" ht="16.5" customHeight="1" x14ac:dyDescent="0.3">
      <c r="A121" s="168">
        <v>104</v>
      </c>
      <c r="B121" s="59" t="s">
        <v>44</v>
      </c>
      <c r="C121" s="162" t="s">
        <v>139</v>
      </c>
      <c r="D121" s="18">
        <v>881079416.70000005</v>
      </c>
      <c r="E121" s="18"/>
      <c r="F121" s="18">
        <v>708439543.66999996</v>
      </c>
      <c r="G121" s="18">
        <v>526010533.58999997</v>
      </c>
      <c r="H121" s="27"/>
      <c r="I121" s="26"/>
      <c r="J121" s="26">
        <v>2115529493.96</v>
      </c>
      <c r="K121" s="26">
        <v>52194336.939999998</v>
      </c>
      <c r="L121" s="18">
        <v>52194336.939999998</v>
      </c>
      <c r="M121" s="115">
        <v>-73726573.549999997</v>
      </c>
      <c r="N121" s="18">
        <v>2125283812.1600001</v>
      </c>
      <c r="O121" s="18">
        <v>42820473.299999997</v>
      </c>
      <c r="P121" s="76">
        <v>2156555823.1100001</v>
      </c>
      <c r="Q121" s="21">
        <f t="shared" si="38"/>
        <v>1.5162306229246653E-3</v>
      </c>
      <c r="R121" s="76">
        <v>2082463338.8599999</v>
      </c>
      <c r="S121" s="21">
        <f t="shared" si="39"/>
        <v>6.7446108897508905E-2</v>
      </c>
      <c r="T121" s="22">
        <f t="shared" si="41"/>
        <v>-3.4356858958165246E-2</v>
      </c>
      <c r="U121" s="57">
        <f t="shared" si="42"/>
        <v>2.506374828599512E-2</v>
      </c>
      <c r="V121" s="23">
        <f ca="1">V121/R121</f>
        <v>0</v>
      </c>
      <c r="W121" s="24">
        <f t="shared" si="43"/>
        <v>2.9961351533482485</v>
      </c>
      <c r="X121" s="24">
        <f t="shared" si="44"/>
        <v>-0.10607378993283709</v>
      </c>
      <c r="Y121" s="18">
        <v>2.98</v>
      </c>
      <c r="Z121" s="18">
        <v>3.04</v>
      </c>
      <c r="AA121" s="25">
        <v>2026</v>
      </c>
      <c r="AB121" s="25">
        <v>693753252.24000001</v>
      </c>
      <c r="AC121" s="25">
        <v>1299944.6100000001</v>
      </c>
      <c r="AD121" s="25">
        <v>3330.18</v>
      </c>
      <c r="AE121" s="18">
        <v>695049866.66999996</v>
      </c>
      <c r="AF121" s="145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  <c r="BI121" s="70"/>
      <c r="BJ121" s="70"/>
      <c r="BK121" s="70"/>
      <c r="BL121" s="70"/>
      <c r="BM121" s="70"/>
      <c r="BN121" s="70"/>
      <c r="BO121" s="70"/>
      <c r="BP121" s="70"/>
      <c r="BQ121" s="70"/>
      <c r="BR121" s="70"/>
      <c r="BS121" s="70"/>
      <c r="BT121" s="70"/>
      <c r="BU121" s="70"/>
      <c r="BV121" s="70"/>
      <c r="BW121" s="70"/>
      <c r="BX121" s="70"/>
      <c r="BY121" s="70"/>
      <c r="BZ121" s="70"/>
      <c r="CA121" s="70"/>
      <c r="CB121" s="70"/>
      <c r="CC121" s="70"/>
      <c r="CD121" s="70"/>
      <c r="CE121" s="70"/>
      <c r="CF121" s="70"/>
      <c r="CG121" s="70"/>
      <c r="CH121" s="70"/>
      <c r="CI121" s="70"/>
      <c r="CJ121" s="70"/>
      <c r="CK121" s="70"/>
      <c r="CL121" s="70"/>
      <c r="CM121" s="70"/>
      <c r="CN121" s="70"/>
      <c r="CO121" s="70"/>
      <c r="CP121" s="70"/>
      <c r="CQ121" s="70"/>
      <c r="CR121" s="70"/>
      <c r="CS121" s="70"/>
      <c r="CT121" s="70"/>
      <c r="CU121" s="70"/>
      <c r="CV121" s="70"/>
      <c r="CW121" s="70"/>
      <c r="CX121" s="70"/>
      <c r="CY121" s="70"/>
      <c r="CZ121" s="70"/>
      <c r="DA121" s="70"/>
      <c r="DB121" s="70"/>
      <c r="DC121" s="70"/>
      <c r="DD121" s="70"/>
      <c r="DE121" s="70"/>
      <c r="DF121" s="70"/>
      <c r="DG121" s="70"/>
      <c r="DH121" s="70"/>
      <c r="DI121" s="70"/>
      <c r="DJ121" s="70"/>
      <c r="DK121" s="70"/>
      <c r="DL121" s="70"/>
      <c r="DM121" s="70"/>
      <c r="DN121" s="70"/>
      <c r="DO121" s="70"/>
      <c r="DP121" s="70"/>
      <c r="DQ121" s="70"/>
      <c r="DR121" s="70"/>
      <c r="DS121" s="70"/>
      <c r="DT121" s="70"/>
      <c r="DU121" s="70"/>
      <c r="DV121" s="70"/>
      <c r="DW121" s="70"/>
      <c r="DX121" s="70"/>
      <c r="DY121" s="70"/>
      <c r="DZ121" s="70"/>
      <c r="EA121" s="70"/>
      <c r="EB121" s="70"/>
      <c r="EC121" s="70"/>
      <c r="ED121" s="70"/>
      <c r="EE121" s="70"/>
      <c r="EF121" s="70"/>
      <c r="EG121" s="70"/>
      <c r="EH121" s="70"/>
      <c r="EI121" s="70"/>
      <c r="EJ121" s="70"/>
      <c r="EK121" s="70"/>
      <c r="EL121" s="70"/>
      <c r="EM121" s="70"/>
      <c r="EN121" s="70"/>
      <c r="EO121" s="70"/>
      <c r="EP121" s="70"/>
      <c r="EQ121" s="70"/>
      <c r="ER121" s="70"/>
      <c r="ES121" s="70"/>
      <c r="ET121" s="70"/>
      <c r="EU121" s="70"/>
      <c r="EV121" s="70"/>
      <c r="EW121" s="70"/>
      <c r="EX121" s="70"/>
      <c r="EY121" s="70"/>
      <c r="EZ121" s="70"/>
      <c r="FA121" s="70"/>
      <c r="FB121" s="70"/>
      <c r="FC121" s="70"/>
      <c r="FD121" s="70"/>
      <c r="FE121" s="70"/>
      <c r="FF121" s="70"/>
      <c r="FG121" s="70"/>
      <c r="FH121" s="70"/>
      <c r="FI121" s="70"/>
      <c r="FJ121" s="70"/>
      <c r="FK121" s="70"/>
      <c r="FL121" s="70"/>
      <c r="FM121" s="70"/>
      <c r="FN121" s="70"/>
      <c r="FO121" s="70"/>
      <c r="FP121" s="70"/>
      <c r="FQ121" s="70"/>
      <c r="FR121" s="70"/>
      <c r="FS121" s="70"/>
      <c r="FT121" s="70"/>
      <c r="FU121" s="70"/>
      <c r="FV121" s="70"/>
      <c r="FW121" s="70"/>
      <c r="FX121" s="70"/>
      <c r="FY121" s="70"/>
      <c r="FZ121" s="70"/>
      <c r="GA121" s="70"/>
      <c r="GB121" s="70"/>
      <c r="GC121" s="70"/>
      <c r="GD121" s="70"/>
      <c r="GE121" s="70"/>
      <c r="GF121" s="70"/>
      <c r="GG121" s="70"/>
      <c r="GH121" s="70"/>
      <c r="GI121" s="70"/>
      <c r="GJ121" s="70"/>
      <c r="GK121" s="70"/>
      <c r="GL121" s="70"/>
      <c r="GM121" s="70"/>
      <c r="GN121" s="70"/>
      <c r="GO121" s="70"/>
      <c r="GP121" s="70"/>
      <c r="GQ121" s="70"/>
      <c r="GR121" s="70"/>
      <c r="GS121" s="70"/>
      <c r="GT121" s="70"/>
      <c r="GU121" s="70"/>
      <c r="GV121" s="70"/>
      <c r="GW121" s="70"/>
      <c r="GX121" s="70"/>
      <c r="GY121" s="70"/>
      <c r="GZ121" s="70"/>
      <c r="HA121" s="70"/>
      <c r="HB121" s="70"/>
      <c r="HC121" s="70"/>
      <c r="HD121" s="70"/>
      <c r="HE121" s="70"/>
      <c r="HF121" s="70"/>
      <c r="HG121" s="70"/>
      <c r="HH121" s="70"/>
      <c r="HI121" s="70"/>
      <c r="HJ121" s="70"/>
      <c r="HK121" s="70"/>
      <c r="HL121" s="70"/>
      <c r="HM121" s="70"/>
      <c r="HN121" s="70"/>
      <c r="HO121" s="70"/>
      <c r="HP121" s="70"/>
      <c r="HQ121" s="70"/>
      <c r="HR121" s="70"/>
      <c r="HS121" s="70"/>
      <c r="HT121" s="70"/>
      <c r="HU121" s="70"/>
      <c r="HV121" s="70"/>
      <c r="HW121" s="70"/>
      <c r="HX121" s="70"/>
      <c r="HY121" s="70"/>
      <c r="HZ121" s="70"/>
      <c r="IA121" s="70"/>
      <c r="IB121" s="70"/>
      <c r="IC121" s="70"/>
      <c r="ID121" s="70"/>
      <c r="IE121" s="70"/>
      <c r="IF121" s="70"/>
      <c r="IG121" s="70"/>
    </row>
    <row r="122" spans="1:241" s="146" customFormat="1" ht="16.5" customHeight="1" x14ac:dyDescent="0.3">
      <c r="A122" s="168">
        <v>105</v>
      </c>
      <c r="B122" s="59" t="s">
        <v>46</v>
      </c>
      <c r="C122" s="55" t="s">
        <v>140</v>
      </c>
      <c r="D122" s="18">
        <v>71905756.799999997</v>
      </c>
      <c r="E122" s="18"/>
      <c r="F122" s="18">
        <v>36378634.5</v>
      </c>
      <c r="G122" s="18">
        <v>53110431.170000002</v>
      </c>
      <c r="H122" s="72">
        <v>924000</v>
      </c>
      <c r="I122" s="26"/>
      <c r="J122" s="26">
        <v>162318822.47</v>
      </c>
      <c r="K122" s="26">
        <v>1954435.78</v>
      </c>
      <c r="L122" s="18">
        <v>200697.69</v>
      </c>
      <c r="M122" s="115">
        <v>1753738.09</v>
      </c>
      <c r="N122" s="18">
        <v>169444948.31</v>
      </c>
      <c r="O122" s="18">
        <v>3042712.54</v>
      </c>
      <c r="P122" s="76">
        <v>167162744.63999999</v>
      </c>
      <c r="Q122" s="21">
        <f t="shared" si="38"/>
        <v>1.1752873249058287E-4</v>
      </c>
      <c r="R122" s="76">
        <v>166402235.77000001</v>
      </c>
      <c r="S122" s="21">
        <f t="shared" si="39"/>
        <v>5.3893785811740943E-3</v>
      </c>
      <c r="T122" s="22">
        <f t="shared" si="41"/>
        <v>-4.5495117446043331E-3</v>
      </c>
      <c r="U122" s="57">
        <f t="shared" si="42"/>
        <v>1.2060997201828641E-3</v>
      </c>
      <c r="V122" s="23">
        <f>M121/R122</f>
        <v>-0.44306239762249555</v>
      </c>
      <c r="W122" s="24">
        <f t="shared" si="43"/>
        <v>1.6805740457792926</v>
      </c>
      <c r="X122" s="24">
        <f>M121/AE122</f>
        <v>-0.74459916610511101</v>
      </c>
      <c r="Y122" s="18">
        <v>1.6806000000000001</v>
      </c>
      <c r="Z122" s="18">
        <v>1.7113</v>
      </c>
      <c r="AA122" s="25">
        <v>100</v>
      </c>
      <c r="AB122" s="25">
        <v>98731027</v>
      </c>
      <c r="AC122" s="25">
        <v>284090</v>
      </c>
      <c r="AD122" s="25"/>
      <c r="AE122" s="18">
        <v>99015117</v>
      </c>
      <c r="AF122" s="145"/>
      <c r="AG122" s="70"/>
      <c r="AH122" s="70"/>
      <c r="AI122" s="70"/>
      <c r="AJ122" s="70"/>
      <c r="AK122" s="70"/>
      <c r="AL122" s="70"/>
      <c r="AM122" s="70"/>
      <c r="AN122" s="70"/>
      <c r="AO122" s="70"/>
      <c r="AP122" s="70"/>
      <c r="AQ122" s="70"/>
      <c r="AR122" s="70"/>
      <c r="AS122" s="70"/>
      <c r="AT122" s="70"/>
      <c r="AU122" s="70"/>
      <c r="AV122" s="70"/>
      <c r="AW122" s="70"/>
      <c r="AX122" s="70"/>
      <c r="AY122" s="70"/>
      <c r="AZ122" s="70"/>
      <c r="BA122" s="70"/>
      <c r="BB122" s="70"/>
      <c r="BC122" s="70"/>
      <c r="BD122" s="70"/>
      <c r="BE122" s="70"/>
      <c r="BF122" s="70"/>
      <c r="BG122" s="70"/>
      <c r="BH122" s="70"/>
      <c r="BI122" s="70"/>
      <c r="BJ122" s="70"/>
      <c r="BK122" s="70"/>
      <c r="BL122" s="70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  <c r="EE122" s="70"/>
      <c r="EF122" s="70"/>
      <c r="EG122" s="70"/>
      <c r="EH122" s="70"/>
      <c r="EI122" s="70"/>
      <c r="EJ122" s="70"/>
      <c r="EK122" s="70"/>
      <c r="EL122" s="70"/>
      <c r="EM122" s="70"/>
      <c r="EN122" s="70"/>
      <c r="EO122" s="70"/>
      <c r="EP122" s="70"/>
      <c r="EQ122" s="70"/>
      <c r="ER122" s="70"/>
      <c r="ES122" s="70"/>
      <c r="ET122" s="70"/>
      <c r="EU122" s="70"/>
      <c r="EV122" s="70"/>
      <c r="EW122" s="70"/>
      <c r="EX122" s="70"/>
      <c r="EY122" s="70"/>
      <c r="EZ122" s="70"/>
      <c r="FA122" s="70"/>
      <c r="FB122" s="70"/>
      <c r="FC122" s="70"/>
      <c r="FD122" s="70"/>
      <c r="FE122" s="70"/>
      <c r="FF122" s="70"/>
      <c r="FG122" s="70"/>
      <c r="FH122" s="70"/>
      <c r="FI122" s="70"/>
      <c r="FJ122" s="70"/>
      <c r="FK122" s="70"/>
      <c r="FL122" s="70"/>
      <c r="FM122" s="70"/>
      <c r="FN122" s="70"/>
      <c r="FO122" s="70"/>
      <c r="FP122" s="70"/>
      <c r="FQ122" s="70"/>
      <c r="FR122" s="70"/>
      <c r="FS122" s="70"/>
      <c r="FT122" s="70"/>
      <c r="FU122" s="70"/>
      <c r="FV122" s="70"/>
      <c r="FW122" s="70"/>
      <c r="FX122" s="70"/>
      <c r="FY122" s="70"/>
      <c r="FZ122" s="70"/>
      <c r="GA122" s="70"/>
      <c r="GB122" s="70"/>
      <c r="GC122" s="70"/>
      <c r="GD122" s="70"/>
      <c r="GE122" s="70"/>
      <c r="GF122" s="70"/>
      <c r="GG122" s="70"/>
      <c r="GH122" s="70"/>
      <c r="GI122" s="70"/>
      <c r="GJ122" s="70"/>
      <c r="GK122" s="70"/>
      <c r="GL122" s="70"/>
      <c r="GM122" s="70"/>
      <c r="GN122" s="70"/>
      <c r="GO122" s="70"/>
      <c r="GP122" s="70"/>
      <c r="GQ122" s="70"/>
      <c r="GR122" s="70"/>
      <c r="GS122" s="70"/>
      <c r="GT122" s="70"/>
      <c r="GU122" s="70"/>
      <c r="GV122" s="70"/>
      <c r="GW122" s="70"/>
      <c r="GX122" s="70"/>
      <c r="GY122" s="70"/>
      <c r="GZ122" s="70"/>
      <c r="HA122" s="70"/>
      <c r="HB122" s="70"/>
      <c r="HC122" s="70"/>
      <c r="HD122" s="70"/>
      <c r="HE122" s="70"/>
      <c r="HF122" s="70"/>
      <c r="HG122" s="70"/>
      <c r="HH122" s="70"/>
      <c r="HI122" s="70"/>
      <c r="HJ122" s="70"/>
      <c r="HK122" s="70"/>
      <c r="HL122" s="70"/>
      <c r="HM122" s="70"/>
      <c r="HN122" s="70"/>
      <c r="HO122" s="70"/>
      <c r="HP122" s="70"/>
      <c r="HQ122" s="70"/>
      <c r="HR122" s="70"/>
      <c r="HS122" s="70"/>
      <c r="HT122" s="70"/>
      <c r="HU122" s="70"/>
      <c r="HV122" s="70"/>
      <c r="HW122" s="70"/>
      <c r="HX122" s="70"/>
      <c r="HY122" s="70"/>
      <c r="HZ122" s="70"/>
      <c r="IA122" s="70"/>
      <c r="IB122" s="70"/>
      <c r="IC122" s="70"/>
      <c r="ID122" s="70"/>
      <c r="IE122" s="70"/>
      <c r="IF122" s="70"/>
      <c r="IG122" s="70"/>
    </row>
    <row r="123" spans="1:241" s="146" customFormat="1" ht="16.5" customHeight="1" x14ac:dyDescent="0.3">
      <c r="A123" s="168">
        <v>106</v>
      </c>
      <c r="B123" s="142" t="s">
        <v>33</v>
      </c>
      <c r="C123" s="56" t="s">
        <v>213</v>
      </c>
      <c r="D123" s="18">
        <v>337671973</v>
      </c>
      <c r="E123" s="18"/>
      <c r="F123" s="18">
        <v>9616943</v>
      </c>
      <c r="G123" s="18"/>
      <c r="H123" s="27"/>
      <c r="I123" s="26"/>
      <c r="J123" s="26">
        <v>347288916.25999999</v>
      </c>
      <c r="K123" s="26">
        <v>9203315.7300000004</v>
      </c>
      <c r="L123" s="18">
        <v>1177492</v>
      </c>
      <c r="M123" s="115">
        <v>6190243</v>
      </c>
      <c r="N123" s="18">
        <v>671698765</v>
      </c>
      <c r="O123" s="18">
        <v>18648670</v>
      </c>
      <c r="P123" s="76">
        <v>644386483</v>
      </c>
      <c r="Q123" s="21">
        <f t="shared" si="38"/>
        <v>4.5305505568333631E-4</v>
      </c>
      <c r="R123" s="76">
        <v>653050095</v>
      </c>
      <c r="S123" s="21">
        <f t="shared" si="39"/>
        <v>2.1150762657368271E-2</v>
      </c>
      <c r="T123" s="22">
        <f t="shared" si="41"/>
        <v>1.3444745084759948E-2</v>
      </c>
      <c r="U123" s="57" t="e">
        <f>(#REF!/#REF!)</f>
        <v>#REF!</v>
      </c>
      <c r="V123" s="23" t="e">
        <f>#REF!/#REF!</f>
        <v>#REF!</v>
      </c>
      <c r="W123" s="24" t="e">
        <f>#REF!/#REF!</f>
        <v>#REF!</v>
      </c>
      <c r="X123" s="24" t="e">
        <f>#REF!/#REF!</f>
        <v>#REF!</v>
      </c>
      <c r="Y123" s="18">
        <v>1.17</v>
      </c>
      <c r="Z123" s="18">
        <v>1.19</v>
      </c>
      <c r="AA123" s="25">
        <v>253</v>
      </c>
      <c r="AB123" s="25">
        <v>525963214</v>
      </c>
      <c r="AC123" s="25">
        <v>30899192</v>
      </c>
      <c r="AD123" s="25">
        <v>4232</v>
      </c>
      <c r="AE123" s="18">
        <v>556858174</v>
      </c>
      <c r="AF123" s="145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  <c r="BB123" s="70"/>
      <c r="BC123" s="70"/>
      <c r="BD123" s="70"/>
      <c r="BE123" s="70"/>
      <c r="BF123" s="70"/>
      <c r="BG123" s="70"/>
      <c r="BH123" s="70"/>
      <c r="BI123" s="70"/>
      <c r="BJ123" s="70"/>
      <c r="BK123" s="70"/>
      <c r="BL123" s="70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  <c r="EE123" s="70"/>
      <c r="EF123" s="70"/>
      <c r="EG123" s="70"/>
      <c r="EH123" s="70"/>
      <c r="EI123" s="70"/>
      <c r="EJ123" s="70"/>
      <c r="EK123" s="70"/>
      <c r="EL123" s="70"/>
      <c r="EM123" s="70"/>
      <c r="EN123" s="70"/>
      <c r="EO123" s="70"/>
      <c r="EP123" s="70"/>
      <c r="EQ123" s="70"/>
      <c r="ER123" s="70"/>
      <c r="ES123" s="70"/>
      <c r="ET123" s="70"/>
      <c r="EU123" s="70"/>
      <c r="EV123" s="70"/>
      <c r="EW123" s="70"/>
      <c r="EX123" s="70"/>
      <c r="EY123" s="70"/>
      <c r="EZ123" s="70"/>
      <c r="FA123" s="70"/>
      <c r="FB123" s="70"/>
      <c r="FC123" s="70"/>
      <c r="FD123" s="70"/>
      <c r="FE123" s="70"/>
      <c r="FF123" s="70"/>
      <c r="FG123" s="70"/>
      <c r="FH123" s="70"/>
      <c r="FI123" s="70"/>
      <c r="FJ123" s="70"/>
      <c r="FK123" s="70"/>
      <c r="FL123" s="70"/>
      <c r="FM123" s="70"/>
      <c r="FN123" s="70"/>
      <c r="FO123" s="70"/>
      <c r="FP123" s="70"/>
      <c r="FQ123" s="70"/>
      <c r="FR123" s="70"/>
      <c r="FS123" s="70"/>
      <c r="FT123" s="70"/>
      <c r="FU123" s="70"/>
      <c r="FV123" s="70"/>
      <c r="FW123" s="70"/>
      <c r="FX123" s="70"/>
      <c r="FY123" s="70"/>
      <c r="FZ123" s="70"/>
      <c r="GA123" s="70"/>
      <c r="GB123" s="70"/>
      <c r="GC123" s="70"/>
      <c r="GD123" s="70"/>
      <c r="GE123" s="70"/>
      <c r="GF123" s="70"/>
      <c r="GG123" s="70"/>
      <c r="GH123" s="70"/>
      <c r="GI123" s="70"/>
      <c r="GJ123" s="70"/>
      <c r="GK123" s="70"/>
      <c r="GL123" s="70"/>
      <c r="GM123" s="70"/>
      <c r="GN123" s="70"/>
      <c r="GO123" s="70"/>
      <c r="GP123" s="70"/>
      <c r="GQ123" s="70"/>
      <c r="GR123" s="70"/>
      <c r="GS123" s="70"/>
      <c r="GT123" s="70"/>
      <c r="GU123" s="70"/>
      <c r="GV123" s="70"/>
      <c r="GW123" s="70"/>
      <c r="GX123" s="70"/>
      <c r="GY123" s="70"/>
      <c r="GZ123" s="70"/>
      <c r="HA123" s="70"/>
      <c r="HB123" s="70"/>
      <c r="HC123" s="70"/>
      <c r="HD123" s="70"/>
      <c r="HE123" s="70"/>
      <c r="HF123" s="70"/>
      <c r="HG123" s="70"/>
      <c r="HH123" s="70"/>
      <c r="HI123" s="70"/>
      <c r="HJ123" s="70"/>
      <c r="HK123" s="70"/>
      <c r="HL123" s="70"/>
      <c r="HM123" s="70"/>
      <c r="HN123" s="70"/>
      <c r="HO123" s="70"/>
      <c r="HP123" s="70"/>
      <c r="HQ123" s="70"/>
      <c r="HR123" s="70"/>
      <c r="HS123" s="70"/>
      <c r="HT123" s="70"/>
      <c r="HU123" s="70"/>
      <c r="HV123" s="70"/>
      <c r="HW123" s="70"/>
      <c r="HX123" s="70"/>
      <c r="HY123" s="70"/>
      <c r="HZ123" s="70"/>
      <c r="IA123" s="70"/>
      <c r="IB123" s="70"/>
      <c r="IC123" s="70"/>
      <c r="ID123" s="70"/>
      <c r="IE123" s="70"/>
      <c r="IF123" s="70"/>
      <c r="IG123" s="70"/>
    </row>
    <row r="124" spans="1:241" s="146" customFormat="1" ht="16.5" customHeight="1" x14ac:dyDescent="0.3">
      <c r="A124" s="168">
        <v>107</v>
      </c>
      <c r="B124" s="59" t="s">
        <v>72</v>
      </c>
      <c r="C124" s="56" t="s">
        <v>137</v>
      </c>
      <c r="D124" s="18">
        <v>65073935.399999999</v>
      </c>
      <c r="E124" s="18"/>
      <c r="F124" s="18">
        <v>53683737.530000001</v>
      </c>
      <c r="G124" s="18">
        <v>3746571.12</v>
      </c>
      <c r="H124" s="27"/>
      <c r="I124" s="26"/>
      <c r="J124" s="26">
        <v>122504244.05</v>
      </c>
      <c r="K124" s="26">
        <v>2283773.09</v>
      </c>
      <c r="L124" s="18">
        <v>31685.72</v>
      </c>
      <c r="M124" s="115">
        <v>-588383.48</v>
      </c>
      <c r="N124" s="18">
        <v>131770648.78</v>
      </c>
      <c r="O124" s="18">
        <v>1111687.1000000001</v>
      </c>
      <c r="P124" s="76">
        <v>130564396.94</v>
      </c>
      <c r="Q124" s="21">
        <f t="shared" si="38"/>
        <v>9.1797177138976273E-5</v>
      </c>
      <c r="R124" s="76">
        <v>130658961.69</v>
      </c>
      <c r="S124" s="21">
        <f t="shared" si="39"/>
        <v>4.2317376705432739E-3</v>
      </c>
      <c r="T124" s="22">
        <f t="shared" si="41"/>
        <v>7.2427669576306168E-4</v>
      </c>
      <c r="U124" s="57">
        <f t="shared" si="42"/>
        <v>2.4250705493265122E-4</v>
      </c>
      <c r="V124" s="23">
        <f t="shared" ref="V124:V131" si="45">M124/R124</f>
        <v>-4.5032003345931377E-3</v>
      </c>
      <c r="W124" s="24">
        <f t="shared" si="43"/>
        <v>1.2465727487497273</v>
      </c>
      <c r="X124" s="24">
        <f t="shared" ref="X124:X131" si="46">M124/AE124</f>
        <v>-5.6135668192644596E-3</v>
      </c>
      <c r="Y124" s="18">
        <v>1.2390000000000001</v>
      </c>
      <c r="Z124" s="18">
        <v>1.2390000000000001</v>
      </c>
      <c r="AA124" s="25">
        <v>147</v>
      </c>
      <c r="AB124" s="25">
        <v>104063793.61</v>
      </c>
      <c r="AC124" s="18">
        <v>860418.52</v>
      </c>
      <c r="AD124" s="18">
        <v>109662.15</v>
      </c>
      <c r="AE124" s="51">
        <v>104814549.98999999</v>
      </c>
      <c r="AF124" s="145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  <c r="BB124" s="70"/>
      <c r="BC124" s="70"/>
      <c r="BD124" s="70"/>
      <c r="BE124" s="70"/>
      <c r="BF124" s="70"/>
      <c r="BG124" s="70"/>
      <c r="BH124" s="70"/>
      <c r="BI124" s="70"/>
      <c r="BJ124" s="70"/>
      <c r="BK124" s="70"/>
      <c r="BL124" s="70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  <c r="EE124" s="70"/>
      <c r="EF124" s="70"/>
      <c r="EG124" s="70"/>
      <c r="EH124" s="70"/>
      <c r="EI124" s="70"/>
      <c r="EJ124" s="70"/>
      <c r="EK124" s="70"/>
      <c r="EL124" s="70"/>
      <c r="EM124" s="70"/>
      <c r="EN124" s="70"/>
      <c r="EO124" s="70"/>
      <c r="EP124" s="70"/>
      <c r="EQ124" s="70"/>
      <c r="ER124" s="70"/>
      <c r="ES124" s="70"/>
      <c r="ET124" s="70"/>
      <c r="EU124" s="70"/>
      <c r="EV124" s="70"/>
      <c r="EW124" s="70"/>
      <c r="EX124" s="70"/>
      <c r="EY124" s="70"/>
      <c r="EZ124" s="70"/>
      <c r="FA124" s="70"/>
      <c r="FB124" s="70"/>
      <c r="FC124" s="70"/>
      <c r="FD124" s="70"/>
      <c r="FE124" s="70"/>
      <c r="FF124" s="70"/>
      <c r="FG124" s="70"/>
      <c r="FH124" s="70"/>
      <c r="FI124" s="70"/>
      <c r="FJ124" s="70"/>
      <c r="FK124" s="70"/>
      <c r="FL124" s="70"/>
      <c r="FM124" s="70"/>
      <c r="FN124" s="70"/>
      <c r="FO124" s="70"/>
      <c r="FP124" s="70"/>
      <c r="FQ124" s="70"/>
      <c r="FR124" s="70"/>
      <c r="FS124" s="70"/>
      <c r="FT124" s="70"/>
      <c r="FU124" s="70"/>
      <c r="FV124" s="70"/>
      <c r="FW124" s="70"/>
      <c r="FX124" s="70"/>
      <c r="FY124" s="70"/>
      <c r="FZ124" s="70"/>
      <c r="GA124" s="70"/>
      <c r="GB124" s="70"/>
      <c r="GC124" s="70"/>
      <c r="GD124" s="70"/>
      <c r="GE124" s="70"/>
      <c r="GF124" s="70"/>
      <c r="GG124" s="70"/>
      <c r="GH124" s="70"/>
      <c r="GI124" s="70"/>
      <c r="GJ124" s="70"/>
      <c r="GK124" s="70"/>
      <c r="GL124" s="70"/>
      <c r="GM124" s="70"/>
      <c r="GN124" s="70"/>
      <c r="GO124" s="70"/>
      <c r="GP124" s="70"/>
      <c r="GQ124" s="70"/>
      <c r="GR124" s="70"/>
      <c r="GS124" s="70"/>
      <c r="GT124" s="70"/>
      <c r="GU124" s="70"/>
      <c r="GV124" s="70"/>
      <c r="GW124" s="70"/>
      <c r="GX124" s="70"/>
      <c r="GY124" s="70"/>
      <c r="GZ124" s="70"/>
      <c r="HA124" s="70"/>
      <c r="HB124" s="70"/>
      <c r="HC124" s="70"/>
      <c r="HD124" s="70"/>
      <c r="HE124" s="70"/>
      <c r="HF124" s="70"/>
      <c r="HG124" s="70"/>
      <c r="HH124" s="70"/>
      <c r="HI124" s="70"/>
      <c r="HJ124" s="70"/>
      <c r="HK124" s="70"/>
      <c r="HL124" s="70"/>
      <c r="HM124" s="70"/>
      <c r="HN124" s="70"/>
      <c r="HO124" s="70"/>
      <c r="HP124" s="70"/>
      <c r="HQ124" s="70"/>
      <c r="HR124" s="70"/>
      <c r="HS124" s="70"/>
      <c r="HT124" s="70"/>
      <c r="HU124" s="70"/>
      <c r="HV124" s="70"/>
      <c r="HW124" s="70"/>
      <c r="HX124" s="70"/>
      <c r="HY124" s="70"/>
      <c r="HZ124" s="70"/>
      <c r="IA124" s="70"/>
      <c r="IB124" s="70"/>
      <c r="IC124" s="70"/>
      <c r="ID124" s="70"/>
      <c r="IE124" s="70"/>
      <c r="IF124" s="70"/>
      <c r="IG124" s="70"/>
    </row>
    <row r="125" spans="1:241" s="146" customFormat="1" ht="16.5" customHeight="1" x14ac:dyDescent="0.3">
      <c r="A125" s="168">
        <v>108</v>
      </c>
      <c r="B125" s="59" t="s">
        <v>63</v>
      </c>
      <c r="C125" s="56" t="s">
        <v>212</v>
      </c>
      <c r="D125" s="18">
        <v>57585452.899999999</v>
      </c>
      <c r="E125" s="18"/>
      <c r="F125" s="18"/>
      <c r="G125" s="18"/>
      <c r="H125" s="27"/>
      <c r="I125" s="26"/>
      <c r="J125" s="26">
        <v>54912001.039999999</v>
      </c>
      <c r="K125" s="26">
        <v>1421522.43</v>
      </c>
      <c r="L125" s="18">
        <v>318784.09999999998</v>
      </c>
      <c r="M125" s="115">
        <v>1102738.33</v>
      </c>
      <c r="N125" s="18">
        <v>230954871.30000001</v>
      </c>
      <c r="O125" s="18">
        <v>1917684.09</v>
      </c>
      <c r="P125" s="76">
        <v>228450393.63</v>
      </c>
      <c r="Q125" s="21">
        <f t="shared" si="38"/>
        <v>1.6061883440674182E-4</v>
      </c>
      <c r="R125" s="76">
        <v>227450716.99000001</v>
      </c>
      <c r="S125" s="21">
        <f t="shared" si="39"/>
        <v>7.3665958678158245E-3</v>
      </c>
      <c r="T125" s="22">
        <f t="shared" si="41"/>
        <v>-4.3759024623046599E-3</v>
      </c>
      <c r="U125" s="57">
        <f t="shared" si="42"/>
        <v>1.4015524075662311E-3</v>
      </c>
      <c r="V125" s="23">
        <f t="shared" si="45"/>
        <v>4.8482517206067215E-3</v>
      </c>
      <c r="W125" s="24">
        <f t="shared" si="43"/>
        <v>149.06551193306788</v>
      </c>
      <c r="X125" s="24">
        <f t="shared" si="46"/>
        <v>0.72270712471261811</v>
      </c>
      <c r="Y125" s="18">
        <v>148.58000000000001</v>
      </c>
      <c r="Z125" s="18">
        <v>150.87</v>
      </c>
      <c r="AA125" s="25">
        <v>39</v>
      </c>
      <c r="AB125" s="25">
        <v>1525844</v>
      </c>
      <c r="AC125" s="25">
        <v>0</v>
      </c>
      <c r="AD125" s="25">
        <v>0</v>
      </c>
      <c r="AE125" s="25">
        <v>1525844</v>
      </c>
      <c r="AF125" s="145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70"/>
      <c r="BD125" s="70"/>
      <c r="BE125" s="70"/>
      <c r="BF125" s="70"/>
      <c r="BG125" s="70"/>
      <c r="BH125" s="70"/>
      <c r="BI125" s="70"/>
      <c r="BJ125" s="70"/>
      <c r="BK125" s="70"/>
      <c r="BL125" s="70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  <c r="EE125" s="70"/>
      <c r="EF125" s="70"/>
      <c r="EG125" s="70"/>
      <c r="EH125" s="70"/>
      <c r="EI125" s="70"/>
      <c r="EJ125" s="70"/>
      <c r="EK125" s="70"/>
      <c r="EL125" s="70"/>
      <c r="EM125" s="70"/>
      <c r="EN125" s="70"/>
      <c r="EO125" s="70"/>
      <c r="EP125" s="70"/>
      <c r="EQ125" s="70"/>
      <c r="ER125" s="70"/>
      <c r="ES125" s="70"/>
      <c r="ET125" s="70"/>
      <c r="EU125" s="70"/>
      <c r="EV125" s="70"/>
      <c r="EW125" s="70"/>
      <c r="EX125" s="70"/>
      <c r="EY125" s="70"/>
      <c r="EZ125" s="70"/>
      <c r="FA125" s="70"/>
      <c r="FB125" s="70"/>
      <c r="FC125" s="70"/>
      <c r="FD125" s="70"/>
      <c r="FE125" s="70"/>
      <c r="FF125" s="70"/>
      <c r="FG125" s="70"/>
      <c r="FH125" s="70"/>
      <c r="FI125" s="70"/>
      <c r="FJ125" s="70"/>
      <c r="FK125" s="70"/>
      <c r="FL125" s="70"/>
      <c r="FM125" s="70"/>
      <c r="FN125" s="70"/>
      <c r="FO125" s="70"/>
      <c r="FP125" s="70"/>
      <c r="FQ125" s="70"/>
      <c r="FR125" s="70"/>
      <c r="FS125" s="70"/>
      <c r="FT125" s="70"/>
      <c r="FU125" s="70"/>
      <c r="FV125" s="70"/>
      <c r="FW125" s="70"/>
      <c r="FX125" s="70"/>
      <c r="FY125" s="70"/>
      <c r="FZ125" s="70"/>
      <c r="GA125" s="70"/>
      <c r="GB125" s="70"/>
      <c r="GC125" s="70"/>
      <c r="GD125" s="70"/>
      <c r="GE125" s="70"/>
      <c r="GF125" s="70"/>
      <c r="GG125" s="70"/>
      <c r="GH125" s="70"/>
      <c r="GI125" s="70"/>
      <c r="GJ125" s="70"/>
      <c r="GK125" s="70"/>
      <c r="GL125" s="70"/>
      <c r="GM125" s="70"/>
      <c r="GN125" s="70"/>
      <c r="GO125" s="70"/>
      <c r="GP125" s="70"/>
      <c r="GQ125" s="70"/>
      <c r="GR125" s="70"/>
      <c r="GS125" s="70"/>
      <c r="GT125" s="70"/>
      <c r="GU125" s="70"/>
      <c r="GV125" s="70"/>
      <c r="GW125" s="70"/>
      <c r="GX125" s="70"/>
      <c r="GY125" s="70"/>
      <c r="GZ125" s="70"/>
      <c r="HA125" s="70"/>
      <c r="HB125" s="70"/>
      <c r="HC125" s="70"/>
      <c r="HD125" s="70"/>
      <c r="HE125" s="70"/>
      <c r="HF125" s="70"/>
      <c r="HG125" s="70"/>
      <c r="HH125" s="70"/>
      <c r="HI125" s="70"/>
      <c r="HJ125" s="70"/>
      <c r="HK125" s="70"/>
      <c r="HL125" s="70"/>
      <c r="HM125" s="70"/>
      <c r="HN125" s="70"/>
      <c r="HO125" s="70"/>
      <c r="HP125" s="70"/>
      <c r="HQ125" s="70"/>
      <c r="HR125" s="70"/>
      <c r="HS125" s="70"/>
      <c r="HT125" s="70"/>
      <c r="HU125" s="70"/>
      <c r="HV125" s="70"/>
      <c r="HW125" s="70"/>
      <c r="HX125" s="70"/>
      <c r="HY125" s="70"/>
      <c r="HZ125" s="70"/>
      <c r="IA125" s="70"/>
      <c r="IB125" s="70"/>
      <c r="IC125" s="70"/>
      <c r="ID125" s="70"/>
      <c r="IE125" s="70"/>
      <c r="IF125" s="70"/>
      <c r="IG125" s="70"/>
    </row>
    <row r="126" spans="1:241" s="146" customFormat="1" ht="16.5" customHeight="1" x14ac:dyDescent="0.3">
      <c r="A126" s="168">
        <v>109</v>
      </c>
      <c r="B126" s="142" t="s">
        <v>58</v>
      </c>
      <c r="C126" s="56" t="s">
        <v>133</v>
      </c>
      <c r="D126" s="18">
        <v>77539676.829999998</v>
      </c>
      <c r="E126" s="18"/>
      <c r="F126" s="18">
        <v>63249543.619999997</v>
      </c>
      <c r="G126" s="18">
        <v>34475682.840000004</v>
      </c>
      <c r="H126" s="27"/>
      <c r="I126" s="26"/>
      <c r="J126" s="26">
        <v>176359081.56</v>
      </c>
      <c r="K126" s="26">
        <v>1044094.19</v>
      </c>
      <c r="L126" s="18">
        <v>426747.61</v>
      </c>
      <c r="M126" s="115">
        <v>617346.57999999996</v>
      </c>
      <c r="N126" s="18">
        <v>176359081.56</v>
      </c>
      <c r="O126" s="18">
        <v>12401722.449999999</v>
      </c>
      <c r="P126" s="76">
        <v>166204098.68000001</v>
      </c>
      <c r="Q126" s="21">
        <f t="shared" si="38"/>
        <v>1.1685472797582895E-4</v>
      </c>
      <c r="R126" s="76">
        <v>163957359.11000001</v>
      </c>
      <c r="S126" s="21">
        <f t="shared" si="39"/>
        <v>5.3101947538412167E-3</v>
      </c>
      <c r="T126" s="22">
        <f t="shared" ref="T126:T133" si="47">((R126-P126)/P126)</f>
        <v>-1.3517955260091018E-2</v>
      </c>
      <c r="U126" s="57">
        <f t="shared" ref="U126:U131" si="48">(L126/R126)</f>
        <v>2.6027963143373904E-3</v>
      </c>
      <c r="V126" s="23">
        <f t="shared" si="45"/>
        <v>3.765287409794264E-3</v>
      </c>
      <c r="W126" s="24">
        <f t="shared" ref="W126:W131" si="49">R126/AE126</f>
        <v>3.7332968838586615</v>
      </c>
      <c r="X126" s="24">
        <f t="shared" si="46"/>
        <v>1.4056935753817177E-2</v>
      </c>
      <c r="Y126" s="18">
        <v>3.6968000000000001</v>
      </c>
      <c r="Z126" s="18">
        <v>3.7576999999999998</v>
      </c>
      <c r="AA126" s="25">
        <v>11818</v>
      </c>
      <c r="AB126" s="25">
        <v>43917578.539999999</v>
      </c>
      <c r="AC126" s="25">
        <v>0</v>
      </c>
      <c r="AD126" s="25">
        <v>0</v>
      </c>
      <c r="AE126" s="18">
        <v>43917578.539999999</v>
      </c>
      <c r="AF126" s="145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  <c r="BB126" s="70"/>
      <c r="BC126" s="70"/>
      <c r="BD126" s="70"/>
      <c r="BE126" s="70"/>
      <c r="BF126" s="70"/>
      <c r="BG126" s="70"/>
      <c r="BH126" s="70"/>
      <c r="BI126" s="70"/>
      <c r="BJ126" s="70"/>
      <c r="BK126" s="70"/>
      <c r="BL126" s="70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  <c r="EE126" s="70"/>
      <c r="EF126" s="70"/>
      <c r="EG126" s="70"/>
      <c r="EH126" s="70"/>
      <c r="EI126" s="70"/>
      <c r="EJ126" s="70"/>
      <c r="EK126" s="70"/>
      <c r="EL126" s="70"/>
      <c r="EM126" s="70"/>
      <c r="EN126" s="70"/>
      <c r="EO126" s="70"/>
      <c r="EP126" s="70"/>
      <c r="EQ126" s="70"/>
      <c r="ER126" s="70"/>
      <c r="ES126" s="70"/>
      <c r="ET126" s="70"/>
      <c r="EU126" s="70"/>
      <c r="EV126" s="70"/>
      <c r="EW126" s="70"/>
      <c r="EX126" s="70"/>
      <c r="EY126" s="70"/>
      <c r="EZ126" s="70"/>
      <c r="FA126" s="70"/>
      <c r="FB126" s="70"/>
      <c r="FC126" s="70"/>
      <c r="FD126" s="70"/>
      <c r="FE126" s="70"/>
      <c r="FF126" s="70"/>
      <c r="FG126" s="70"/>
      <c r="FH126" s="70"/>
      <c r="FI126" s="70"/>
      <c r="FJ126" s="70"/>
      <c r="FK126" s="70"/>
      <c r="FL126" s="70"/>
      <c r="FM126" s="70"/>
      <c r="FN126" s="70"/>
      <c r="FO126" s="70"/>
      <c r="FP126" s="70"/>
      <c r="FQ126" s="70"/>
      <c r="FR126" s="70"/>
      <c r="FS126" s="70"/>
      <c r="FT126" s="70"/>
      <c r="FU126" s="70"/>
      <c r="FV126" s="70"/>
      <c r="FW126" s="70"/>
      <c r="FX126" s="70"/>
      <c r="FY126" s="70"/>
      <c r="FZ126" s="70"/>
      <c r="GA126" s="70"/>
      <c r="GB126" s="70"/>
      <c r="GC126" s="70"/>
      <c r="GD126" s="70"/>
      <c r="GE126" s="70"/>
      <c r="GF126" s="70"/>
      <c r="GG126" s="70"/>
      <c r="GH126" s="70"/>
      <c r="GI126" s="70"/>
      <c r="GJ126" s="70"/>
      <c r="GK126" s="70"/>
      <c r="GL126" s="70"/>
      <c r="GM126" s="70"/>
      <c r="GN126" s="70"/>
      <c r="GO126" s="70"/>
      <c r="GP126" s="70"/>
      <c r="GQ126" s="70"/>
      <c r="GR126" s="70"/>
      <c r="GS126" s="70"/>
      <c r="GT126" s="70"/>
      <c r="GU126" s="70"/>
      <c r="GV126" s="70"/>
      <c r="GW126" s="70"/>
      <c r="GX126" s="70"/>
      <c r="GY126" s="70"/>
      <c r="GZ126" s="70"/>
      <c r="HA126" s="70"/>
      <c r="HB126" s="70"/>
      <c r="HC126" s="70"/>
      <c r="HD126" s="70"/>
      <c r="HE126" s="70"/>
      <c r="HF126" s="70"/>
      <c r="HG126" s="70"/>
      <c r="HH126" s="70"/>
      <c r="HI126" s="70"/>
      <c r="HJ126" s="70"/>
      <c r="HK126" s="70"/>
      <c r="HL126" s="70"/>
      <c r="HM126" s="70"/>
      <c r="HN126" s="70"/>
      <c r="HO126" s="70"/>
      <c r="HP126" s="70"/>
      <c r="HQ126" s="70"/>
      <c r="HR126" s="70"/>
      <c r="HS126" s="70"/>
      <c r="HT126" s="70"/>
      <c r="HU126" s="70"/>
      <c r="HV126" s="70"/>
      <c r="HW126" s="70"/>
      <c r="HX126" s="70"/>
      <c r="HY126" s="70"/>
      <c r="HZ126" s="70"/>
      <c r="IA126" s="70"/>
      <c r="IB126" s="70"/>
      <c r="IC126" s="70"/>
      <c r="ID126" s="70"/>
      <c r="IE126" s="70"/>
      <c r="IF126" s="70"/>
      <c r="IG126" s="70"/>
    </row>
    <row r="127" spans="1:241" ht="16.5" customHeight="1" x14ac:dyDescent="0.3">
      <c r="A127" s="168">
        <v>110</v>
      </c>
      <c r="B127" s="59" t="s">
        <v>65</v>
      </c>
      <c r="C127" s="56" t="s">
        <v>138</v>
      </c>
      <c r="D127" s="18">
        <v>162137246.05000001</v>
      </c>
      <c r="E127" s="18"/>
      <c r="F127" s="18">
        <v>56543981.219999999</v>
      </c>
      <c r="G127" s="18">
        <v>80126008.989999995</v>
      </c>
      <c r="H127" s="27"/>
      <c r="I127" s="26"/>
      <c r="J127" s="26">
        <v>298807236.25999999</v>
      </c>
      <c r="K127" s="26">
        <v>1880379.83</v>
      </c>
      <c r="L127" s="26">
        <v>672087.34</v>
      </c>
      <c r="M127" s="115">
        <v>3924948</v>
      </c>
      <c r="N127" s="18">
        <v>337323755.75999999</v>
      </c>
      <c r="O127" s="18">
        <v>6662482.29</v>
      </c>
      <c r="P127" s="76">
        <v>345745903.88</v>
      </c>
      <c r="Q127" s="21">
        <f t="shared" si="38"/>
        <v>2.4308692666143161E-4</v>
      </c>
      <c r="R127" s="76">
        <v>330661273.47000003</v>
      </c>
      <c r="S127" s="21">
        <f t="shared" si="39"/>
        <v>1.0709343997794097E-2</v>
      </c>
      <c r="T127" s="22">
        <f t="shared" si="47"/>
        <v>-4.3629238237441206E-2</v>
      </c>
      <c r="U127" s="57">
        <f t="shared" si="48"/>
        <v>2.0325553487018084E-3</v>
      </c>
      <c r="V127" s="23">
        <f t="shared" si="45"/>
        <v>1.1869996019827522E-2</v>
      </c>
      <c r="W127" s="24">
        <f t="shared" si="49"/>
        <v>128.15563469079754</v>
      </c>
      <c r="X127" s="24">
        <f t="shared" si="46"/>
        <v>1.5212068736982367</v>
      </c>
      <c r="Y127" s="18">
        <v>135.87</v>
      </c>
      <c r="Z127" s="18">
        <v>136.79</v>
      </c>
      <c r="AA127" s="25">
        <v>615</v>
      </c>
      <c r="AB127" s="25">
        <v>2587973</v>
      </c>
      <c r="AC127" s="25">
        <v>34519</v>
      </c>
      <c r="AD127" s="25">
        <v>42338</v>
      </c>
      <c r="AE127" s="18">
        <v>2580154</v>
      </c>
      <c r="AF127" s="5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</row>
    <row r="128" spans="1:241" ht="16.5" customHeight="1" x14ac:dyDescent="0.3">
      <c r="A128" s="168">
        <v>111</v>
      </c>
      <c r="B128" s="59" t="s">
        <v>114</v>
      </c>
      <c r="C128" s="59" t="s">
        <v>141</v>
      </c>
      <c r="D128" s="18">
        <v>68658813.700000003</v>
      </c>
      <c r="E128" s="18"/>
      <c r="F128" s="18">
        <v>62730433.780000001</v>
      </c>
      <c r="G128" s="18">
        <v>25812500</v>
      </c>
      <c r="H128" s="27"/>
      <c r="I128" s="144"/>
      <c r="J128" s="26">
        <v>157307733.24000001</v>
      </c>
      <c r="K128" s="26">
        <v>1245412.6399999999</v>
      </c>
      <c r="L128" s="18">
        <v>2424279</v>
      </c>
      <c r="M128" s="115">
        <v>1178866.3600000001</v>
      </c>
      <c r="N128" s="18">
        <v>157307733.24000001</v>
      </c>
      <c r="O128" s="18">
        <v>5233639.87</v>
      </c>
      <c r="P128" s="76">
        <v>153387696.22999999</v>
      </c>
      <c r="Q128" s="21">
        <f t="shared" si="38"/>
        <v>1.078437755756297E-4</v>
      </c>
      <c r="R128" s="76">
        <v>152074093.36000001</v>
      </c>
      <c r="S128" s="21">
        <f t="shared" si="39"/>
        <v>4.9253236154752026E-3</v>
      </c>
      <c r="T128" s="22">
        <f t="shared" si="47"/>
        <v>-8.5639389748071396E-3</v>
      </c>
      <c r="U128" s="57">
        <f t="shared" si="48"/>
        <v>1.5941433195074746E-2</v>
      </c>
      <c r="V128" s="23">
        <f t="shared" si="45"/>
        <v>7.7519210139843373E-3</v>
      </c>
      <c r="W128" s="24">
        <f t="shared" si="49"/>
        <v>138.87255067472006</v>
      </c>
      <c r="X128" s="24">
        <f t="shared" si="46"/>
        <v>1.0765290438409674</v>
      </c>
      <c r="Y128" s="18">
        <v>138.87260000000001</v>
      </c>
      <c r="Z128" s="18">
        <v>143.65190000000001</v>
      </c>
      <c r="AA128" s="25">
        <v>130</v>
      </c>
      <c r="AB128" s="25">
        <v>1087853.44</v>
      </c>
      <c r="AC128" s="18">
        <v>7208.85</v>
      </c>
      <c r="AD128" s="18">
        <v>0</v>
      </c>
      <c r="AE128" s="18">
        <v>1095062.29</v>
      </c>
      <c r="AF128" s="5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</row>
    <row r="129" spans="1:241" s="146" customFormat="1" ht="17.25" customHeight="1" x14ac:dyDescent="0.3">
      <c r="A129" s="168">
        <v>112</v>
      </c>
      <c r="B129" s="142" t="s">
        <v>101</v>
      </c>
      <c r="C129" s="56" t="s">
        <v>132</v>
      </c>
      <c r="D129" s="18">
        <v>528674299.38</v>
      </c>
      <c r="E129" s="18"/>
      <c r="F129" s="18">
        <v>228815445.43000001</v>
      </c>
      <c r="G129" s="18">
        <v>305426729.38999999</v>
      </c>
      <c r="H129" s="19">
        <v>24789626.609999999</v>
      </c>
      <c r="I129" s="26"/>
      <c r="J129" s="26">
        <v>1087706100.8099999</v>
      </c>
      <c r="K129" s="26">
        <v>3371366.16</v>
      </c>
      <c r="L129" s="18">
        <v>1680660.75</v>
      </c>
      <c r="M129" s="115">
        <v>5624565.8200000003</v>
      </c>
      <c r="N129" s="18">
        <v>1107921141.04</v>
      </c>
      <c r="O129" s="18">
        <v>65965751.990000002</v>
      </c>
      <c r="P129" s="76">
        <v>1041955389.05</v>
      </c>
      <c r="Q129" s="21">
        <f t="shared" si="38"/>
        <v>7.3257768320630662E-4</v>
      </c>
      <c r="R129" s="76">
        <v>1041955389.05</v>
      </c>
      <c r="S129" s="21">
        <f t="shared" si="39"/>
        <v>3.3746494031766994E-2</v>
      </c>
      <c r="T129" s="22">
        <f t="shared" si="47"/>
        <v>0</v>
      </c>
      <c r="U129" s="57">
        <f t="shared" si="48"/>
        <v>1.6129872426998415E-3</v>
      </c>
      <c r="V129" s="23">
        <f t="shared" si="45"/>
        <v>5.3980869806030595E-3</v>
      </c>
      <c r="W129" s="24">
        <f t="shared" si="49"/>
        <v>2.4120998792385091</v>
      </c>
      <c r="X129" s="24">
        <f t="shared" si="46"/>
        <v>1.3020724954031608E-2</v>
      </c>
      <c r="Y129" s="18">
        <v>2.3852000000000002</v>
      </c>
      <c r="Z129" s="18">
        <v>2.4386999999999999</v>
      </c>
      <c r="AA129" s="25">
        <v>2777</v>
      </c>
      <c r="AB129" s="18">
        <v>431970250.49349999</v>
      </c>
      <c r="AC129" s="25">
        <v>0</v>
      </c>
      <c r="AD129" s="25">
        <v>0</v>
      </c>
      <c r="AE129" s="18">
        <v>431970250.49349999</v>
      </c>
      <c r="AF129" s="145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70"/>
      <c r="BD129" s="70"/>
      <c r="BE129" s="70"/>
      <c r="BF129" s="70"/>
      <c r="BG129" s="70"/>
      <c r="BH129" s="70"/>
      <c r="BI129" s="70"/>
      <c r="BJ129" s="70"/>
      <c r="BK129" s="70"/>
      <c r="BL129" s="70"/>
      <c r="BM129" s="70"/>
      <c r="BN129" s="70"/>
      <c r="BO129" s="70"/>
      <c r="BP129" s="70"/>
      <c r="BQ129" s="70"/>
      <c r="BR129" s="70"/>
      <c r="BS129" s="70"/>
      <c r="BT129" s="70"/>
      <c r="BU129" s="70"/>
      <c r="BV129" s="70"/>
      <c r="BW129" s="70"/>
      <c r="BX129" s="70"/>
      <c r="BY129" s="70"/>
      <c r="BZ129" s="70"/>
      <c r="CA129" s="70"/>
      <c r="CB129" s="70"/>
      <c r="CC129" s="70"/>
      <c r="CD129" s="70"/>
      <c r="CE129" s="70"/>
      <c r="CF129" s="70"/>
      <c r="CG129" s="70"/>
      <c r="CH129" s="70"/>
      <c r="CI129" s="70"/>
      <c r="CJ129" s="70"/>
      <c r="CK129" s="70"/>
      <c r="CL129" s="70"/>
      <c r="CM129" s="70"/>
      <c r="CN129" s="70"/>
      <c r="CO129" s="70"/>
      <c r="CP129" s="70"/>
      <c r="CQ129" s="70"/>
      <c r="CR129" s="70"/>
      <c r="CS129" s="70"/>
      <c r="CT129" s="70"/>
      <c r="CU129" s="70"/>
      <c r="CV129" s="70"/>
      <c r="CW129" s="70"/>
      <c r="CX129" s="70"/>
      <c r="CY129" s="70"/>
      <c r="CZ129" s="70"/>
      <c r="DA129" s="70"/>
      <c r="DB129" s="70"/>
      <c r="DC129" s="70"/>
      <c r="DD129" s="70"/>
      <c r="DE129" s="70"/>
      <c r="DF129" s="70"/>
      <c r="DG129" s="70"/>
      <c r="DH129" s="70"/>
      <c r="DI129" s="70"/>
      <c r="DJ129" s="70"/>
      <c r="DK129" s="70"/>
      <c r="DL129" s="70"/>
      <c r="DM129" s="70"/>
      <c r="DN129" s="70"/>
      <c r="DO129" s="70"/>
      <c r="DP129" s="70"/>
      <c r="DQ129" s="70"/>
      <c r="DR129" s="70"/>
      <c r="DS129" s="70"/>
      <c r="DT129" s="70"/>
      <c r="DU129" s="70"/>
      <c r="DV129" s="70"/>
      <c r="DW129" s="70"/>
      <c r="DX129" s="70"/>
      <c r="DY129" s="70"/>
      <c r="DZ129" s="70"/>
      <c r="EA129" s="70"/>
      <c r="EB129" s="70"/>
      <c r="EC129" s="70"/>
      <c r="ED129" s="70"/>
      <c r="EE129" s="70"/>
      <c r="EF129" s="70"/>
      <c r="EG129" s="70"/>
      <c r="EH129" s="70"/>
      <c r="EI129" s="70"/>
      <c r="EJ129" s="70"/>
      <c r="EK129" s="70"/>
      <c r="EL129" s="70"/>
      <c r="EM129" s="70"/>
      <c r="EN129" s="70"/>
      <c r="EO129" s="70"/>
      <c r="EP129" s="70"/>
      <c r="EQ129" s="70"/>
      <c r="ER129" s="70"/>
      <c r="ES129" s="70"/>
      <c r="ET129" s="70"/>
      <c r="EU129" s="70"/>
      <c r="EV129" s="70"/>
      <c r="EW129" s="70"/>
      <c r="EX129" s="70"/>
      <c r="EY129" s="70"/>
      <c r="EZ129" s="70"/>
      <c r="FA129" s="70"/>
      <c r="FB129" s="70"/>
      <c r="FC129" s="70"/>
      <c r="FD129" s="70"/>
      <c r="FE129" s="70"/>
      <c r="FF129" s="70"/>
      <c r="FG129" s="70"/>
      <c r="FH129" s="70"/>
      <c r="FI129" s="70"/>
      <c r="FJ129" s="70"/>
      <c r="FK129" s="70"/>
      <c r="FL129" s="70"/>
      <c r="FM129" s="70"/>
      <c r="FN129" s="70"/>
      <c r="FO129" s="70"/>
      <c r="FP129" s="70"/>
      <c r="FQ129" s="70"/>
      <c r="FR129" s="70"/>
      <c r="FS129" s="70"/>
      <c r="FT129" s="70"/>
      <c r="FU129" s="70"/>
      <c r="FV129" s="70"/>
      <c r="FW129" s="70"/>
      <c r="FX129" s="70"/>
      <c r="FY129" s="70"/>
      <c r="FZ129" s="70"/>
      <c r="GA129" s="70"/>
      <c r="GB129" s="70"/>
      <c r="GC129" s="70"/>
      <c r="GD129" s="70"/>
      <c r="GE129" s="70"/>
      <c r="GF129" s="70"/>
      <c r="GG129" s="70"/>
      <c r="GH129" s="70"/>
      <c r="GI129" s="70"/>
      <c r="GJ129" s="70"/>
      <c r="GK129" s="70"/>
      <c r="GL129" s="70"/>
      <c r="GM129" s="70"/>
      <c r="GN129" s="70"/>
      <c r="GO129" s="70"/>
      <c r="GP129" s="70"/>
      <c r="GQ129" s="70"/>
      <c r="GR129" s="70"/>
      <c r="GS129" s="70"/>
      <c r="GT129" s="70"/>
      <c r="GU129" s="70"/>
      <c r="GV129" s="70"/>
      <c r="GW129" s="70"/>
      <c r="GX129" s="70"/>
      <c r="GY129" s="70"/>
      <c r="GZ129" s="70"/>
      <c r="HA129" s="70"/>
      <c r="HB129" s="70"/>
      <c r="HC129" s="70"/>
      <c r="HD129" s="70"/>
      <c r="HE129" s="70"/>
      <c r="HF129" s="70"/>
      <c r="HG129" s="70"/>
      <c r="HH129" s="70"/>
      <c r="HI129" s="70"/>
      <c r="HJ129" s="70"/>
      <c r="HK129" s="70"/>
      <c r="HL129" s="70"/>
      <c r="HM129" s="70"/>
      <c r="HN129" s="70"/>
      <c r="HO129" s="70"/>
      <c r="HP129" s="70"/>
      <c r="HQ129" s="70"/>
      <c r="HR129" s="70"/>
      <c r="HS129" s="70"/>
      <c r="HT129" s="70"/>
      <c r="HU129" s="70"/>
      <c r="HV129" s="70"/>
      <c r="HW129" s="70"/>
      <c r="HX129" s="70"/>
      <c r="HY129" s="70"/>
      <c r="HZ129" s="70"/>
      <c r="IA129" s="70"/>
      <c r="IB129" s="70"/>
      <c r="IC129" s="70"/>
      <c r="ID129" s="70"/>
      <c r="IE129" s="70"/>
      <c r="IF129" s="70"/>
      <c r="IG129" s="70"/>
    </row>
    <row r="130" spans="1:241" ht="15.75" customHeight="1" x14ac:dyDescent="0.3">
      <c r="A130" s="168">
        <v>113</v>
      </c>
      <c r="B130" s="59" t="s">
        <v>89</v>
      </c>
      <c r="C130" s="56" t="s">
        <v>191</v>
      </c>
      <c r="D130" s="18">
        <v>8421576.6300000008</v>
      </c>
      <c r="E130" s="18"/>
      <c r="F130" s="18">
        <v>5964291.6699999999</v>
      </c>
      <c r="G130" s="18">
        <v>3615212.03</v>
      </c>
      <c r="H130" s="27"/>
      <c r="I130" s="144"/>
      <c r="J130" s="26"/>
      <c r="K130" s="26">
        <v>227545.29</v>
      </c>
      <c r="L130" s="18">
        <v>8000.89</v>
      </c>
      <c r="M130" s="115">
        <v>539750.53</v>
      </c>
      <c r="N130" s="18">
        <v>18657637.93</v>
      </c>
      <c r="O130" s="18">
        <v>351706.16</v>
      </c>
      <c r="P130" s="76">
        <v>18875334.870000001</v>
      </c>
      <c r="Q130" s="21">
        <f t="shared" si="38"/>
        <v>1.3270864793371947E-5</v>
      </c>
      <c r="R130" s="76">
        <v>18088905.140000001</v>
      </c>
      <c r="S130" s="21">
        <f t="shared" si="39"/>
        <v>5.8585726007403616E-4</v>
      </c>
      <c r="T130" s="22">
        <f t="shared" si="47"/>
        <v>-4.1664412070904912E-2</v>
      </c>
      <c r="U130" s="57">
        <f t="shared" si="48"/>
        <v>4.4230924636271272E-4</v>
      </c>
      <c r="V130" s="23">
        <f t="shared" si="45"/>
        <v>2.9838761706282021E-2</v>
      </c>
      <c r="W130" s="24">
        <f t="shared" si="49"/>
        <v>1.1700364417907554</v>
      </c>
      <c r="X130" s="24">
        <f t="shared" si="46"/>
        <v>3.4912438574260463E-2</v>
      </c>
      <c r="Y130" s="18">
        <v>1.17</v>
      </c>
      <c r="Z130" s="18">
        <v>1.17</v>
      </c>
      <c r="AA130" s="25">
        <v>7</v>
      </c>
      <c r="AB130" s="25">
        <v>15460121.15</v>
      </c>
      <c r="AC130" s="25">
        <v>0</v>
      </c>
      <c r="AD130" s="25">
        <v>0</v>
      </c>
      <c r="AE130" s="18">
        <v>15460121.15</v>
      </c>
      <c r="AF130" s="167"/>
    </row>
    <row r="131" spans="1:241" ht="15.75" customHeight="1" x14ac:dyDescent="0.3">
      <c r="A131" s="168">
        <v>114</v>
      </c>
      <c r="B131" s="59" t="s">
        <v>158</v>
      </c>
      <c r="C131" s="56" t="s">
        <v>192</v>
      </c>
      <c r="D131" s="18">
        <v>98035222.599999994</v>
      </c>
      <c r="E131" s="18"/>
      <c r="F131" s="18"/>
      <c r="G131" s="18">
        <v>74480751.859999999</v>
      </c>
      <c r="H131" s="27"/>
      <c r="I131" s="26"/>
      <c r="J131" s="26">
        <v>173571741.27000001</v>
      </c>
      <c r="K131" s="26">
        <v>940585.62</v>
      </c>
      <c r="L131" s="18">
        <v>929646.11</v>
      </c>
      <c r="M131" s="115">
        <v>10939.51</v>
      </c>
      <c r="N131" s="18">
        <v>210833076.56</v>
      </c>
      <c r="O131" s="18">
        <v>194302166.69999999</v>
      </c>
      <c r="P131" s="76">
        <v>207365798.27000001</v>
      </c>
      <c r="Q131" s="21">
        <f t="shared" si="38"/>
        <v>1.457946834090161E-4</v>
      </c>
      <c r="R131" s="76">
        <v>205197675.91</v>
      </c>
      <c r="S131" s="21">
        <f t="shared" si="39"/>
        <v>6.6458720000890361E-3</v>
      </c>
      <c r="T131" s="22">
        <f t="shared" si="47"/>
        <v>-1.0455544637004301E-2</v>
      </c>
      <c r="U131" s="57">
        <f t="shared" si="48"/>
        <v>4.5304904447735763E-3</v>
      </c>
      <c r="V131" s="23">
        <f t="shared" si="45"/>
        <v>5.3312056052711267E-5</v>
      </c>
      <c r="W131" s="24">
        <f t="shared" si="49"/>
        <v>1.086619903286036</v>
      </c>
      <c r="X131" s="24">
        <f t="shared" si="46"/>
        <v>5.7929941191976841E-5</v>
      </c>
      <c r="Y131" s="18">
        <v>1.06</v>
      </c>
      <c r="Z131" s="18">
        <v>1.06</v>
      </c>
      <c r="AA131" s="25">
        <v>81</v>
      </c>
      <c r="AB131" s="25">
        <v>193016615.63</v>
      </c>
      <c r="AC131" s="25">
        <v>257894.63</v>
      </c>
      <c r="AD131" s="25">
        <v>4434166.66</v>
      </c>
      <c r="AE131" s="18">
        <v>188840343.61000001</v>
      </c>
      <c r="AF131" s="167"/>
    </row>
    <row r="132" spans="1:241" ht="15.75" customHeight="1" x14ac:dyDescent="0.3">
      <c r="A132" s="168">
        <v>115</v>
      </c>
      <c r="B132" s="59" t="s">
        <v>154</v>
      </c>
      <c r="C132" s="56" t="s">
        <v>156</v>
      </c>
      <c r="D132" s="18">
        <v>538756.75</v>
      </c>
      <c r="E132" s="18"/>
      <c r="F132" s="18">
        <v>2688016.44</v>
      </c>
      <c r="G132" s="18">
        <v>965296.29</v>
      </c>
      <c r="H132" s="18"/>
      <c r="I132" s="18"/>
      <c r="J132" s="18">
        <v>4192069.48</v>
      </c>
      <c r="K132" s="18">
        <v>12133.68</v>
      </c>
      <c r="L132" s="18">
        <v>8299.32</v>
      </c>
      <c r="M132" s="18">
        <v>3834.36</v>
      </c>
      <c r="N132" s="18">
        <v>4405180.99</v>
      </c>
      <c r="O132" s="18">
        <v>232506.45</v>
      </c>
      <c r="P132" s="76">
        <v>4176918.7</v>
      </c>
      <c r="Q132" s="21">
        <f t="shared" si="38"/>
        <v>2.936706749966493E-6</v>
      </c>
      <c r="R132" s="76">
        <v>4172674.54</v>
      </c>
      <c r="S132" s="21">
        <f>(R49/$R$133)</f>
        <v>5.207737432908182E-4</v>
      </c>
      <c r="T132" s="22">
        <f>((R49-P132)/P132)</f>
        <v>2.8495815348285323</v>
      </c>
      <c r="U132" s="57">
        <f>(L49/R49)</f>
        <v>7.6507446417849298E-4</v>
      </c>
      <c r="V132" s="23">
        <f>M49/R49</f>
        <v>6.483051025862668E-4</v>
      </c>
      <c r="W132" s="24">
        <f>R49/AE132</f>
        <v>414.18239915511822</v>
      </c>
      <c r="X132" s="24">
        <f>M49/AE132</f>
        <v>0.26851656277368502</v>
      </c>
      <c r="Y132" s="18">
        <v>102.12</v>
      </c>
      <c r="Z132" s="18">
        <v>102.33</v>
      </c>
      <c r="AA132" s="25">
        <v>87</v>
      </c>
      <c r="AB132" s="18">
        <v>38872</v>
      </c>
      <c r="AC132" s="25"/>
      <c r="AD132" s="25">
        <f>AB132-AE132</f>
        <v>50</v>
      </c>
      <c r="AE132" s="18">
        <v>38822</v>
      </c>
      <c r="AF132" s="167"/>
    </row>
    <row r="133" spans="1:241" ht="15.75" customHeight="1" x14ac:dyDescent="0.3">
      <c r="A133" s="177"/>
      <c r="B133" s="54"/>
      <c r="C133" s="74" t="s">
        <v>52</v>
      </c>
      <c r="D133" s="34">
        <f>SUM(D111:D132)</f>
        <v>15256272855.409998</v>
      </c>
      <c r="E133" s="34"/>
      <c r="F133" s="34">
        <f>SUM(F111:F132)</f>
        <v>5648478531.2599993</v>
      </c>
      <c r="G133" s="34">
        <f>SUM(G111:G132)</f>
        <v>7583171723.9099989</v>
      </c>
      <c r="H133" s="34">
        <f>SUM(H111:H132)</f>
        <v>29730730.710000001</v>
      </c>
      <c r="I133" s="34"/>
      <c r="J133" s="34">
        <f t="shared" ref="J133:P133" si="50">SUM(J111:J132)</f>
        <v>28058457554.640003</v>
      </c>
      <c r="K133" s="34">
        <f t="shared" si="50"/>
        <v>222151413.10000002</v>
      </c>
      <c r="L133" s="34">
        <f t="shared" si="50"/>
        <v>126486369.02999999</v>
      </c>
      <c r="M133" s="34">
        <f t="shared" si="50"/>
        <v>-182040538.73999992</v>
      </c>
      <c r="N133" s="34">
        <f t="shared" si="50"/>
        <v>31568406716.230007</v>
      </c>
      <c r="O133" s="34">
        <f t="shared" si="50"/>
        <v>832216907.26000023</v>
      </c>
      <c r="P133" s="122">
        <f t="shared" si="50"/>
        <v>31524641492.489998</v>
      </c>
      <c r="Q133" s="82">
        <f t="shared" si="38"/>
        <v>2.2164335509156342E-2</v>
      </c>
      <c r="R133" s="122">
        <f>SUM(R111:R132)</f>
        <v>30875959679.519997</v>
      </c>
      <c r="S133" s="82">
        <f>(R133/$R$151)</f>
        <v>2.2232876878049194E-2</v>
      </c>
      <c r="T133" s="36">
        <f t="shared" si="47"/>
        <v>-2.0576976684240307E-2</v>
      </c>
      <c r="U133" s="49"/>
      <c r="V133" s="37"/>
      <c r="W133" s="38"/>
      <c r="X133" s="38"/>
      <c r="Y133" s="34"/>
      <c r="Z133" s="34"/>
      <c r="AA133" s="39">
        <f>SUM(AA111:AA132)</f>
        <v>47243</v>
      </c>
      <c r="AB133" s="39"/>
      <c r="AC133" s="39"/>
      <c r="AD133" s="39"/>
      <c r="AE133" s="42"/>
      <c r="AF133" s="167"/>
    </row>
    <row r="134" spans="1:241" ht="15.75" customHeight="1" x14ac:dyDescent="0.3">
      <c r="A134" s="193" t="s">
        <v>142</v>
      </c>
      <c r="B134" s="193"/>
      <c r="C134" s="193"/>
      <c r="D134" s="43"/>
      <c r="E134" s="43"/>
      <c r="F134" s="43"/>
      <c r="G134" s="43"/>
      <c r="H134" s="43"/>
      <c r="I134" s="43"/>
      <c r="J134" s="43"/>
      <c r="K134" s="43"/>
      <c r="L134" s="43"/>
      <c r="M134" s="128"/>
      <c r="N134" s="43"/>
      <c r="O134" s="43"/>
      <c r="P134" s="152"/>
      <c r="Q134" s="22"/>
      <c r="R134" s="43"/>
      <c r="S134" s="22"/>
      <c r="T134" s="22"/>
      <c r="U134" s="22"/>
      <c r="V134" s="44"/>
      <c r="W134" s="45"/>
      <c r="X134" s="45"/>
      <c r="Y134" s="43"/>
      <c r="Z134" s="43"/>
      <c r="AA134" s="43"/>
      <c r="AB134" s="43"/>
      <c r="AC134" s="43"/>
      <c r="AD134" s="43"/>
      <c r="AE134" s="43"/>
      <c r="AF134" s="167"/>
    </row>
    <row r="135" spans="1:241" ht="15.75" customHeight="1" x14ac:dyDescent="0.3">
      <c r="A135" s="168">
        <v>116</v>
      </c>
      <c r="B135" s="142" t="s">
        <v>74</v>
      </c>
      <c r="C135" s="55" t="s">
        <v>209</v>
      </c>
      <c r="D135" s="18">
        <v>321305794</v>
      </c>
      <c r="E135" s="18"/>
      <c r="F135" s="102"/>
      <c r="G135" s="18">
        <v>243103362.78999999</v>
      </c>
      <c r="H135" s="27"/>
      <c r="I135" s="18"/>
      <c r="J135" s="18">
        <v>598643096.29999995</v>
      </c>
      <c r="K135" s="18">
        <v>2626478.67</v>
      </c>
      <c r="L135" s="19">
        <v>6206362.7999999998</v>
      </c>
      <c r="M135" s="115">
        <v>7441896.6299999999</v>
      </c>
      <c r="N135" s="18">
        <v>7441896.6299999999</v>
      </c>
      <c r="O135" s="18">
        <v>8282132.6200000001</v>
      </c>
      <c r="P135" s="28">
        <v>608323795.27999997</v>
      </c>
      <c r="Q135" s="21">
        <f>(P135/$P$138)</f>
        <v>0.26069715242274516</v>
      </c>
      <c r="R135" s="28">
        <v>606947759.88999999</v>
      </c>
      <c r="S135" s="21">
        <f>(R135/$R$138)</f>
        <v>0.20585428600727726</v>
      </c>
      <c r="T135" s="22">
        <f>((R135-P135)/P135)</f>
        <v>-2.2620114496205474E-3</v>
      </c>
      <c r="U135" s="57">
        <f t="shared" ref="U135:U150" si="51">(L135/R135)</f>
        <v>1.022553044948186E-2</v>
      </c>
      <c r="V135" s="23">
        <f>M135/R135</f>
        <v>1.2261181475237226E-2</v>
      </c>
      <c r="W135" s="24">
        <f>R135/AE135</f>
        <v>16.241050892118452</v>
      </c>
      <c r="X135" s="24">
        <f>M135/AE135</f>
        <v>0.19913447233682777</v>
      </c>
      <c r="Y135" s="18">
        <v>16.241199999999999</v>
      </c>
      <c r="Z135" s="18">
        <v>16.421299999999999</v>
      </c>
      <c r="AA135" s="25">
        <v>1530</v>
      </c>
      <c r="AB135" s="25">
        <v>37412876.340000004</v>
      </c>
      <c r="AC135" s="25"/>
      <c r="AD135" s="25">
        <v>41664.1</v>
      </c>
      <c r="AE135" s="18">
        <v>37371212.240000002</v>
      </c>
      <c r="AF135" s="167"/>
    </row>
    <row r="136" spans="1:241" ht="15.75" customHeight="1" x14ac:dyDescent="0.3">
      <c r="A136" s="168">
        <v>117</v>
      </c>
      <c r="B136" s="142" t="s">
        <v>23</v>
      </c>
      <c r="C136" s="55" t="s">
        <v>143</v>
      </c>
      <c r="D136" s="18">
        <v>1380052058.45</v>
      </c>
      <c r="E136" s="18"/>
      <c r="F136" s="18">
        <v>431265090.22000003</v>
      </c>
      <c r="G136" s="18">
        <v>1393706921.0899999</v>
      </c>
      <c r="H136" s="27"/>
      <c r="I136" s="18"/>
      <c r="J136" s="18">
        <v>1824972011.3099999</v>
      </c>
      <c r="K136" s="18">
        <v>5969813.7300000004</v>
      </c>
      <c r="L136" s="18">
        <v>4891159.6900000004</v>
      </c>
      <c r="M136" s="115">
        <v>-26428033.359999999</v>
      </c>
      <c r="N136" s="18">
        <v>1847050643.78</v>
      </c>
      <c r="O136" s="18">
        <v>17071229.489999998</v>
      </c>
      <c r="P136" s="28">
        <v>1220201110.46</v>
      </c>
      <c r="Q136" s="21">
        <f>(P136/$P$138)</f>
        <v>0.5229171657399605</v>
      </c>
      <c r="R136" s="28">
        <v>1829979414.29</v>
      </c>
      <c r="S136" s="21">
        <f>(R136/$R$138)</f>
        <v>0.6206614977950593</v>
      </c>
      <c r="T136" s="22">
        <f>((R136-P136)/P136)</f>
        <v>0.49973590304316423</v>
      </c>
      <c r="U136" s="57">
        <f t="shared" si="51"/>
        <v>2.6727949242520222E-3</v>
      </c>
      <c r="V136" s="23">
        <f>M136/R136</f>
        <v>-1.4441710739272777E-2</v>
      </c>
      <c r="W136" s="24">
        <f>R136/AE136</f>
        <v>1.4863027874629127</v>
      </c>
      <c r="X136" s="24">
        <f>M136/AE136</f>
        <v>-2.146475492751421E-2</v>
      </c>
      <c r="Y136" s="18">
        <v>1.47</v>
      </c>
      <c r="Z136" s="18">
        <v>1.49</v>
      </c>
      <c r="AA136" s="25">
        <v>9496</v>
      </c>
      <c r="AB136" s="25">
        <v>1230934987.5799999</v>
      </c>
      <c r="AC136" s="25">
        <v>7898595.9400000004</v>
      </c>
      <c r="AD136" s="25">
        <v>7604368.4900000002</v>
      </c>
      <c r="AE136" s="51">
        <v>1231229215.02</v>
      </c>
      <c r="AF136" s="167"/>
    </row>
    <row r="137" spans="1:241" ht="15.75" customHeight="1" x14ac:dyDescent="0.3">
      <c r="A137" s="168">
        <v>118</v>
      </c>
      <c r="B137" s="59" t="s">
        <v>35</v>
      </c>
      <c r="C137" s="55" t="s">
        <v>144</v>
      </c>
      <c r="D137" s="18">
        <v>208975519.40000001</v>
      </c>
      <c r="E137" s="18"/>
      <c r="F137" s="18"/>
      <c r="G137" s="18">
        <v>149746314.12</v>
      </c>
      <c r="H137" s="19">
        <v>1047375.15</v>
      </c>
      <c r="I137" s="18"/>
      <c r="J137" s="18">
        <v>359769208.67000002</v>
      </c>
      <c r="K137" s="18">
        <v>6594992.3899999997</v>
      </c>
      <c r="L137" s="19">
        <v>1372740.85</v>
      </c>
      <c r="M137" s="115">
        <v>3352750.17</v>
      </c>
      <c r="N137" s="18">
        <v>517846017</v>
      </c>
      <c r="O137" s="18">
        <v>6339269</v>
      </c>
      <c r="P137" s="28">
        <v>504925190</v>
      </c>
      <c r="Q137" s="21">
        <f>(P137/$P$138)</f>
        <v>0.21638568183729451</v>
      </c>
      <c r="R137" s="28">
        <v>511506748</v>
      </c>
      <c r="S137" s="21">
        <f>(R137/$R$138)</f>
        <v>0.17348421619766349</v>
      </c>
      <c r="T137" s="22">
        <f>((R137-P137)/P137)</f>
        <v>1.3034719064026099E-2</v>
      </c>
      <c r="U137" s="57">
        <f t="shared" si="51"/>
        <v>2.6837199223029608E-3</v>
      </c>
      <c r="V137" s="23">
        <f>M137/R137</f>
        <v>6.5546548175743711E-3</v>
      </c>
      <c r="W137" s="24">
        <f>R137/AE137</f>
        <v>44.179716396737774</v>
      </c>
      <c r="X137" s="24">
        <f>M137/AE137</f>
        <v>0.28958279091894668</v>
      </c>
      <c r="Y137" s="18">
        <v>43.958799999999997</v>
      </c>
      <c r="Z137" s="18">
        <v>45.284199999999998</v>
      </c>
      <c r="AA137" s="25">
        <v>200</v>
      </c>
      <c r="AB137" s="25">
        <v>11503143</v>
      </c>
      <c r="AC137" s="25">
        <v>146516</v>
      </c>
      <c r="AD137" s="25">
        <v>71795</v>
      </c>
      <c r="AE137" s="18">
        <v>11577864</v>
      </c>
      <c r="AF137" s="167"/>
    </row>
    <row r="138" spans="1:241" ht="15" customHeight="1" x14ac:dyDescent="0.3">
      <c r="A138" s="183"/>
      <c r="B138" s="81"/>
      <c r="C138" s="74" t="s">
        <v>52</v>
      </c>
      <c r="D138" s="34">
        <f>SUM(D135:D137)</f>
        <v>1910333371.8500001</v>
      </c>
      <c r="E138" s="34"/>
      <c r="F138" s="34">
        <f>SUM(F135:F137)</f>
        <v>431265090.22000003</v>
      </c>
      <c r="G138" s="34">
        <f>SUM(G135:G137)</f>
        <v>1786556598</v>
      </c>
      <c r="H138" s="34">
        <f>SUM(H135:H137)</f>
        <v>1047375.15</v>
      </c>
      <c r="I138" s="34"/>
      <c r="J138" s="34">
        <f t="shared" ref="J138:P138" si="52">SUM(J135:J137)</f>
        <v>2783384316.2799997</v>
      </c>
      <c r="K138" s="34">
        <f t="shared" si="52"/>
        <v>15191284.789999999</v>
      </c>
      <c r="L138" s="34">
        <f t="shared" si="52"/>
        <v>12470263.34</v>
      </c>
      <c r="M138" s="34">
        <f t="shared" si="52"/>
        <v>-15633386.560000001</v>
      </c>
      <c r="N138" s="34">
        <f t="shared" si="52"/>
        <v>2372338557.4099998</v>
      </c>
      <c r="O138" s="34">
        <f t="shared" si="52"/>
        <v>31692631.109999999</v>
      </c>
      <c r="P138" s="122">
        <f t="shared" si="52"/>
        <v>2333450095.7399998</v>
      </c>
      <c r="Q138" s="82">
        <f>(P138/$P$151)</f>
        <v>1.6406013952030276E-3</v>
      </c>
      <c r="R138" s="35">
        <f>SUM(R135:R137)</f>
        <v>2948433922.1799998</v>
      </c>
      <c r="S138" s="82">
        <f>(R138/$R$151)</f>
        <v>2.1230811626681951E-3</v>
      </c>
      <c r="T138" s="36">
        <f>((R138-P138)/P138)</f>
        <v>0.26355130866639431</v>
      </c>
      <c r="U138" s="49"/>
      <c r="V138" s="37"/>
      <c r="W138" s="38"/>
      <c r="X138" s="38"/>
      <c r="Y138" s="34"/>
      <c r="Z138" s="34"/>
      <c r="AA138" s="39">
        <f>SUM(AA135:AA137)</f>
        <v>11226</v>
      </c>
      <c r="AB138" s="39"/>
      <c r="AC138" s="39"/>
      <c r="AD138" s="39"/>
      <c r="AE138" s="42"/>
      <c r="AF138" s="16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</row>
    <row r="139" spans="1:241" ht="15.75" customHeight="1" x14ac:dyDescent="0.3">
      <c r="A139" s="193" t="s">
        <v>183</v>
      </c>
      <c r="B139" s="193"/>
      <c r="C139" s="193"/>
      <c r="D139" s="193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  <c r="R139" s="193"/>
      <c r="S139" s="193"/>
      <c r="T139" s="22"/>
      <c r="U139" s="193"/>
      <c r="V139" s="193"/>
      <c r="W139" s="193"/>
      <c r="X139" s="193"/>
      <c r="Y139" s="193"/>
      <c r="Z139" s="193"/>
      <c r="AA139" s="193"/>
      <c r="AB139" s="193"/>
      <c r="AC139" s="193"/>
      <c r="AD139" s="193"/>
      <c r="AE139" s="193"/>
      <c r="AF139" s="16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</row>
    <row r="140" spans="1:241" ht="15.75" customHeight="1" x14ac:dyDescent="0.3">
      <c r="A140" s="192" t="s">
        <v>184</v>
      </c>
      <c r="B140" s="192"/>
      <c r="C140" s="192"/>
      <c r="D140" s="98"/>
      <c r="E140" s="98"/>
      <c r="F140" s="98"/>
      <c r="G140" s="98"/>
      <c r="H140" s="98"/>
      <c r="I140" s="98"/>
      <c r="J140" s="98"/>
      <c r="K140" s="98"/>
      <c r="L140" s="84"/>
      <c r="M140" s="129"/>
      <c r="N140" s="84"/>
      <c r="O140" s="89"/>
      <c r="P140" s="153"/>
      <c r="Q140" s="85"/>
      <c r="R140" s="84"/>
      <c r="S140" s="85"/>
      <c r="T140" s="85"/>
      <c r="U140" s="90"/>
      <c r="V140" s="87"/>
      <c r="W140" s="88"/>
      <c r="X140" s="88"/>
      <c r="Y140" s="84"/>
      <c r="Z140" s="84"/>
      <c r="AA140" s="91"/>
      <c r="AB140" s="91"/>
      <c r="AC140" s="91"/>
      <c r="AD140" s="91"/>
      <c r="AE140" s="84"/>
      <c r="AF140" s="16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</row>
    <row r="141" spans="1:241" ht="15.75" customHeight="1" x14ac:dyDescent="0.3">
      <c r="A141" s="168">
        <v>119</v>
      </c>
      <c r="B141" s="142" t="s">
        <v>108</v>
      </c>
      <c r="C141" s="55" t="s">
        <v>166</v>
      </c>
      <c r="D141" s="19">
        <v>1275220271.6500001</v>
      </c>
      <c r="E141" s="102"/>
      <c r="F141" s="19"/>
      <c r="G141" s="18">
        <v>870963198.16999996</v>
      </c>
      <c r="H141" s="18"/>
      <c r="I141" s="19">
        <v>1152829602.72</v>
      </c>
      <c r="J141" s="135">
        <v>3299014506.9000001</v>
      </c>
      <c r="K141" s="26">
        <v>79518183.569999993</v>
      </c>
      <c r="L141" s="19">
        <v>1239519.1399999999</v>
      </c>
      <c r="M141" s="115">
        <v>67842309.109999999</v>
      </c>
      <c r="N141" s="19">
        <v>3655072292.3299999</v>
      </c>
      <c r="O141" s="19">
        <v>341852378.60000002</v>
      </c>
      <c r="P141" s="20"/>
      <c r="Q141" s="21">
        <f>(P141/$P$150)</f>
        <v>0</v>
      </c>
      <c r="R141" s="20">
        <v>3313219913.73</v>
      </c>
      <c r="S141" s="21">
        <f>(R141/$R$150)</f>
        <v>0.17538381292263727</v>
      </c>
      <c r="T141" s="22" t="e">
        <f>((R141-P141)/P141)</f>
        <v>#DIV/0!</v>
      </c>
      <c r="U141" s="57">
        <f>(L141/R141)</f>
        <v>3.7411315043212989E-4</v>
      </c>
      <c r="V141" s="23">
        <f>M141/R141</f>
        <v>2.0476246936963385E-2</v>
      </c>
      <c r="W141" s="24">
        <f>R141/AE141</f>
        <v>1.6228499751735863</v>
      </c>
      <c r="X141" s="24">
        <f>M141/AE141</f>
        <v>3.3229876833299248E-2</v>
      </c>
      <c r="Y141" s="26">
        <v>1.61</v>
      </c>
      <c r="Z141" s="26">
        <v>1.64</v>
      </c>
      <c r="AA141" s="29">
        <v>15210</v>
      </c>
      <c r="AB141" s="26">
        <v>1993589516.8499999</v>
      </c>
      <c r="AC141" s="26">
        <v>50465641</v>
      </c>
      <c r="AD141" s="26">
        <v>2449363</v>
      </c>
      <c r="AE141" s="51">
        <v>2041605795</v>
      </c>
      <c r="AF141" s="16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</row>
    <row r="142" spans="1:241" ht="15.75" customHeight="1" x14ac:dyDescent="0.3">
      <c r="A142" s="168">
        <v>120</v>
      </c>
      <c r="B142" s="142" t="s">
        <v>23</v>
      </c>
      <c r="C142" s="56" t="s">
        <v>145</v>
      </c>
      <c r="D142" s="51">
        <v>246993363.40000001</v>
      </c>
      <c r="E142" s="51"/>
      <c r="F142" s="51">
        <v>79954251.049999997</v>
      </c>
      <c r="G142" s="51">
        <v>273688292.75</v>
      </c>
      <c r="H142" s="51"/>
      <c r="I142" s="51"/>
      <c r="J142" s="51">
        <v>353642543.80000001</v>
      </c>
      <c r="K142" s="51">
        <v>2477756.33</v>
      </c>
      <c r="L142" s="51">
        <v>852074.23</v>
      </c>
      <c r="M142" s="115">
        <v>768389.17</v>
      </c>
      <c r="N142" s="18">
        <v>354344874.79000002</v>
      </c>
      <c r="O142" s="18">
        <v>10089790.390000001</v>
      </c>
      <c r="P142" s="28">
        <v>348282850.74000001</v>
      </c>
      <c r="Q142" s="21">
        <f>(P142/$P$150)</f>
        <v>2.2408309126258442E-2</v>
      </c>
      <c r="R142" s="28">
        <v>344255084.39999998</v>
      </c>
      <c r="S142" s="21">
        <f>(R142/$R$150)</f>
        <v>1.8222988781962424E-2</v>
      </c>
      <c r="T142" s="22">
        <f>((R142-P142)/P142)</f>
        <v>-1.1564641587842176E-2</v>
      </c>
      <c r="U142" s="57">
        <f t="shared" si="51"/>
        <v>2.4751246055960941E-3</v>
      </c>
      <c r="V142" s="23">
        <f>M142/R142</f>
        <v>2.2320343397083612E-3</v>
      </c>
      <c r="W142" s="24">
        <f>R142/AE142</f>
        <v>278.54767186618955</v>
      </c>
      <c r="X142" s="24">
        <f>M142/AE142</f>
        <v>0.62172796885115167</v>
      </c>
      <c r="Y142" s="18">
        <v>275.89999999999998</v>
      </c>
      <c r="Z142" s="18">
        <v>280</v>
      </c>
      <c r="AA142" s="25">
        <v>493</v>
      </c>
      <c r="AB142" s="25">
        <v>1264428.8400000001</v>
      </c>
      <c r="AC142" s="25">
        <v>82271.03</v>
      </c>
      <c r="AD142" s="25">
        <v>110806.98</v>
      </c>
      <c r="AE142" s="51">
        <v>1235892.8799999999</v>
      </c>
      <c r="AF142" s="167"/>
    </row>
    <row r="143" spans="1:241" ht="4.5" customHeight="1" x14ac:dyDescent="0.3">
      <c r="A143" s="176"/>
      <c r="B143" s="56"/>
      <c r="C143" s="56"/>
      <c r="D143" s="51"/>
      <c r="E143" s="51"/>
      <c r="F143" s="51"/>
      <c r="G143" s="51"/>
      <c r="H143" s="51"/>
      <c r="I143" s="51"/>
      <c r="J143" s="51"/>
      <c r="K143" s="51"/>
      <c r="L143" s="51"/>
      <c r="M143" s="115"/>
      <c r="N143" s="18"/>
      <c r="O143" s="18"/>
      <c r="P143" s="76"/>
      <c r="Q143" s="21"/>
      <c r="R143" s="28"/>
      <c r="S143" s="21"/>
      <c r="T143" s="22"/>
      <c r="U143" s="57"/>
      <c r="V143" s="23"/>
      <c r="W143" s="24"/>
      <c r="X143" s="24"/>
      <c r="Y143" s="18"/>
      <c r="Z143" s="18"/>
      <c r="AA143" s="25"/>
      <c r="AB143" s="25"/>
      <c r="AC143" s="25"/>
      <c r="AD143" s="25"/>
      <c r="AE143" s="18"/>
      <c r="AF143" s="16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</row>
    <row r="144" spans="1:241" ht="15.75" customHeight="1" x14ac:dyDescent="0.3">
      <c r="A144" s="192" t="s">
        <v>185</v>
      </c>
      <c r="B144" s="192"/>
      <c r="C144" s="192"/>
      <c r="D144" s="98"/>
      <c r="E144" s="98"/>
      <c r="F144" s="98"/>
      <c r="G144" s="98"/>
      <c r="H144" s="98"/>
      <c r="I144" s="98"/>
      <c r="J144" s="98"/>
      <c r="K144" s="98"/>
      <c r="L144" s="84"/>
      <c r="M144" s="129"/>
      <c r="N144" s="84"/>
      <c r="O144" s="84"/>
      <c r="P144" s="153"/>
      <c r="Q144" s="85"/>
      <c r="R144" s="84"/>
      <c r="S144" s="85"/>
      <c r="T144" s="85"/>
      <c r="U144" s="90"/>
      <c r="V144" s="87"/>
      <c r="W144" s="88"/>
      <c r="X144" s="88"/>
      <c r="Y144" s="84"/>
      <c r="Z144" s="84"/>
      <c r="AA144" s="91"/>
      <c r="AB144" s="91"/>
      <c r="AC144" s="91"/>
      <c r="AD144" s="91"/>
      <c r="AE144" s="84"/>
      <c r="AF144" s="16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</row>
    <row r="145" spans="1:241" ht="15.75" customHeight="1" x14ac:dyDescent="0.3">
      <c r="A145" s="168">
        <v>121</v>
      </c>
      <c r="B145" s="59" t="s">
        <v>23</v>
      </c>
      <c r="C145" s="55" t="s">
        <v>117</v>
      </c>
      <c r="D145" s="69"/>
      <c r="E145" s="69"/>
      <c r="F145" s="69">
        <v>577663210.41999996</v>
      </c>
      <c r="G145" s="69">
        <v>6198467964.8599997</v>
      </c>
      <c r="H145" s="69"/>
      <c r="I145" s="51"/>
      <c r="J145" s="51">
        <v>6776131175.2799997</v>
      </c>
      <c r="K145" s="51">
        <v>31778082.800000001</v>
      </c>
      <c r="L145" s="51">
        <v>11136226.41</v>
      </c>
      <c r="M145" s="115">
        <v>20641856.390000001</v>
      </c>
      <c r="N145" s="18">
        <v>6939482756.0200005</v>
      </c>
      <c r="O145" s="18">
        <v>73277964.769999996</v>
      </c>
      <c r="P145" s="28">
        <v>7024643969.5100002</v>
      </c>
      <c r="Q145" s="21">
        <f>(P145/$P$150)</f>
        <v>0.45196136771085871</v>
      </c>
      <c r="R145" s="28">
        <v>6866204791.25</v>
      </c>
      <c r="S145" s="21">
        <f>(R145/$R$150)</f>
        <v>0.3634594768692555</v>
      </c>
      <c r="T145" s="22">
        <f t="shared" ref="T145:T150" si="53">((R145-P145)/P145)</f>
        <v>-2.2554762767721032E-2</v>
      </c>
      <c r="U145" s="57">
        <f>(L145/R145)</f>
        <v>1.6218896389737071E-3</v>
      </c>
      <c r="V145" s="23">
        <f>M145/R145</f>
        <v>3.0062978046190973E-3</v>
      </c>
      <c r="W145" s="24">
        <f>R145/AE145</f>
        <v>118.8019366697133</v>
      </c>
      <c r="X145" s="24">
        <f>M145/AE145</f>
        <v>0.35715400139465608</v>
      </c>
      <c r="Y145" s="18">
        <v>118.8</v>
      </c>
      <c r="Z145" s="18">
        <v>118.8</v>
      </c>
      <c r="AA145" s="102">
        <v>989</v>
      </c>
      <c r="AB145" s="18">
        <v>59282717.539999999</v>
      </c>
      <c r="AC145" s="18">
        <v>550372.21</v>
      </c>
      <c r="AD145" s="18">
        <v>2037695.3</v>
      </c>
      <c r="AE145" s="51">
        <v>57795394.450000003</v>
      </c>
      <c r="AF145" s="16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</row>
    <row r="146" spans="1:241" ht="15.75" customHeight="1" x14ac:dyDescent="0.3">
      <c r="A146" s="168">
        <v>122</v>
      </c>
      <c r="B146" s="142" t="s">
        <v>55</v>
      </c>
      <c r="C146" s="56" t="s">
        <v>186</v>
      </c>
      <c r="D146" s="69"/>
      <c r="E146" s="69"/>
      <c r="F146" s="69">
        <v>540211786</v>
      </c>
      <c r="G146" s="69">
        <v>4910358651.4300003</v>
      </c>
      <c r="H146" s="69"/>
      <c r="I146" s="51"/>
      <c r="J146" s="51">
        <v>5452226315.3100004</v>
      </c>
      <c r="K146" s="51">
        <v>75204066.530000001</v>
      </c>
      <c r="L146" s="51">
        <v>9244900.7699999996</v>
      </c>
      <c r="M146" s="115">
        <v>65959165.759999998</v>
      </c>
      <c r="N146" s="18">
        <v>5452731937.9300003</v>
      </c>
      <c r="O146" s="18">
        <v>505622.62</v>
      </c>
      <c r="P146" s="28">
        <v>5520390869.4499998</v>
      </c>
      <c r="Q146" s="21">
        <f>(P146/$P$150)</f>
        <v>0.35517862805354333</v>
      </c>
      <c r="R146" s="28">
        <v>5452226315.3100004</v>
      </c>
      <c r="S146" s="21">
        <f>(R146/$R$150)</f>
        <v>0.28861115923322134</v>
      </c>
      <c r="T146" s="22">
        <f t="shared" si="53"/>
        <v>-1.2347776770160239E-2</v>
      </c>
      <c r="U146" s="57">
        <f t="shared" si="51"/>
        <v>1.6956194103755499E-3</v>
      </c>
      <c r="V146" s="23">
        <f>M146/R146</f>
        <v>1.2097657350500082E-2</v>
      </c>
      <c r="W146" s="24">
        <f>R146/AE146</f>
        <v>119.16278885280569</v>
      </c>
      <c r="X146" s="24">
        <f>M146/AE146</f>
        <v>1.4415905884712339</v>
      </c>
      <c r="Y146" s="18">
        <v>120.9</v>
      </c>
      <c r="Z146" s="18">
        <v>120.9</v>
      </c>
      <c r="AA146" s="25">
        <v>395</v>
      </c>
      <c r="AB146" s="25">
        <v>47877574</v>
      </c>
      <c r="AC146" s="25">
        <v>1152969</v>
      </c>
      <c r="AD146" s="25">
        <v>3276105</v>
      </c>
      <c r="AE146" s="51">
        <v>45754437</v>
      </c>
      <c r="AF146" s="167"/>
      <c r="AG146" s="160"/>
    </row>
    <row r="147" spans="1:241" ht="15.75" customHeight="1" x14ac:dyDescent="0.3">
      <c r="A147" s="168">
        <v>123</v>
      </c>
      <c r="B147" s="142" t="s">
        <v>33</v>
      </c>
      <c r="C147" s="56" t="s">
        <v>157</v>
      </c>
      <c r="D147" s="69"/>
      <c r="E147" s="69"/>
      <c r="F147" s="69"/>
      <c r="G147" s="69">
        <v>1535101843</v>
      </c>
      <c r="H147" s="69"/>
      <c r="I147" s="51"/>
      <c r="J147" s="51">
        <v>1535101843</v>
      </c>
      <c r="K147" s="51">
        <v>14580068</v>
      </c>
      <c r="L147" s="51">
        <v>3222380</v>
      </c>
      <c r="M147" s="115">
        <v>11357687</v>
      </c>
      <c r="N147" s="18">
        <v>2170182105</v>
      </c>
      <c r="O147" s="18">
        <v>26084434.050000001</v>
      </c>
      <c r="P147" s="28">
        <v>1870185233</v>
      </c>
      <c r="Q147" s="21">
        <f>(P147/$P$150)</f>
        <v>0.12032659298436886</v>
      </c>
      <c r="R147" s="28">
        <v>2144097671</v>
      </c>
      <c r="S147" s="21">
        <f>(R147/$R$150)</f>
        <v>0.11349685037815163</v>
      </c>
      <c r="T147" s="22">
        <f t="shared" si="53"/>
        <v>0.14646273169455618</v>
      </c>
      <c r="U147" s="57">
        <f t="shared" si="51"/>
        <v>1.5029072805704288E-3</v>
      </c>
      <c r="V147" s="23">
        <f>M147/R147</f>
        <v>5.2971873220228876E-3</v>
      </c>
      <c r="W147" s="24">
        <f>R147/AE147</f>
        <v>1.0771232379339719</v>
      </c>
      <c r="X147" s="24">
        <f>M147/AE147</f>
        <v>5.7057235602400785E-3</v>
      </c>
      <c r="Y147" s="18">
        <v>1.08</v>
      </c>
      <c r="Z147" s="18">
        <v>1.08</v>
      </c>
      <c r="AA147" s="25">
        <v>122</v>
      </c>
      <c r="AB147" s="25">
        <v>1691837756</v>
      </c>
      <c r="AC147" s="25">
        <v>555915289</v>
      </c>
      <c r="AD147" s="25">
        <v>555915289</v>
      </c>
      <c r="AE147" s="51">
        <v>1990577861</v>
      </c>
      <c r="AF147" s="167"/>
    </row>
    <row r="148" spans="1:241" ht="15.75" customHeight="1" x14ac:dyDescent="0.3">
      <c r="A148" s="168">
        <v>124</v>
      </c>
      <c r="B148" s="142" t="s">
        <v>187</v>
      </c>
      <c r="C148" s="56" t="s">
        <v>153</v>
      </c>
      <c r="D148" s="69"/>
      <c r="E148" s="69"/>
      <c r="F148" s="69"/>
      <c r="G148" s="69">
        <v>258530479.66999999</v>
      </c>
      <c r="H148" s="69"/>
      <c r="I148" s="51">
        <v>11259474.34</v>
      </c>
      <c r="J148" s="51">
        <v>301491610.13999999</v>
      </c>
      <c r="K148" s="51">
        <v>3430228.95</v>
      </c>
      <c r="L148" s="51">
        <v>648693.54</v>
      </c>
      <c r="M148" s="115">
        <v>2781535.41</v>
      </c>
      <c r="N148" s="18">
        <v>312751084.48000002</v>
      </c>
      <c r="O148" s="18">
        <v>3875334.58</v>
      </c>
      <c r="P148" s="28">
        <v>316700131.25</v>
      </c>
      <c r="Q148" s="21">
        <f>(P148/$P$150)</f>
        <v>2.037629595111606E-2</v>
      </c>
      <c r="R148" s="28">
        <v>308875749.89999998</v>
      </c>
      <c r="S148" s="21">
        <f>(R148/$R$150)</f>
        <v>1.6350199548274068E-2</v>
      </c>
      <c r="T148" s="22">
        <f t="shared" si="53"/>
        <v>-2.4705961816679934E-2</v>
      </c>
      <c r="U148" s="57">
        <f t="shared" si="51"/>
        <v>2.1001763337200078E-3</v>
      </c>
      <c r="V148" s="23">
        <f>M148/R148</f>
        <v>9.0053538061843179E-3</v>
      </c>
      <c r="W148" s="24">
        <f>R148/AE148</f>
        <v>102.64524159249862</v>
      </c>
      <c r="X148" s="24">
        <f>M148/AE148</f>
        <v>0.92435671706171629</v>
      </c>
      <c r="Y148" s="18">
        <v>102.65</v>
      </c>
      <c r="Z148" s="18">
        <v>102.65</v>
      </c>
      <c r="AA148" s="25">
        <v>227</v>
      </c>
      <c r="AB148" s="25">
        <v>3104407</v>
      </c>
      <c r="AC148" s="25">
        <v>1053827</v>
      </c>
      <c r="AD148" s="25">
        <v>958578</v>
      </c>
      <c r="AE148" s="51">
        <v>3009158</v>
      </c>
      <c r="AF148" s="167"/>
    </row>
    <row r="149" spans="1:241" ht="16.5" customHeight="1" x14ac:dyDescent="0.3">
      <c r="A149" s="168">
        <v>125</v>
      </c>
      <c r="B149" s="142" t="s">
        <v>201</v>
      </c>
      <c r="C149" s="55" t="s">
        <v>206</v>
      </c>
      <c r="D149" s="18"/>
      <c r="E149" s="18"/>
      <c r="F149" s="18">
        <v>100001182</v>
      </c>
      <c r="G149" s="18">
        <v>248422682</v>
      </c>
      <c r="H149" s="18"/>
      <c r="I149" s="18"/>
      <c r="J149" s="18">
        <v>348423864</v>
      </c>
      <c r="K149" s="18">
        <v>4269951</v>
      </c>
      <c r="L149" s="18">
        <v>715557</v>
      </c>
      <c r="M149" s="115">
        <v>3554394</v>
      </c>
      <c r="N149" s="18">
        <v>456861776.37</v>
      </c>
      <c r="O149" s="18">
        <v>5511308.9900000002</v>
      </c>
      <c r="P149" s="28">
        <v>462373085</v>
      </c>
      <c r="Q149" s="21">
        <f>(P149/$P$82)</f>
        <v>1.1006923514530408E-3</v>
      </c>
      <c r="R149" s="28">
        <v>462373085</v>
      </c>
      <c r="S149" s="21">
        <f>(R149/$R$150)</f>
        <v>2.4475512266497575E-2</v>
      </c>
      <c r="T149" s="22">
        <f t="shared" si="53"/>
        <v>0</v>
      </c>
      <c r="U149" s="57">
        <f t="shared" si="51"/>
        <v>1.5475749415647755E-3</v>
      </c>
      <c r="V149" s="23">
        <f>M149/R149</f>
        <v>7.6872856905154845E-3</v>
      </c>
      <c r="W149" s="24">
        <f>R149/AE149</f>
        <v>1048.1156734603205</v>
      </c>
      <c r="X149" s="24">
        <f>M149/AE149</f>
        <v>8.0571646185965218</v>
      </c>
      <c r="Y149" s="69">
        <v>1048.1199999999999</v>
      </c>
      <c r="Z149" s="69">
        <v>1048.1199999999999</v>
      </c>
      <c r="AA149" s="25">
        <v>21</v>
      </c>
      <c r="AB149" s="113">
        <v>500834</v>
      </c>
      <c r="AC149" s="113">
        <v>10313</v>
      </c>
      <c r="AD149" s="113">
        <v>70000</v>
      </c>
      <c r="AE149" s="113">
        <v>441147</v>
      </c>
      <c r="AF149" s="5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  <c r="HS149" s="17"/>
      <c r="HT149" s="17"/>
      <c r="HU149" s="17"/>
      <c r="HV149" s="17"/>
      <c r="HW149" s="17"/>
      <c r="HX149" s="17"/>
      <c r="HY149" s="17"/>
      <c r="HZ149" s="17"/>
      <c r="IA149" s="17"/>
      <c r="IB149" s="17"/>
      <c r="IC149" s="17"/>
      <c r="ID149" s="17"/>
      <c r="IE149" s="17"/>
      <c r="IF149" s="17"/>
      <c r="IG149" s="17"/>
    </row>
    <row r="150" spans="1:241" ht="15.75" customHeight="1" x14ac:dyDescent="0.3">
      <c r="A150" s="184"/>
      <c r="B150" s="51"/>
      <c r="C150" s="74" t="s">
        <v>52</v>
      </c>
      <c r="D150" s="34">
        <f>SUM(D141:D149)</f>
        <v>1522213635.0500002</v>
      </c>
      <c r="E150" s="34"/>
      <c r="F150" s="34">
        <f>SUM(F141:F149)</f>
        <v>1297830429.4699998</v>
      </c>
      <c r="G150" s="34">
        <f>SUM(G141:G149)</f>
        <v>14295533111.879999</v>
      </c>
      <c r="H150" s="34"/>
      <c r="I150" s="34">
        <f t="shared" ref="I150:P150" si="54">SUM(I141:I149)</f>
        <v>1164089077.0599999</v>
      </c>
      <c r="J150" s="34">
        <f t="shared" si="54"/>
        <v>18066031858.43</v>
      </c>
      <c r="K150" s="34">
        <f t="shared" si="54"/>
        <v>211258337.17999998</v>
      </c>
      <c r="L150" s="34">
        <f t="shared" si="54"/>
        <v>27059351.089999996</v>
      </c>
      <c r="M150" s="34">
        <f t="shared" si="54"/>
        <v>172905336.84</v>
      </c>
      <c r="N150" s="34">
        <f t="shared" si="54"/>
        <v>19341426826.919998</v>
      </c>
      <c r="O150" s="34">
        <f t="shared" si="54"/>
        <v>461196834</v>
      </c>
      <c r="P150" s="122">
        <f t="shared" si="54"/>
        <v>15542576138.950001</v>
      </c>
      <c r="Q150" s="82">
        <f>(P150/$P$151)</f>
        <v>1.0927669781823289E-2</v>
      </c>
      <c r="R150" s="35">
        <f>SUM(R141:R149)</f>
        <v>18891252610.590004</v>
      </c>
      <c r="S150" s="82">
        <f>(R150/$R$151)</f>
        <v>1.360303931352661E-2</v>
      </c>
      <c r="T150" s="36">
        <f t="shared" si="53"/>
        <v>0.2154518299735495</v>
      </c>
      <c r="U150" s="57">
        <f t="shared" si="51"/>
        <v>1.4323746364405261E-3</v>
      </c>
      <c r="V150" s="37"/>
      <c r="W150" s="38"/>
      <c r="X150" s="38"/>
      <c r="Y150" s="34"/>
      <c r="Z150" s="34"/>
      <c r="AA150" s="39">
        <f>SUM(AA141:AA149)</f>
        <v>17457</v>
      </c>
      <c r="AB150" s="39"/>
      <c r="AC150" s="39"/>
      <c r="AD150" s="39"/>
      <c r="AE150" s="34"/>
      <c r="AF150" s="167"/>
    </row>
    <row r="151" spans="1:241" ht="15.75" customHeight="1" x14ac:dyDescent="0.3">
      <c r="A151" s="185"/>
      <c r="B151" s="186"/>
      <c r="C151" s="187" t="s">
        <v>146</v>
      </c>
      <c r="D151" s="188">
        <f>SUM(D150,D138,D133,D109,D103,D82,D51,D20)</f>
        <v>18823430976.789997</v>
      </c>
      <c r="E151" s="188"/>
      <c r="F151" s="188">
        <f t="shared" ref="F151:O151" si="55">SUM(F150,F138,F133,F109,F103,F82,F51,F20)</f>
        <v>707887559120.24365</v>
      </c>
      <c r="G151" s="188">
        <f t="shared" si="55"/>
        <v>546151930117.40924</v>
      </c>
      <c r="H151" s="188">
        <f t="shared" si="55"/>
        <v>33993286733.260002</v>
      </c>
      <c r="I151" s="188">
        <f t="shared" si="55"/>
        <v>16744933713.110001</v>
      </c>
      <c r="J151" s="188">
        <f t="shared" si="55"/>
        <v>1241870864139.8406</v>
      </c>
      <c r="K151" s="188">
        <f t="shared" si="55"/>
        <v>9043521393.1306</v>
      </c>
      <c r="L151" s="188">
        <f t="shared" si="55"/>
        <v>2423491760.8650999</v>
      </c>
      <c r="M151" s="188">
        <f t="shared" si="55"/>
        <v>6365900264.2958994</v>
      </c>
      <c r="N151" s="188">
        <f t="shared" si="55"/>
        <v>1391800153764.564</v>
      </c>
      <c r="O151" s="188">
        <f t="shared" si="55"/>
        <v>18370018944.567398</v>
      </c>
      <c r="P151" s="189">
        <f>SUM(P20,P51,P82,P103,P109,P133,P138,P150)</f>
        <v>1422313855493.967</v>
      </c>
      <c r="Q151" s="190"/>
      <c r="R151" s="188">
        <f>SUM(R20,R51,R82,R103,R109,R133,R138,R150)</f>
        <v>1388752335061.2456</v>
      </c>
      <c r="S151" s="190"/>
      <c r="T151" s="36"/>
      <c r="U151" s="49"/>
      <c r="V151" s="37"/>
      <c r="W151" s="38"/>
      <c r="X151" s="38"/>
      <c r="Y151" s="188"/>
      <c r="Z151" s="188"/>
      <c r="AA151" s="191">
        <f>SUM(AA20,AA51,AA82,AA103,AA109,AA133,AA138,AA150)</f>
        <v>911376</v>
      </c>
      <c r="AB151" s="188"/>
      <c r="AC151" s="188"/>
      <c r="AD151" s="188"/>
      <c r="AE151" s="188"/>
      <c r="AF151" s="167"/>
    </row>
    <row r="152" spans="1:241" ht="6" customHeight="1" x14ac:dyDescent="0.25">
      <c r="A152" s="109"/>
      <c r="B152" s="109"/>
      <c r="C152" s="109"/>
      <c r="D152" s="5"/>
      <c r="E152" s="5"/>
      <c r="F152" s="5"/>
      <c r="G152" s="5"/>
      <c r="H152" s="5"/>
      <c r="I152" s="110"/>
      <c r="J152" s="5"/>
      <c r="K152" s="5"/>
      <c r="L152" s="5"/>
      <c r="M152" s="132"/>
      <c r="N152" s="5"/>
      <c r="O152" s="5"/>
      <c r="P152" s="154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</row>
    <row r="153" spans="1:241" ht="15.75" customHeight="1" x14ac:dyDescent="0.3">
      <c r="A153" s="103" t="s">
        <v>163</v>
      </c>
      <c r="B153" s="104" t="s">
        <v>164</v>
      </c>
      <c r="C153" s="105"/>
      <c r="D153" s="5"/>
      <c r="E153" s="5"/>
      <c r="F153" s="5"/>
      <c r="G153" s="5"/>
      <c r="H153" s="106"/>
      <c r="I153" s="5"/>
      <c r="J153" s="5"/>
      <c r="K153" s="5"/>
      <c r="L153" s="5"/>
      <c r="M153" s="132"/>
      <c r="N153" s="5"/>
      <c r="O153" s="5"/>
      <c r="P153" s="155"/>
      <c r="Q153" s="5"/>
      <c r="R153" s="107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108"/>
    </row>
    <row r="156" spans="1:241" ht="15.75" customHeight="1" x14ac:dyDescent="0.25">
      <c r="E156" s="70"/>
    </row>
  </sheetData>
  <mergeCells count="24">
    <mergeCell ref="A84:C84"/>
    <mergeCell ref="A95:C95"/>
    <mergeCell ref="A104:C104"/>
    <mergeCell ref="A110:C110"/>
    <mergeCell ref="A134:C134"/>
    <mergeCell ref="A1:AE1"/>
    <mergeCell ref="A3:C3"/>
    <mergeCell ref="A21:C21"/>
    <mergeCell ref="A52:C52"/>
    <mergeCell ref="A83:C83"/>
    <mergeCell ref="AA139:AE139"/>
    <mergeCell ref="J139:K139"/>
    <mergeCell ref="A140:C140"/>
    <mergeCell ref="L139:M139"/>
    <mergeCell ref="N139:O139"/>
    <mergeCell ref="P139:Q139"/>
    <mergeCell ref="A139:C139"/>
    <mergeCell ref="D139:F139"/>
    <mergeCell ref="G139:I139"/>
    <mergeCell ref="A144:C144"/>
    <mergeCell ref="R139:S139"/>
    <mergeCell ref="U139:V139"/>
    <mergeCell ref="W139:X139"/>
    <mergeCell ref="Y139:Z139"/>
  </mergeCells>
  <phoneticPr fontId="15" type="noConversion"/>
  <pageMargins left="0.7" right="0.7" top="0.75" bottom="0.75" header="0.3" footer="0.3"/>
  <pageSetup orientation="landscape" r:id="rId1"/>
  <headerFooter>
    <oddFooter>&amp;C&amp;"Helvetica,Regular"&amp;12&amp;K000000&amp;P</oddFooter>
  </headerFooter>
  <rowBreaks count="3" manualBreakCount="3">
    <brk id="59" max="16383" man="1"/>
    <brk id="94" max="16383" man="1"/>
    <brk id="130" max="16383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Q13" sqref="Q13"/>
    </sheetView>
  </sheetViews>
  <sheetFormatPr defaultColWidth="10" defaultRowHeight="12.95" customHeight="1" x14ac:dyDescent="0.25"/>
  <cols>
    <col min="1" max="256" width="10" style="12" customWidth="1"/>
  </cols>
  <sheetData>
    <row r="1" spans="1:12" ht="12.95" customHeight="1" x14ac:dyDescent="0.25">
      <c r="A1" s="13"/>
      <c r="B1" s="2"/>
      <c r="C1" s="2"/>
      <c r="D1" s="2"/>
      <c r="E1" s="2"/>
      <c r="F1" s="2"/>
      <c r="G1" s="2"/>
      <c r="H1" s="2"/>
      <c r="I1" s="2"/>
      <c r="J1" s="2"/>
      <c r="K1" s="3"/>
      <c r="L1" s="7"/>
    </row>
    <row r="2" spans="1:12" ht="12.9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6"/>
      <c r="L2" s="14"/>
    </row>
    <row r="3" spans="1:12" ht="12.9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6"/>
      <c r="L3" s="14"/>
    </row>
    <row r="4" spans="1:12" ht="12.9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  <c r="L4" s="14"/>
    </row>
    <row r="5" spans="1:12" ht="12.9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6"/>
      <c r="L5" s="14"/>
    </row>
    <row r="6" spans="1:12" ht="12.9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  <c r="L6" s="14"/>
    </row>
    <row r="7" spans="1:12" ht="12.9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6"/>
      <c r="L7" s="14"/>
    </row>
    <row r="8" spans="1:12" ht="12.9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6"/>
      <c r="L8" s="14"/>
    </row>
    <row r="9" spans="1:12" ht="12.9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6"/>
      <c r="L9" s="14"/>
    </row>
    <row r="10" spans="1:12" ht="12.9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6"/>
      <c r="L10" s="14"/>
    </row>
    <row r="11" spans="1:12" ht="12.9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6"/>
      <c r="L11" s="14"/>
    </row>
    <row r="12" spans="1:12" ht="12.9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6"/>
      <c r="L12" s="14"/>
    </row>
    <row r="13" spans="1:12" ht="12.9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6"/>
      <c r="L13" s="14"/>
    </row>
    <row r="14" spans="1:12" ht="12.9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6"/>
      <c r="L14" s="14"/>
    </row>
    <row r="15" spans="1:12" ht="12.9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6"/>
      <c r="L15" s="14"/>
    </row>
    <row r="16" spans="1:12" ht="12.9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6"/>
      <c r="L16" s="14"/>
    </row>
    <row r="17" spans="1:12" ht="12.9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6"/>
      <c r="L17" s="14"/>
    </row>
    <row r="18" spans="1:12" ht="12.9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6"/>
      <c r="L18" s="14"/>
    </row>
    <row r="19" spans="1:12" ht="12.9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6"/>
      <c r="L19" s="14"/>
    </row>
    <row r="20" spans="1:12" ht="12.9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6"/>
      <c r="L20" s="14"/>
    </row>
    <row r="21" spans="1:12" ht="12.9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6"/>
      <c r="L21" s="14"/>
    </row>
    <row r="22" spans="1:12" ht="12.95" customHeight="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6"/>
      <c r="L22" s="14"/>
    </row>
    <row r="23" spans="1:12" ht="12.95" customHeight="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6"/>
      <c r="L23" s="14"/>
    </row>
    <row r="24" spans="1:12" ht="12.95" customHeight="1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P21" sqref="P21"/>
    </sheetView>
  </sheetViews>
  <sheetFormatPr defaultColWidth="10" defaultRowHeight="12.95" customHeight="1" x14ac:dyDescent="0.25"/>
  <cols>
    <col min="1" max="256" width="10" style="15" customWidth="1"/>
  </cols>
  <sheetData>
    <row r="1" spans="1:14" ht="12.95" customHeight="1" x14ac:dyDescent="0.25">
      <c r="A1" s="1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2.9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12.9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4" ht="12.9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1:14" ht="12.9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ht="12.9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4" ht="12.9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4" ht="12.9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ht="12.9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4" ht="12.9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4" ht="12.9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1:14" ht="12.9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</row>
    <row r="13" spans="1:14" ht="12.9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4" ht="12.9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</row>
    <row r="15" spans="1:14" ht="12.9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</row>
    <row r="16" spans="1:14" ht="12.9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</row>
    <row r="17" spans="1:14" ht="12.9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</row>
    <row r="18" spans="1:14" ht="12.9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</row>
    <row r="19" spans="1:14" ht="12.9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</row>
    <row r="20" spans="1:14" ht="12.9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/>
    </row>
    <row r="21" spans="1:14" ht="12.9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6"/>
    </row>
    <row r="22" spans="1:14" ht="12.95" customHeight="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</row>
    <row r="23" spans="1:14" ht="12.95" customHeight="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6"/>
    </row>
    <row r="24" spans="1:14" ht="12.95" customHeight="1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zoomScale="80" zoomScaleNormal="80" workbookViewId="0">
      <selection activeCell="Q5" sqref="Q5"/>
    </sheetView>
  </sheetViews>
  <sheetFormatPr defaultColWidth="8.85546875" defaultRowHeight="15" customHeight="1" x14ac:dyDescent="0.25"/>
  <cols>
    <col min="1" max="3" width="8.85546875" style="16" customWidth="1"/>
    <col min="4" max="4" width="10.42578125" style="16" customWidth="1"/>
    <col min="5" max="256" width="8.85546875" style="16" customWidth="1"/>
  </cols>
  <sheetData>
    <row r="1" spans="1:14" ht="15" customHeight="1" x14ac:dyDescent="0.25">
      <c r="A1" s="1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7"/>
    </row>
    <row r="2" spans="1:14" ht="1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14"/>
    </row>
    <row r="3" spans="1:14" ht="1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14"/>
    </row>
    <row r="4" spans="1:14" ht="1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14"/>
    </row>
    <row r="5" spans="1:14" ht="1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14"/>
    </row>
    <row r="6" spans="1:14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6"/>
      <c r="N6" s="14"/>
    </row>
    <row r="7" spans="1:14" ht="1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/>
      <c r="N7" s="14"/>
    </row>
    <row r="8" spans="1:14" ht="1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14"/>
    </row>
    <row r="9" spans="1:14" ht="1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14"/>
    </row>
    <row r="10" spans="1:14" ht="1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14"/>
    </row>
    <row r="11" spans="1:14" ht="1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6"/>
      <c r="N11" s="14"/>
    </row>
    <row r="12" spans="1:14" ht="1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6"/>
      <c r="N12" s="14"/>
    </row>
    <row r="13" spans="1:14" ht="1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6"/>
      <c r="N13" s="14"/>
    </row>
    <row r="14" spans="1:14" ht="1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6"/>
      <c r="N14" s="14"/>
    </row>
    <row r="15" spans="1:14" ht="1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6"/>
      <c r="N15" s="14"/>
    </row>
    <row r="16" spans="1:14" ht="1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6"/>
      <c r="N16" s="14"/>
    </row>
    <row r="17" spans="1:14" ht="1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6"/>
      <c r="N17" s="14"/>
    </row>
    <row r="18" spans="1:14" ht="1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6"/>
      <c r="N18" s="14"/>
    </row>
    <row r="19" spans="1:14" ht="1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  <c r="N19" s="14"/>
    </row>
    <row r="20" spans="1:14" ht="1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  <c r="N20" s="14"/>
    </row>
    <row r="21" spans="1:14" ht="1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6"/>
      <c r="N21" s="14"/>
    </row>
    <row r="22" spans="1:14" ht="15" customHeight="1" x14ac:dyDescent="0.2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1"/>
      <c r="N22" s="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JUNE 2022</vt:lpstr>
      <vt:lpstr>Market Share</vt:lpstr>
      <vt:lpstr>Unit Holders</vt:lpstr>
      <vt:lpstr>NAV Comparison Apr - June '22</vt:lpstr>
      <vt:lpstr>'JUNE 2022'!_Hlk108107245</vt:lpstr>
      <vt:lpstr>'JUNE 2022'!_Hlk108109806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cp:lastPrinted>2021-12-13T00:24:01Z</cp:lastPrinted>
  <dcterms:created xsi:type="dcterms:W3CDTF">2021-07-14T13:16:57Z</dcterms:created>
  <dcterms:modified xsi:type="dcterms:W3CDTF">2022-08-15T06:52:48Z</dcterms:modified>
</cp:coreProperties>
</file>