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0" yWindow="495" windowWidth="28800" windowHeight="16380"/>
  </bookViews>
  <sheets>
    <sheet name="MAY 2022" sheetId="1" r:id="rId1"/>
    <sheet name="Market Share" sheetId="2" r:id="rId2"/>
    <sheet name="Unit Holders" sheetId="3" r:id="rId3"/>
    <sheet name="NAV Comparison Apr &amp; May '22" sheetId="4" r:id="rId4"/>
  </sheets>
  <definedNames>
    <definedName name="_xlnm._FilterDatabase" localSheetId="0" hidden="1">'MAY 2022'!$A$1:$AE$93</definedName>
  </definedNames>
  <calcPr calcId="162913"/>
</workbook>
</file>

<file path=xl/calcChain.xml><?xml version="1.0" encoding="utf-8"?>
<calcChain xmlns="http://schemas.openxmlformats.org/spreadsheetml/2006/main">
  <c r="AA82" i="1" l="1"/>
  <c r="R82" i="1"/>
  <c r="P82" i="1"/>
  <c r="N82" i="1"/>
  <c r="J82" i="1"/>
  <c r="D82" i="1"/>
  <c r="X17" i="1"/>
  <c r="W17" i="1"/>
  <c r="V17" i="1"/>
  <c r="U17" i="1"/>
  <c r="T17" i="1"/>
  <c r="J120" i="1" l="1"/>
  <c r="T81" i="1"/>
  <c r="F97" i="1" l="1"/>
  <c r="J97" i="1"/>
  <c r="K97" i="1"/>
  <c r="L97" i="1"/>
  <c r="M97" i="1"/>
  <c r="N97" i="1"/>
  <c r="O97" i="1"/>
  <c r="R97" i="1"/>
  <c r="Z97" i="1"/>
  <c r="Y97" i="1"/>
  <c r="Z90" i="1"/>
  <c r="Y90" i="1"/>
  <c r="Y91" i="1"/>
  <c r="O82" i="1"/>
  <c r="M82" i="1"/>
  <c r="L82" i="1"/>
  <c r="K82" i="1"/>
  <c r="F82" i="1"/>
  <c r="G82" i="1"/>
  <c r="X81" i="1"/>
  <c r="W81" i="1"/>
  <c r="V81" i="1"/>
  <c r="U81" i="1"/>
  <c r="Z99" i="1"/>
  <c r="Y99" i="1"/>
  <c r="R99" i="1"/>
  <c r="M99" i="1"/>
  <c r="N99" i="1"/>
  <c r="O99" i="1"/>
  <c r="L99" i="1"/>
  <c r="K99" i="1"/>
  <c r="J99" i="1"/>
  <c r="G99" i="1"/>
  <c r="Z91" i="1"/>
  <c r="R91" i="1"/>
  <c r="N91" i="1"/>
  <c r="O91" i="1"/>
  <c r="M91" i="1"/>
  <c r="L91" i="1"/>
  <c r="K91" i="1"/>
  <c r="J91" i="1"/>
  <c r="G91" i="1"/>
  <c r="F96" i="1"/>
  <c r="Z96" i="1"/>
  <c r="Y96" i="1"/>
  <c r="R96" i="1"/>
  <c r="O96" i="1"/>
  <c r="N96" i="1"/>
  <c r="M96" i="1"/>
  <c r="L96" i="1"/>
  <c r="K96" i="1"/>
  <c r="J96" i="1"/>
  <c r="G96" i="1"/>
  <c r="Z102" i="1"/>
  <c r="Y102" i="1"/>
  <c r="R102" i="1"/>
  <c r="O102" i="1"/>
  <c r="N102" i="1"/>
  <c r="M102" i="1"/>
  <c r="L102" i="1"/>
  <c r="K102" i="1"/>
  <c r="J102" i="1"/>
  <c r="F102" i="1"/>
  <c r="G102" i="1"/>
  <c r="R87" i="1"/>
  <c r="O87" i="1"/>
  <c r="N87" i="1"/>
  <c r="M87" i="1"/>
  <c r="L87" i="1"/>
  <c r="K87" i="1"/>
  <c r="J87" i="1"/>
  <c r="G87" i="1"/>
  <c r="Z87" i="1"/>
  <c r="Y87" i="1"/>
  <c r="K101" i="1"/>
  <c r="L101" i="1"/>
  <c r="M101" i="1"/>
  <c r="N101" i="1"/>
  <c r="O101" i="1"/>
  <c r="R101" i="1"/>
  <c r="G101" i="1"/>
  <c r="J101" i="1"/>
  <c r="Z100" i="1"/>
  <c r="Y100" i="1"/>
  <c r="R100" i="1"/>
  <c r="O100" i="1"/>
  <c r="N100" i="1"/>
  <c r="M100" i="1"/>
  <c r="L100" i="1"/>
  <c r="K100" i="1"/>
  <c r="J100" i="1"/>
  <c r="F100" i="1"/>
  <c r="G100" i="1"/>
  <c r="D103" i="1"/>
  <c r="Z93" i="1"/>
  <c r="Y93" i="1"/>
  <c r="R93" i="1"/>
  <c r="O93" i="1"/>
  <c r="N93" i="1"/>
  <c r="M93" i="1"/>
  <c r="L93" i="1"/>
  <c r="K93" i="1"/>
  <c r="J93" i="1"/>
  <c r="G93" i="1"/>
  <c r="Z98" i="1"/>
  <c r="Y98" i="1"/>
  <c r="R98" i="1"/>
  <c r="O98" i="1"/>
  <c r="N98" i="1"/>
  <c r="M98" i="1"/>
  <c r="L98" i="1"/>
  <c r="K98" i="1"/>
  <c r="J98" i="1"/>
  <c r="G98" i="1"/>
  <c r="Z88" i="1"/>
  <c r="Y88" i="1"/>
  <c r="R88" i="1"/>
  <c r="O88" i="1"/>
  <c r="N88" i="1"/>
  <c r="M88" i="1"/>
  <c r="L88" i="1"/>
  <c r="K88" i="1"/>
  <c r="J88" i="1"/>
  <c r="F88" i="1"/>
  <c r="G88" i="1"/>
  <c r="N103" i="1" l="1"/>
  <c r="AA127" i="1"/>
  <c r="AC49" i="1"/>
  <c r="AA43" i="1" l="1"/>
  <c r="AA30" i="1"/>
  <c r="P150" i="1" l="1"/>
  <c r="P138" i="1"/>
  <c r="P133" i="1"/>
  <c r="P109" i="1"/>
  <c r="P102" i="1"/>
  <c r="P101" i="1"/>
  <c r="P100" i="1"/>
  <c r="P99" i="1"/>
  <c r="P98" i="1"/>
  <c r="P97" i="1"/>
  <c r="P96" i="1"/>
  <c r="P93" i="1"/>
  <c r="P91" i="1"/>
  <c r="P88" i="1"/>
  <c r="P87" i="1"/>
  <c r="Q81" i="1"/>
  <c r="P51" i="1"/>
  <c r="P20" i="1"/>
  <c r="Q17" i="1" s="1"/>
  <c r="P103" i="1" l="1"/>
  <c r="P151" i="1" s="1"/>
  <c r="J130" i="1"/>
  <c r="R138" i="1" l="1"/>
  <c r="X80" i="1" l="1"/>
  <c r="U80" i="1"/>
  <c r="T80" i="1"/>
  <c r="V80" i="1" l="1"/>
  <c r="W80" i="1"/>
  <c r="Q80" i="1" l="1"/>
  <c r="Q31" i="1"/>
  <c r="R150" i="1" l="1"/>
  <c r="S149" i="1" s="1"/>
  <c r="S80" i="1" l="1"/>
  <c r="S81" i="1"/>
  <c r="G109" i="1"/>
  <c r="O109" i="1"/>
  <c r="K109" i="1"/>
  <c r="L109" i="1"/>
  <c r="M109" i="1"/>
  <c r="N109" i="1"/>
  <c r="H109" i="1"/>
  <c r="I109" i="1"/>
  <c r="J109" i="1"/>
  <c r="F109" i="1"/>
  <c r="I82" i="1"/>
  <c r="O51" i="1"/>
  <c r="N51" i="1"/>
  <c r="I51" i="1"/>
  <c r="K51" i="1"/>
  <c r="L51" i="1"/>
  <c r="M51" i="1"/>
  <c r="F51" i="1"/>
  <c r="O20" i="1"/>
  <c r="K20" i="1"/>
  <c r="L20" i="1"/>
  <c r="M20" i="1"/>
  <c r="N20" i="1"/>
  <c r="F20" i="1"/>
  <c r="G20" i="1"/>
  <c r="H20" i="1"/>
  <c r="D20" i="1"/>
  <c r="L133" i="1"/>
  <c r="M133" i="1"/>
  <c r="N133" i="1"/>
  <c r="O133" i="1"/>
  <c r="F133" i="1"/>
  <c r="G133" i="1"/>
  <c r="H133" i="1"/>
  <c r="D133" i="1"/>
  <c r="J138" i="1"/>
  <c r="K138" i="1"/>
  <c r="L138" i="1"/>
  <c r="M138" i="1"/>
  <c r="N138" i="1"/>
  <c r="O138" i="1"/>
  <c r="F138" i="1"/>
  <c r="G138" i="1"/>
  <c r="H138" i="1"/>
  <c r="D138" i="1"/>
  <c r="M150" i="1"/>
  <c r="N150" i="1"/>
  <c r="O150" i="1"/>
  <c r="J150" i="1"/>
  <c r="K150" i="1"/>
  <c r="L150" i="1"/>
  <c r="G150" i="1"/>
  <c r="F150" i="1"/>
  <c r="D150" i="1"/>
  <c r="H151" i="1" l="1"/>
  <c r="J51" i="1"/>
  <c r="J133" i="1"/>
  <c r="D151" i="1" l="1"/>
  <c r="W93" i="1"/>
  <c r="X93" i="1"/>
  <c r="U93" i="1"/>
  <c r="J20" i="1"/>
  <c r="K133" i="1"/>
  <c r="O103" i="1" l="1"/>
  <c r="O151" i="1" s="1"/>
  <c r="F103" i="1"/>
  <c r="F151" i="1" s="1"/>
  <c r="G103" i="1"/>
  <c r="J103" i="1"/>
  <c r="J151" i="1" s="1"/>
  <c r="K103" i="1"/>
  <c r="K151" i="1" s="1"/>
  <c r="L103" i="1"/>
  <c r="L151" i="1" s="1"/>
  <c r="M103" i="1"/>
  <c r="M151" i="1" s="1"/>
  <c r="N151" i="1"/>
  <c r="T93" i="1"/>
  <c r="V93" i="1"/>
  <c r="AA150" i="1"/>
  <c r="I150" i="1"/>
  <c r="I151" i="1" s="1"/>
  <c r="G151" i="1" l="1"/>
  <c r="R20" i="1"/>
  <c r="S17" i="1" s="1"/>
  <c r="Q93" i="1" l="1"/>
  <c r="Q150" i="1"/>
  <c r="X149" i="1" l="1"/>
  <c r="W149" i="1"/>
  <c r="V149" i="1"/>
  <c r="U149" i="1"/>
  <c r="T149" i="1"/>
  <c r="X79" i="1" l="1"/>
  <c r="W79" i="1"/>
  <c r="V79" i="1"/>
  <c r="U79" i="1"/>
  <c r="T79" i="1"/>
  <c r="Q149" i="1"/>
  <c r="Q79" i="1" l="1"/>
  <c r="X35" i="1" l="1"/>
  <c r="V34" i="1"/>
  <c r="V35" i="1"/>
  <c r="V42" i="1" l="1"/>
  <c r="V48" i="1"/>
  <c r="V122" i="1"/>
  <c r="X121" i="1"/>
  <c r="X123" i="1"/>
  <c r="X99" i="1"/>
  <c r="W99" i="1"/>
  <c r="X98" i="1"/>
  <c r="W102" i="1"/>
  <c r="X102" i="1"/>
  <c r="U102" i="1"/>
  <c r="V102" i="1" l="1"/>
  <c r="T76" i="1" l="1"/>
  <c r="T70" i="1"/>
  <c r="T136" i="1"/>
  <c r="R133" i="1" l="1"/>
  <c r="AA138" i="1" l="1"/>
  <c r="S136" i="1"/>
  <c r="S137" i="1" l="1"/>
  <c r="S135" i="1"/>
  <c r="Q136" i="1"/>
  <c r="Q137" i="1"/>
  <c r="Q135" i="1"/>
  <c r="T138" i="1"/>
  <c r="AA103" i="1"/>
  <c r="R103" i="1"/>
  <c r="S93" i="1" s="1"/>
  <c r="S79" i="1" l="1"/>
  <c r="S97" i="1"/>
  <c r="S88" i="1"/>
  <c r="S98" i="1"/>
  <c r="S89" i="1"/>
  <c r="S90" i="1"/>
  <c r="S100" i="1"/>
  <c r="S91" i="1"/>
  <c r="S99" i="1"/>
  <c r="S101" i="1"/>
  <c r="S92" i="1"/>
  <c r="S102" i="1"/>
  <c r="S86" i="1"/>
  <c r="S87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6" i="1"/>
  <c r="S147" i="1"/>
  <c r="S148" i="1"/>
  <c r="S145" i="1"/>
  <c r="S142" i="1"/>
  <c r="Q146" i="1"/>
  <c r="Q147" i="1"/>
  <c r="Q148" i="1"/>
  <c r="Q145" i="1"/>
  <c r="Q142" i="1"/>
  <c r="Q102" i="1"/>
  <c r="Q92" i="1"/>
  <c r="Q96" i="1"/>
  <c r="Q85" i="1"/>
  <c r="Q100" i="1"/>
  <c r="Q86" i="1"/>
  <c r="Q97" i="1"/>
  <c r="Q87" i="1"/>
  <c r="Q91" i="1"/>
  <c r="Q98" i="1"/>
  <c r="Q88" i="1"/>
  <c r="Q99" i="1"/>
  <c r="Q89" i="1"/>
  <c r="Q90" i="1"/>
  <c r="Q101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7" i="1"/>
  <c r="W127" i="1"/>
  <c r="V127" i="1"/>
  <c r="U127" i="1"/>
  <c r="T127" i="1"/>
  <c r="X126" i="1"/>
  <c r="W126" i="1"/>
  <c r="V126" i="1"/>
  <c r="U126" i="1"/>
  <c r="T126" i="1"/>
  <c r="X101" i="1" l="1"/>
  <c r="W101" i="1"/>
  <c r="V101" i="1"/>
  <c r="U101" i="1"/>
  <c r="T101" i="1"/>
  <c r="W100" i="1"/>
  <c r="X100" i="1"/>
  <c r="X92" i="1"/>
  <c r="W92" i="1"/>
  <c r="V92" i="1"/>
  <c r="U92" i="1"/>
  <c r="T92" i="1"/>
  <c r="W91" i="1"/>
  <c r="X91" i="1"/>
  <c r="X90" i="1"/>
  <c r="W90" i="1"/>
  <c r="V90" i="1"/>
  <c r="U90" i="1"/>
  <c r="T90" i="1"/>
  <c r="X89" i="1"/>
  <c r="W89" i="1"/>
  <c r="V89" i="1"/>
  <c r="U89" i="1"/>
  <c r="T89" i="1"/>
  <c r="X87" i="1"/>
  <c r="X88" i="1"/>
  <c r="X86" i="1"/>
  <c r="W86" i="1"/>
  <c r="V86" i="1"/>
  <c r="U86" i="1"/>
  <c r="T86" i="1"/>
  <c r="X85" i="1"/>
  <c r="W85" i="1"/>
  <c r="V85" i="1"/>
  <c r="U85" i="1"/>
  <c r="T85" i="1"/>
  <c r="U99" i="1" l="1"/>
  <c r="W98" i="1"/>
  <c r="U100" i="1"/>
  <c r="V99" i="1"/>
  <c r="V98" i="1"/>
  <c r="T100" i="1"/>
  <c r="T99" i="1"/>
  <c r="T98" i="1"/>
  <c r="U98" i="1"/>
  <c r="V100" i="1"/>
  <c r="U88" i="1"/>
  <c r="U91" i="1"/>
  <c r="T87" i="1"/>
  <c r="W87" i="1"/>
  <c r="U87" i="1"/>
  <c r="T91" i="1"/>
  <c r="V88" i="1"/>
  <c r="V91" i="1"/>
  <c r="W88" i="1"/>
  <c r="V87" i="1"/>
  <c r="T88" i="1"/>
  <c r="T148" i="1" l="1"/>
  <c r="U141" i="1"/>
  <c r="U136" i="1"/>
  <c r="U137" i="1"/>
  <c r="U142" i="1"/>
  <c r="U146" i="1"/>
  <c r="U147" i="1"/>
  <c r="U148" i="1"/>
  <c r="T128" i="1"/>
  <c r="Q141" i="1"/>
  <c r="T50" i="1"/>
  <c r="T45" i="1"/>
  <c r="T58" i="1"/>
  <c r="S112" i="1" l="1"/>
  <c r="S120" i="1"/>
  <c r="S128" i="1"/>
  <c r="S113" i="1"/>
  <c r="S121" i="1"/>
  <c r="S129" i="1"/>
  <c r="S114" i="1"/>
  <c r="S122" i="1"/>
  <c r="S130" i="1"/>
  <c r="S115" i="1"/>
  <c r="S123" i="1"/>
  <c r="S131" i="1"/>
  <c r="S116" i="1"/>
  <c r="S124" i="1"/>
  <c r="S132" i="1"/>
  <c r="S126" i="1"/>
  <c r="S117" i="1"/>
  <c r="S125" i="1"/>
  <c r="S118" i="1"/>
  <c r="S119" i="1"/>
  <c r="S127" i="1"/>
  <c r="Q107" i="1"/>
  <c r="Q106" i="1"/>
  <c r="Q108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41" i="1"/>
  <c r="Q122" i="1" l="1"/>
  <c r="Q138" i="1"/>
  <c r="Q115" i="1"/>
  <c r="Q123" i="1"/>
  <c r="Q131" i="1"/>
  <c r="Q116" i="1"/>
  <c r="Q124" i="1"/>
  <c r="Q132" i="1"/>
  <c r="Q117" i="1"/>
  <c r="Q125" i="1"/>
  <c r="Q111" i="1"/>
  <c r="Q51" i="1"/>
  <c r="Q119" i="1"/>
  <c r="Q120" i="1"/>
  <c r="Q118" i="1"/>
  <c r="Q126" i="1"/>
  <c r="Q133" i="1"/>
  <c r="Q112" i="1"/>
  <c r="Q128" i="1"/>
  <c r="Q127" i="1"/>
  <c r="Q113" i="1"/>
  <c r="Q121" i="1"/>
  <c r="Q129" i="1"/>
  <c r="Q109" i="1"/>
  <c r="Q114" i="1"/>
  <c r="Q130" i="1"/>
  <c r="Q103" i="1"/>
  <c r="Q82" i="1"/>
  <c r="Q20" i="1"/>
  <c r="U150" i="1"/>
  <c r="U132" i="1"/>
  <c r="U131" i="1"/>
  <c r="U45" i="1"/>
  <c r="U44" i="1"/>
  <c r="X111" i="1" l="1"/>
  <c r="W124" i="1"/>
  <c r="T19" i="1" l="1"/>
  <c r="U64" i="1"/>
  <c r="U65" i="1"/>
  <c r="X136" i="1" l="1"/>
  <c r="T102" i="1" l="1"/>
  <c r="T57" i="1" l="1"/>
  <c r="X113" i="1"/>
  <c r="T131" i="1"/>
  <c r="T132" i="1"/>
  <c r="T56" i="1"/>
  <c r="AA109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31" i="1" l="1"/>
  <c r="W131" i="1"/>
  <c r="V131" i="1"/>
  <c r="X56" i="1"/>
  <c r="W56" i="1"/>
  <c r="V56" i="1"/>
  <c r="U56" i="1"/>
  <c r="X48" i="1"/>
  <c r="W48" i="1"/>
  <c r="U48" i="1"/>
  <c r="X147" i="1" l="1"/>
  <c r="W147" i="1"/>
  <c r="V147" i="1"/>
  <c r="T147" i="1"/>
  <c r="X130" i="1" l="1"/>
  <c r="W130" i="1"/>
  <c r="V130" i="1"/>
  <c r="U130" i="1"/>
  <c r="T130" i="1"/>
  <c r="X47" i="1" l="1"/>
  <c r="W47" i="1"/>
  <c r="V47" i="1"/>
  <c r="U47" i="1"/>
  <c r="T47" i="1"/>
  <c r="X107" i="1" l="1"/>
  <c r="W107" i="1"/>
  <c r="V107" i="1"/>
  <c r="U107" i="1"/>
  <c r="T107" i="1"/>
  <c r="X77" i="1" l="1"/>
  <c r="W77" i="1"/>
  <c r="V77" i="1"/>
  <c r="U77" i="1"/>
  <c r="T77" i="1"/>
  <c r="X146" i="1"/>
  <c r="W146" i="1"/>
  <c r="V146" i="1"/>
  <c r="T146" i="1"/>
  <c r="T150" i="1" l="1"/>
  <c r="X148" i="1"/>
  <c r="W148" i="1"/>
  <c r="V148" i="1"/>
  <c r="X142" i="1"/>
  <c r="W142" i="1"/>
  <c r="V142" i="1"/>
  <c r="T142" i="1"/>
  <c r="X137" i="1"/>
  <c r="W137" i="1"/>
  <c r="V137" i="1"/>
  <c r="T137" i="1"/>
  <c r="W136" i="1"/>
  <c r="V136" i="1"/>
  <c r="X141" i="1"/>
  <c r="W141" i="1"/>
  <c r="V141" i="1"/>
  <c r="T141" i="1"/>
  <c r="X135" i="1"/>
  <c r="W135" i="1"/>
  <c r="V135" i="1"/>
  <c r="U135" i="1"/>
  <c r="T135" i="1"/>
  <c r="AA133" i="1"/>
  <c r="X132" i="1"/>
  <c r="W132" i="1"/>
  <c r="V132" i="1"/>
  <c r="X128" i="1"/>
  <c r="W128" i="1"/>
  <c r="V128" i="1"/>
  <c r="U128" i="1"/>
  <c r="X122" i="1"/>
  <c r="W122" i="1"/>
  <c r="U122" i="1"/>
  <c r="T122" i="1"/>
  <c r="W121" i="1"/>
  <c r="U121" i="1"/>
  <c r="T121" i="1"/>
  <c r="X125" i="1"/>
  <c r="W125" i="1"/>
  <c r="V125" i="1"/>
  <c r="U125" i="1"/>
  <c r="T125" i="1"/>
  <c r="X124" i="1"/>
  <c r="V124" i="1"/>
  <c r="U124" i="1"/>
  <c r="T124" i="1"/>
  <c r="X120" i="1"/>
  <c r="W120" i="1"/>
  <c r="V120" i="1"/>
  <c r="U120" i="1"/>
  <c r="T120" i="1"/>
  <c r="W123" i="1"/>
  <c r="V123" i="1"/>
  <c r="U123" i="1"/>
  <c r="T123" i="1"/>
  <c r="X118" i="1"/>
  <c r="W118" i="1"/>
  <c r="V118" i="1"/>
  <c r="U118" i="1"/>
  <c r="T118" i="1"/>
  <c r="X119" i="1"/>
  <c r="W119" i="1"/>
  <c r="V119" i="1"/>
  <c r="U119" i="1"/>
  <c r="T119" i="1"/>
  <c r="X117" i="1"/>
  <c r="W117" i="1"/>
  <c r="V117" i="1"/>
  <c r="U117" i="1"/>
  <c r="T117" i="1"/>
  <c r="X116" i="1"/>
  <c r="W116" i="1"/>
  <c r="V116" i="1"/>
  <c r="U116" i="1"/>
  <c r="T116" i="1"/>
  <c r="X129" i="1"/>
  <c r="W129" i="1"/>
  <c r="V129" i="1"/>
  <c r="U129" i="1"/>
  <c r="T129" i="1"/>
  <c r="X115" i="1"/>
  <c r="W115" i="1"/>
  <c r="V115" i="1"/>
  <c r="U115" i="1"/>
  <c r="T115" i="1"/>
  <c r="X114" i="1"/>
  <c r="W114" i="1"/>
  <c r="V114" i="1"/>
  <c r="U114" i="1"/>
  <c r="T114" i="1"/>
  <c r="W113" i="1"/>
  <c r="V113" i="1"/>
  <c r="U113" i="1"/>
  <c r="T113" i="1"/>
  <c r="X112" i="1"/>
  <c r="W112" i="1"/>
  <c r="V112" i="1"/>
  <c r="U112" i="1"/>
  <c r="T112" i="1"/>
  <c r="W111" i="1"/>
  <c r="V111" i="1"/>
  <c r="U111" i="1"/>
  <c r="T111" i="1"/>
  <c r="R109" i="1"/>
  <c r="Q105" i="1"/>
  <c r="X108" i="1"/>
  <c r="W108" i="1"/>
  <c r="V108" i="1"/>
  <c r="U108" i="1"/>
  <c r="T108" i="1"/>
  <c r="X106" i="1"/>
  <c r="W106" i="1"/>
  <c r="V106" i="1"/>
  <c r="U106" i="1"/>
  <c r="T106" i="1"/>
  <c r="X105" i="1"/>
  <c r="W105" i="1"/>
  <c r="V105" i="1"/>
  <c r="U105" i="1"/>
  <c r="T105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5" i="1"/>
  <c r="W145" i="1"/>
  <c r="V145" i="1"/>
  <c r="U145" i="1"/>
  <c r="T145" i="1"/>
  <c r="X73" i="1"/>
  <c r="W73" i="1"/>
  <c r="V73" i="1"/>
  <c r="U73" i="1"/>
  <c r="T73" i="1"/>
  <c r="X72" i="1"/>
  <c r="W72" i="1"/>
  <c r="V72" i="1"/>
  <c r="U72" i="1"/>
  <c r="T72" i="1"/>
  <c r="X97" i="1"/>
  <c r="W97" i="1"/>
  <c r="V97" i="1"/>
  <c r="U97" i="1"/>
  <c r="T97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6" i="1"/>
  <c r="W96" i="1"/>
  <c r="V96" i="1"/>
  <c r="U96" i="1"/>
  <c r="T96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51" i="1" l="1"/>
  <c r="S51" i="1" s="1"/>
  <c r="AA151" i="1"/>
  <c r="S106" i="1"/>
  <c r="S108" i="1"/>
  <c r="S107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82" i="1"/>
  <c r="S96" i="1"/>
  <c r="S105" i="1"/>
  <c r="S111" i="1"/>
  <c r="Q4" i="1"/>
  <c r="Q22" i="1"/>
  <c r="T133" i="1"/>
  <c r="S22" i="1"/>
  <c r="T103" i="1"/>
  <c r="T51" i="1"/>
  <c r="S4" i="1"/>
  <c r="T109" i="1"/>
  <c r="S82" i="1" l="1"/>
  <c r="S103" i="1"/>
  <c r="S109" i="1"/>
  <c r="S20" i="1"/>
  <c r="S133" i="1"/>
  <c r="S150" i="1"/>
  <c r="S138" i="1"/>
  <c r="X36" i="1"/>
  <c r="W36" i="1"/>
  <c r="V121" i="1" l="1"/>
</calcChain>
</file>

<file path=xl/sharedStrings.xml><?xml version="1.0" encoding="utf-8"?>
<sst xmlns="http://schemas.openxmlformats.org/spreadsheetml/2006/main" count="314" uniqueCount="224">
  <si>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</si>
  <si>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</si>
  <si>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</si>
  <si>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</si>
  <si>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</si>
  <si>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</si>
  <si>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</si>
  <si>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</si>
  <si>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</si>
  <si>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</si>
  <si>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</si>
  <si>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</si>
  <si>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</si>
  <si>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</si>
  <si>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</si>
  <si>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</si>
  <si>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</si>
  <si>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</si>
  <si>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</si>
  <si>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</si>
  <si>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</si>
  <si>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</si>
  <si>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</si>
  <si>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</si>
  <si>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</si>
  <si>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</si>
  <si>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</si>
  <si>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</si>
  <si>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</si>
  <si>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</si>
  <si>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</si>
  <si>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</si>
  <si>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</si>
  <si>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</si>
  <si>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</si>
  <si>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</si>
  <si>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</si>
  <si>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</si>
  <si>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</si>
  <si>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</si>
  <si>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</si>
  <si>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</si>
  <si>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</si>
  <si>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</si>
  <si>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</si>
  <si>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</si>
  <si>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</si>
  <si>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</si>
  <si>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</si>
  <si>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</si>
  <si>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</si>
  <si>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</si>
  <si>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</si>
  <si>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</si>
  <si>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</si>
  <si>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</si>
  <si>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</si>
  <si>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</si>
  <si>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</si>
  <si>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</si>
  <si>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</si>
  <si>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</si>
  <si>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</si>
  <si>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</si>
  <si>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</si>
  <si>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</si>
  <si>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</si>
  <si>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</si>
  <si>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</si>
  <si>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</si>
  <si>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</si>
  <si>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</si>
  <si>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</si>
  <si>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</si>
  <si>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</si>
  <si>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</si>
  <si>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</si>
  <si>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</si>
  <si>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</si>
  <si>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</si>
  <si>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</si>
  <si>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</si>
  <si>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</si>
  <si>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</si>
  <si>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</si>
  <si>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</si>
  <si>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</si>
  <si>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</si>
  <si>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</si>
  <si>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</si>
  <si>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</si>
  <si>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</si>
  <si>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</si>
  <si>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</si>
  <si>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</si>
  <si>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</si>
  <si>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</si>
  <si>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</si>
  <si>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</si>
  <si>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</si>
  <si>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</si>
  <si>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</si>
  <si>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</si>
  <si>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</si>
  <si>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</si>
  <si>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</si>
  <si>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</si>
  <si>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</si>
  <si>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</si>
  <si>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</si>
  <si>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</si>
  <si>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</si>
  <si>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</si>
  <si>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</si>
  <si>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</si>
  <si>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</si>
  <si>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</si>
  <si>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</si>
  <si>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</si>
  <si>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</si>
  <si>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</si>
  <si>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</si>
  <si>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</si>
  <si>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</si>
  <si>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</si>
  <si>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</si>
  <si>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</si>
  <si>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</si>
  <si>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</si>
  <si>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</si>
  <si>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</si>
  <si>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</si>
  <si>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</si>
  <si>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</si>
  <si>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</si>
  <si>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</si>
  <si>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</si>
  <si>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</si>
  <si>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</si>
  <si>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</si>
  <si>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</si>
  <si>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</si>
  <si>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</si>
  <si>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</si>
  <si>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</si>
  <si>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</si>
  <si>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</si>
  <si>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</si>
  <si>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</si>
  <si>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</si>
  <si>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</si>
  <si>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</si>
  <si>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</si>
  <si>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</si>
  <si>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</si>
  <si>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</si>
  <si>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</si>
  <si>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</si>
  <si>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</si>
  <si>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</si>
  <si>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</si>
  <si>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</si>
  <si>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</si>
  <si>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</si>
  <si>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</si>
  <si>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</si>
  <si>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</si>
  <si>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</si>
  <si>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</si>
  <si>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</si>
  <si>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</si>
  <si>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</si>
  <si>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</si>
  <si>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</si>
  <si>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</si>
  <si>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</si>
  <si>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</si>
  <si>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</si>
  <si>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</si>
  <si>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</si>
  <si>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</si>
  <si>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</si>
  <si>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</si>
  <si>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</si>
  <si>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</si>
  <si>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</si>
  <si>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</si>
  <si>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</si>
  <si>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</si>
  <si>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</si>
  <si>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</si>
  <si>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</si>
  <si>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</si>
  <si>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</si>
  <si>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</si>
  <si>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</si>
  <si>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</si>
  <si>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(Institutional)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</si>
  <si>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</si>
  <si>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</si>
  <si>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</si>
  <si>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</si>
  <si>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</si>
  <si>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</si>
  <si>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</si>
  <si>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</si>
  <si>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</si>
  <si>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</si>
  <si>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</si>
  <si>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</si>
  <si>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</si>
  <si>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</si>
  <si>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</si>
  <si>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NET ASSET VALUE  (N) PREVIOUS ARPIL</t>
  </si>
  <si>
    <t>1,368.488,820.68</t>
  </si>
  <si>
    <t>1,368.488,820.72</t>
  </si>
  <si>
    <t>35,911,870.45</t>
  </si>
  <si>
    <t>Wealth For Women Fund</t>
  </si>
  <si>
    <t>ARM Investment Managers</t>
  </si>
  <si>
    <t>ARM Short Term-Bond Fund</t>
  </si>
  <si>
    <t>75a</t>
  </si>
  <si>
    <t>75b</t>
  </si>
  <si>
    <t>Lotus Halal Fixed Income Fund</t>
  </si>
  <si>
    <t>SPREADSHEET OF REGISTERED MUTUAL FUNDS AS AT 31ST MAY,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</si>
</sst>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5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1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6" fontId="3" fillId="2" borderId="14" xfId="0" applyNumberFormat="1" applyFont="1" applyFill="1" applyBorder="1" applyAlignment="1"/>
    <xf numFmtId="4" fontId="3" fillId="2" borderId="14" xfId="0" applyNumberFormat="1" applyFont="1" applyFill="1" applyBorder="1" applyAlignment="1"/>
    <xf numFmtId="166" fontId="3" fillId="7" borderId="14" xfId="0" applyNumberFormat="1" applyFont="1" applyFill="1" applyBorder="1" applyAlignment="1">
      <alignment horizontal="left"/>
    </xf>
    <xf numFmtId="10" fontId="3" fillId="6" borderId="14" xfId="0" applyNumberFormat="1" applyFont="1" applyFill="1" applyBorder="1" applyAlignment="1"/>
    <xf numFmtId="10" fontId="3" fillId="4" borderId="14" xfId="0" applyNumberFormat="1" applyFont="1" applyFill="1" applyBorder="1" applyAlignment="1"/>
    <xf numFmtId="10" fontId="3" fillId="3" borderId="14" xfId="0" applyNumberFormat="1" applyFont="1" applyFill="1" applyBorder="1" applyAlignment="1">
      <alignment horizontal="right" vertical="center"/>
    </xf>
    <xf numFmtId="166" fontId="3" fillId="3" borderId="14" xfId="0" applyNumberFormat="1" applyFont="1" applyFill="1" applyBorder="1" applyAlignment="1">
      <alignment horizontal="right" vertical="center"/>
    </xf>
    <xf numFmtId="165" fontId="3" fillId="2" borderId="14" xfId="0" applyNumberFormat="1" applyFont="1" applyFill="1" applyBorder="1" applyAlignment="1"/>
    <xf numFmtId="166" fontId="3" fillId="2" borderId="14" xfId="0" applyNumberFormat="1" applyFont="1" applyFill="1" applyBorder="1" applyAlignment="1">
      <alignment horizontal="left"/>
    </xf>
    <xf numFmtId="0" fontId="3" fillId="2" borderId="14" xfId="0" applyNumberFormat="1" applyFont="1" applyFill="1" applyBorder="1" applyAlignment="1"/>
    <xf numFmtId="166" fontId="3" fillId="7" borderId="14" xfId="0" applyNumberFormat="1" applyFont="1" applyFill="1" applyBorder="1" applyAlignment="1"/>
    <xf numFmtId="165" fontId="3" fillId="2" borderId="14" xfId="0" applyNumberFormat="1" applyFont="1" applyFill="1" applyBorder="1" applyAlignment="1">
      <alignment horizontal="left"/>
    </xf>
    <xf numFmtId="10" fontId="5" fillId="3" borderId="14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6" fontId="4" fillId="2" borderId="14" xfId="0" applyNumberFormat="1" applyFont="1" applyFill="1" applyBorder="1" applyAlignment="1">
      <alignment vertical="top" wrapText="1"/>
    </xf>
    <xf numFmtId="49" fontId="4" fillId="2" borderId="14" xfId="0" applyNumberFormat="1" applyFont="1" applyFill="1" applyBorder="1" applyAlignment="1">
      <alignment horizontal="right"/>
    </xf>
    <xf numFmtId="166" fontId="4" fillId="2" borderId="14" xfId="0" applyNumberFormat="1" applyFont="1" applyFill="1" applyBorder="1" applyAlignment="1"/>
    <xf numFmtId="166" fontId="4" fillId="7" borderId="14" xfId="0" applyNumberFormat="1" applyFont="1" applyFill="1" applyBorder="1" applyAlignment="1"/>
    <xf numFmtId="10" fontId="4" fillId="4" borderId="14" xfId="0" applyNumberFormat="1" applyFont="1" applyFill="1" applyBorder="1" applyAlignment="1"/>
    <xf numFmtId="10" fontId="4" fillId="3" borderId="14" xfId="0" applyNumberFormat="1" applyFont="1" applyFill="1" applyBorder="1" applyAlignment="1">
      <alignment horizontal="right" vertical="center"/>
    </xf>
    <xf numFmtId="166" fontId="4" fillId="3" borderId="14" xfId="0" applyNumberFormat="1" applyFont="1" applyFill="1" applyBorder="1" applyAlignment="1">
      <alignment horizontal="right" vertical="center"/>
    </xf>
    <xf numFmtId="165" fontId="4" fillId="2" borderId="14" xfId="0" applyNumberFormat="1" applyFont="1" applyFill="1" applyBorder="1" applyAlignment="1"/>
    <xf numFmtId="0" fontId="3" fillId="4" borderId="14" xfId="0" applyNumberFormat="1" applyFont="1" applyFill="1" applyBorder="1" applyAlignment="1">
      <alignment vertical="top" wrapText="1"/>
    </xf>
    <xf numFmtId="3" fontId="3" fillId="2" borderId="14" xfId="0" applyNumberFormat="1" applyFont="1" applyFill="1" applyBorder="1" applyAlignment="1"/>
    <xf numFmtId="166" fontId="4" fillId="2" borderId="14" xfId="0" applyNumberFormat="1" applyFont="1" applyFill="1" applyBorder="1" applyAlignment="1">
      <alignment wrapText="1"/>
    </xf>
    <xf numFmtId="166" fontId="3" fillId="4" borderId="14" xfId="0" applyNumberFormat="1" applyFont="1" applyFill="1" applyBorder="1" applyAlignment="1"/>
    <xf numFmtId="10" fontId="3" fillId="4" borderId="14" xfId="0" applyNumberFormat="1" applyFont="1" applyFill="1" applyBorder="1" applyAlignment="1">
      <alignment horizontal="right" vertical="center"/>
    </xf>
    <xf numFmtId="166" fontId="3" fillId="4" borderId="14" xfId="0" applyNumberFormat="1" applyFont="1" applyFill="1" applyBorder="1" applyAlignment="1">
      <alignment horizontal="right" vertical="center"/>
    </xf>
    <xf numFmtId="166" fontId="5" fillId="2" borderId="14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right"/>
    </xf>
    <xf numFmtId="43" fontId="3" fillId="5" borderId="14" xfId="1" applyFont="1" applyFill="1" applyBorder="1" applyAlignment="1">
      <alignment horizontal="right"/>
    </xf>
    <xf numFmtId="10" fontId="9" fillId="9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horizontal="right"/>
    </xf>
    <xf numFmtId="166" fontId="3" fillId="0" borderId="14" xfId="0" applyNumberFormat="1" applyFont="1" applyFill="1" applyBorder="1" applyAlignment="1"/>
    <xf numFmtId="4" fontId="3" fillId="0" borderId="14" xfId="0" applyNumberFormat="1" applyFont="1" applyFill="1" applyBorder="1" applyAlignment="1"/>
    <xf numFmtId="166" fontId="3" fillId="0" borderId="14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/>
    <xf numFmtId="49" fontId="3" fillId="0" borderId="14" xfId="0" applyNumberFormat="1" applyFont="1" applyFill="1" applyBorder="1" applyAlignment="1"/>
    <xf numFmtId="49" fontId="3" fillId="0" borderId="14" xfId="0" applyNumberFormat="1" applyFont="1" applyFill="1" applyBorder="1" applyAlignment="1">
      <alignment wrapText="1"/>
    </xf>
    <xf numFmtId="10" fontId="12" fillId="9" borderId="14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vertical="center" wrapText="1"/>
    </xf>
    <xf numFmtId="49" fontId="10" fillId="0" borderId="14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4" xfId="0" applyNumberFormat="1" applyFont="1" applyFill="1" applyBorder="1" applyAlignment="1">
      <alignment horizontal="right"/>
    </xf>
    <xf numFmtId="10" fontId="3" fillId="12" borderId="14" xfId="0" applyNumberFormat="1" applyFont="1" applyFill="1" applyBorder="1" applyAlignment="1"/>
    <xf numFmtId="10" fontId="3" fillId="10" borderId="14" xfId="0" applyNumberFormat="1" applyFont="1" applyFill="1" applyBorder="1" applyAlignment="1">
      <alignment horizontal="right" vertical="center"/>
    </xf>
    <xf numFmtId="166" fontId="3" fillId="10" borderId="14" xfId="0" applyNumberFormat="1" applyFont="1" applyFill="1" applyBorder="1" applyAlignment="1">
      <alignment horizontal="right" vertical="center"/>
    </xf>
    <xf numFmtId="43" fontId="3" fillId="0" borderId="14" xfId="1" applyFont="1" applyFill="1" applyBorder="1" applyAlignment="1"/>
    <xf numFmtId="0" fontId="8" fillId="0" borderId="0" xfId="0" applyNumberFormat="1" applyFont="1" applyAlignment="1"/>
    <xf numFmtId="49" fontId="5" fillId="0" borderId="14" xfId="0" applyNumberFormat="1" applyFont="1" applyFill="1" applyBorder="1" applyAlignment="1">
      <alignment vertical="center" wrapText="1"/>
    </xf>
    <xf numFmtId="43" fontId="3" fillId="2" borderId="14" xfId="1" applyFont="1" applyFill="1" applyBorder="1" applyAlignment="1"/>
    <xf numFmtId="166" fontId="4" fillId="0" borderId="14" xfId="0" applyNumberFormat="1" applyFont="1" applyFill="1" applyBorder="1" applyAlignment="1">
      <alignment vertical="top" wrapText="1"/>
    </xf>
    <xf numFmtId="49" fontId="4" fillId="0" borderId="14" xfId="0" applyNumberFormat="1" applyFont="1" applyFill="1" applyBorder="1" applyAlignment="1">
      <alignment horizontal="right"/>
    </xf>
    <xf numFmtId="166" fontId="3" fillId="12" borderId="14" xfId="0" applyNumberFormat="1" applyFont="1" applyFill="1" applyBorder="1" applyAlignment="1"/>
    <xf numFmtId="166" fontId="3" fillId="7" borderId="14" xfId="0" applyNumberFormat="1" applyFont="1" applyFill="1" applyBorder="1"/>
    <xf numFmtId="0" fontId="17" fillId="13" borderId="4" xfId="0" applyFont="1" applyFill="1" applyBorder="1" applyAlignment="1"/>
    <xf numFmtId="0" fontId="17" fillId="0" borderId="4" xfId="0" applyFont="1" applyBorder="1" applyAlignment="1"/>
    <xf numFmtId="43" fontId="4" fillId="2" borderId="14" xfId="1" applyFont="1" applyFill="1" applyBorder="1" applyAlignment="1"/>
    <xf numFmtId="43" fontId="3" fillId="2" borderId="14" xfId="1" applyFont="1" applyFill="1" applyBorder="1" applyAlignment="1">
      <alignment horizontal="right"/>
    </xf>
    <xf numFmtId="49" fontId="3" fillId="16" borderId="14" xfId="0" applyNumberFormat="1" applyFont="1" applyFill="1" applyBorder="1" applyAlignment="1"/>
    <xf numFmtId="10" fontId="9" fillId="6" borderId="14" xfId="0" applyNumberFormat="1" applyFont="1" applyFill="1" applyBorder="1" applyAlignment="1"/>
    <xf numFmtId="166" fontId="4" fillId="16" borderId="14" xfId="0" applyNumberFormat="1" applyFont="1" applyFill="1" applyBorder="1" applyAlignment="1">
      <alignment wrapText="1"/>
    </xf>
    <xf numFmtId="166" fontId="3" fillId="17" borderId="14" xfId="0" applyNumberFormat="1" applyFont="1" applyFill="1" applyBorder="1" applyAlignment="1"/>
    <xf numFmtId="10" fontId="3" fillId="17" borderId="14" xfId="0" applyNumberFormat="1" applyFont="1" applyFill="1" applyBorder="1" applyAlignment="1"/>
    <xf numFmtId="10" fontId="9" fillId="17" borderId="14" xfId="0" applyNumberFormat="1" applyFont="1" applyFill="1" applyBorder="1" applyAlignment="1">
      <alignment horizontal="right" vertical="center"/>
    </xf>
    <xf numFmtId="10" fontId="3" fillId="17" borderId="14" xfId="0" applyNumberFormat="1" applyFont="1" applyFill="1" applyBorder="1" applyAlignment="1">
      <alignment horizontal="right" vertical="center"/>
    </xf>
    <xf numFmtId="166" fontId="3" fillId="17" borderId="14" xfId="0" applyNumberFormat="1" applyFont="1" applyFill="1" applyBorder="1" applyAlignment="1">
      <alignment horizontal="right" vertical="center"/>
    </xf>
    <xf numFmtId="3" fontId="3" fillId="17" borderId="14" xfId="0" applyNumberFormat="1" applyFont="1" applyFill="1" applyBorder="1" applyAlignment="1"/>
    <xf numFmtId="10" fontId="12" fillId="17" borderId="14" xfId="0" applyNumberFormat="1" applyFont="1" applyFill="1" applyBorder="1" applyAlignment="1">
      <alignment horizontal="right" vertical="center"/>
    </xf>
    <xf numFmtId="165" fontId="3" fillId="17" borderId="14" xfId="0" applyNumberFormat="1" applyFont="1" applyFill="1" applyBorder="1" applyAlignment="1"/>
    <xf numFmtId="9" fontId="12" fillId="9" borderId="14" xfId="2" applyFont="1" applyFill="1" applyBorder="1" applyAlignment="1">
      <alignment horizontal="right" vertical="center"/>
    </xf>
    <xf numFmtId="49" fontId="1" fillId="3" borderId="14" xfId="0" applyNumberFormat="1" applyFont="1" applyFill="1" applyBorder="1" applyAlignment="1">
      <alignment horizontal="center" vertical="top" wrapText="1"/>
    </xf>
    <xf numFmtId="0" fontId="4" fillId="4" borderId="14" xfId="0" applyNumberFormat="1" applyFont="1" applyFill="1" applyBorder="1" applyAlignment="1">
      <alignment vertical="top" wrapText="1"/>
    </xf>
    <xf numFmtId="10" fontId="12" fillId="14" borderId="14" xfId="0" applyNumberFormat="1" applyFont="1" applyFill="1" applyBorder="1" applyAlignment="1">
      <alignment horizontal="right" vertical="center"/>
    </xf>
    <xf numFmtId="10" fontId="16" fillId="15" borderId="14" xfId="0" applyNumberFormat="1" applyFont="1" applyFill="1" applyBorder="1" applyAlignment="1">
      <alignment horizontal="right" vertical="center"/>
    </xf>
    <xf numFmtId="166" fontId="16" fillId="15" borderId="14" xfId="0" applyNumberFormat="1" applyFont="1" applyFill="1" applyBorder="1" applyAlignment="1">
      <alignment horizontal="right" vertical="center"/>
    </xf>
    <xf numFmtId="0" fontId="20" fillId="17" borderId="14" xfId="0" applyFont="1" applyFill="1" applyBorder="1" applyAlignment="1">
      <alignment wrapText="1"/>
    </xf>
    <xf numFmtId="49" fontId="1" fillId="3" borderId="20" xfId="0" applyNumberFormat="1" applyFont="1" applyFill="1" applyBorder="1" applyAlignment="1">
      <alignment horizontal="center" vertical="top" wrapText="1"/>
    </xf>
    <xf numFmtId="49" fontId="1" fillId="3" borderId="16" xfId="0" applyNumberFormat="1" applyFont="1" applyFill="1" applyBorder="1" applyAlignment="1">
      <alignment horizontal="center" vertical="top" wrapText="1"/>
    </xf>
    <xf numFmtId="0" fontId="4" fillId="4" borderId="16" xfId="0" applyNumberFormat="1" applyFont="1" applyFill="1" applyBorder="1" applyAlignment="1">
      <alignment vertical="top" wrapText="1"/>
    </xf>
    <xf numFmtId="165" fontId="3" fillId="16" borderId="20" xfId="0" applyNumberFormat="1" applyFont="1" applyFill="1" applyBorder="1" applyAlignment="1">
      <alignment horizontal="center" wrapText="1"/>
    </xf>
    <xf numFmtId="4" fontId="3" fillId="2" borderId="16" xfId="0" applyNumberFormat="1" applyFont="1" applyFill="1" applyBorder="1" applyAlignment="1"/>
    <xf numFmtId="166" fontId="3" fillId="2" borderId="16" xfId="0" applyNumberFormat="1" applyFont="1" applyFill="1" applyBorder="1" applyAlignment="1"/>
    <xf numFmtId="165" fontId="4" fillId="2" borderId="20" xfId="0" applyNumberFormat="1" applyFont="1" applyFill="1" applyBorder="1" applyAlignment="1">
      <alignment horizontal="center"/>
    </xf>
    <xf numFmtId="166" fontId="4" fillId="2" borderId="16" xfId="0" applyNumberFormat="1" applyFont="1" applyFill="1" applyBorder="1" applyAlignment="1"/>
    <xf numFmtId="0" fontId="3" fillId="4" borderId="16" xfId="0" applyNumberFormat="1" applyFont="1" applyFill="1" applyBorder="1" applyAlignment="1">
      <alignment vertical="top" wrapText="1"/>
    </xf>
    <xf numFmtId="49" fontId="4" fillId="16" borderId="20" xfId="0" applyNumberFormat="1" applyFont="1" applyFill="1" applyBorder="1" applyAlignment="1">
      <alignment horizontal="center" wrapText="1"/>
    </xf>
    <xf numFmtId="166" fontId="3" fillId="4" borderId="16" xfId="0" applyNumberFormat="1" applyFont="1" applyFill="1" applyBorder="1" applyAlignment="1"/>
    <xf numFmtId="166" fontId="3" fillId="17" borderId="16" xfId="0" applyNumberFormat="1" applyFont="1" applyFill="1" applyBorder="1" applyAlignment="1"/>
    <xf numFmtId="165" fontId="4" fillId="0" borderId="20" xfId="0" applyNumberFormat="1" applyFont="1" applyFill="1" applyBorder="1" applyAlignment="1">
      <alignment horizontal="center" wrapText="1"/>
    </xf>
    <xf numFmtId="165" fontId="4" fillId="2" borderId="20" xfId="0" applyNumberFormat="1" applyFont="1" applyFill="1" applyBorder="1" applyAlignment="1">
      <alignment horizontal="center" wrapText="1"/>
    </xf>
    <xf numFmtId="166" fontId="4" fillId="2" borderId="16" xfId="0" applyNumberFormat="1" applyFont="1" applyFill="1" applyBorder="1" applyAlignment="1">
      <alignment wrapText="1"/>
    </xf>
    <xf numFmtId="165" fontId="3" fillId="0" borderId="20" xfId="0" applyNumberFormat="1" applyFont="1" applyFill="1" applyBorder="1" applyAlignment="1">
      <alignment horizontal="center"/>
    </xf>
    <xf numFmtId="165" fontId="3" fillId="8" borderId="21" xfId="0" applyNumberFormat="1" applyFont="1" applyFill="1" applyBorder="1" applyAlignment="1">
      <alignment horizontal="center" wrapText="1"/>
    </xf>
    <xf numFmtId="166" fontId="3" fillId="8" borderId="15" xfId="0" applyNumberFormat="1" applyFont="1" applyFill="1" applyBorder="1" applyAlignment="1">
      <alignment wrapText="1"/>
    </xf>
    <xf numFmtId="49" fontId="4" fillId="8" borderId="15" xfId="0" applyNumberFormat="1" applyFont="1" applyFill="1" applyBorder="1" applyAlignment="1">
      <alignment horizontal="right"/>
    </xf>
    <xf numFmtId="166" fontId="4" fillId="8" borderId="15" xfId="0" applyNumberFormat="1" applyFont="1" applyFill="1" applyBorder="1" applyAlignment="1"/>
    <xf numFmtId="10" fontId="4" fillId="6" borderId="15" xfId="0" applyNumberFormat="1" applyFont="1" applyFill="1" applyBorder="1" applyAlignment="1"/>
    <xf numFmtId="10" fontId="4" fillId="4" borderId="15" xfId="0" applyNumberFormat="1" applyFont="1" applyFill="1" applyBorder="1" applyAlignment="1"/>
    <xf numFmtId="10" fontId="9" fillId="9" borderId="15" xfId="0" applyNumberFormat="1" applyFont="1" applyFill="1" applyBorder="1" applyAlignment="1">
      <alignment horizontal="right" vertical="center"/>
    </xf>
    <xf numFmtId="10" fontId="4" fillId="3" borderId="15" xfId="0" applyNumberFormat="1" applyFont="1" applyFill="1" applyBorder="1" applyAlignment="1">
      <alignment horizontal="right" vertical="center"/>
    </xf>
    <xf numFmtId="166" fontId="4" fillId="3" borderId="15" xfId="0" applyNumberFormat="1" applyFont="1" applyFill="1" applyBorder="1" applyAlignment="1">
      <alignment horizontal="right" vertical="center"/>
    </xf>
    <xf numFmtId="166" fontId="4" fillId="8" borderId="22" xfId="0" applyNumberFormat="1" applyFont="1" applyFill="1" applyBorder="1" applyAlignment="1"/>
    <xf numFmtId="165" fontId="4" fillId="8" borderId="15" xfId="0" applyNumberFormat="1" applyFont="1" applyFill="1" applyBorder="1" applyAlignment="1"/>
    <xf numFmtId="168" fontId="4" fillId="2" borderId="14" xfId="1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16" borderId="0" xfId="0" applyNumberFormat="1" applyFont="1" applyFill="1" applyAlignment="1"/>
    <xf numFmtId="0" fontId="0" fillId="0" borderId="14" xfId="0" applyNumberFormat="1" applyFont="1" applyBorder="1" applyAlignment="1"/>
    <xf numFmtId="0" fontId="13" fillId="2" borderId="4" xfId="0" applyNumberFormat="1" applyFont="1" applyFill="1" applyBorder="1" applyAlignment="1"/>
    <xf numFmtId="0" fontId="14" fillId="2" borderId="4" xfId="0" applyNumberFormat="1" applyFont="1" applyFill="1" applyBorder="1" applyAlignment="1"/>
    <xf numFmtId="0" fontId="7" fillId="2" borderId="4" xfId="0" applyNumberFormat="1" applyFont="1" applyFill="1" applyBorder="1" applyAlignment="1"/>
    <xf numFmtId="4" fontId="4" fillId="0" borderId="4" xfId="0" applyNumberFormat="1" applyFont="1" applyBorder="1" applyAlignment="1"/>
    <xf numFmtId="166" fontId="2" fillId="2" borderId="4" xfId="0" applyNumberFormat="1" applyFont="1" applyFill="1" applyBorder="1" applyAlignment="1"/>
    <xf numFmtId="167" fontId="2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10" fontId="3" fillId="9" borderId="14" xfId="0" applyNumberFormat="1" applyFont="1" applyFill="1" applyBorder="1" applyAlignment="1"/>
    <xf numFmtId="2" fontId="3" fillId="0" borderId="14" xfId="0" applyNumberFormat="1" applyFont="1" applyFill="1" applyBorder="1" applyAlignment="1"/>
    <xf numFmtId="165" fontId="3" fillId="0" borderId="14" xfId="0" applyNumberFormat="1" applyFont="1" applyFill="1" applyBorder="1" applyAlignment="1"/>
    <xf numFmtId="166" fontId="3" fillId="0" borderId="16" xfId="0" applyNumberFormat="1" applyFont="1" applyFill="1" applyBorder="1" applyAlignment="1"/>
    <xf numFmtId="166" fontId="21" fillId="2" borderId="14" xfId="0" applyNumberFormat="1" applyFont="1" applyFill="1" applyBorder="1" applyAlignment="1">
      <alignment horizontal="left"/>
    </xf>
    <xf numFmtId="43" fontId="3" fillId="5" borderId="14" xfId="1" applyFont="1" applyFill="1" applyBorder="1" applyAlignment="1"/>
    <xf numFmtId="166" fontId="3" fillId="16" borderId="14" xfId="0" applyNumberFormat="1" applyFont="1" applyFill="1" applyBorder="1" applyAlignment="1"/>
    <xf numFmtId="2" fontId="3" fillId="16" borderId="14" xfId="0" applyNumberFormat="1" applyFont="1" applyFill="1" applyBorder="1" applyAlignment="1"/>
    <xf numFmtId="165" fontId="3" fillId="16" borderId="14" xfId="0" applyNumberFormat="1" applyFont="1" applyFill="1" applyBorder="1" applyAlignment="1"/>
    <xf numFmtId="4" fontId="3" fillId="16" borderId="14" xfId="0" applyNumberFormat="1" applyFont="1" applyFill="1" applyBorder="1" applyAlignment="1"/>
    <xf numFmtId="166" fontId="5" fillId="2" borderId="14" xfId="0" applyNumberFormat="1" applyFont="1" applyFill="1" applyBorder="1" applyAlignment="1"/>
    <xf numFmtId="165" fontId="5" fillId="2" borderId="14" xfId="0" applyNumberFormat="1" applyFont="1" applyFill="1" applyBorder="1" applyAlignment="1"/>
    <xf numFmtId="166" fontId="5" fillId="2" borderId="16" xfId="0" applyNumberFormat="1" applyFont="1" applyFill="1" applyBorder="1" applyAlignment="1"/>
    <xf numFmtId="166" fontId="4" fillId="7" borderId="14" xfId="0" applyNumberFormat="1" applyFont="1" applyFill="1" applyBorder="1"/>
    <xf numFmtId="166" fontId="4" fillId="7" borderId="14" xfId="0" applyNumberFormat="1" applyFont="1" applyFill="1" applyBorder="1" applyAlignment="1">
      <alignment horizontal="left"/>
    </xf>
    <xf numFmtId="164" fontId="3" fillId="2" borderId="14" xfId="0" applyNumberFormat="1" applyFont="1" applyFill="1" applyBorder="1" applyAlignment="1"/>
    <xf numFmtId="43" fontId="1" fillId="3" borderId="14" xfId="1" applyFont="1" applyFill="1" applyBorder="1" applyAlignment="1">
      <alignment horizontal="center" vertical="top" wrapText="1"/>
    </xf>
    <xf numFmtId="43" fontId="4" fillId="4" borderId="14" xfId="1" applyFont="1" applyFill="1" applyBorder="1" applyAlignment="1">
      <alignment vertical="top" wrapText="1"/>
    </xf>
    <xf numFmtId="43" fontId="3" fillId="4" borderId="14" xfId="1" applyFont="1" applyFill="1" applyBorder="1" applyAlignment="1">
      <alignment vertical="top" wrapText="1"/>
    </xf>
    <xf numFmtId="43" fontId="3" fillId="4" borderId="14" xfId="1" applyFont="1" applyFill="1" applyBorder="1" applyAlignment="1"/>
    <xf numFmtId="43" fontId="3" fillId="17" borderId="14" xfId="1" applyFont="1" applyFill="1" applyBorder="1" applyAlignment="1"/>
    <xf numFmtId="43" fontId="3" fillId="5" borderId="14" xfId="1" applyFont="1" applyFill="1" applyBorder="1" applyAlignment="1">
      <alignment horizontal="left"/>
    </xf>
    <xf numFmtId="43" fontId="3" fillId="11" borderId="14" xfId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165" fontId="3" fillId="0" borderId="20" xfId="0" applyNumberFormat="1" applyFont="1" applyFill="1" applyBorder="1" applyAlignment="1">
      <alignment horizontal="center" wrapText="1"/>
    </xf>
    <xf numFmtId="165" fontId="10" fillId="0" borderId="20" xfId="0" applyNumberFormat="1" applyFont="1" applyFill="1" applyBorder="1" applyAlignment="1">
      <alignment horizontal="center" wrapText="1"/>
    </xf>
    <xf numFmtId="165" fontId="16" fillId="0" borderId="20" xfId="0" applyNumberFormat="1" applyFont="1" applyFill="1" applyBorder="1" applyAlignment="1">
      <alignment horizontal="center" wrapText="1"/>
    </xf>
    <xf numFmtId="49" fontId="16" fillId="0" borderId="14" xfId="0" applyNumberFormat="1" applyFont="1" applyFill="1" applyBorder="1" applyAlignment="1">
      <alignment wrapText="1"/>
    </xf>
    <xf numFmtId="165" fontId="21" fillId="0" borderId="20" xfId="0" applyNumberFormat="1" applyFont="1" applyFill="1" applyBorder="1" applyAlignment="1">
      <alignment horizontal="center" wrapText="1"/>
    </xf>
    <xf numFmtId="49" fontId="21" fillId="0" borderId="14" xfId="0" applyNumberFormat="1" applyFont="1" applyFill="1" applyBorder="1" applyAlignment="1">
      <alignment wrapText="1"/>
    </xf>
    <xf numFmtId="165" fontId="3" fillId="0" borderId="20" xfId="0" applyNumberFormat="1" applyFont="1" applyFill="1" applyBorder="1" applyAlignment="1">
      <alignment horizontal="right" wrapText="1"/>
    </xf>
    <xf numFmtId="166" fontId="3" fillId="2" borderId="14" xfId="0" applyNumberFormat="1" applyFont="1" applyFill="1" applyBorder="1" applyAlignment="1">
      <alignment horizontal="left" wrapText="1"/>
    </xf>
    <xf numFmtId="166" fontId="16" fillId="13" borderId="14" xfId="0" applyNumberFormat="1" applyFont="1" applyFill="1" applyBorder="1" applyAlignment="1">
      <alignment horizontal="left"/>
    </xf>
    <xf numFmtId="2" fontId="3" fillId="2" borderId="14" xfId="0" applyNumberFormat="1" applyFont="1" applyFill="1" applyBorder="1" applyAlignment="1">
      <alignment horizontal="right"/>
    </xf>
    <xf numFmtId="166" fontId="5" fillId="5" borderId="14" xfId="0" applyNumberFormat="1" applyFont="1" applyFill="1" applyBorder="1" applyAlignment="1"/>
    <xf numFmtId="3" fontId="22" fillId="0" borderId="14" xfId="0" applyNumberFormat="1" applyFont="1" applyBorder="1" applyAlignment="1"/>
    <xf numFmtId="4" fontId="22" fillId="0" borderId="14" xfId="0" applyNumberFormat="1" applyFont="1" applyBorder="1" applyAlignment="1"/>
    <xf numFmtId="4" fontId="3" fillId="0" borderId="14" xfId="0" applyNumberFormat="1" applyFont="1" applyBorder="1" applyAlignment="1"/>
    <xf numFmtId="49" fontId="10" fillId="0" borderId="14" xfId="0" applyNumberFormat="1" applyFont="1" applyFill="1" applyBorder="1" applyAlignment="1">
      <alignment wrapText="1"/>
    </xf>
    <xf numFmtId="0" fontId="4" fillId="2" borderId="14" xfId="0" applyNumberFormat="1" applyFont="1" applyFill="1" applyBorder="1" applyAlignment="1"/>
    <xf numFmtId="166" fontId="4" fillId="2" borderId="14" xfId="0" applyNumberFormat="1" applyFont="1" applyFill="1" applyBorder="1" applyAlignment="1">
      <alignment horizontal="left"/>
    </xf>
    <xf numFmtId="0" fontId="8" fillId="2" borderId="4" xfId="0" applyNumberFormat="1" applyFont="1" applyFill="1" applyBorder="1" applyAlignment="1"/>
    <xf numFmtId="0" fontId="8" fillId="0" borderId="0" xfId="0" applyFont="1" applyAlignment="1"/>
    <xf numFmtId="0" fontId="3" fillId="0" borderId="14" xfId="0" applyFont="1" applyFill="1" applyBorder="1" applyAlignment="1"/>
    <xf numFmtId="43" fontId="3" fillId="0" borderId="14" xfId="1" applyFont="1" applyFill="1" applyBorder="1" applyAlignment="1">
      <alignment horizontal="right"/>
    </xf>
    <xf numFmtId="165" fontId="3" fillId="0" borderId="16" xfId="0" applyNumberFormat="1" applyFont="1" applyFill="1" applyBorder="1" applyAlignment="1"/>
    <xf numFmtId="166" fontId="3" fillId="2" borderId="14" xfId="0" applyNumberFormat="1" applyFont="1" applyFill="1" applyBorder="1" applyAlignment="1">
      <alignment horizontal="right"/>
    </xf>
    <xf numFmtId="166" fontId="16" fillId="0" borderId="14" xfId="0" applyNumberFormat="1" applyFont="1" applyBorder="1" applyAlignment="1"/>
    <xf numFmtId="1" fontId="3" fillId="0" borderId="14" xfId="0" applyNumberFormat="1" applyFont="1" applyFill="1" applyBorder="1" applyAlignment="1"/>
    <xf numFmtId="166" fontId="3" fillId="4" borderId="14" xfId="0" applyNumberFormat="1" applyFont="1" applyFill="1" applyBorder="1"/>
    <xf numFmtId="166" fontId="3" fillId="17" borderId="14" xfId="0" applyNumberFormat="1" applyFont="1" applyFill="1" applyBorder="1"/>
    <xf numFmtId="166" fontId="4" fillId="8" borderId="15" xfId="0" applyNumberFormat="1" applyFont="1" applyFill="1" applyBorder="1"/>
    <xf numFmtId="0" fontId="0" fillId="2" borderId="4" xfId="0" applyNumberFormat="1" applyFill="1" applyBorder="1"/>
    <xf numFmtId="166" fontId="2" fillId="2" borderId="4" xfId="0" applyNumberFormat="1" applyFont="1" applyFill="1" applyBorder="1"/>
    <xf numFmtId="0" fontId="0" fillId="0" borderId="0" xfId="0" applyNumberFormat="1"/>
    <xf numFmtId="4" fontId="23" fillId="0" borderId="0" xfId="0" applyNumberFormat="1" applyFont="1" applyAlignment="1"/>
    <xf numFmtId="3" fontId="3" fillId="0" borderId="14" xfId="0" applyNumberFormat="1" applyFont="1" applyFill="1" applyBorder="1" applyAlignment="1"/>
    <xf numFmtId="166" fontId="3" fillId="11" borderId="14" xfId="0" applyNumberFormat="1" applyFont="1" applyFill="1" applyBorder="1" applyAlignment="1"/>
    <xf numFmtId="49" fontId="3" fillId="0" borderId="14" xfId="0" applyNumberFormat="1" applyFont="1" applyFill="1" applyBorder="1" applyAlignment="1">
      <alignment vertical="top" wrapText="1"/>
    </xf>
    <xf numFmtId="43" fontId="0" fillId="0" borderId="0" xfId="0" applyNumberFormat="1" applyFont="1" applyAlignment="1"/>
    <xf numFmtId="3" fontId="24" fillId="0" borderId="0" xfId="0" applyNumberFormat="1" applyFont="1" applyAlignment="1"/>
    <xf numFmtId="0" fontId="20" fillId="17" borderId="20" xfId="0" applyFont="1" applyFill="1" applyBorder="1" applyAlignment="1">
      <alignment horizontal="center" wrapText="1"/>
    </xf>
    <xf numFmtId="0" fontId="20" fillId="17" borderId="14" xfId="0" applyFont="1" applyFill="1" applyBorder="1" applyAlignment="1">
      <alignment horizontal="center" wrapText="1"/>
    </xf>
    <xf numFmtId="49" fontId="18" fillId="4" borderId="14" xfId="0" applyNumberFormat="1" applyFont="1" applyFill="1" applyBorder="1" applyAlignment="1">
      <alignment horizontal="center" vertical="top" wrapText="1"/>
    </xf>
    <xf numFmtId="49" fontId="18" fillId="4" borderId="16" xfId="0" applyNumberFormat="1" applyFont="1" applyFill="1" applyBorder="1" applyAlignment="1">
      <alignment horizontal="center" vertical="top" wrapText="1"/>
    </xf>
    <xf numFmtId="49" fontId="18" fillId="4" borderId="20" xfId="0" applyNumberFormat="1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/>
    </xf>
    <xf numFmtId="0" fontId="11" fillId="2" borderId="18" xfId="0" applyNumberFormat="1" applyFont="1" applyFill="1" applyBorder="1" applyAlignment="1">
      <alignment horizontal="center"/>
    </xf>
    <xf numFmtId="0" fontId="11" fillId="2" borderId="19" xfId="0" applyNumberFormat="1" applyFont="1" applyFill="1" applyBorder="1" applyAlignment="1">
      <alignment horizontal="center"/>
    </xf>
    <xf numFmtId="166" fontId="4" fillId="17" borderId="20" xfId="0" applyNumberFormat="1" applyFont="1" applyFill="1" applyBorder="1" applyAlignment="1">
      <alignment horizontal="center" wrapText="1"/>
    </xf>
    <xf numFmtId="166" fontId="4" fillId="17" borderId="14" xfId="0" applyNumberFormat="1" applyFont="1" applyFill="1" applyBorder="1" applyAlignment="1">
      <alignment horizontal="center" wrapText="1"/>
    </xf>
    <xf numFmtId="49" fontId="18" fillId="12" borderId="20" xfId="0" applyNumberFormat="1" applyFont="1" applyFill="1" applyBorder="1" applyAlignment="1">
      <alignment horizontal="center" vertical="top" wrapText="1"/>
    </xf>
    <xf numFmtId="49" fontId="18" fillId="12" borderId="14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119063</xdr:rowOff>
    </xdr:from>
    <xdr:to>
      <xdr:col>11</xdr:col>
      <xdr:colOff>654844</xdr:colOff>
      <xdr:row>25</xdr:row>
      <xdr:rowOff>130968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7" y="119063"/>
          <a:ext cx="7881937" cy="4179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178589</xdr:colOff>
      <xdr:row>1</xdr:row>
      <xdr:rowOff>0</xdr:rowOff>
    </xdr:from>
    <xdr:to>
      <xdr:col>14</xdr:col>
      <xdr:colOff>47624</xdr:colOff>
      <xdr:row>24</xdr:row>
      <xdr:rowOff>11906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89" y="166688"/>
          <a:ext cx="9203535" cy="3845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71437</xdr:rowOff>
    </xdr:from>
    <xdr:to>
      <xdr:col>15</xdr:col>
      <xdr:colOff>547686</xdr:colOff>
      <xdr:row>22</xdr:row>
      <xdr:rowOff>23812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"/>
          <a:ext cx="9572624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6"/>
  <sheetViews>
    <sheetView showGridLines="0" tabSelected="1" view="pageBreakPreview" zoomScale="110" zoomScaleNormal="160" zoomScaleSheetLayoutView="110" workbookViewId="0">
      <pane ySplit="2" topLeftCell="A3" activePane="bottomLeft" state="frozen"/>
      <selection pane="bottomLeft" activeCell="AG63" sqref="AG6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18" customWidth="1"/>
    <col min="12" max="12" width="19.7109375" style="1" customWidth="1"/>
    <col min="13" max="13" width="17.7109375" style="163" customWidth="1"/>
    <col min="14" max="14" width="22.42578125" style="1" customWidth="1"/>
    <col min="15" max="15" width="19.42578125" style="1" customWidth="1"/>
    <col min="16" max="16" width="20.42578125" style="194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hidden="1" customWidth="1"/>
    <col min="22" max="22" width="12.140625" style="1" hidden="1" customWidth="1"/>
    <col min="23" max="23" width="15.42578125" style="1" hidden="1" customWidth="1"/>
    <col min="24" max="24" width="16.7109375" style="1" hidden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8" customWidth="1"/>
    <col min="29" max="29" width="18.140625" style="18" customWidth="1"/>
    <col min="30" max="30" width="19" style="18" customWidth="1"/>
    <col min="31" max="31" width="21.8554687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9" customHeight="1" x14ac:dyDescent="0.7">
      <c r="A1" s="206" t="s">
        <v>223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</row>
    <row r="2" spans="1:241" ht="54" customHeight="1" x14ac:dyDescent="0.25">
      <c r="A2" s="100" t="s">
        <v>193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165</v>
      </c>
      <c r="L2" s="94" t="s">
        <v>9</v>
      </c>
      <c r="M2" s="155" t="s">
        <v>10</v>
      </c>
      <c r="N2" s="94" t="s">
        <v>11</v>
      </c>
      <c r="O2" s="94" t="s">
        <v>12</v>
      </c>
      <c r="P2" s="94" t="s">
        <v>213</v>
      </c>
      <c r="Q2" s="94" t="s">
        <v>13</v>
      </c>
      <c r="R2" s="94" t="s">
        <v>202</v>
      </c>
      <c r="S2" s="94" t="s">
        <v>13</v>
      </c>
      <c r="T2" s="94" t="s">
        <v>14</v>
      </c>
      <c r="U2" s="94" t="s">
        <v>15</v>
      </c>
      <c r="V2" s="94" t="s">
        <v>16</v>
      </c>
      <c r="W2" s="94" t="s">
        <v>17</v>
      </c>
      <c r="X2" s="94" t="s">
        <v>18</v>
      </c>
      <c r="Y2" s="94" t="s">
        <v>19</v>
      </c>
      <c r="Z2" s="94" t="s">
        <v>20</v>
      </c>
      <c r="AA2" s="94" t="s">
        <v>21</v>
      </c>
      <c r="AB2" s="94" t="s">
        <v>205</v>
      </c>
      <c r="AC2" s="94" t="s">
        <v>207</v>
      </c>
      <c r="AD2" s="94" t="s">
        <v>208</v>
      </c>
      <c r="AE2" s="101" t="s">
        <v>204</v>
      </c>
      <c r="AF2" s="5"/>
    </row>
    <row r="3" spans="1:241" ht="18" customHeight="1" x14ac:dyDescent="0.25">
      <c r="A3" s="205" t="s">
        <v>22</v>
      </c>
      <c r="B3" s="203"/>
      <c r="C3" s="203"/>
      <c r="D3" s="95"/>
      <c r="E3" s="95"/>
      <c r="F3" s="95"/>
      <c r="G3" s="95"/>
      <c r="H3" s="95"/>
      <c r="I3" s="95"/>
      <c r="J3" s="95"/>
      <c r="K3" s="95"/>
      <c r="L3" s="95"/>
      <c r="M3" s="156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102"/>
      <c r="AF3" s="5"/>
    </row>
    <row r="4" spans="1:241" ht="18" customHeight="1" x14ac:dyDescent="0.3">
      <c r="A4" s="164">
        <v>1</v>
      </c>
      <c r="B4" s="57" t="s">
        <v>23</v>
      </c>
      <c r="C4" s="57" t="s">
        <v>24</v>
      </c>
      <c r="D4" s="51">
        <v>5371146249.5</v>
      </c>
      <c r="E4" s="70"/>
      <c r="F4" s="52">
        <v>2177602500.48</v>
      </c>
      <c r="G4" s="52">
        <v>61106229.659999996</v>
      </c>
      <c r="H4" s="52"/>
      <c r="I4" s="52"/>
      <c r="J4" s="53">
        <v>7618718577.2600002</v>
      </c>
      <c r="K4" s="70">
        <v>63611462.43</v>
      </c>
      <c r="L4" s="53">
        <v>22477665.239999998</v>
      </c>
      <c r="M4" s="144">
        <v>257170565.06999999</v>
      </c>
      <c r="N4" s="20">
        <v>7667895398.2799997</v>
      </c>
      <c r="O4" s="20">
        <v>44265897.689999998</v>
      </c>
      <c r="P4" s="21">
        <v>7396684674.8800001</v>
      </c>
      <c r="Q4" s="22">
        <f t="shared" ref="Q4:Q19" si="0">(P4/$P$20)</f>
        <v>0.44866007920061829</v>
      </c>
      <c r="R4" s="21">
        <v>7623629500.5900002</v>
      </c>
      <c r="S4" s="22">
        <f t="shared" ref="S4:S19" si="1">(R4/$R$20)</f>
        <v>0.44700289994688858</v>
      </c>
      <c r="T4" s="23">
        <f t="shared" ref="T4:T17" si="2">((R4-P4)/P4)</f>
        <v>3.0681965729961562E-2</v>
      </c>
      <c r="U4" s="58">
        <f t="shared" ref="U4:U16" si="3">(L4/R4)</f>
        <v>2.9484204653781286E-3</v>
      </c>
      <c r="V4" s="24">
        <f t="shared" ref="V4:V18" si="4">M4/R4</f>
        <v>3.373335037466043E-2</v>
      </c>
      <c r="W4" s="25">
        <f t="shared" ref="W4:W18" si="5">R4/AE4</f>
        <v>12648.634066275228</v>
      </c>
      <c r="X4" s="25">
        <f t="shared" ref="X4:X18" si="6">M4/AE4</f>
        <v>426.68080471852812</v>
      </c>
      <c r="Y4" s="52">
        <v>12536.63</v>
      </c>
      <c r="Z4" s="52">
        <v>12710.72</v>
      </c>
      <c r="AA4" s="141">
        <v>17140</v>
      </c>
      <c r="AB4" s="52">
        <v>603427.06999999995</v>
      </c>
      <c r="AC4" s="52">
        <v>2062.7399999999998</v>
      </c>
      <c r="AD4" s="52">
        <v>2766.26</v>
      </c>
      <c r="AE4" s="142">
        <v>602723.54</v>
      </c>
      <c r="AF4" s="5"/>
    </row>
    <row r="5" spans="1:241" ht="18" customHeight="1" x14ac:dyDescent="0.3">
      <c r="A5" s="164">
        <v>2</v>
      </c>
      <c r="B5" s="56" t="s">
        <v>25</v>
      </c>
      <c r="C5" s="57" t="s">
        <v>26</v>
      </c>
      <c r="D5" s="51">
        <v>766322899.89999998</v>
      </c>
      <c r="E5" s="70"/>
      <c r="F5" s="52">
        <v>65956797.259999998</v>
      </c>
      <c r="G5" s="52"/>
      <c r="H5" s="52"/>
      <c r="I5" s="52"/>
      <c r="J5" s="53">
        <v>991886664</v>
      </c>
      <c r="K5" s="148">
        <v>3027610.26</v>
      </c>
      <c r="L5" s="53">
        <v>1573773.38</v>
      </c>
      <c r="M5" s="144">
        <v>1453836.88</v>
      </c>
      <c r="N5" s="20">
        <v>991886664</v>
      </c>
      <c r="O5" s="20">
        <v>3343864.72</v>
      </c>
      <c r="P5" s="21">
        <v>941195405.79999995</v>
      </c>
      <c r="Q5" s="22">
        <f t="shared" si="0"/>
        <v>5.7090010439891682E-2</v>
      </c>
      <c r="R5" s="21">
        <v>988542799.27999997</v>
      </c>
      <c r="S5" s="22">
        <f t="shared" si="1"/>
        <v>5.7962089837337624E-2</v>
      </c>
      <c r="T5" s="23">
        <f t="shared" si="2"/>
        <v>5.0305593491242709E-2</v>
      </c>
      <c r="U5" s="58">
        <f t="shared" si="3"/>
        <v>1.5920133970388026E-3</v>
      </c>
      <c r="V5" s="24">
        <f t="shared" si="4"/>
        <v>1.4706868342563362E-3</v>
      </c>
      <c r="W5" s="25">
        <f t="shared" si="5"/>
        <v>2.0137514164732453</v>
      </c>
      <c r="X5" s="25">
        <f t="shared" si="6"/>
        <v>2.9615976956722501E-3</v>
      </c>
      <c r="Y5" s="52">
        <v>1.99</v>
      </c>
      <c r="Z5" s="52">
        <v>2.0299999999999998</v>
      </c>
      <c r="AA5" s="147">
        <v>3687</v>
      </c>
      <c r="AB5" s="147">
        <v>490916250</v>
      </c>
      <c r="AC5" s="147">
        <v>4892</v>
      </c>
      <c r="AD5" s="147">
        <v>25000</v>
      </c>
      <c r="AE5" s="142">
        <v>490896141</v>
      </c>
      <c r="AF5" s="5"/>
    </row>
    <row r="6" spans="1:241" ht="18" customHeight="1" x14ac:dyDescent="0.3">
      <c r="A6" s="164">
        <v>3</v>
      </c>
      <c r="B6" s="56" t="s">
        <v>27</v>
      </c>
      <c r="C6" s="57" t="s">
        <v>28</v>
      </c>
      <c r="D6" s="51">
        <v>160064219.94999999</v>
      </c>
      <c r="E6" s="70"/>
      <c r="F6" s="52">
        <v>100807779.06</v>
      </c>
      <c r="G6" s="52"/>
      <c r="H6" s="52"/>
      <c r="I6" s="52"/>
      <c r="J6" s="53">
        <v>260871999.00999999</v>
      </c>
      <c r="K6" s="53">
        <v>1928744.22</v>
      </c>
      <c r="L6" s="53">
        <v>684366.1</v>
      </c>
      <c r="M6" s="144">
        <v>1244377.72</v>
      </c>
      <c r="N6" s="20">
        <v>269632935.74000001</v>
      </c>
      <c r="O6" s="20">
        <v>10287369.25</v>
      </c>
      <c r="P6" s="21">
        <v>269412731.45999998</v>
      </c>
      <c r="Q6" s="22">
        <f t="shared" si="0"/>
        <v>1.6341745355862355E-2</v>
      </c>
      <c r="R6" s="21">
        <v>259345566.49000001</v>
      </c>
      <c r="S6" s="22">
        <f t="shared" si="1"/>
        <v>1.5206434192588558E-2</v>
      </c>
      <c r="T6" s="23">
        <f t="shared" si="2"/>
        <v>-3.7367072132946516E-2</v>
      </c>
      <c r="U6" s="58">
        <f t="shared" si="3"/>
        <v>2.6388193531212269E-3</v>
      </c>
      <c r="V6" s="24">
        <f t="shared" si="4"/>
        <v>4.7981453349732949E-3</v>
      </c>
      <c r="W6" s="25">
        <f t="shared" si="5"/>
        <v>130.29716727056052</v>
      </c>
      <c r="X6" s="25">
        <f t="shared" si="6"/>
        <v>0.6251847452994751</v>
      </c>
      <c r="Y6" s="52">
        <v>130.30000000000001</v>
      </c>
      <c r="Z6" s="52">
        <v>133.55000000000001</v>
      </c>
      <c r="AA6" s="141">
        <v>2470</v>
      </c>
      <c r="AB6" s="141">
        <v>1990416</v>
      </c>
      <c r="AC6" s="141">
        <v>0</v>
      </c>
      <c r="AD6" s="141">
        <v>0</v>
      </c>
      <c r="AE6" s="185">
        <v>1990416</v>
      </c>
      <c r="AF6" s="5"/>
    </row>
    <row r="7" spans="1:241" s="62" customFormat="1" x14ac:dyDescent="0.3">
      <c r="A7" s="164">
        <v>4</v>
      </c>
      <c r="B7" s="57" t="s">
        <v>29</v>
      </c>
      <c r="C7" s="57" t="s">
        <v>30</v>
      </c>
      <c r="D7" s="51">
        <v>599479897.10000002</v>
      </c>
      <c r="E7" s="70"/>
      <c r="F7" s="52">
        <v>107647108.3</v>
      </c>
      <c r="G7" s="52">
        <v>10097010.76</v>
      </c>
      <c r="H7" s="52"/>
      <c r="I7" s="52"/>
      <c r="J7" s="53">
        <v>733631287.13</v>
      </c>
      <c r="K7" s="53">
        <v>12845020.449999999</v>
      </c>
      <c r="L7" s="53">
        <v>1248127.06</v>
      </c>
      <c r="M7" s="144">
        <v>11596893.390000001</v>
      </c>
      <c r="N7" s="20">
        <v>733631287.13</v>
      </c>
      <c r="O7" s="20">
        <v>2769061.76</v>
      </c>
      <c r="P7" s="21">
        <v>707049159.63</v>
      </c>
      <c r="Q7" s="22">
        <f t="shared" si="0"/>
        <v>4.2887421311288067E-2</v>
      </c>
      <c r="R7" s="21">
        <v>730862225.37</v>
      </c>
      <c r="S7" s="22">
        <f t="shared" si="1"/>
        <v>4.2853280602991393E-2</v>
      </c>
      <c r="T7" s="67">
        <f t="shared" si="2"/>
        <v>3.3679505046666662E-2</v>
      </c>
      <c r="U7" s="58">
        <f t="shared" si="3"/>
        <v>1.7077460247287154E-3</v>
      </c>
      <c r="V7" s="68">
        <f t="shared" si="4"/>
        <v>1.5867413840042227E-2</v>
      </c>
      <c r="W7" s="69">
        <f t="shared" si="5"/>
        <v>20.704368897998201</v>
      </c>
      <c r="X7" s="69">
        <f t="shared" si="6"/>
        <v>0.3285247896014365</v>
      </c>
      <c r="Y7" s="52">
        <v>20.440000000000001</v>
      </c>
      <c r="Z7" s="52">
        <v>20.8</v>
      </c>
      <c r="AA7" s="141">
        <v>8779</v>
      </c>
      <c r="AB7" s="141">
        <v>34856133.090000004</v>
      </c>
      <c r="AC7" s="141">
        <v>443770.47</v>
      </c>
      <c r="AD7" s="141">
        <v>0</v>
      </c>
      <c r="AE7" s="142">
        <v>35299903.560000002</v>
      </c>
      <c r="AF7" s="128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</row>
    <row r="8" spans="1:241" s="62" customFormat="1" x14ac:dyDescent="0.3">
      <c r="A8" s="164">
        <v>5</v>
      </c>
      <c r="B8" s="57" t="s">
        <v>31</v>
      </c>
      <c r="C8" s="57" t="s">
        <v>32</v>
      </c>
      <c r="D8" s="51">
        <v>350332546.5</v>
      </c>
      <c r="E8" s="70"/>
      <c r="F8" s="52">
        <v>66687801.090000004</v>
      </c>
      <c r="G8" s="52">
        <v>39001662.549999997</v>
      </c>
      <c r="H8" s="52"/>
      <c r="I8" s="52"/>
      <c r="J8" s="53">
        <v>456022010.13999999</v>
      </c>
      <c r="K8" s="53">
        <v>466861.46</v>
      </c>
      <c r="L8" s="53">
        <v>3851863.36</v>
      </c>
      <c r="M8" s="144">
        <v>-3385001.9</v>
      </c>
      <c r="N8" s="20">
        <v>461182944.45999998</v>
      </c>
      <c r="O8" s="20">
        <v>3851863.36</v>
      </c>
      <c r="P8" s="21">
        <v>409681451.69</v>
      </c>
      <c r="Q8" s="22">
        <f t="shared" si="0"/>
        <v>2.485001330210709E-2</v>
      </c>
      <c r="R8" s="21">
        <v>457331081.10000002</v>
      </c>
      <c r="S8" s="22">
        <f t="shared" si="1"/>
        <v>2.6815091089057354E-2</v>
      </c>
      <c r="T8" s="67">
        <f t="shared" si="2"/>
        <v>0.11630897423702699</v>
      </c>
      <c r="U8" s="58">
        <f t="shared" si="3"/>
        <v>8.4224832275454978E-3</v>
      </c>
      <c r="V8" s="68">
        <f t="shared" si="4"/>
        <v>-7.4016441040005224E-3</v>
      </c>
      <c r="W8" s="69">
        <f t="shared" si="5"/>
        <v>149.67984880567641</v>
      </c>
      <c r="X8" s="69">
        <f t="shared" si="6"/>
        <v>-1.1078769704002245</v>
      </c>
      <c r="Y8" s="52">
        <v>149.56</v>
      </c>
      <c r="Z8" s="52">
        <v>151.26</v>
      </c>
      <c r="AA8" s="141">
        <v>164</v>
      </c>
      <c r="AB8" s="52">
        <v>3064929.53</v>
      </c>
      <c r="AC8" s="52">
        <v>1495.23</v>
      </c>
      <c r="AD8" s="52">
        <v>11029.63</v>
      </c>
      <c r="AE8" s="142">
        <v>3055395.13</v>
      </c>
      <c r="AF8" s="128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</row>
    <row r="9" spans="1:241" x14ac:dyDescent="0.3">
      <c r="A9" s="165">
        <v>6</v>
      </c>
      <c r="B9" s="178" t="s">
        <v>33</v>
      </c>
      <c r="C9" s="178" t="s">
        <v>34</v>
      </c>
      <c r="D9" s="175">
        <v>1569399687</v>
      </c>
      <c r="E9" s="70"/>
      <c r="F9" s="52">
        <v>9551463</v>
      </c>
      <c r="G9" s="52"/>
      <c r="H9" s="52"/>
      <c r="I9" s="52"/>
      <c r="J9" s="175">
        <v>1578951150</v>
      </c>
      <c r="K9" s="70">
        <v>26732796</v>
      </c>
      <c r="L9" s="175">
        <v>3607007</v>
      </c>
      <c r="M9" s="144">
        <v>153965519</v>
      </c>
      <c r="N9" s="175">
        <v>2115698215</v>
      </c>
      <c r="O9" s="176">
        <v>18558266.309999999</v>
      </c>
      <c r="P9" s="21">
        <v>1880723602</v>
      </c>
      <c r="Q9" s="22">
        <f t="shared" si="0"/>
        <v>0.11407889308752796</v>
      </c>
      <c r="R9" s="21">
        <v>2097139948</v>
      </c>
      <c r="S9" s="22">
        <f t="shared" si="1"/>
        <v>0.1229634307750552</v>
      </c>
      <c r="T9" s="23">
        <f t="shared" si="2"/>
        <v>0.11507078752553454</v>
      </c>
      <c r="U9" s="58">
        <f t="shared" si="3"/>
        <v>1.7199648518640492E-3</v>
      </c>
      <c r="V9" s="24">
        <f t="shared" si="4"/>
        <v>7.341690245652599E-2</v>
      </c>
      <c r="W9" s="25">
        <f t="shared" si="5"/>
        <v>1.1004600186308096</v>
      </c>
      <c r="X9" s="25">
        <f t="shared" si="6"/>
        <v>8.0792365845124919E-2</v>
      </c>
      <c r="Y9" s="52">
        <v>1.1000000000000001</v>
      </c>
      <c r="Z9" s="52">
        <v>1.1200000000000001</v>
      </c>
      <c r="AA9" s="141">
        <v>2722</v>
      </c>
      <c r="AB9" s="141">
        <v>1882299149</v>
      </c>
      <c r="AC9" s="141">
        <v>40307234</v>
      </c>
      <c r="AD9" s="141">
        <v>16912480</v>
      </c>
      <c r="AE9" s="142">
        <v>1905693903</v>
      </c>
      <c r="AF9" s="5"/>
    </row>
    <row r="10" spans="1:241" ht="18" customHeight="1" x14ac:dyDescent="0.3">
      <c r="A10" s="164">
        <v>7</v>
      </c>
      <c r="B10" s="56" t="s">
        <v>35</v>
      </c>
      <c r="C10" s="57" t="s">
        <v>36</v>
      </c>
      <c r="D10" s="51">
        <v>2015230484.26</v>
      </c>
      <c r="E10" s="70"/>
      <c r="F10" s="52"/>
      <c r="G10" s="52">
        <v>27007533.210000001</v>
      </c>
      <c r="H10" s="52">
        <v>1338382.5</v>
      </c>
      <c r="I10" s="52"/>
      <c r="J10" s="53">
        <v>2043576399.97</v>
      </c>
      <c r="K10" s="53">
        <v>3846509.8</v>
      </c>
      <c r="L10" s="53">
        <v>7624437.54</v>
      </c>
      <c r="M10" s="144">
        <v>40013712.960000001</v>
      </c>
      <c r="N10" s="20">
        <v>2486291617</v>
      </c>
      <c r="O10" s="20">
        <v>72975820</v>
      </c>
      <c r="P10" s="21">
        <v>2424705238</v>
      </c>
      <c r="Q10" s="22">
        <f t="shared" si="0"/>
        <v>0.14707514135539149</v>
      </c>
      <c r="R10" s="21">
        <v>2413315797</v>
      </c>
      <c r="S10" s="22">
        <f t="shared" si="1"/>
        <v>0.14150204435605776</v>
      </c>
      <c r="T10" s="23">
        <f t="shared" si="2"/>
        <v>-4.6972476577790108E-3</v>
      </c>
      <c r="U10" s="58">
        <f t="shared" si="3"/>
        <v>3.1593202802045056E-3</v>
      </c>
      <c r="V10" s="24">
        <f t="shared" si="4"/>
        <v>1.6580388281442971E-2</v>
      </c>
      <c r="W10" s="25">
        <f t="shared" si="5"/>
        <v>22.410475893318551</v>
      </c>
      <c r="X10" s="25">
        <f t="shared" si="6"/>
        <v>0.37157439188313907</v>
      </c>
      <c r="Y10" s="52">
        <v>22.298400000000001</v>
      </c>
      <c r="Z10" s="52">
        <v>22.970800000000001</v>
      </c>
      <c r="AA10" s="141">
        <v>715</v>
      </c>
      <c r="AB10" s="141">
        <v>109757886</v>
      </c>
      <c r="AC10" s="141">
        <v>1182528</v>
      </c>
      <c r="AD10" s="141">
        <v>3253464</v>
      </c>
      <c r="AE10" s="142">
        <v>107686950</v>
      </c>
      <c r="AF10" s="5"/>
    </row>
    <row r="11" spans="1:241" ht="15" customHeight="1" x14ac:dyDescent="0.3">
      <c r="A11" s="164">
        <v>8</v>
      </c>
      <c r="B11" s="57" t="s">
        <v>37</v>
      </c>
      <c r="C11" s="57" t="s">
        <v>38</v>
      </c>
      <c r="D11" s="51">
        <v>306499970.70999998</v>
      </c>
      <c r="E11" s="51"/>
      <c r="F11" s="52">
        <v>109556711.23</v>
      </c>
      <c r="G11" s="52"/>
      <c r="H11" s="52"/>
      <c r="I11" s="52"/>
      <c r="J11" s="53">
        <v>413671718.60000002</v>
      </c>
      <c r="K11" s="53">
        <v>979388.46</v>
      </c>
      <c r="L11" s="53">
        <v>783384.19</v>
      </c>
      <c r="M11" s="144">
        <v>-1288425.44</v>
      </c>
      <c r="N11" s="20">
        <v>418428370.66000003</v>
      </c>
      <c r="O11" s="20">
        <v>4756652.05</v>
      </c>
      <c r="P11" s="21">
        <v>407748772.77999997</v>
      </c>
      <c r="Q11" s="22">
        <f t="shared" si="0"/>
        <v>2.4732782960279108E-2</v>
      </c>
      <c r="R11" s="21">
        <v>413671718.60000002</v>
      </c>
      <c r="S11" s="22">
        <f t="shared" si="1"/>
        <v>2.425517371035708E-2</v>
      </c>
      <c r="T11" s="23">
        <f t="shared" si="2"/>
        <v>1.4525968477152882E-2</v>
      </c>
      <c r="U11" s="58">
        <f t="shared" si="3"/>
        <v>1.8937339798118843E-3</v>
      </c>
      <c r="V11" s="24">
        <f t="shared" si="4"/>
        <v>-3.1146084735027371E-3</v>
      </c>
      <c r="W11" s="25">
        <f t="shared" si="5"/>
        <v>167.81024446719749</v>
      </c>
      <c r="X11" s="25">
        <f t="shared" si="6"/>
        <v>-0.52266320935809918</v>
      </c>
      <c r="Y11" s="52">
        <v>167.81</v>
      </c>
      <c r="Z11" s="52">
        <v>170</v>
      </c>
      <c r="AA11" s="141">
        <v>1449</v>
      </c>
      <c r="AB11" s="141">
        <v>2429717</v>
      </c>
      <c r="AC11" s="141">
        <v>38452</v>
      </c>
      <c r="AD11" s="141">
        <v>3054</v>
      </c>
      <c r="AE11" s="142">
        <v>2465116</v>
      </c>
      <c r="AF11" s="5"/>
    </row>
    <row r="12" spans="1:241" ht="16.5" customHeight="1" x14ac:dyDescent="0.3">
      <c r="A12" s="165">
        <v>9</v>
      </c>
      <c r="B12" s="57" t="s">
        <v>39</v>
      </c>
      <c r="C12" s="57" t="s">
        <v>40</v>
      </c>
      <c r="D12" s="177">
        <v>244610556.69999999</v>
      </c>
      <c r="E12" s="51"/>
      <c r="F12" s="52">
        <v>42044811.770000003</v>
      </c>
      <c r="G12" s="52"/>
      <c r="H12" s="52"/>
      <c r="I12" s="52"/>
      <c r="J12" s="53">
        <v>286655368.47000003</v>
      </c>
      <c r="K12" s="53">
        <v>924069.56</v>
      </c>
      <c r="L12" s="53">
        <v>560486.97</v>
      </c>
      <c r="M12" s="144">
        <v>3081369.55</v>
      </c>
      <c r="N12" s="20">
        <v>294934591.38999999</v>
      </c>
      <c r="O12" s="20">
        <v>1495419.25</v>
      </c>
      <c r="P12" s="21">
        <v>286399435.72000003</v>
      </c>
      <c r="Q12" s="22">
        <f t="shared" si="0"/>
        <v>1.7372106445139524E-2</v>
      </c>
      <c r="R12" s="21">
        <v>293439172.13999999</v>
      </c>
      <c r="S12" s="22">
        <f t="shared" si="1"/>
        <v>1.7205474229098225E-2</v>
      </c>
      <c r="T12" s="23">
        <f t="shared" si="2"/>
        <v>2.4580133694405717E-2</v>
      </c>
      <c r="U12" s="58">
        <f t="shared" si="3"/>
        <v>1.9100618568150516E-3</v>
      </c>
      <c r="V12" s="24">
        <f t="shared" si="4"/>
        <v>1.0500880054725197E-2</v>
      </c>
      <c r="W12" s="25">
        <f t="shared" si="5"/>
        <v>12.713667374049246</v>
      </c>
      <c r="X12" s="25">
        <f t="shared" si="6"/>
        <v>0.13350469615056421</v>
      </c>
      <c r="Y12" s="52">
        <v>12.73</v>
      </c>
      <c r="Z12" s="52">
        <v>12.78</v>
      </c>
      <c r="AA12" s="26">
        <v>153</v>
      </c>
      <c r="AB12" s="26">
        <v>21455769.93</v>
      </c>
      <c r="AC12" s="19">
        <v>1723362.59</v>
      </c>
      <c r="AD12" s="19">
        <v>98524.58</v>
      </c>
      <c r="AE12" s="142">
        <v>23080607.940000001</v>
      </c>
      <c r="AF12" s="5"/>
    </row>
    <row r="13" spans="1:241" ht="16.5" customHeight="1" x14ac:dyDescent="0.3">
      <c r="A13" s="164">
        <v>10</v>
      </c>
      <c r="B13" s="57" t="s">
        <v>23</v>
      </c>
      <c r="C13" s="56" t="s">
        <v>41</v>
      </c>
      <c r="D13" s="51">
        <v>264050273.05000001</v>
      </c>
      <c r="E13" s="51"/>
      <c r="F13" s="52">
        <v>109117913.40000001</v>
      </c>
      <c r="G13" s="52"/>
      <c r="H13" s="52"/>
      <c r="I13" s="52"/>
      <c r="J13" s="53">
        <v>377989024.66000003</v>
      </c>
      <c r="K13" s="70">
        <v>6481342.8799999999</v>
      </c>
      <c r="L13" s="53">
        <v>565376.35</v>
      </c>
      <c r="M13" s="144">
        <v>1371384.99</v>
      </c>
      <c r="N13" s="20">
        <v>381447816.70999998</v>
      </c>
      <c r="O13" s="20">
        <v>7588724.29</v>
      </c>
      <c r="P13" s="21">
        <v>372201305.02999997</v>
      </c>
      <c r="Q13" s="22">
        <f t="shared" si="0"/>
        <v>2.2576583203615132E-2</v>
      </c>
      <c r="R13" s="21">
        <v>373859092.42000002</v>
      </c>
      <c r="S13" s="22">
        <f t="shared" si="1"/>
        <v>2.1920805368403403E-2</v>
      </c>
      <c r="T13" s="23">
        <f t="shared" si="2"/>
        <v>4.4540074620813734E-3</v>
      </c>
      <c r="U13" s="58">
        <f t="shared" si="3"/>
        <v>1.5122712312285989E-3</v>
      </c>
      <c r="V13" s="24">
        <f t="shared" si="4"/>
        <v>3.668186805683895E-3</v>
      </c>
      <c r="W13" s="25">
        <f t="shared" si="5"/>
        <v>3305.337235395999</v>
      </c>
      <c r="X13" s="25">
        <f t="shared" si="6"/>
        <v>12.124594435215286</v>
      </c>
      <c r="Y13" s="52">
        <v>3275.74</v>
      </c>
      <c r="Z13" s="52">
        <v>3321.71</v>
      </c>
      <c r="AA13" s="141">
        <v>21</v>
      </c>
      <c r="AB13" s="141">
        <v>113107.7</v>
      </c>
      <c r="AC13" s="141">
        <v>0</v>
      </c>
      <c r="AD13" s="141">
        <v>0</v>
      </c>
      <c r="AE13" s="142">
        <v>113107.7</v>
      </c>
      <c r="AF13" s="5"/>
    </row>
    <row r="14" spans="1:241" ht="16.5" customHeight="1" x14ac:dyDescent="0.3">
      <c r="A14" s="164">
        <v>11</v>
      </c>
      <c r="B14" s="59" t="s">
        <v>42</v>
      </c>
      <c r="C14" s="59" t="s">
        <v>43</v>
      </c>
      <c r="D14" s="51">
        <v>213258935.15000001</v>
      </c>
      <c r="E14" s="70"/>
      <c r="F14" s="52"/>
      <c r="G14" s="52"/>
      <c r="H14" s="52"/>
      <c r="I14" s="52"/>
      <c r="J14" s="53">
        <v>213258935.15000001</v>
      </c>
      <c r="K14" s="53">
        <v>5285164.97</v>
      </c>
      <c r="L14" s="53">
        <v>636022.74</v>
      </c>
      <c r="M14" s="144">
        <v>4649142.2300000004</v>
      </c>
      <c r="N14" s="20">
        <v>271953184.26999998</v>
      </c>
      <c r="O14" s="20">
        <v>919050.61</v>
      </c>
      <c r="P14" s="21">
        <v>259232898.88</v>
      </c>
      <c r="Q14" s="22">
        <f t="shared" si="0"/>
        <v>1.5724268108643361E-2</v>
      </c>
      <c r="R14" s="21">
        <v>271034133.66000003</v>
      </c>
      <c r="S14" s="22">
        <f t="shared" si="1"/>
        <v>1.5891780118805151E-2</v>
      </c>
      <c r="T14" s="23">
        <f t="shared" si="2"/>
        <v>4.552367709108894E-2</v>
      </c>
      <c r="U14" s="58">
        <f t="shared" si="3"/>
        <v>2.3466518088008114E-3</v>
      </c>
      <c r="V14" s="24">
        <f t="shared" si="4"/>
        <v>1.7153345843266138E-2</v>
      </c>
      <c r="W14" s="25">
        <f t="shared" si="5"/>
        <v>153.01948874429624</v>
      </c>
      <c r="X14" s="25">
        <f t="shared" si="6"/>
        <v>2.6247962111906835</v>
      </c>
      <c r="Y14" s="52">
        <v>152.28</v>
      </c>
      <c r="Z14" s="52">
        <v>153.35</v>
      </c>
      <c r="AA14" s="141">
        <v>589</v>
      </c>
      <c r="AB14" s="141">
        <v>1720254.34</v>
      </c>
      <c r="AC14" s="141">
        <v>129379.45</v>
      </c>
      <c r="AD14" s="141">
        <v>78394.48</v>
      </c>
      <c r="AE14" s="142">
        <v>1771239.31</v>
      </c>
      <c r="AF14" s="5"/>
    </row>
    <row r="15" spans="1:241" ht="16.5" customHeight="1" x14ac:dyDescent="0.3">
      <c r="A15" s="164">
        <v>12</v>
      </c>
      <c r="B15" s="57" t="s">
        <v>44</v>
      </c>
      <c r="C15" s="56" t="s">
        <v>45</v>
      </c>
      <c r="D15" s="51">
        <v>199025626.30000001</v>
      </c>
      <c r="E15" s="70"/>
      <c r="F15" s="52">
        <v>145413367.36000001</v>
      </c>
      <c r="G15" s="52"/>
      <c r="H15" s="52"/>
      <c r="I15" s="52"/>
      <c r="J15" s="53">
        <v>344438993.66000003</v>
      </c>
      <c r="K15" s="53">
        <v>16492446.529999999</v>
      </c>
      <c r="L15" s="53">
        <v>706427.58</v>
      </c>
      <c r="M15" s="144">
        <v>9192894.75</v>
      </c>
      <c r="N15" s="20">
        <v>346256056.51999998</v>
      </c>
      <c r="O15" s="20">
        <v>4517049.68</v>
      </c>
      <c r="P15" s="21">
        <v>335307852.31999999</v>
      </c>
      <c r="Q15" s="22">
        <f t="shared" si="0"/>
        <v>2.0338740150623098E-2</v>
      </c>
      <c r="R15" s="21">
        <v>341739006.83999997</v>
      </c>
      <c r="S15" s="22">
        <f t="shared" si="1"/>
        <v>2.0037480450830862E-2</v>
      </c>
      <c r="T15" s="23">
        <f t="shared" si="2"/>
        <v>1.9179850622354139E-2</v>
      </c>
      <c r="U15" s="58">
        <f t="shared" si="3"/>
        <v>2.0671552437990927E-3</v>
      </c>
      <c r="V15" s="24">
        <f t="shared" si="4"/>
        <v>2.6900337877742049E-2</v>
      </c>
      <c r="W15" s="25">
        <f t="shared" si="5"/>
        <v>1.3512832818315748</v>
      </c>
      <c r="X15" s="25">
        <f t="shared" si="6"/>
        <v>3.6349976849813496E-2</v>
      </c>
      <c r="Y15" s="52">
        <v>1.35</v>
      </c>
      <c r="Z15" s="52">
        <v>1.38</v>
      </c>
      <c r="AA15" s="141">
        <v>95</v>
      </c>
      <c r="AB15" s="141">
        <v>253053578.49000001</v>
      </c>
      <c r="AC15" s="141">
        <v>0</v>
      </c>
      <c r="AD15" s="141">
        <v>197010.93</v>
      </c>
      <c r="AE15" s="142">
        <v>252899603.97999999</v>
      </c>
      <c r="AF15" s="5"/>
    </row>
    <row r="16" spans="1:241" ht="16.5" customHeight="1" x14ac:dyDescent="0.3">
      <c r="A16" s="164">
        <v>13</v>
      </c>
      <c r="B16" s="59" t="s">
        <v>46</v>
      </c>
      <c r="C16" s="59" t="s">
        <v>47</v>
      </c>
      <c r="D16" s="51">
        <v>223020703.05000001</v>
      </c>
      <c r="E16" s="70"/>
      <c r="F16" s="52">
        <v>68749472.609999999</v>
      </c>
      <c r="G16" s="52">
        <v>7022483.2699999996</v>
      </c>
      <c r="H16" s="52"/>
      <c r="I16" s="52"/>
      <c r="J16" s="53">
        <v>298792658.93000001</v>
      </c>
      <c r="K16" s="53">
        <v>4157266.83</v>
      </c>
      <c r="L16" s="53">
        <v>391029.69</v>
      </c>
      <c r="M16" s="144">
        <v>3766237.14</v>
      </c>
      <c r="N16" s="20">
        <v>305638505.91000003</v>
      </c>
      <c r="O16" s="20">
        <v>2880341.79</v>
      </c>
      <c r="P16" s="21">
        <v>304757382.27999997</v>
      </c>
      <c r="Q16" s="22">
        <f t="shared" si="0"/>
        <v>1.8485642863089357E-2</v>
      </c>
      <c r="R16" s="21">
        <v>302758164.12</v>
      </c>
      <c r="S16" s="22">
        <f t="shared" si="1"/>
        <v>1.77518827920169E-2</v>
      </c>
      <c r="T16" s="23">
        <f t="shared" si="2"/>
        <v>-6.5600319343967779E-3</v>
      </c>
      <c r="U16" s="58">
        <f t="shared" si="3"/>
        <v>1.2915578714006637E-3</v>
      </c>
      <c r="V16" s="24">
        <f t="shared" si="4"/>
        <v>1.2439754187792041E-2</v>
      </c>
      <c r="W16" s="25">
        <f t="shared" si="5"/>
        <v>1.5396227888072285</v>
      </c>
      <c r="X16" s="25">
        <f t="shared" si="6"/>
        <v>1.9152529034684781E-2</v>
      </c>
      <c r="Y16" s="52">
        <v>1.5396000000000001</v>
      </c>
      <c r="Z16" s="52">
        <v>1.5543</v>
      </c>
      <c r="AA16" s="141">
        <v>11</v>
      </c>
      <c r="AB16" s="141">
        <v>196643775</v>
      </c>
      <c r="AC16" s="141">
        <v>602</v>
      </c>
      <c r="AD16" s="141">
        <v>0</v>
      </c>
      <c r="AE16" s="142">
        <v>196644377</v>
      </c>
      <c r="AF16" s="5"/>
    </row>
    <row r="17" spans="1:241" ht="15.95" customHeight="1" x14ac:dyDescent="0.3">
      <c r="A17" s="164">
        <v>14</v>
      </c>
      <c r="B17" s="72" t="s">
        <v>48</v>
      </c>
      <c r="C17" s="72" t="s">
        <v>49</v>
      </c>
      <c r="D17" s="149">
        <v>3621932.74</v>
      </c>
      <c r="E17" s="149"/>
      <c r="F17" s="19"/>
      <c r="G17" s="149"/>
      <c r="H17" s="149"/>
      <c r="I17" s="149">
        <v>1882545.57</v>
      </c>
      <c r="J17" s="149">
        <v>3621932.74</v>
      </c>
      <c r="K17" s="149">
        <v>0</v>
      </c>
      <c r="L17" s="149">
        <v>0</v>
      </c>
      <c r="M17" s="174">
        <v>0</v>
      </c>
      <c r="N17" s="149">
        <v>5504478.3099999996</v>
      </c>
      <c r="O17" s="149">
        <v>0</v>
      </c>
      <c r="P17" s="21">
        <v>5504478.3099999996</v>
      </c>
      <c r="Q17" s="22">
        <f t="shared" si="0"/>
        <v>3.3388467713242777E-4</v>
      </c>
      <c r="R17" s="29">
        <v>5504478.3099999996</v>
      </c>
      <c r="S17" s="22">
        <f t="shared" si="1"/>
        <v>3.2274886483850326E-4</v>
      </c>
      <c r="T17" s="23">
        <f t="shared" si="2"/>
        <v>0</v>
      </c>
      <c r="U17" s="58">
        <f>(L17/R17)</f>
        <v>0</v>
      </c>
      <c r="V17" s="31">
        <f t="shared" si="4"/>
        <v>0</v>
      </c>
      <c r="W17" s="32">
        <f>R17/AB17</f>
        <v>1.3927630965032134</v>
      </c>
      <c r="X17" s="32">
        <f>M17/AB17</f>
        <v>0</v>
      </c>
      <c r="Y17" s="149">
        <v>1.39</v>
      </c>
      <c r="Z17" s="149">
        <v>1.45</v>
      </c>
      <c r="AA17" s="150">
        <v>2420</v>
      </c>
      <c r="AB17" s="149">
        <v>3952200</v>
      </c>
      <c r="AC17" s="150">
        <v>0</v>
      </c>
      <c r="AD17" s="150">
        <v>0</v>
      </c>
      <c r="AE17" s="151">
        <v>3952200</v>
      </c>
      <c r="AF17" s="5"/>
    </row>
    <row r="18" spans="1:241" ht="16.5" customHeight="1" x14ac:dyDescent="0.3">
      <c r="A18" s="164">
        <v>15</v>
      </c>
      <c r="B18" s="57" t="s">
        <v>50</v>
      </c>
      <c r="C18" s="57" t="s">
        <v>51</v>
      </c>
      <c r="D18" s="51">
        <v>350332546.5</v>
      </c>
      <c r="E18" s="70"/>
      <c r="F18" s="52">
        <v>66687801.090000004</v>
      </c>
      <c r="G18" s="52">
        <v>39001662.549999997</v>
      </c>
      <c r="H18" s="52"/>
      <c r="I18" s="52"/>
      <c r="J18" s="53">
        <v>456022010.13999999</v>
      </c>
      <c r="K18" s="53">
        <v>466861.46</v>
      </c>
      <c r="L18" s="53">
        <v>3851863.36</v>
      </c>
      <c r="M18" s="144">
        <v>-3385001.9</v>
      </c>
      <c r="N18" s="20">
        <v>461182944.45999998</v>
      </c>
      <c r="O18" s="20">
        <v>3851863.36</v>
      </c>
      <c r="P18" s="21">
        <v>460923525.08999997</v>
      </c>
      <c r="Q18" s="22">
        <f t="shared" si="0"/>
        <v>2.7958199431512541E-2</v>
      </c>
      <c r="R18" s="21">
        <v>457331081.10000002</v>
      </c>
      <c r="S18" s="22">
        <f t="shared" si="1"/>
        <v>2.6815091089057354E-2</v>
      </c>
      <c r="T18" s="23">
        <f>((R18-P18)/P18)</f>
        <v>-7.7940130942513487E-3</v>
      </c>
      <c r="U18" s="58">
        <f>(L18/R18)</f>
        <v>8.4224832275454978E-3</v>
      </c>
      <c r="V18" s="24">
        <f t="shared" si="4"/>
        <v>-7.4016441040005224E-3</v>
      </c>
      <c r="W18" s="25">
        <f t="shared" si="5"/>
        <v>149.67984880567641</v>
      </c>
      <c r="X18" s="25">
        <f t="shared" si="6"/>
        <v>-1.1078769704002245</v>
      </c>
      <c r="Y18" s="52">
        <v>149.56</v>
      </c>
      <c r="Z18" s="52">
        <v>151.26</v>
      </c>
      <c r="AA18" s="141">
        <v>164</v>
      </c>
      <c r="AB18" s="141">
        <v>3064929.53</v>
      </c>
      <c r="AC18" s="141">
        <v>1495.23</v>
      </c>
      <c r="AD18" s="141">
        <v>11029.63</v>
      </c>
      <c r="AE18" s="142">
        <v>3055395.13</v>
      </c>
      <c r="AF18" s="5"/>
    </row>
    <row r="19" spans="1:241" ht="16.5" customHeight="1" x14ac:dyDescent="0.3">
      <c r="A19" s="166">
        <v>16</v>
      </c>
      <c r="B19" s="167" t="s">
        <v>170</v>
      </c>
      <c r="C19" s="167" t="s">
        <v>171</v>
      </c>
      <c r="D19" s="51">
        <v>19730042.550000001</v>
      </c>
      <c r="E19" s="70"/>
      <c r="F19" s="52">
        <v>5650261.8200000003</v>
      </c>
      <c r="G19" s="52"/>
      <c r="H19" s="52"/>
      <c r="I19" s="52"/>
      <c r="J19" s="53">
        <v>25380304.370000001</v>
      </c>
      <c r="K19" s="53">
        <v>1100698.4099999999</v>
      </c>
      <c r="L19" s="53">
        <v>27994.71</v>
      </c>
      <c r="M19" s="144">
        <v>1072703.69</v>
      </c>
      <c r="N19" s="20">
        <v>25977995.030000001</v>
      </c>
      <c r="O19" s="20">
        <v>492851.71</v>
      </c>
      <c r="P19" s="21">
        <v>24638379.460000001</v>
      </c>
      <c r="Q19" s="22">
        <f t="shared" si="0"/>
        <v>1.4944881072786605E-3</v>
      </c>
      <c r="R19" s="21">
        <v>25485143.32</v>
      </c>
      <c r="S19" s="22">
        <f t="shared" si="1"/>
        <v>1.49429257661596E-3</v>
      </c>
      <c r="T19" s="23">
        <f>((R19-P19)/P19)</f>
        <v>3.4367676712452069E-2</v>
      </c>
      <c r="U19" s="96">
        <f>(L18/R19)</f>
        <v>0.15114152240129525</v>
      </c>
      <c r="V19" s="97" t="e">
        <v>#DIV/0!</v>
      </c>
      <c r="W19" s="98" t="e">
        <v>#DIV/0!</v>
      </c>
      <c r="X19" s="98" t="e">
        <v>#DIV/0!</v>
      </c>
      <c r="Y19" s="52">
        <v>99.77</v>
      </c>
      <c r="Z19" s="52">
        <v>102.89</v>
      </c>
      <c r="AA19" s="141">
        <v>3</v>
      </c>
      <c r="AB19" s="141">
        <v>253000</v>
      </c>
      <c r="AC19" s="141">
        <v>0</v>
      </c>
      <c r="AD19" s="141">
        <v>0</v>
      </c>
      <c r="AE19" s="142">
        <v>253000</v>
      </c>
      <c r="AF19" s="78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</row>
    <row r="20" spans="1:241" ht="16.5" customHeight="1" x14ac:dyDescent="0.3">
      <c r="A20" s="106"/>
      <c r="B20" s="33"/>
      <c r="C20" s="34" t="s">
        <v>52</v>
      </c>
      <c r="D20" s="35">
        <f>SUM(D4:D19)</f>
        <v>12656126570.959997</v>
      </c>
      <c r="E20" s="35"/>
      <c r="F20" s="35">
        <f>SUM(F4:F19)</f>
        <v>3075473788.4700012</v>
      </c>
      <c r="G20" s="35">
        <f>SUM(G4:G19)</f>
        <v>183236582</v>
      </c>
      <c r="H20" s="35">
        <f>SUM(H4:H19)</f>
        <v>1338382.5</v>
      </c>
      <c r="I20" s="35"/>
      <c r="J20" s="35">
        <f t="shared" ref="J20:P20" si="7">SUM(J4:J19)</f>
        <v>16103489034.229998</v>
      </c>
      <c r="K20" s="35">
        <f t="shared" si="7"/>
        <v>148346243.72</v>
      </c>
      <c r="L20" s="35">
        <f t="shared" si="7"/>
        <v>48589825.269999996</v>
      </c>
      <c r="M20" s="35">
        <f t="shared" si="7"/>
        <v>480520208.13</v>
      </c>
      <c r="N20" s="35">
        <f t="shared" si="7"/>
        <v>17237543004.869995</v>
      </c>
      <c r="O20" s="35">
        <f t="shared" si="7"/>
        <v>182554095.83000001</v>
      </c>
      <c r="P20" s="153">
        <f t="shared" si="7"/>
        <v>16486166293.329998</v>
      </c>
      <c r="Q20" s="83">
        <f>(P20/$P$151)</f>
        <v>1.1708775809790028E-2</v>
      </c>
      <c r="R20" s="153">
        <f>SUM(R4:R19)</f>
        <v>17054988908.340002</v>
      </c>
      <c r="S20" s="83">
        <f>(R20/$R$151)</f>
        <v>1.1964356870923865E-2</v>
      </c>
      <c r="T20" s="37">
        <f>((R20-P20)/P20)</f>
        <v>3.4503025438979061E-2</v>
      </c>
      <c r="U20" s="50"/>
      <c r="V20" s="38"/>
      <c r="W20" s="39"/>
      <c r="X20" s="39"/>
      <c r="Y20" s="35"/>
      <c r="Z20" s="35"/>
      <c r="AA20" s="40">
        <f>SUM(AA4:AA19)</f>
        <v>40582</v>
      </c>
      <c r="AB20" s="40"/>
      <c r="AC20" s="40"/>
      <c r="AD20" s="40"/>
      <c r="AE20" s="107"/>
      <c r="AF20" s="5"/>
    </row>
    <row r="21" spans="1:241" ht="15.75" customHeight="1" x14ac:dyDescent="0.3">
      <c r="A21" s="205" t="s">
        <v>53</v>
      </c>
      <c r="B21" s="203"/>
      <c r="C21" s="203"/>
      <c r="D21" s="41"/>
      <c r="E21" s="41"/>
      <c r="F21" s="41"/>
      <c r="G21" s="41"/>
      <c r="H21" s="41"/>
      <c r="I21" s="41"/>
      <c r="J21" s="41"/>
      <c r="K21" s="41"/>
      <c r="L21" s="41"/>
      <c r="M21" s="157"/>
      <c r="N21" s="41"/>
      <c r="O21" s="41"/>
      <c r="P21" s="41"/>
      <c r="Q21" s="41"/>
      <c r="R21" s="41"/>
      <c r="S21" s="41"/>
      <c r="T21" s="23"/>
      <c r="U21" s="23"/>
      <c r="V21" s="41"/>
      <c r="W21" s="41"/>
      <c r="X21" s="41"/>
      <c r="Y21" s="41"/>
      <c r="Z21" s="41"/>
      <c r="AA21" s="41"/>
      <c r="AB21" s="41"/>
      <c r="AC21" s="41"/>
      <c r="AD21" s="41"/>
      <c r="AE21" s="108"/>
      <c r="AF21" s="5"/>
    </row>
    <row r="22" spans="1:241" ht="18" customHeight="1" x14ac:dyDescent="0.3">
      <c r="A22" s="164">
        <v>17</v>
      </c>
      <c r="B22" s="57" t="s">
        <v>23</v>
      </c>
      <c r="C22" s="57" t="s">
        <v>54</v>
      </c>
      <c r="D22" s="52"/>
      <c r="E22" s="52"/>
      <c r="F22" s="52">
        <v>227819760699.23999</v>
      </c>
      <c r="G22" s="52"/>
      <c r="H22" s="52"/>
      <c r="I22" s="52"/>
      <c r="J22" s="52">
        <v>227819760699.23999</v>
      </c>
      <c r="K22" s="52">
        <v>1129374912.45</v>
      </c>
      <c r="L22" s="52">
        <v>387357996.18000001</v>
      </c>
      <c r="M22" s="144">
        <v>742016916.26999998</v>
      </c>
      <c r="N22" s="19">
        <v>234147244567.51999</v>
      </c>
      <c r="O22" s="19">
        <v>915297174.46000004</v>
      </c>
      <c r="P22" s="77">
        <v>226362803896.29001</v>
      </c>
      <c r="Q22" s="22">
        <f t="shared" ref="Q22:Q50" si="8">(P22/$P$51)</f>
        <v>0.37337668770875226</v>
      </c>
      <c r="R22" s="29">
        <v>233231947393.06</v>
      </c>
      <c r="S22" s="22">
        <f t="shared" ref="S22:S50" si="9">(R22/$R$51)</f>
        <v>0.38394193068779081</v>
      </c>
      <c r="T22" s="23">
        <f t="shared" ref="T22:T51" si="10">((R22-P22)/P22)</f>
        <v>3.0345725439578596E-2</v>
      </c>
      <c r="U22" s="58">
        <f t="shared" ref="U22:U50" si="11">(L22/R22)</f>
        <v>1.6608273459518615E-3</v>
      </c>
      <c r="V22" s="24">
        <f t="shared" ref="V22:V50" si="12">M22/R22</f>
        <v>3.1814548759887397E-3</v>
      </c>
      <c r="W22" s="25">
        <f t="shared" ref="W22:W50" si="13">R22/AE22</f>
        <v>100.00000000002574</v>
      </c>
      <c r="X22" s="25">
        <f t="shared" ref="X22:X50" si="14">M22/AE22</f>
        <v>0.31814548759895583</v>
      </c>
      <c r="Y22" s="19">
        <v>100</v>
      </c>
      <c r="Z22" s="19">
        <v>100</v>
      </c>
      <c r="AA22" s="141">
        <v>589428</v>
      </c>
      <c r="AB22" s="141">
        <v>2263628038.96</v>
      </c>
      <c r="AC22" s="141">
        <v>449569295.37</v>
      </c>
      <c r="AD22" s="141">
        <v>380877860.39999998</v>
      </c>
      <c r="AE22" s="142">
        <v>2332319473.9299998</v>
      </c>
      <c r="AF22" s="5"/>
    </row>
    <row r="23" spans="1:241" ht="18" customHeight="1" x14ac:dyDescent="0.3">
      <c r="A23" s="164">
        <v>18</v>
      </c>
      <c r="B23" s="57" t="s">
        <v>55</v>
      </c>
      <c r="C23" s="57" t="s">
        <v>56</v>
      </c>
      <c r="D23" s="52"/>
      <c r="E23" s="52"/>
      <c r="F23" s="52">
        <v>168767591195.76001</v>
      </c>
      <c r="G23" s="52"/>
      <c r="H23" s="52"/>
      <c r="I23" s="52"/>
      <c r="J23" s="52">
        <v>166726327644.20999</v>
      </c>
      <c r="K23" s="52">
        <v>886497146.35000002</v>
      </c>
      <c r="L23" s="52">
        <v>244600084.94</v>
      </c>
      <c r="M23" s="144">
        <v>641897061.40999997</v>
      </c>
      <c r="N23" s="19">
        <v>168764087352.31</v>
      </c>
      <c r="O23" s="19">
        <v>2037759708.0999999</v>
      </c>
      <c r="P23" s="77">
        <v>173232033435.82001</v>
      </c>
      <c r="Q23" s="22">
        <f t="shared" si="8"/>
        <v>0.28573953730910817</v>
      </c>
      <c r="R23" s="29">
        <v>166726327644.20999</v>
      </c>
      <c r="S23" s="22">
        <f t="shared" si="9"/>
        <v>0.27446166293986851</v>
      </c>
      <c r="T23" s="23">
        <f t="shared" si="10"/>
        <v>-3.7554865936618394E-2</v>
      </c>
      <c r="U23" s="58">
        <f t="shared" si="11"/>
        <v>1.4670753467441013E-3</v>
      </c>
      <c r="V23" s="24">
        <f t="shared" si="12"/>
        <v>3.8500041983758736E-3</v>
      </c>
      <c r="W23" s="25">
        <f t="shared" si="13"/>
        <v>98.433319101766784</v>
      </c>
      <c r="X23" s="25">
        <f t="shared" si="14"/>
        <v>0.3789686918018742</v>
      </c>
      <c r="Y23" s="19">
        <v>100</v>
      </c>
      <c r="Z23" s="19">
        <v>100</v>
      </c>
      <c r="AA23" s="141">
        <v>23248</v>
      </c>
      <c r="AB23" s="141">
        <v>1731869463</v>
      </c>
      <c r="AC23" s="141">
        <v>119879520</v>
      </c>
      <c r="AD23" s="141">
        <v>157949269.28</v>
      </c>
      <c r="AE23" s="142">
        <v>1693799713</v>
      </c>
      <c r="AF23" s="5"/>
    </row>
    <row r="24" spans="1:241" ht="18" customHeight="1" x14ac:dyDescent="0.3">
      <c r="A24" s="164">
        <v>19</v>
      </c>
      <c r="B24" s="57" t="s">
        <v>33</v>
      </c>
      <c r="C24" s="57" t="s">
        <v>57</v>
      </c>
      <c r="D24" s="52"/>
      <c r="E24" s="52"/>
      <c r="F24" s="52">
        <v>8501313072</v>
      </c>
      <c r="G24" s="52"/>
      <c r="H24" s="52"/>
      <c r="I24" s="52"/>
      <c r="J24" s="52">
        <v>8501313072</v>
      </c>
      <c r="K24" s="52">
        <v>121248480</v>
      </c>
      <c r="L24" s="52">
        <v>25136726</v>
      </c>
      <c r="M24" s="144">
        <v>96111753</v>
      </c>
      <c r="N24" s="195">
        <v>20160734637.450001</v>
      </c>
      <c r="O24" s="19">
        <v>244634238.78</v>
      </c>
      <c r="P24" s="77">
        <v>20598883479</v>
      </c>
      <c r="Q24" s="22">
        <f t="shared" si="8"/>
        <v>3.3977061387750432E-2</v>
      </c>
      <c r="R24" s="29">
        <v>19916100399</v>
      </c>
      <c r="S24" s="22">
        <f t="shared" si="9"/>
        <v>3.2785500118803504E-2</v>
      </c>
      <c r="T24" s="23">
        <f t="shared" si="10"/>
        <v>-3.3146606256406017E-2</v>
      </c>
      <c r="U24" s="58">
        <f t="shared" si="11"/>
        <v>1.2621309140047382E-3</v>
      </c>
      <c r="V24" s="24">
        <f t="shared" si="12"/>
        <v>4.8258319186232782E-3</v>
      </c>
      <c r="W24" s="25">
        <f t="shared" si="13"/>
        <v>1.026698816816112</v>
      </c>
      <c r="X24" s="25">
        <f t="shared" si="14"/>
        <v>4.9546759210039462E-3</v>
      </c>
      <c r="Y24" s="19">
        <v>1</v>
      </c>
      <c r="Z24" s="19">
        <v>1</v>
      </c>
      <c r="AA24" s="141">
        <v>3849</v>
      </c>
      <c r="AB24" s="141">
        <v>20045442756</v>
      </c>
      <c r="AC24" s="141">
        <v>1090224082</v>
      </c>
      <c r="AD24" s="141">
        <v>1737475204</v>
      </c>
      <c r="AE24" s="142">
        <v>19398191634</v>
      </c>
      <c r="AF24" s="5"/>
    </row>
    <row r="25" spans="1:241" ht="18" customHeight="1" x14ac:dyDescent="0.3">
      <c r="A25" s="164">
        <v>20</v>
      </c>
      <c r="B25" s="57" t="s">
        <v>58</v>
      </c>
      <c r="C25" s="57" t="s">
        <v>59</v>
      </c>
      <c r="D25" s="52"/>
      <c r="E25" s="52"/>
      <c r="F25" s="52">
        <v>1044549252.58</v>
      </c>
      <c r="G25" s="52"/>
      <c r="H25" s="52"/>
      <c r="I25" s="52"/>
      <c r="J25" s="52">
        <v>1055639036.85</v>
      </c>
      <c r="K25" s="52">
        <v>9026090.7799999993</v>
      </c>
      <c r="L25" s="52">
        <v>1962578.77</v>
      </c>
      <c r="M25" s="144">
        <v>7064238.4800000004</v>
      </c>
      <c r="N25" s="19">
        <v>1055639036.85</v>
      </c>
      <c r="O25" s="19">
        <v>30716534</v>
      </c>
      <c r="P25" s="77">
        <v>963529245</v>
      </c>
      <c r="Q25" s="22">
        <f t="shared" si="8"/>
        <v>1.5893042134848337E-3</v>
      </c>
      <c r="R25" s="29">
        <v>1024922502.85</v>
      </c>
      <c r="S25" s="22">
        <f t="shared" si="9"/>
        <v>1.6872076443559337E-3</v>
      </c>
      <c r="T25" s="23">
        <f t="shared" si="10"/>
        <v>6.3717067404632871E-2</v>
      </c>
      <c r="U25" s="58">
        <f t="shared" si="11"/>
        <v>1.9148557715755689E-3</v>
      </c>
      <c r="V25" s="24">
        <f t="shared" si="12"/>
        <v>6.8924610986259805E-3</v>
      </c>
      <c r="W25" s="25">
        <f t="shared" si="13"/>
        <v>102.269399638371</v>
      </c>
      <c r="X25" s="25">
        <f t="shared" si="14"/>
        <v>0.70488785858730607</v>
      </c>
      <c r="Y25" s="19">
        <v>100</v>
      </c>
      <c r="Z25" s="19">
        <v>100</v>
      </c>
      <c r="AA25" s="141">
        <v>836</v>
      </c>
      <c r="AB25" s="141">
        <v>9521564.6199999992</v>
      </c>
      <c r="AC25" s="141">
        <v>966663.64</v>
      </c>
      <c r="AD25" s="141">
        <v>466437.71</v>
      </c>
      <c r="AE25" s="142">
        <v>10021790.550000001</v>
      </c>
      <c r="AF25" s="5"/>
    </row>
    <row r="26" spans="1:241" ht="18" customHeight="1" x14ac:dyDescent="0.3">
      <c r="A26" s="164">
        <v>21</v>
      </c>
      <c r="B26" s="56" t="s">
        <v>35</v>
      </c>
      <c r="C26" s="57" t="s">
        <v>60</v>
      </c>
      <c r="D26" s="52"/>
      <c r="E26" s="52"/>
      <c r="F26" s="52">
        <v>23624891585.740002</v>
      </c>
      <c r="G26" s="52"/>
      <c r="H26" s="52"/>
      <c r="I26" s="130"/>
      <c r="J26" s="52">
        <v>23624891585.740002</v>
      </c>
      <c r="K26" s="52">
        <v>461598072.74000001</v>
      </c>
      <c r="L26" s="52">
        <v>127286802.06999999</v>
      </c>
      <c r="M26" s="144">
        <v>334311270.67000002</v>
      </c>
      <c r="N26" s="19">
        <v>70251281476</v>
      </c>
      <c r="O26" s="19">
        <v>1581521146</v>
      </c>
      <c r="P26" s="77">
        <v>69557356675</v>
      </c>
      <c r="Q26" s="22">
        <f t="shared" si="8"/>
        <v>0.11473216886369123</v>
      </c>
      <c r="R26" s="29">
        <v>68669760331</v>
      </c>
      <c r="S26" s="22">
        <f t="shared" si="9"/>
        <v>0.11304283420881185</v>
      </c>
      <c r="T26" s="23">
        <f t="shared" si="10"/>
        <v>-1.276063936913543E-2</v>
      </c>
      <c r="U26" s="58">
        <f t="shared" si="11"/>
        <v>1.8536077810153381E-3</v>
      </c>
      <c r="V26" s="24">
        <f t="shared" si="12"/>
        <v>4.8683914005023818E-3</v>
      </c>
      <c r="W26" s="25">
        <f t="shared" si="13"/>
        <v>1.0000000000145624</v>
      </c>
      <c r="X26" s="25">
        <f t="shared" si="14"/>
        <v>4.8683914005732782E-3</v>
      </c>
      <c r="Y26" s="19">
        <v>1</v>
      </c>
      <c r="Z26" s="19">
        <v>1</v>
      </c>
      <c r="AA26" s="141">
        <v>26616</v>
      </c>
      <c r="AB26" s="141">
        <v>69557356675</v>
      </c>
      <c r="AC26" s="141">
        <v>5219325410</v>
      </c>
      <c r="AD26" s="141">
        <v>6106921754</v>
      </c>
      <c r="AE26" s="142">
        <v>68669760330</v>
      </c>
      <c r="AF26" s="5"/>
    </row>
    <row r="27" spans="1:241" ht="18" customHeight="1" x14ac:dyDescent="0.3">
      <c r="A27" s="164">
        <v>22</v>
      </c>
      <c r="B27" s="57" t="s">
        <v>39</v>
      </c>
      <c r="C27" s="57" t="s">
        <v>61</v>
      </c>
      <c r="D27" s="52"/>
      <c r="E27" s="52"/>
      <c r="F27" s="184">
        <v>1250085822.3299999</v>
      </c>
      <c r="G27" s="52"/>
      <c r="H27" s="52"/>
      <c r="I27" s="52"/>
      <c r="J27" s="52">
        <v>2033182854.3299999</v>
      </c>
      <c r="K27" s="52">
        <v>13248736.220000001</v>
      </c>
      <c r="L27" s="52">
        <v>3282576.14</v>
      </c>
      <c r="M27" s="144">
        <v>9966160.0800000001</v>
      </c>
      <c r="N27" s="19">
        <v>2068413216.8099999</v>
      </c>
      <c r="O27" s="19">
        <v>7533304.5800000001</v>
      </c>
      <c r="P27" s="77">
        <v>2083914509.6099999</v>
      </c>
      <c r="Q27" s="22">
        <f t="shared" si="8"/>
        <v>3.4373363630134067E-3</v>
      </c>
      <c r="R27" s="29">
        <v>2060879912.23</v>
      </c>
      <c r="S27" s="22">
        <f t="shared" si="9"/>
        <v>3.3925807388804387E-3</v>
      </c>
      <c r="T27" s="23">
        <f t="shared" si="10"/>
        <v>-1.1053523200580215E-2</v>
      </c>
      <c r="U27" s="58">
        <f t="shared" si="11"/>
        <v>1.5928032101822222E-3</v>
      </c>
      <c r="V27" s="24">
        <f t="shared" si="12"/>
        <v>4.8358761812647283E-3</v>
      </c>
      <c r="W27" s="25">
        <f t="shared" si="13"/>
        <v>10.09073387226659</v>
      </c>
      <c r="X27" s="25">
        <f t="shared" si="14"/>
        <v>4.8797539584375202E-2</v>
      </c>
      <c r="Y27" s="19">
        <v>10</v>
      </c>
      <c r="Z27" s="19">
        <v>10</v>
      </c>
      <c r="AA27" s="141">
        <v>1406</v>
      </c>
      <c r="AB27" s="141">
        <v>208391284.18000001</v>
      </c>
      <c r="AC27" s="141">
        <v>28364692.879999999</v>
      </c>
      <c r="AD27" s="141">
        <v>32521088.07</v>
      </c>
      <c r="AE27" s="142">
        <v>204234888.99000001</v>
      </c>
      <c r="AF27" s="5"/>
    </row>
    <row r="28" spans="1:241" ht="18" customHeight="1" x14ac:dyDescent="0.3">
      <c r="A28" s="164">
        <v>23</v>
      </c>
      <c r="B28" s="57" t="s">
        <v>199</v>
      </c>
      <c r="C28" s="57" t="s">
        <v>62</v>
      </c>
      <c r="D28" s="52"/>
      <c r="E28" s="52"/>
      <c r="F28" s="52">
        <v>13152253896.059999</v>
      </c>
      <c r="G28" s="52"/>
      <c r="H28" s="52"/>
      <c r="I28" s="52"/>
      <c r="J28" s="52">
        <v>13152253896.059999</v>
      </c>
      <c r="K28" s="52">
        <v>210749941.09</v>
      </c>
      <c r="L28" s="52">
        <v>40647737.700000003</v>
      </c>
      <c r="M28" s="144">
        <v>170102203.38999999</v>
      </c>
      <c r="N28" s="19">
        <v>33782055073.77</v>
      </c>
      <c r="O28" s="19">
        <v>86210002.730000004</v>
      </c>
      <c r="P28" s="77">
        <v>33808772611.419998</v>
      </c>
      <c r="Q28" s="22">
        <f t="shared" si="8"/>
        <v>5.5766262459506818E-2</v>
      </c>
      <c r="R28" s="29">
        <v>33695845071.040001</v>
      </c>
      <c r="S28" s="22">
        <f t="shared" si="9"/>
        <v>5.5469449864554606E-2</v>
      </c>
      <c r="T28" s="23">
        <f t="shared" si="10"/>
        <v>-3.3401845632767026E-3</v>
      </c>
      <c r="U28" s="58">
        <f>(L28/R28)</f>
        <v>1.2063130517814147E-3</v>
      </c>
      <c r="V28" s="24">
        <f t="shared" si="12"/>
        <v>5.0481655240098089E-3</v>
      </c>
      <c r="W28" s="25">
        <f t="shared" si="13"/>
        <v>1.0102505958882257</v>
      </c>
      <c r="X28" s="25">
        <f t="shared" si="14"/>
        <v>5.0999122287733074E-3</v>
      </c>
      <c r="Y28" s="19">
        <v>1</v>
      </c>
      <c r="Z28" s="19">
        <v>1</v>
      </c>
      <c r="AA28" s="26">
        <v>20351</v>
      </c>
      <c r="AB28" s="19">
        <v>33633382104.869999</v>
      </c>
      <c r="AC28" s="19">
        <v>4746470203.7200003</v>
      </c>
      <c r="AD28" s="19">
        <v>5025905071.9499998</v>
      </c>
      <c r="AE28" s="142">
        <v>33353947236.639999</v>
      </c>
      <c r="AF28" s="5"/>
    </row>
    <row r="29" spans="1:241" ht="16.5" customHeight="1" x14ac:dyDescent="0.3">
      <c r="A29" s="164">
        <v>24</v>
      </c>
      <c r="B29" s="57" t="s">
        <v>63</v>
      </c>
      <c r="C29" s="57" t="s">
        <v>64</v>
      </c>
      <c r="D29" s="52"/>
      <c r="E29" s="52"/>
      <c r="F29" s="51" t="s">
        <v>214</v>
      </c>
      <c r="G29" s="51"/>
      <c r="H29" s="51"/>
      <c r="I29" s="51"/>
      <c r="J29" s="51" t="s">
        <v>215</v>
      </c>
      <c r="K29" s="52">
        <v>14015440.33</v>
      </c>
      <c r="L29" s="52">
        <v>3710296.6</v>
      </c>
      <c r="M29" s="144">
        <v>10305143.73</v>
      </c>
      <c r="N29" s="19">
        <v>2256756304.1199999</v>
      </c>
      <c r="O29" s="19">
        <v>17997707.280000001</v>
      </c>
      <c r="P29" s="77">
        <v>2321695617.77</v>
      </c>
      <c r="Q29" s="22">
        <f t="shared" si="8"/>
        <v>3.8295471018641833E-3</v>
      </c>
      <c r="R29" s="29">
        <v>2256632465.7399998</v>
      </c>
      <c r="S29" s="22">
        <f t="shared" si="9"/>
        <v>3.7148248146675056E-3</v>
      </c>
      <c r="T29" s="23">
        <f t="shared" si="10"/>
        <v>-2.8023980203095565E-2</v>
      </c>
      <c r="U29" s="58">
        <f t="shared" si="11"/>
        <v>1.6441740763413646E-3</v>
      </c>
      <c r="V29" s="24">
        <f t="shared" si="12"/>
        <v>4.5666026198115141E-3</v>
      </c>
      <c r="W29" s="25">
        <f t="shared" si="13"/>
        <v>99.999998481808618</v>
      </c>
      <c r="X29" s="25">
        <f t="shared" si="14"/>
        <v>0.4566602550481747</v>
      </c>
      <c r="Y29" s="19">
        <v>100</v>
      </c>
      <c r="Z29" s="19">
        <v>100</v>
      </c>
      <c r="AA29" s="141">
        <v>539</v>
      </c>
      <c r="AB29" s="141">
        <v>23216956</v>
      </c>
      <c r="AC29" s="141">
        <v>838781</v>
      </c>
      <c r="AD29" s="141">
        <v>1489412</v>
      </c>
      <c r="AE29" s="142">
        <v>22566325</v>
      </c>
      <c r="AF29" s="5"/>
    </row>
    <row r="30" spans="1:241" ht="18" customHeight="1" x14ac:dyDescent="0.3">
      <c r="A30" s="164">
        <v>25</v>
      </c>
      <c r="B30" s="57" t="s">
        <v>65</v>
      </c>
      <c r="C30" s="57" t="s">
        <v>66</v>
      </c>
      <c r="D30" s="52"/>
      <c r="E30" s="52"/>
      <c r="F30" s="52">
        <v>2434135375.6300001</v>
      </c>
      <c r="G30" s="52"/>
      <c r="H30" s="52"/>
      <c r="I30" s="52"/>
      <c r="J30" s="52">
        <v>2434135375.6300001</v>
      </c>
      <c r="K30" s="52">
        <v>27345775.850000001</v>
      </c>
      <c r="L30" s="52">
        <v>5565972.4199999999</v>
      </c>
      <c r="M30" s="144">
        <v>21779803.43</v>
      </c>
      <c r="N30" s="19">
        <v>4937636710.8299999</v>
      </c>
      <c r="O30" s="19">
        <v>56987310.829999998</v>
      </c>
      <c r="P30" s="77">
        <v>5048638500</v>
      </c>
      <c r="Q30" s="22">
        <f t="shared" si="8"/>
        <v>8.3275338886177244E-3</v>
      </c>
      <c r="R30" s="29">
        <v>4880649400</v>
      </c>
      <c r="S30" s="22">
        <f t="shared" si="9"/>
        <v>8.0344308513112684E-3</v>
      </c>
      <c r="T30" s="23">
        <f t="shared" si="10"/>
        <v>-3.3274139156527049E-2</v>
      </c>
      <c r="U30" s="58">
        <f t="shared" si="11"/>
        <v>1.1404163593475901E-3</v>
      </c>
      <c r="V30" s="24">
        <f t="shared" si="12"/>
        <v>4.4624806342369108E-3</v>
      </c>
      <c r="W30" s="25">
        <f t="shared" si="13"/>
        <v>100</v>
      </c>
      <c r="X30" s="25">
        <f t="shared" si="14"/>
        <v>0.44624806342369111</v>
      </c>
      <c r="Y30" s="19">
        <v>100</v>
      </c>
      <c r="Z30" s="19">
        <v>100</v>
      </c>
      <c r="AA30" s="141">
        <f>SUM(5411,217,112)</f>
        <v>5740</v>
      </c>
      <c r="AB30" s="141">
        <v>50486385</v>
      </c>
      <c r="AC30" s="141">
        <v>6524784</v>
      </c>
      <c r="AD30" s="141">
        <v>4844893</v>
      </c>
      <c r="AE30" s="142">
        <v>48806494</v>
      </c>
      <c r="AF30" s="5"/>
    </row>
    <row r="31" spans="1:241" ht="18" customHeight="1" x14ac:dyDescent="0.3">
      <c r="A31" s="164">
        <v>26</v>
      </c>
      <c r="B31" s="56" t="s">
        <v>46</v>
      </c>
      <c r="C31" s="56" t="s">
        <v>67</v>
      </c>
      <c r="D31" s="52"/>
      <c r="E31" s="52"/>
      <c r="F31" s="52">
        <v>768392226.51999998</v>
      </c>
      <c r="G31" s="52"/>
      <c r="H31" s="52"/>
      <c r="I31" s="52"/>
      <c r="J31" s="52">
        <v>768392226.51999998</v>
      </c>
      <c r="K31" s="52">
        <v>5105758.9800000004</v>
      </c>
      <c r="L31" s="52">
        <v>778363.61</v>
      </c>
      <c r="M31" s="144">
        <v>4327395.37</v>
      </c>
      <c r="N31" s="19">
        <v>776453049.77999997</v>
      </c>
      <c r="O31" s="19">
        <v>2967029.34</v>
      </c>
      <c r="P31" s="77">
        <v>707367834.69000006</v>
      </c>
      <c r="Q31" s="22">
        <f t="shared" si="8"/>
        <v>1.1667758773180365E-3</v>
      </c>
      <c r="R31" s="29">
        <v>773486020.44000006</v>
      </c>
      <c r="S31" s="22">
        <f t="shared" si="9"/>
        <v>1.2732977594500261E-3</v>
      </c>
      <c r="T31" s="23">
        <f t="shared" si="10"/>
        <v>9.3470726978949953E-2</v>
      </c>
      <c r="U31" s="58">
        <f t="shared" si="11"/>
        <v>1.0063059828246479E-3</v>
      </c>
      <c r="V31" s="24">
        <f t="shared" si="12"/>
        <v>5.5946652630364888E-3</v>
      </c>
      <c r="W31" s="25">
        <f t="shared" si="13"/>
        <v>10.063058337481683</v>
      </c>
      <c r="X31" s="25">
        <f t="shared" si="14"/>
        <v>5.6299442920618496E-2</v>
      </c>
      <c r="Y31" s="19">
        <v>10</v>
      </c>
      <c r="Z31" s="19">
        <v>10</v>
      </c>
      <c r="AA31" s="141">
        <v>485</v>
      </c>
      <c r="AB31" s="141">
        <v>70525112</v>
      </c>
      <c r="AC31" s="141">
        <v>7670130</v>
      </c>
      <c r="AD31" s="141">
        <v>1331331</v>
      </c>
      <c r="AE31" s="142">
        <v>76863911</v>
      </c>
      <c r="AF31" s="5"/>
    </row>
    <row r="32" spans="1:241" ht="18" customHeight="1" x14ac:dyDescent="0.3">
      <c r="A32" s="164">
        <v>27</v>
      </c>
      <c r="B32" s="56" t="s">
        <v>29</v>
      </c>
      <c r="C32" s="56" t="s">
        <v>68</v>
      </c>
      <c r="D32" s="52"/>
      <c r="E32" s="52"/>
      <c r="F32" s="52">
        <v>2732295632.2399998</v>
      </c>
      <c r="G32" s="52"/>
      <c r="H32" s="52"/>
      <c r="I32" s="52"/>
      <c r="J32" s="52">
        <v>2738057919.98</v>
      </c>
      <c r="K32" s="52">
        <v>13100796.01</v>
      </c>
      <c r="L32" s="52">
        <v>4305230.9400000004</v>
      </c>
      <c r="M32" s="144">
        <v>8795565.0700000003</v>
      </c>
      <c r="N32" s="19">
        <v>2738057919.98</v>
      </c>
      <c r="O32" s="19">
        <v>24478687.809999999</v>
      </c>
      <c r="P32" s="77">
        <v>2179383637</v>
      </c>
      <c r="Q32" s="22">
        <f t="shared" si="8"/>
        <v>3.5948089952204838E-3</v>
      </c>
      <c r="R32" s="29">
        <v>2713579232.1700001</v>
      </c>
      <c r="S32" s="22">
        <f t="shared" si="9"/>
        <v>4.4670417630129694E-3</v>
      </c>
      <c r="T32" s="23">
        <f t="shared" si="10"/>
        <v>0.24511315314147239</v>
      </c>
      <c r="U32" s="58">
        <f t="shared" si="11"/>
        <v>1.5865506667211576E-3</v>
      </c>
      <c r="V32" s="24">
        <f t="shared" si="12"/>
        <v>3.2413150003975915E-3</v>
      </c>
      <c r="W32" s="25">
        <f t="shared" si="13"/>
        <v>99.999999969413096</v>
      </c>
      <c r="X32" s="25">
        <f t="shared" si="14"/>
        <v>0.32413149994061741</v>
      </c>
      <c r="Y32" s="19">
        <v>100</v>
      </c>
      <c r="Z32" s="19">
        <v>100</v>
      </c>
      <c r="AA32" s="141">
        <v>1423</v>
      </c>
      <c r="AB32" s="141">
        <v>21793836.370000001</v>
      </c>
      <c r="AC32" s="141">
        <v>5878177.6699999999</v>
      </c>
      <c r="AD32" s="141">
        <v>536221.71</v>
      </c>
      <c r="AE32" s="142">
        <v>27135792.329999998</v>
      </c>
      <c r="AF32" s="5"/>
    </row>
    <row r="33" spans="1:241" ht="16.5" customHeight="1" x14ac:dyDescent="0.3">
      <c r="A33" s="164">
        <v>28</v>
      </c>
      <c r="B33" s="57" t="s">
        <v>44</v>
      </c>
      <c r="C33" s="57" t="s">
        <v>69</v>
      </c>
      <c r="D33" s="52"/>
      <c r="E33" s="52"/>
      <c r="F33" s="52">
        <v>20593273969.34</v>
      </c>
      <c r="G33" s="52"/>
      <c r="H33" s="52"/>
      <c r="I33" s="52"/>
      <c r="J33" s="52">
        <v>20593273969.34</v>
      </c>
      <c r="K33" s="52">
        <v>104182066.70999999</v>
      </c>
      <c r="L33" s="52">
        <v>32053347.469999999</v>
      </c>
      <c r="M33" s="144">
        <v>72128719.239999995</v>
      </c>
      <c r="N33" s="19">
        <v>20619212497.080002</v>
      </c>
      <c r="O33" s="19">
        <v>233445962.50999999</v>
      </c>
      <c r="P33" s="77">
        <v>18311104941.310001</v>
      </c>
      <c r="Q33" s="22">
        <f t="shared" si="8"/>
        <v>3.0203459197325082E-2</v>
      </c>
      <c r="R33" s="29">
        <v>20385766534.57</v>
      </c>
      <c r="S33" s="22">
        <f t="shared" si="9"/>
        <v>3.3558655447157915E-2</v>
      </c>
      <c r="T33" s="23">
        <f t="shared" si="10"/>
        <v>0.11330073198256567</v>
      </c>
      <c r="U33" s="58">
        <f t="shared" si="11"/>
        <v>1.5723395740672404E-3</v>
      </c>
      <c r="V33" s="24">
        <f t="shared" si="12"/>
        <v>3.5381901935198148E-3</v>
      </c>
      <c r="W33" s="25">
        <f t="shared" si="13"/>
        <v>100.00361019605329</v>
      </c>
      <c r="X33" s="25">
        <f t="shared" si="14"/>
        <v>0.35383179291225392</v>
      </c>
      <c r="Y33" s="19">
        <v>100</v>
      </c>
      <c r="Z33" s="19">
        <v>100</v>
      </c>
      <c r="AA33" s="141">
        <v>5672</v>
      </c>
      <c r="AB33" s="141">
        <v>183111049.41</v>
      </c>
      <c r="AC33" s="141">
        <v>26187975.780000001</v>
      </c>
      <c r="AD33" s="141">
        <v>5448719.2300000004</v>
      </c>
      <c r="AE33" s="142">
        <v>203850305.94999999</v>
      </c>
      <c r="AF33" s="5"/>
    </row>
    <row r="34" spans="1:241" ht="16.5" customHeight="1" x14ac:dyDescent="0.3">
      <c r="A34" s="164">
        <v>29</v>
      </c>
      <c r="B34" s="57" t="s">
        <v>70</v>
      </c>
      <c r="C34" s="57" t="s">
        <v>168</v>
      </c>
      <c r="D34" s="52"/>
      <c r="E34" s="52"/>
      <c r="F34" s="52">
        <v>5010356133.6499996</v>
      </c>
      <c r="G34" s="52"/>
      <c r="H34" s="52"/>
      <c r="I34" s="52"/>
      <c r="J34" s="52">
        <v>12028120513.42</v>
      </c>
      <c r="K34" s="52">
        <v>52158306.859999999</v>
      </c>
      <c r="L34" s="52">
        <v>18709265.329999998</v>
      </c>
      <c r="M34" s="144">
        <v>33449041.530000001</v>
      </c>
      <c r="N34" s="19">
        <v>12028120513.42</v>
      </c>
      <c r="O34" s="19">
        <v>77692635.909999996</v>
      </c>
      <c r="P34" s="77">
        <v>11715687382.33</v>
      </c>
      <c r="Q34" s="22">
        <f t="shared" si="8"/>
        <v>1.9324573091300586E-2</v>
      </c>
      <c r="R34" s="29">
        <v>11950427877.51</v>
      </c>
      <c r="S34" s="22">
        <f t="shared" si="9"/>
        <v>1.9672563742324244E-2</v>
      </c>
      <c r="T34" s="23">
        <f t="shared" si="10"/>
        <v>2.0036425309030007E-2</v>
      </c>
      <c r="U34" s="58">
        <f t="shared" si="11"/>
        <v>1.565572841555718E-3</v>
      </c>
      <c r="V34" s="24">
        <f>M34/R34</f>
        <v>2.7989827538266745E-3</v>
      </c>
      <c r="W34" s="25">
        <f t="shared" si="13"/>
        <v>99.999999811805907</v>
      </c>
      <c r="X34" s="25">
        <f t="shared" si="14"/>
        <v>0.2798982748559154</v>
      </c>
      <c r="Y34" s="19">
        <v>100</v>
      </c>
      <c r="Z34" s="19">
        <v>100</v>
      </c>
      <c r="AA34" s="141">
        <v>3565</v>
      </c>
      <c r="AB34" s="141">
        <v>117156874</v>
      </c>
      <c r="AC34" s="141">
        <v>10390729</v>
      </c>
      <c r="AD34" s="141">
        <v>8043324</v>
      </c>
      <c r="AE34" s="142">
        <v>119504279</v>
      </c>
      <c r="AF34" s="5"/>
    </row>
    <row r="35" spans="1:241" ht="16.5" customHeight="1" x14ac:dyDescent="0.3">
      <c r="A35" s="164">
        <v>30</v>
      </c>
      <c r="B35" s="57" t="s">
        <v>70</v>
      </c>
      <c r="C35" s="57" t="s">
        <v>71</v>
      </c>
      <c r="D35" s="52"/>
      <c r="E35" s="52"/>
      <c r="F35" s="52">
        <v>192101121.41</v>
      </c>
      <c r="G35" s="52"/>
      <c r="H35" s="52"/>
      <c r="I35" s="52"/>
      <c r="J35" s="52">
        <v>397170295.13</v>
      </c>
      <c r="K35" s="52">
        <v>1907933.22</v>
      </c>
      <c r="L35" s="52">
        <v>363951.81</v>
      </c>
      <c r="M35" s="144">
        <v>1543981.41</v>
      </c>
      <c r="N35" s="19">
        <v>397170295.13</v>
      </c>
      <c r="O35" s="19">
        <v>1863848.6</v>
      </c>
      <c r="P35" s="77">
        <v>388747076.56</v>
      </c>
      <c r="Q35" s="22">
        <f t="shared" si="8"/>
        <v>6.4122326329256278E-4</v>
      </c>
      <c r="R35" s="29">
        <v>395306446.52999997</v>
      </c>
      <c r="S35" s="22">
        <f t="shared" si="9"/>
        <v>6.5074584331397778E-4</v>
      </c>
      <c r="T35" s="23">
        <f t="shared" si="10"/>
        <v>1.6873104302271409E-2</v>
      </c>
      <c r="U35" s="58">
        <f t="shared" si="11"/>
        <v>9.2068270880672201E-4</v>
      </c>
      <c r="V35" s="24">
        <f>M35/R35</f>
        <v>3.9057835346553767E-3</v>
      </c>
      <c r="W35" s="25">
        <f t="shared" si="13"/>
        <v>1000775.8139999999</v>
      </c>
      <c r="X35" s="25">
        <f>M35/AE35</f>
        <v>3908.8136962025314</v>
      </c>
      <c r="Y35" s="19">
        <v>1000000</v>
      </c>
      <c r="Z35" s="19">
        <v>1000000</v>
      </c>
      <c r="AA35" s="141">
        <v>13</v>
      </c>
      <c r="AB35" s="141">
        <v>389</v>
      </c>
      <c r="AC35" s="141">
        <v>6</v>
      </c>
      <c r="AD35" s="141">
        <v>0</v>
      </c>
      <c r="AE35" s="142">
        <v>395</v>
      </c>
      <c r="AF35" s="5"/>
    </row>
    <row r="36" spans="1:241" ht="16.5" customHeight="1" x14ac:dyDescent="0.3">
      <c r="A36" s="164">
        <v>31</v>
      </c>
      <c r="B36" s="57" t="s">
        <v>72</v>
      </c>
      <c r="C36" s="57" t="s">
        <v>73</v>
      </c>
      <c r="D36" s="52"/>
      <c r="E36" s="52"/>
      <c r="F36" s="52">
        <v>1883999755.9000001</v>
      </c>
      <c r="G36" s="52"/>
      <c r="H36" s="52"/>
      <c r="I36" s="52"/>
      <c r="J36" s="52">
        <v>1883999755.9000001</v>
      </c>
      <c r="K36" s="52">
        <v>29067082.399999999</v>
      </c>
      <c r="L36" s="52">
        <v>6638078.0499999998</v>
      </c>
      <c r="M36" s="144">
        <v>22429004.350000001</v>
      </c>
      <c r="N36" s="19">
        <v>5028119978.1800003</v>
      </c>
      <c r="O36" s="19">
        <v>28369051.719999999</v>
      </c>
      <c r="P36" s="77">
        <v>5356509199.6300001</v>
      </c>
      <c r="Q36" s="22">
        <f t="shared" si="8"/>
        <v>8.8353546970359291E-3</v>
      </c>
      <c r="R36" s="29">
        <v>4999750926.4799995</v>
      </c>
      <c r="S36" s="22">
        <f t="shared" si="9"/>
        <v>8.2304934856789764E-3</v>
      </c>
      <c r="T36" s="23">
        <f t="shared" si="10"/>
        <v>-6.6602755610807793E-2</v>
      </c>
      <c r="U36" s="58">
        <f t="shared" si="11"/>
        <v>1.3276817480732865E-3</v>
      </c>
      <c r="V36" s="24">
        <f t="shared" si="12"/>
        <v>4.4860243399746334E-3</v>
      </c>
      <c r="W36" s="25">
        <f t="shared" si="13"/>
        <v>1.0079866504388584</v>
      </c>
      <c r="X36" s="25">
        <f t="shared" si="14"/>
        <v>4.5218526482382207E-3</v>
      </c>
      <c r="Y36" s="19">
        <v>1</v>
      </c>
      <c r="Z36" s="19">
        <v>1</v>
      </c>
      <c r="AA36" s="141">
        <v>1556</v>
      </c>
      <c r="AB36" s="141">
        <v>5339251680.1400003</v>
      </c>
      <c r="AC36" s="141">
        <v>592592566.13999999</v>
      </c>
      <c r="AD36" s="141">
        <v>971708192.58000004</v>
      </c>
      <c r="AE36" s="142">
        <v>4960136053.6899996</v>
      </c>
      <c r="AF36" s="5"/>
    </row>
    <row r="37" spans="1:241" s="65" customFormat="1" ht="16.5" customHeight="1" x14ac:dyDescent="0.3">
      <c r="A37" s="164">
        <v>32</v>
      </c>
      <c r="B37" s="57" t="s">
        <v>74</v>
      </c>
      <c r="C37" s="57" t="s">
        <v>75</v>
      </c>
      <c r="D37" s="52"/>
      <c r="E37" s="52"/>
      <c r="F37" s="52">
        <v>17329905866.009998</v>
      </c>
      <c r="G37" s="52"/>
      <c r="H37" s="52"/>
      <c r="I37" s="52"/>
      <c r="J37" s="52">
        <v>17329905866.009998</v>
      </c>
      <c r="K37" s="177">
        <v>96042743.280000001</v>
      </c>
      <c r="L37" s="177">
        <v>20479987.739999998</v>
      </c>
      <c r="M37" s="144">
        <v>75562755.540000007</v>
      </c>
      <c r="N37" s="177">
        <v>17475759404.990002</v>
      </c>
      <c r="O37" s="177">
        <v>39126838.649999999</v>
      </c>
      <c r="P37" s="77">
        <v>17299492168.110001</v>
      </c>
      <c r="Q37" s="22">
        <f t="shared" si="8"/>
        <v>2.8534843064286133E-2</v>
      </c>
      <c r="R37" s="29">
        <v>17436632566.34</v>
      </c>
      <c r="S37" s="22">
        <f t="shared" si="9"/>
        <v>2.8703848023580811E-2</v>
      </c>
      <c r="T37" s="23">
        <f t="shared" si="10"/>
        <v>7.9274233542418696E-3</v>
      </c>
      <c r="U37" s="58">
        <f t="shared" si="11"/>
        <v>1.174538011401063E-3</v>
      </c>
      <c r="V37" s="24">
        <f t="shared" si="12"/>
        <v>4.3335635623742942E-3</v>
      </c>
      <c r="W37" s="25">
        <f t="shared" si="13"/>
        <v>1.010161254312806</v>
      </c>
      <c r="X37" s="25">
        <f t="shared" si="14"/>
        <v>4.3775980038122889E-3</v>
      </c>
      <c r="Y37" s="19">
        <v>1</v>
      </c>
      <c r="Z37" s="19">
        <v>1</v>
      </c>
      <c r="AA37" s="141">
        <v>2576</v>
      </c>
      <c r="AB37" s="177">
        <v>17195031561.709999</v>
      </c>
      <c r="AC37" s="177">
        <v>2271386243.0300002</v>
      </c>
      <c r="AD37" s="177">
        <v>2205181054.77</v>
      </c>
      <c r="AE37" s="142">
        <v>17261236749.970001</v>
      </c>
      <c r="AF37" s="63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</row>
    <row r="38" spans="1:241" ht="16.5" customHeight="1" x14ac:dyDescent="0.3">
      <c r="A38" s="164">
        <v>33</v>
      </c>
      <c r="B38" s="57" t="s">
        <v>31</v>
      </c>
      <c r="C38" s="57" t="s">
        <v>76</v>
      </c>
      <c r="D38" s="52"/>
      <c r="E38" s="52"/>
      <c r="F38" s="52">
        <v>599617725.61000001</v>
      </c>
      <c r="G38" s="52"/>
      <c r="H38" s="52"/>
      <c r="I38" s="52"/>
      <c r="J38" s="52">
        <v>599617725.61000001</v>
      </c>
      <c r="K38" s="52">
        <v>4402987.53</v>
      </c>
      <c r="L38" s="52">
        <v>1346559.38</v>
      </c>
      <c r="M38" s="144">
        <v>3056428.15</v>
      </c>
      <c r="N38" s="19">
        <v>617810617.38999999</v>
      </c>
      <c r="O38" s="19">
        <v>21889555.57</v>
      </c>
      <c r="P38" s="77">
        <v>594255109.17999995</v>
      </c>
      <c r="Q38" s="22">
        <f t="shared" si="8"/>
        <v>9.8020081259148897E-4</v>
      </c>
      <c r="R38" s="29">
        <v>595921061.82000005</v>
      </c>
      <c r="S38" s="22">
        <f t="shared" si="9"/>
        <v>9.8099375137103233E-4</v>
      </c>
      <c r="T38" s="23">
        <f t="shared" si="10"/>
        <v>2.8034300660854522E-3</v>
      </c>
      <c r="U38" s="58">
        <f t="shared" si="11"/>
        <v>2.2596270987427069E-3</v>
      </c>
      <c r="V38" s="24">
        <f t="shared" si="12"/>
        <v>5.1289144583434847E-3</v>
      </c>
      <c r="W38" s="25">
        <f t="shared" si="13"/>
        <v>101.11033545930704</v>
      </c>
      <c r="X38" s="25">
        <f t="shared" si="14"/>
        <v>0.51858626142519981</v>
      </c>
      <c r="Y38" s="19">
        <v>100</v>
      </c>
      <c r="Z38" s="19">
        <v>100</v>
      </c>
      <c r="AA38" s="141">
        <v>617</v>
      </c>
      <c r="AB38" s="141">
        <v>5773520</v>
      </c>
      <c r="AC38" s="141">
        <v>175700</v>
      </c>
      <c r="AD38" s="141">
        <v>55450</v>
      </c>
      <c r="AE38" s="142">
        <v>5893770</v>
      </c>
      <c r="AF38" s="5"/>
    </row>
    <row r="39" spans="1:241" ht="16.5" customHeight="1" x14ac:dyDescent="0.3">
      <c r="A39" s="164">
        <v>34</v>
      </c>
      <c r="B39" s="57" t="s">
        <v>25</v>
      </c>
      <c r="C39" s="57" t="s">
        <v>77</v>
      </c>
      <c r="D39" s="52"/>
      <c r="E39" s="52"/>
      <c r="F39" s="52">
        <v>4269492281.0900002</v>
      </c>
      <c r="G39" s="52"/>
      <c r="H39" s="52"/>
      <c r="I39" s="52"/>
      <c r="J39" s="52">
        <v>4256882191.5700002</v>
      </c>
      <c r="K39" s="145">
        <v>19668584.109999999</v>
      </c>
      <c r="L39" s="52">
        <v>5250480.5199999996</v>
      </c>
      <c r="M39" s="144">
        <v>14418103.59</v>
      </c>
      <c r="N39" s="19">
        <v>4256882191.5700002</v>
      </c>
      <c r="O39" s="19">
        <v>12649153.68</v>
      </c>
      <c r="P39" s="77">
        <v>4588371281.6999998</v>
      </c>
      <c r="Q39" s="22">
        <f t="shared" si="8"/>
        <v>7.5683409184311955E-3</v>
      </c>
      <c r="R39" s="29">
        <v>4244233037.8899999</v>
      </c>
      <c r="S39" s="22">
        <f t="shared" si="9"/>
        <v>6.9867745181159627E-3</v>
      </c>
      <c r="T39" s="23">
        <f t="shared" si="10"/>
        <v>-7.5002266094407272E-2</v>
      </c>
      <c r="U39" s="58">
        <f t="shared" si="11"/>
        <v>1.2370858228393253E-3</v>
      </c>
      <c r="V39" s="24">
        <f t="shared" si="12"/>
        <v>3.3971046031835922E-3</v>
      </c>
      <c r="W39" s="25">
        <f t="shared" si="13"/>
        <v>0.98994515778704406</v>
      </c>
      <c r="X39" s="25">
        <f t="shared" si="14"/>
        <v>3.3629472524176747E-3</v>
      </c>
      <c r="Y39" s="19">
        <v>0.99</v>
      </c>
      <c r="Z39" s="19">
        <v>0.99</v>
      </c>
      <c r="AA39" s="147">
        <v>838</v>
      </c>
      <c r="AB39" s="147">
        <v>4632761948</v>
      </c>
      <c r="AC39" s="147">
        <v>105834178</v>
      </c>
      <c r="AD39" s="147">
        <v>451254545</v>
      </c>
      <c r="AE39" s="142">
        <v>4287341581</v>
      </c>
      <c r="AF39" s="5"/>
    </row>
    <row r="40" spans="1:241" ht="16.5" customHeight="1" x14ac:dyDescent="0.3">
      <c r="A40" s="164">
        <v>35</v>
      </c>
      <c r="B40" s="57" t="s">
        <v>78</v>
      </c>
      <c r="C40" s="57" t="s">
        <v>79</v>
      </c>
      <c r="D40" s="52"/>
      <c r="E40" s="52"/>
      <c r="F40" s="52">
        <v>246789632.87</v>
      </c>
      <c r="G40" s="52"/>
      <c r="H40" s="52"/>
      <c r="I40" s="52"/>
      <c r="J40" s="52">
        <v>625464692.33000004</v>
      </c>
      <c r="K40" s="52">
        <v>3989461.26</v>
      </c>
      <c r="L40" s="52">
        <v>1451246.92</v>
      </c>
      <c r="M40" s="144">
        <v>2538214.34</v>
      </c>
      <c r="N40" s="19">
        <v>633509902.58000004</v>
      </c>
      <c r="O40" s="19">
        <v>7607747.6299999999</v>
      </c>
      <c r="P40" s="77">
        <v>640085822.82000005</v>
      </c>
      <c r="Q40" s="22">
        <f t="shared" si="8"/>
        <v>1.0557968016837234E-3</v>
      </c>
      <c r="R40" s="29">
        <v>625902154.95000005</v>
      </c>
      <c r="S40" s="22">
        <f t="shared" si="9"/>
        <v>1.030348048280724E-3</v>
      </c>
      <c r="T40" s="23">
        <f t="shared" si="10"/>
        <v>-2.2159009564548075E-2</v>
      </c>
      <c r="U40" s="58">
        <f t="shared" si="11"/>
        <v>2.3186482240437922E-3</v>
      </c>
      <c r="V40" s="24">
        <f t="shared" si="12"/>
        <v>4.0552893450299179E-3</v>
      </c>
      <c r="W40" s="25">
        <f t="shared" si="13"/>
        <v>9.9959635379360616</v>
      </c>
      <c r="X40" s="25">
        <f t="shared" si="14"/>
        <v>4.053652442869967E-2</v>
      </c>
      <c r="Y40" s="19">
        <v>10</v>
      </c>
      <c r="Z40" s="19">
        <v>10</v>
      </c>
      <c r="AA40" s="141">
        <v>283</v>
      </c>
      <c r="AB40" s="141">
        <v>64173472</v>
      </c>
      <c r="AC40" s="141">
        <v>3028500</v>
      </c>
      <c r="AD40" s="141">
        <v>4586482</v>
      </c>
      <c r="AE40" s="142">
        <v>62615490</v>
      </c>
      <c r="AF40" s="5"/>
    </row>
    <row r="41" spans="1:241" ht="16.5" customHeight="1" x14ac:dyDescent="0.3">
      <c r="A41" s="164">
        <v>36</v>
      </c>
      <c r="B41" s="57" t="s">
        <v>80</v>
      </c>
      <c r="C41" s="57" t="s">
        <v>81</v>
      </c>
      <c r="D41" s="52"/>
      <c r="E41" s="52"/>
      <c r="F41" s="52">
        <v>406593104.25</v>
      </c>
      <c r="G41" s="52"/>
      <c r="H41" s="52"/>
      <c r="I41" s="52">
        <v>23315936.329999998</v>
      </c>
      <c r="J41" s="52">
        <v>429909040.57999998</v>
      </c>
      <c r="K41" s="52">
        <v>3333883.92</v>
      </c>
      <c r="L41" s="52">
        <v>1196724.58</v>
      </c>
      <c r="M41" s="144">
        <v>2137159.34</v>
      </c>
      <c r="N41" s="19">
        <v>613244265.16999996</v>
      </c>
      <c r="O41" s="19">
        <v>2955210.12</v>
      </c>
      <c r="P41" s="77">
        <v>618846831.32000005</v>
      </c>
      <c r="Q41" s="22">
        <f t="shared" si="8"/>
        <v>1.0207639068792501E-3</v>
      </c>
      <c r="R41" s="29">
        <v>610189055.04999995</v>
      </c>
      <c r="S41" s="22">
        <f t="shared" si="9"/>
        <v>1.0044814464702564E-3</v>
      </c>
      <c r="T41" s="23">
        <f t="shared" si="10"/>
        <v>-1.3990176295373552E-2</v>
      </c>
      <c r="U41" s="58">
        <f t="shared" si="11"/>
        <v>1.9612357352131438E-3</v>
      </c>
      <c r="V41" s="24">
        <f t="shared" si="12"/>
        <v>3.5024543988663929E-3</v>
      </c>
      <c r="W41" s="25">
        <f t="shared" si="13"/>
        <v>1.0078283695159893</v>
      </c>
      <c r="X41" s="25">
        <f t="shared" si="14"/>
        <v>3.5298729061136215E-3</v>
      </c>
      <c r="Y41" s="19">
        <v>1</v>
      </c>
      <c r="Z41" s="19">
        <v>1</v>
      </c>
      <c r="AA41" s="141">
        <v>150</v>
      </c>
      <c r="AB41" s="141">
        <v>616169823.47000003</v>
      </c>
      <c r="AC41" s="141">
        <v>2850000</v>
      </c>
      <c r="AD41" s="141">
        <v>13570449.85</v>
      </c>
      <c r="AE41" s="142">
        <v>605449373.63</v>
      </c>
      <c r="AF41" s="5"/>
    </row>
    <row r="42" spans="1:241" ht="16.5" customHeight="1" x14ac:dyDescent="0.3">
      <c r="A42" s="164">
        <v>37</v>
      </c>
      <c r="B42" s="57" t="s">
        <v>82</v>
      </c>
      <c r="C42" s="57" t="s">
        <v>150</v>
      </c>
      <c r="D42" s="52"/>
      <c r="E42" s="52"/>
      <c r="F42" s="52">
        <v>5816359399.9099998</v>
      </c>
      <c r="G42" s="52"/>
      <c r="H42" s="52"/>
      <c r="I42" s="52"/>
      <c r="J42" s="52">
        <v>5816359399.9099998</v>
      </c>
      <c r="K42" s="52">
        <v>39797665.200000003</v>
      </c>
      <c r="L42" s="52">
        <v>10316133.52</v>
      </c>
      <c r="M42" s="144">
        <v>30485647.239999998</v>
      </c>
      <c r="N42" s="19">
        <v>5864861204.8999996</v>
      </c>
      <c r="O42" s="19">
        <v>117048524.06999999</v>
      </c>
      <c r="P42" s="77">
        <v>5559711328.1099997</v>
      </c>
      <c r="Q42" s="22">
        <f t="shared" si="8"/>
        <v>9.1705287466646458E-3</v>
      </c>
      <c r="R42" s="29">
        <v>5747812680.8299999</v>
      </c>
      <c r="S42" s="22">
        <f t="shared" si="9"/>
        <v>9.4619383089509929E-3</v>
      </c>
      <c r="T42" s="23">
        <f>((R42-P42)/P42)</f>
        <v>3.3832935132613179E-2</v>
      </c>
      <c r="U42" s="58">
        <f t="shared" si="11"/>
        <v>1.7947929226027459E-3</v>
      </c>
      <c r="V42" s="24">
        <f>M42/R42</f>
        <v>5.3038693034787258E-3</v>
      </c>
      <c r="W42" s="25">
        <f t="shared" si="13"/>
        <v>99.999999997042352</v>
      </c>
      <c r="X42" s="25">
        <f t="shared" si="14"/>
        <v>0.53038693033218554</v>
      </c>
      <c r="Y42" s="19">
        <v>100</v>
      </c>
      <c r="Z42" s="19">
        <v>100</v>
      </c>
      <c r="AA42" s="141">
        <v>1262</v>
      </c>
      <c r="AB42" s="141">
        <v>55597113.280000001</v>
      </c>
      <c r="AC42" s="141">
        <v>6349455.9900000002</v>
      </c>
      <c r="AD42" s="141">
        <v>4468442.46</v>
      </c>
      <c r="AE42" s="142">
        <v>57478126.810000002</v>
      </c>
      <c r="AF42" s="5"/>
    </row>
    <row r="43" spans="1:241" ht="16.5" customHeight="1" x14ac:dyDescent="0.3">
      <c r="A43" s="164">
        <v>38</v>
      </c>
      <c r="B43" s="57" t="s">
        <v>172</v>
      </c>
      <c r="C43" s="57" t="s">
        <v>83</v>
      </c>
      <c r="D43" s="52"/>
      <c r="E43" s="52"/>
      <c r="F43" s="52">
        <v>185966298.49000001</v>
      </c>
      <c r="G43" s="52"/>
      <c r="H43" s="52"/>
      <c r="I43" s="52"/>
      <c r="J43" s="52">
        <v>185966298.49000001</v>
      </c>
      <c r="K43" s="52">
        <v>2178954.4</v>
      </c>
      <c r="L43" s="52">
        <v>669839.53</v>
      </c>
      <c r="M43" s="144">
        <v>1509114.87</v>
      </c>
      <c r="N43" s="19">
        <v>308750142.14999998</v>
      </c>
      <c r="O43" s="19">
        <v>3362793.54</v>
      </c>
      <c r="P43" s="77">
        <v>299659309.38</v>
      </c>
      <c r="Q43" s="22">
        <f t="shared" si="8"/>
        <v>4.9427643787562398E-4</v>
      </c>
      <c r="R43" s="29">
        <v>305387348.61000001</v>
      </c>
      <c r="S43" s="22">
        <f t="shared" si="9"/>
        <v>5.0272275965414226E-4</v>
      </c>
      <c r="T43" s="23">
        <f t="shared" si="10"/>
        <v>1.9115171965961696E-2</v>
      </c>
      <c r="U43" s="58">
        <f t="shared" si="11"/>
        <v>2.1934095601826311E-3</v>
      </c>
      <c r="V43" s="24">
        <f t="shared" si="12"/>
        <v>4.9416417440633414E-3</v>
      </c>
      <c r="W43" s="25">
        <f t="shared" si="13"/>
        <v>1.0070235136805361</v>
      </c>
      <c r="X43" s="25">
        <f t="shared" si="14"/>
        <v>4.9763494324570785E-3</v>
      </c>
      <c r="Y43" s="19">
        <v>1</v>
      </c>
      <c r="Z43" s="19">
        <v>1</v>
      </c>
      <c r="AA43" s="141">
        <f>SUM(261,9,4)</f>
        <v>274</v>
      </c>
      <c r="AB43" s="141">
        <v>301882416</v>
      </c>
      <c r="AC43" s="141">
        <v>0</v>
      </c>
      <c r="AD43" s="141">
        <v>1375000</v>
      </c>
      <c r="AE43" s="142">
        <v>303257416</v>
      </c>
      <c r="AF43" s="5"/>
    </row>
    <row r="44" spans="1:241" ht="16.5" customHeight="1" x14ac:dyDescent="0.3">
      <c r="A44" s="164">
        <v>39</v>
      </c>
      <c r="B44" s="57" t="s">
        <v>50</v>
      </c>
      <c r="C44" s="57" t="s">
        <v>84</v>
      </c>
      <c r="D44" s="52"/>
      <c r="E44" s="52"/>
      <c r="F44" s="52">
        <v>404633890.31999999</v>
      </c>
      <c r="G44" s="52"/>
      <c r="H44" s="52"/>
      <c r="I44" s="52"/>
      <c r="J44" s="52">
        <v>404633890.31999999</v>
      </c>
      <c r="K44" s="52">
        <v>2075677.87</v>
      </c>
      <c r="L44" s="52">
        <v>557716.73</v>
      </c>
      <c r="M44" s="144">
        <v>1517961.14</v>
      </c>
      <c r="N44" s="19">
        <v>407592811.72000003</v>
      </c>
      <c r="O44" s="19">
        <v>557716.73</v>
      </c>
      <c r="P44" s="77">
        <v>351321925.75999999</v>
      </c>
      <c r="Q44" s="22">
        <f t="shared" si="8"/>
        <v>5.7949192491814187E-4</v>
      </c>
      <c r="R44" s="29">
        <v>407035094.99000001</v>
      </c>
      <c r="S44" s="22">
        <f t="shared" si="9"/>
        <v>6.7005331805928712E-4</v>
      </c>
      <c r="T44" s="23">
        <f t="shared" si="10"/>
        <v>0.15858153205063436</v>
      </c>
      <c r="U44" s="58">
        <f>(L44/R44)</f>
        <v>1.3701932262467488E-3</v>
      </c>
      <c r="V44" s="24">
        <f t="shared" si="12"/>
        <v>3.7293126776630722E-3</v>
      </c>
      <c r="W44" s="25">
        <f t="shared" si="13"/>
        <v>100.09182423804519</v>
      </c>
      <c r="X44" s="25">
        <f t="shared" si="14"/>
        <v>0.37327370906136592</v>
      </c>
      <c r="Y44" s="19">
        <v>100</v>
      </c>
      <c r="Z44" s="19">
        <v>100</v>
      </c>
      <c r="AA44" s="141">
        <v>865</v>
      </c>
      <c r="AB44" s="141">
        <v>3522475.71</v>
      </c>
      <c r="AC44" s="141">
        <v>1019424.73</v>
      </c>
      <c r="AD44" s="141">
        <v>475283.63</v>
      </c>
      <c r="AE44" s="142">
        <v>4066616.81</v>
      </c>
      <c r="AF44" s="5"/>
    </row>
    <row r="45" spans="1:241" ht="16.5" customHeight="1" x14ac:dyDescent="0.3">
      <c r="A45" s="164">
        <v>40</v>
      </c>
      <c r="B45" s="57" t="s">
        <v>85</v>
      </c>
      <c r="C45" s="57" t="s">
        <v>86</v>
      </c>
      <c r="D45" s="52"/>
      <c r="E45" s="52"/>
      <c r="F45" s="52">
        <v>125346935.94</v>
      </c>
      <c r="G45" s="52"/>
      <c r="H45" s="52"/>
      <c r="I45" s="52"/>
      <c r="J45" s="52">
        <v>125346935.94</v>
      </c>
      <c r="K45" s="52">
        <v>987020.53</v>
      </c>
      <c r="L45" s="52">
        <v>155491.59</v>
      </c>
      <c r="M45" s="144">
        <v>831528.94</v>
      </c>
      <c r="N45" s="19">
        <v>125346935.94</v>
      </c>
      <c r="O45" s="19">
        <v>2835479.57</v>
      </c>
      <c r="P45" s="77">
        <v>112130388.77</v>
      </c>
      <c r="Q45" s="22">
        <f t="shared" si="8"/>
        <v>1.8495473827766739E-4</v>
      </c>
      <c r="R45" s="29">
        <v>122511456.37</v>
      </c>
      <c r="S45" s="22">
        <f t="shared" si="9"/>
        <v>2.0167599514486789E-4</v>
      </c>
      <c r="T45" s="23">
        <f>((R45-P45)/P45)</f>
        <v>9.2580322906874818E-2</v>
      </c>
      <c r="U45" s="93">
        <f>(L45/R45)</f>
        <v>1.2692004046576334E-3</v>
      </c>
      <c r="V45" s="24">
        <f t="shared" si="12"/>
        <v>6.7873565839318565E-3</v>
      </c>
      <c r="W45" s="25">
        <f t="shared" si="13"/>
        <v>1</v>
      </c>
      <c r="X45" s="25">
        <f t="shared" si="14"/>
        <v>6.7873565839318565E-3</v>
      </c>
      <c r="Y45" s="19">
        <v>1</v>
      </c>
      <c r="Z45" s="19">
        <v>1</v>
      </c>
      <c r="AA45" s="141">
        <v>39</v>
      </c>
      <c r="AB45" s="141">
        <v>112130388.77</v>
      </c>
      <c r="AC45" s="141">
        <v>11434662.6</v>
      </c>
      <c r="AD45" s="141">
        <v>1053595</v>
      </c>
      <c r="AE45" s="142">
        <v>122511456.37</v>
      </c>
      <c r="AF45" s="5"/>
    </row>
    <row r="46" spans="1:241" ht="16.5" customHeight="1" x14ac:dyDescent="0.3">
      <c r="A46" s="164">
        <v>41</v>
      </c>
      <c r="B46" s="57" t="s">
        <v>87</v>
      </c>
      <c r="C46" s="198" t="s">
        <v>88</v>
      </c>
      <c r="D46" s="52"/>
      <c r="E46" s="52"/>
      <c r="F46" s="52">
        <v>666767214.90999997</v>
      </c>
      <c r="G46" s="52"/>
      <c r="H46" s="52"/>
      <c r="I46" s="52"/>
      <c r="J46" s="52">
        <v>871243504.20000005</v>
      </c>
      <c r="K46" s="52">
        <v>7336460.9100000001</v>
      </c>
      <c r="L46" s="52">
        <v>4367257.41</v>
      </c>
      <c r="M46" s="144">
        <v>2969203.5</v>
      </c>
      <c r="N46" s="19">
        <v>1390359962.3900001</v>
      </c>
      <c r="O46" s="19">
        <v>8565259.5399999991</v>
      </c>
      <c r="P46" s="77">
        <v>1378566425.3199999</v>
      </c>
      <c r="Q46" s="22">
        <f t="shared" si="8"/>
        <v>2.2738919858419047E-3</v>
      </c>
      <c r="R46" s="29">
        <v>1381794702.8499999</v>
      </c>
      <c r="S46" s="22">
        <f t="shared" si="9"/>
        <v>2.2746837727693624E-3</v>
      </c>
      <c r="T46" s="23">
        <f t="shared" si="10"/>
        <v>2.3417642202120271E-3</v>
      </c>
      <c r="U46" s="58">
        <f t="shared" si="11"/>
        <v>3.1605689332810287E-3</v>
      </c>
      <c r="V46" s="24">
        <f t="shared" si="12"/>
        <v>2.1488022018581444E-3</v>
      </c>
      <c r="W46" s="25">
        <f t="shared" si="13"/>
        <v>1.0064861469299267</v>
      </c>
      <c r="X46" s="25">
        <f t="shared" si="14"/>
        <v>2.1627396486627462E-3</v>
      </c>
      <c r="Y46" s="19">
        <v>1</v>
      </c>
      <c r="Z46" s="19">
        <v>1.03</v>
      </c>
      <c r="AA46" s="141">
        <v>39</v>
      </c>
      <c r="AB46" s="141">
        <v>1372630864</v>
      </c>
      <c r="AC46" s="141">
        <v>51847439</v>
      </c>
      <c r="AD46" s="141">
        <v>51588366</v>
      </c>
      <c r="AE46" s="142">
        <v>1372889937</v>
      </c>
      <c r="AF46" s="5"/>
    </row>
    <row r="47" spans="1:241" ht="16.5" customHeight="1" x14ac:dyDescent="0.3">
      <c r="A47" s="164">
        <v>42</v>
      </c>
      <c r="B47" s="56" t="s">
        <v>89</v>
      </c>
      <c r="C47" s="57" t="s">
        <v>90</v>
      </c>
      <c r="D47" s="52"/>
      <c r="E47" s="52"/>
      <c r="F47" s="52">
        <v>92569309.870000005</v>
      </c>
      <c r="G47" s="52"/>
      <c r="H47" s="52"/>
      <c r="I47" s="52"/>
      <c r="J47" s="52">
        <v>92569309.870000005</v>
      </c>
      <c r="K47" s="52">
        <v>638785.11</v>
      </c>
      <c r="L47" s="52">
        <v>58715.24</v>
      </c>
      <c r="M47" s="144">
        <v>580069.87</v>
      </c>
      <c r="N47" s="19">
        <v>155490813.13999999</v>
      </c>
      <c r="O47" s="19">
        <v>4588507.97</v>
      </c>
      <c r="P47" s="77">
        <v>151051190.90000001</v>
      </c>
      <c r="Q47" s="22">
        <f t="shared" si="8"/>
        <v>2.4915309565852565E-4</v>
      </c>
      <c r="R47" s="29">
        <v>150902305.16999999</v>
      </c>
      <c r="S47" s="22">
        <f t="shared" si="9"/>
        <v>2.4841246252841595E-4</v>
      </c>
      <c r="T47" s="23">
        <f>((R47-P47)/P47)</f>
        <v>-9.8566405940212322E-4</v>
      </c>
      <c r="U47" s="58">
        <f>(L47/R47)</f>
        <v>3.8909438748370315E-4</v>
      </c>
      <c r="V47" s="24">
        <f>M47/R47</f>
        <v>3.8440093366799034E-3</v>
      </c>
      <c r="W47" s="25">
        <f>R47/AE47</f>
        <v>1.0005368416105682</v>
      </c>
      <c r="X47" s="25">
        <f>M47/AE47</f>
        <v>3.846072960843246E-3</v>
      </c>
      <c r="Y47" s="19">
        <v>1</v>
      </c>
      <c r="Z47" s="19">
        <v>1</v>
      </c>
      <c r="AA47" s="141">
        <v>42</v>
      </c>
      <c r="AB47" s="141">
        <v>151076339</v>
      </c>
      <c r="AC47" s="52">
        <v>1545000</v>
      </c>
      <c r="AD47" s="141">
        <v>1800001</v>
      </c>
      <c r="AE47" s="142">
        <v>150821338</v>
      </c>
      <c r="AF47" s="5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</row>
    <row r="48" spans="1:241" ht="16.5" customHeight="1" x14ac:dyDescent="0.3">
      <c r="A48" s="164">
        <v>43</v>
      </c>
      <c r="B48" s="56" t="s">
        <v>158</v>
      </c>
      <c r="C48" s="56" t="s">
        <v>159</v>
      </c>
      <c r="D48" s="52"/>
      <c r="E48" s="52"/>
      <c r="F48" s="52">
        <v>404897614</v>
      </c>
      <c r="G48" s="52"/>
      <c r="H48" s="52"/>
      <c r="I48" s="52"/>
      <c r="J48" s="52">
        <v>406055498.87</v>
      </c>
      <c r="K48" s="52">
        <v>8186644.5199999996</v>
      </c>
      <c r="L48" s="52">
        <v>1796746.94</v>
      </c>
      <c r="M48" s="144">
        <v>6389897.5800000001</v>
      </c>
      <c r="N48" s="19">
        <v>992058852.71000004</v>
      </c>
      <c r="O48" s="19">
        <v>968294395.01999998</v>
      </c>
      <c r="P48" s="77">
        <v>934382433.95000005</v>
      </c>
      <c r="Q48" s="22">
        <f t="shared" si="8"/>
        <v>1.5412276762631625E-3</v>
      </c>
      <c r="R48" s="29">
        <v>969216638.80999994</v>
      </c>
      <c r="S48" s="22">
        <f t="shared" si="9"/>
        <v>1.5955057260329483E-3</v>
      </c>
      <c r="T48" s="23">
        <f>((R48-P48)/P48)</f>
        <v>3.728045775940167E-2</v>
      </c>
      <c r="U48" s="58">
        <f>(L48/R48)</f>
        <v>1.8538135521549012E-3</v>
      </c>
      <c r="V48" s="24">
        <f>M48/R48</f>
        <v>6.5928475885901928E-3</v>
      </c>
      <c r="W48" s="25">
        <f>R48/AE48</f>
        <v>1.0009524415247502</v>
      </c>
      <c r="X48" s="25">
        <f>M48/AE48</f>
        <v>6.5991268903999156E-3</v>
      </c>
      <c r="Y48" s="19">
        <v>1</v>
      </c>
      <c r="Z48" s="19">
        <v>1</v>
      </c>
      <c r="AA48" s="141">
        <v>249</v>
      </c>
      <c r="AB48" s="141">
        <v>933270817.21000004</v>
      </c>
      <c r="AC48" s="141">
        <v>84787261.629999995</v>
      </c>
      <c r="AD48" s="141">
        <v>49763683.82</v>
      </c>
      <c r="AE48" s="142">
        <v>968294395.01999998</v>
      </c>
      <c r="AF48" s="5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</row>
    <row r="49" spans="1:241" ht="16.5" customHeight="1" x14ac:dyDescent="0.3">
      <c r="A49" s="164">
        <v>44</v>
      </c>
      <c r="B49" s="56" t="s">
        <v>154</v>
      </c>
      <c r="C49" s="57" t="s">
        <v>155</v>
      </c>
      <c r="D49" s="52"/>
      <c r="E49" s="52"/>
      <c r="F49" s="52">
        <v>6574913.4299999997</v>
      </c>
      <c r="G49" s="52"/>
      <c r="H49" s="52"/>
      <c r="I49" s="52"/>
      <c r="J49" s="52">
        <v>6574913.4299999997</v>
      </c>
      <c r="K49" s="52">
        <v>11126.06</v>
      </c>
      <c r="L49" s="52">
        <v>9829.9599999999991</v>
      </c>
      <c r="M49" s="144">
        <v>1296.0999999999999</v>
      </c>
      <c r="N49" s="19">
        <v>6913633.7300000004</v>
      </c>
      <c r="O49" s="19">
        <v>252645.89</v>
      </c>
      <c r="P49" s="77">
        <v>6654881.9000000004</v>
      </c>
      <c r="Q49" s="22">
        <f t="shared" si="8"/>
        <v>1.0976970236034668E-5</v>
      </c>
      <c r="R49" s="29">
        <v>6660987.8399999999</v>
      </c>
      <c r="S49" s="22">
        <f t="shared" si="9"/>
        <v>1.0965189632737235E-5</v>
      </c>
      <c r="T49" s="23">
        <f>((R49-P49)/P49)</f>
        <v>9.1751290131827554E-4</v>
      </c>
      <c r="U49" s="58">
        <f>(L49/R49)</f>
        <v>1.47575108018813E-3</v>
      </c>
      <c r="V49" s="24">
        <f>M49/R49</f>
        <v>1.9458074855155418E-4</v>
      </c>
      <c r="W49" s="25">
        <f>R49/AE49</f>
        <v>102.95985532112219</v>
      </c>
      <c r="X49" s="25">
        <f>M49/AE49</f>
        <v>2.0034005719143672E-2</v>
      </c>
      <c r="Y49" s="19">
        <v>100</v>
      </c>
      <c r="Z49" s="19">
        <v>100</v>
      </c>
      <c r="AA49" s="141">
        <v>71</v>
      </c>
      <c r="AB49" s="52">
        <v>64635</v>
      </c>
      <c r="AC49" s="141">
        <f>AE49-AB49</f>
        <v>60</v>
      </c>
      <c r="AD49" s="141">
        <v>0</v>
      </c>
      <c r="AE49" s="142">
        <v>64695</v>
      </c>
      <c r="AF49" s="5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</row>
    <row r="50" spans="1:241" ht="16.5" customHeight="1" x14ac:dyDescent="0.3">
      <c r="A50" s="168">
        <v>45</v>
      </c>
      <c r="B50" s="169" t="s">
        <v>152</v>
      </c>
      <c r="C50" s="57" t="s">
        <v>169</v>
      </c>
      <c r="D50" s="52"/>
      <c r="E50" s="52"/>
      <c r="F50" s="52">
        <v>826922268.64999998</v>
      </c>
      <c r="G50" s="52"/>
      <c r="H50" s="52"/>
      <c r="I50" s="52"/>
      <c r="J50" s="52">
        <v>826922268.64999998</v>
      </c>
      <c r="K50" s="52">
        <v>9066856.4499999993</v>
      </c>
      <c r="L50" s="52">
        <v>1579915.82</v>
      </c>
      <c r="M50" s="144">
        <v>7486940.6299999999</v>
      </c>
      <c r="N50" s="19">
        <v>1199224721.22</v>
      </c>
      <c r="O50" s="19">
        <v>18080532.079999998</v>
      </c>
      <c r="P50" s="77">
        <v>1087578404.5799999</v>
      </c>
      <c r="Q50" s="22">
        <f t="shared" si="8"/>
        <v>1.7939185031110364E-3</v>
      </c>
      <c r="R50" s="29">
        <v>1181144189.1400001</v>
      </c>
      <c r="S50" s="22">
        <f t="shared" si="9"/>
        <v>1.9443767694261032E-3</v>
      </c>
      <c r="T50" s="23">
        <f>((R50-P50)/P50)</f>
        <v>8.6031300516796611E-2</v>
      </c>
      <c r="U50" s="58">
        <f t="shared" si="11"/>
        <v>1.3376146913530926E-3</v>
      </c>
      <c r="V50" s="24">
        <f t="shared" si="12"/>
        <v>6.3387185907008503E-3</v>
      </c>
      <c r="W50" s="25">
        <f t="shared" si="13"/>
        <v>646.40217349593036</v>
      </c>
      <c r="X50" s="25">
        <f t="shared" si="14"/>
        <v>4.0973614742080899</v>
      </c>
      <c r="Y50" s="19">
        <v>100</v>
      </c>
      <c r="Z50" s="19">
        <v>100</v>
      </c>
      <c r="AA50" s="141">
        <v>607</v>
      </c>
      <c r="AB50" s="141">
        <v>10892984</v>
      </c>
      <c r="AC50" s="141">
        <v>3094421</v>
      </c>
      <c r="AD50" s="141">
        <v>2160146</v>
      </c>
      <c r="AE50" s="142">
        <v>1827259</v>
      </c>
      <c r="AF50" s="5"/>
    </row>
    <row r="51" spans="1:241" ht="16.5" customHeight="1" x14ac:dyDescent="0.3">
      <c r="A51" s="109" t="s">
        <v>91</v>
      </c>
      <c r="B51" s="84"/>
      <c r="C51" s="34" t="s">
        <v>52</v>
      </c>
      <c r="D51" s="35"/>
      <c r="E51" s="35"/>
      <c r="F51" s="35">
        <f>SUM(F22:F50)</f>
        <v>509157436193.75006</v>
      </c>
      <c r="G51" s="35"/>
      <c r="H51" s="35"/>
      <c r="I51" s="35">
        <f t="shared" ref="I51:P51" si="15">SUM(I22:I50)</f>
        <v>23315936.329999998</v>
      </c>
      <c r="J51" s="35">
        <f t="shared" si="15"/>
        <v>515733970380.13</v>
      </c>
      <c r="K51" s="35">
        <f t="shared" si="15"/>
        <v>3276343391.1400008</v>
      </c>
      <c r="L51" s="35">
        <f t="shared" si="15"/>
        <v>951635653.91000021</v>
      </c>
      <c r="M51" s="35">
        <f t="shared" si="15"/>
        <v>2325712578.2599993</v>
      </c>
      <c r="N51" s="35">
        <f t="shared" si="15"/>
        <v>613058788088.82996</v>
      </c>
      <c r="O51" s="35">
        <f t="shared" si="15"/>
        <v>6555288702.71</v>
      </c>
      <c r="P51" s="152">
        <f t="shared" si="15"/>
        <v>606258535543.22986</v>
      </c>
      <c r="Q51" s="83">
        <f>(P51/$P$151)</f>
        <v>0.43057586276557447</v>
      </c>
      <c r="R51" s="36">
        <f>SUM(R22:R50)</f>
        <v>607466725437.48987</v>
      </c>
      <c r="S51" s="83">
        <f>(R51/$R$151)</f>
        <v>0.42614795760972779</v>
      </c>
      <c r="T51" s="37">
        <f t="shared" si="10"/>
        <v>1.9928624892306505E-3</v>
      </c>
      <c r="U51" s="50"/>
      <c r="V51" s="38"/>
      <c r="W51" s="39"/>
      <c r="X51" s="39"/>
      <c r="Y51" s="35"/>
      <c r="Z51" s="35"/>
      <c r="AA51" s="40">
        <f>SUM(AA22:AA50)</f>
        <v>692639</v>
      </c>
      <c r="AB51" s="40"/>
      <c r="AC51" s="40"/>
      <c r="AD51" s="40"/>
      <c r="AE51" s="107"/>
      <c r="AF51" s="5"/>
    </row>
    <row r="52" spans="1:241" ht="16.5" customHeight="1" x14ac:dyDescent="0.3">
      <c r="A52" s="205" t="s">
        <v>188</v>
      </c>
      <c r="B52" s="203"/>
      <c r="C52" s="203"/>
      <c r="D52" s="44"/>
      <c r="E52" s="44"/>
      <c r="F52" s="44"/>
      <c r="G52" s="44"/>
      <c r="H52" s="44"/>
      <c r="I52" s="44"/>
      <c r="J52" s="44"/>
      <c r="K52" s="44"/>
      <c r="L52" s="44"/>
      <c r="M52" s="158"/>
      <c r="N52" s="44"/>
      <c r="O52" s="44"/>
      <c r="P52" s="189">
        <v>0</v>
      </c>
      <c r="Q52" s="23"/>
      <c r="R52" s="44">
        <v>0</v>
      </c>
      <c r="S52" s="23"/>
      <c r="T52" s="23"/>
      <c r="U52" s="23"/>
      <c r="V52" s="45"/>
      <c r="W52" s="46"/>
      <c r="X52" s="46"/>
      <c r="Y52" s="44"/>
      <c r="Z52" s="44"/>
      <c r="AA52" s="44"/>
      <c r="AB52" s="44"/>
      <c r="AC52" s="44"/>
      <c r="AD52" s="44"/>
      <c r="AE52" s="110"/>
      <c r="AF52" s="5"/>
    </row>
    <row r="53" spans="1:241" ht="16.5" customHeight="1" x14ac:dyDescent="0.3">
      <c r="A53" s="164">
        <v>46</v>
      </c>
      <c r="B53" s="57" t="s">
        <v>23</v>
      </c>
      <c r="C53" s="57" t="s">
        <v>92</v>
      </c>
      <c r="D53" s="19"/>
      <c r="E53" s="19"/>
      <c r="F53" s="19">
        <v>14222094420.379999</v>
      </c>
      <c r="G53" s="19">
        <v>48879203102.440002</v>
      </c>
      <c r="H53" s="19"/>
      <c r="I53" s="19"/>
      <c r="J53" s="19">
        <v>63101297522.82</v>
      </c>
      <c r="K53" s="19">
        <v>393349050.25999999</v>
      </c>
      <c r="L53" s="19">
        <v>113161453.06</v>
      </c>
      <c r="M53" s="144">
        <v>280187597.19999999</v>
      </c>
      <c r="N53" s="19">
        <v>65603238467.269997</v>
      </c>
      <c r="O53" s="19">
        <v>627606390.15999997</v>
      </c>
      <c r="P53" s="77">
        <v>66773714843.239998</v>
      </c>
      <c r="Q53" s="22">
        <f t="shared" ref="Q53:Q81" si="16">(P53/$P$82)</f>
        <v>0.15937851784141252</v>
      </c>
      <c r="R53" s="29">
        <v>64975632077.110001</v>
      </c>
      <c r="S53" s="22">
        <f t="shared" ref="S53:S81" si="17">(R53/$R$82)</f>
        <v>0.15467635028561802</v>
      </c>
      <c r="T53" s="23">
        <f t="shared" ref="T53:T82" si="18">((R53-P53)/P53)</f>
        <v>-2.6928002588312346E-2</v>
      </c>
      <c r="U53" s="58">
        <f>(L53/R53)</f>
        <v>1.7415983414475345E-3</v>
      </c>
      <c r="V53" s="24">
        <f>M53/R53</f>
        <v>4.3121950220889986E-3</v>
      </c>
      <c r="W53" s="25">
        <f>R53/AE53</f>
        <v>238.88788025444398</v>
      </c>
      <c r="X53" s="25">
        <f>M53/AE53</f>
        <v>1.030131128070606</v>
      </c>
      <c r="Y53" s="140">
        <v>238.89</v>
      </c>
      <c r="Z53" s="140">
        <v>238.89</v>
      </c>
      <c r="AA53" s="141">
        <v>6853</v>
      </c>
      <c r="AB53" s="141">
        <v>280259160.08999997</v>
      </c>
      <c r="AC53" s="141">
        <v>4458165.7300000004</v>
      </c>
      <c r="AD53" s="141">
        <v>12725159.42</v>
      </c>
      <c r="AE53" s="142">
        <v>271992166.39999998</v>
      </c>
      <c r="AF53" s="5"/>
    </row>
    <row r="54" spans="1:241" ht="16.5" customHeight="1" x14ac:dyDescent="0.3">
      <c r="A54" s="164">
        <v>47</v>
      </c>
      <c r="B54" s="57" t="s">
        <v>31</v>
      </c>
      <c r="C54" s="57" t="s">
        <v>93</v>
      </c>
      <c r="D54" s="19"/>
      <c r="E54" s="19"/>
      <c r="F54" s="19">
        <v>411619521.74000001</v>
      </c>
      <c r="G54" s="19">
        <v>980089999.30999994</v>
      </c>
      <c r="H54" s="19"/>
      <c r="I54" s="19"/>
      <c r="J54" s="19">
        <v>1391709521.05</v>
      </c>
      <c r="K54" s="19">
        <v>12436252.859999999</v>
      </c>
      <c r="L54" s="19">
        <v>1967958.89</v>
      </c>
      <c r="M54" s="144">
        <v>10468293.970000001</v>
      </c>
      <c r="N54" s="19">
        <v>1399062416.6800001</v>
      </c>
      <c r="O54" s="19">
        <v>32116046.449999999</v>
      </c>
      <c r="P54" s="77">
        <v>1369886719.6500001</v>
      </c>
      <c r="Q54" s="22">
        <f t="shared" si="16"/>
        <v>3.2697074814694821E-3</v>
      </c>
      <c r="R54" s="29">
        <v>1366946370.23</v>
      </c>
      <c r="S54" s="22">
        <f t="shared" si="17"/>
        <v>3.2540549252745919E-3</v>
      </c>
      <c r="T54" s="23">
        <f t="shared" si="18"/>
        <v>-2.1464179320982994E-3</v>
      </c>
      <c r="U54" s="58">
        <f>(L54/R54)</f>
        <v>1.4396752739237856E-3</v>
      </c>
      <c r="V54" s="24">
        <f>M54/R54</f>
        <v>7.6581599673428476E-3</v>
      </c>
      <c r="W54" s="25">
        <f>R54/AE54</f>
        <v>317.96137471770101</v>
      </c>
      <c r="X54" s="25">
        <f>M54/AE54</f>
        <v>2.4349990710243956</v>
      </c>
      <c r="Y54" s="140">
        <v>317.96140000000003</v>
      </c>
      <c r="Z54" s="140">
        <v>317.96140000000003</v>
      </c>
      <c r="AA54" s="141">
        <v>97</v>
      </c>
      <c r="AB54" s="141">
        <v>4298782.5022999998</v>
      </c>
      <c r="AC54" s="52">
        <v>313.17070000000001</v>
      </c>
      <c r="AD54" s="141">
        <v>0</v>
      </c>
      <c r="AE54" s="142">
        <v>4299095.6730000004</v>
      </c>
      <c r="AF54" s="5"/>
    </row>
    <row r="55" spans="1:241" ht="16.5" customHeight="1" x14ac:dyDescent="0.3">
      <c r="A55" s="164">
        <v>48</v>
      </c>
      <c r="B55" s="57" t="s">
        <v>37</v>
      </c>
      <c r="C55" s="57" t="s">
        <v>189</v>
      </c>
      <c r="D55" s="19"/>
      <c r="E55" s="19"/>
      <c r="F55" s="19">
        <v>24390556549.810001</v>
      </c>
      <c r="G55" s="19">
        <v>39768758228.260002</v>
      </c>
      <c r="H55" s="19"/>
      <c r="I55" s="19"/>
      <c r="J55" s="19">
        <v>64506305974.900002</v>
      </c>
      <c r="K55" s="19">
        <v>632443389.50999999</v>
      </c>
      <c r="L55" s="19">
        <v>72460640.400000006</v>
      </c>
      <c r="M55" s="144">
        <v>559982749.10000002</v>
      </c>
      <c r="N55" s="19">
        <v>64528730566.599998</v>
      </c>
      <c r="O55" s="19">
        <v>22424591.710000001</v>
      </c>
      <c r="P55" s="77">
        <v>58070422958.540001</v>
      </c>
      <c r="Q55" s="22">
        <f t="shared" si="16"/>
        <v>0.13860510776259455</v>
      </c>
      <c r="R55" s="29">
        <v>64506305974.900002</v>
      </c>
      <c r="S55" s="22">
        <f t="shared" si="17"/>
        <v>0.15355910607785922</v>
      </c>
      <c r="T55" s="23">
        <f t="shared" si="18"/>
        <v>0.11082893301732911</v>
      </c>
      <c r="U55" s="58">
        <f>(L55/R55)</f>
        <v>1.1233109585936467E-3</v>
      </c>
      <c r="V55" s="24">
        <f>M55/R55</f>
        <v>8.6810543657219255E-3</v>
      </c>
      <c r="W55" s="25">
        <f>R55/AE55</f>
        <v>1457.038144011995</v>
      </c>
      <c r="X55" s="25">
        <f>M55/AE55</f>
        <v>12.648627341098701</v>
      </c>
      <c r="Y55" s="140">
        <v>1457.03</v>
      </c>
      <c r="Z55" s="140">
        <v>1457.03</v>
      </c>
      <c r="AA55" s="141">
        <v>2292</v>
      </c>
      <c r="AB55" s="141">
        <v>40203648</v>
      </c>
      <c r="AC55" s="141">
        <v>6233336</v>
      </c>
      <c r="AD55" s="141">
        <v>2164769</v>
      </c>
      <c r="AE55" s="142">
        <v>44272215</v>
      </c>
      <c r="AF55" s="5"/>
    </row>
    <row r="56" spans="1:241" ht="16.5" customHeight="1" x14ac:dyDescent="0.3">
      <c r="A56" s="164">
        <v>49</v>
      </c>
      <c r="B56" s="56" t="s">
        <v>158</v>
      </c>
      <c r="C56" s="57" t="s">
        <v>160</v>
      </c>
      <c r="D56" s="19"/>
      <c r="E56" s="19"/>
      <c r="F56" s="19">
        <v>17165301.789999999</v>
      </c>
      <c r="G56" s="19">
        <v>472145913.02999997</v>
      </c>
      <c r="H56" s="28"/>
      <c r="I56" s="27"/>
      <c r="J56" s="27">
        <v>473248544.63</v>
      </c>
      <c r="K56" s="27">
        <v>5957360.4900000002</v>
      </c>
      <c r="L56" s="19">
        <v>1213519.58</v>
      </c>
      <c r="M56" s="144">
        <v>4743840.91</v>
      </c>
      <c r="N56" s="19">
        <v>649567368.60000002</v>
      </c>
      <c r="O56" s="19">
        <v>614843499.16999996</v>
      </c>
      <c r="P56" s="77">
        <v>635827705.35000002</v>
      </c>
      <c r="Q56" s="22">
        <f t="shared" si="16"/>
        <v>1.5176222787528272E-3</v>
      </c>
      <c r="R56" s="29">
        <v>639751546.25999999</v>
      </c>
      <c r="S56" s="22">
        <f t="shared" si="17"/>
        <v>1.5229468510232125E-3</v>
      </c>
      <c r="T56" s="23">
        <f t="shared" si="18"/>
        <v>6.1712329880938971E-3</v>
      </c>
      <c r="U56" s="58">
        <f>(L56/R56)</f>
        <v>1.896860722094787E-3</v>
      </c>
      <c r="V56" s="24">
        <f>M56/R56</f>
        <v>7.4151300418616988E-3</v>
      </c>
      <c r="W56" s="25">
        <f>R56/AE56</f>
        <v>1.0422745670182327</v>
      </c>
      <c r="X56" s="25">
        <f>M56/AE56</f>
        <v>7.7286014537652926E-3</v>
      </c>
      <c r="Y56" s="140">
        <v>1.04</v>
      </c>
      <c r="Z56" s="140">
        <v>1.04</v>
      </c>
      <c r="AA56" s="141">
        <v>40</v>
      </c>
      <c r="AB56" s="141">
        <v>614590904.13</v>
      </c>
      <c r="AC56" s="141">
        <v>9607.99</v>
      </c>
      <c r="AD56" s="141">
        <v>797233.7</v>
      </c>
      <c r="AE56" s="142">
        <v>613803278.42999995</v>
      </c>
      <c r="AF56" s="5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</row>
    <row r="57" spans="1:241" ht="16.5" customHeight="1" x14ac:dyDescent="0.3">
      <c r="A57" s="164">
        <v>50</v>
      </c>
      <c r="B57" s="57" t="s">
        <v>82</v>
      </c>
      <c r="C57" s="56" t="s">
        <v>98</v>
      </c>
      <c r="D57" s="19"/>
      <c r="E57" s="19"/>
      <c r="F57" s="19"/>
      <c r="G57" s="19">
        <v>2181303596.1399999</v>
      </c>
      <c r="H57" s="19"/>
      <c r="I57" s="19"/>
      <c r="J57" s="19">
        <v>2930364628.1700001</v>
      </c>
      <c r="K57" s="19">
        <v>28585715.609999999</v>
      </c>
      <c r="L57" s="19">
        <v>4378180.99</v>
      </c>
      <c r="M57" s="144">
        <v>24207534.620000001</v>
      </c>
      <c r="N57" s="19">
        <v>2939494685.9899998</v>
      </c>
      <c r="O57" s="19">
        <v>38488775.490000002</v>
      </c>
      <c r="P57" s="77">
        <v>2890826277.3000002</v>
      </c>
      <c r="Q57" s="22">
        <f t="shared" si="16"/>
        <v>6.8999546976638805E-3</v>
      </c>
      <c r="R57" s="29">
        <v>2901005910.5</v>
      </c>
      <c r="S57" s="22">
        <f t="shared" si="17"/>
        <v>6.9059275308107834E-3</v>
      </c>
      <c r="T57" s="23">
        <f t="shared" si="18"/>
        <v>3.5213576408705798E-3</v>
      </c>
      <c r="U57" s="58">
        <f t="shared" ref="U57:U78" si="19">(L57/R57)</f>
        <v>1.5091940951079976E-3</v>
      </c>
      <c r="V57" s="24">
        <f t="shared" ref="V57:V78" si="20">M57/R57</f>
        <v>8.3445312994304566E-3</v>
      </c>
      <c r="W57" s="25">
        <f t="shared" ref="W57:W75" si="21">R57/AE57</f>
        <v>3558.0949629203351</v>
      </c>
      <c r="X57" s="25">
        <f t="shared" ref="X57:X75" si="22">M57/AE57</f>
        <v>29.690634784434589</v>
      </c>
      <c r="Y57" s="140">
        <v>47.21</v>
      </c>
      <c r="Z57" s="140">
        <v>47.21</v>
      </c>
      <c r="AA57" s="141">
        <v>1043</v>
      </c>
      <c r="AB57" s="141">
        <v>817118.44</v>
      </c>
      <c r="AC57" s="141">
        <v>2287.67</v>
      </c>
      <c r="AD57" s="141">
        <v>4080.51</v>
      </c>
      <c r="AE57" s="195">
        <v>815325.6</v>
      </c>
      <c r="AF57" s="5"/>
    </row>
    <row r="58" spans="1:241" ht="16.5" customHeight="1" x14ac:dyDescent="0.3">
      <c r="A58" s="164">
        <v>51</v>
      </c>
      <c r="B58" s="57" t="s">
        <v>33</v>
      </c>
      <c r="C58" s="57" t="s">
        <v>99</v>
      </c>
      <c r="D58" s="19"/>
      <c r="E58" s="19"/>
      <c r="F58" s="19">
        <v>3626257486</v>
      </c>
      <c r="G58" s="19">
        <v>91953966194</v>
      </c>
      <c r="H58" s="19"/>
      <c r="I58" s="19"/>
      <c r="J58" s="19">
        <v>95580223680</v>
      </c>
      <c r="K58" s="19">
        <v>863440900</v>
      </c>
      <c r="L58" s="19">
        <v>206562952</v>
      </c>
      <c r="M58" s="144">
        <v>656877948</v>
      </c>
      <c r="N58" s="19">
        <v>116934572973.32001</v>
      </c>
      <c r="O58" s="19">
        <v>817922120.42999995</v>
      </c>
      <c r="P58" s="77">
        <v>127779548544</v>
      </c>
      <c r="Q58" s="22">
        <f t="shared" si="16"/>
        <v>0.30498999651581127</v>
      </c>
      <c r="R58" s="29">
        <v>116116650853</v>
      </c>
      <c r="S58" s="22">
        <f t="shared" si="17"/>
        <v>0.27641900797543245</v>
      </c>
      <c r="T58" s="23">
        <f t="shared" si="18"/>
        <v>-9.1273586609863178E-2</v>
      </c>
      <c r="U58" s="58">
        <f t="shared" si="19"/>
        <v>1.7789261960500578E-3</v>
      </c>
      <c r="V58" s="24">
        <f t="shared" si="20"/>
        <v>5.657052138298293E-3</v>
      </c>
      <c r="W58" s="25">
        <f t="shared" si="21"/>
        <v>2.0016529232108717</v>
      </c>
      <c r="X58" s="25">
        <f t="shared" si="22"/>
        <v>1.1323454949381091E-2</v>
      </c>
      <c r="Y58" s="140">
        <v>2</v>
      </c>
      <c r="Z58" s="140">
        <v>2</v>
      </c>
      <c r="AA58" s="141">
        <v>2440</v>
      </c>
      <c r="AB58" s="141">
        <v>63744115436</v>
      </c>
      <c r="AC58" s="141">
        <v>2102274517</v>
      </c>
      <c r="AD58" s="141">
        <v>7836007880</v>
      </c>
      <c r="AE58" s="142">
        <v>58010382073</v>
      </c>
      <c r="AF58" s="5"/>
    </row>
    <row r="59" spans="1:241" ht="16.5" customHeight="1" x14ac:dyDescent="0.3">
      <c r="A59" s="164">
        <v>52</v>
      </c>
      <c r="B59" s="57" t="s">
        <v>44</v>
      </c>
      <c r="C59" s="57" t="s">
        <v>100</v>
      </c>
      <c r="D59" s="19">
        <v>19500000</v>
      </c>
      <c r="E59" s="19"/>
      <c r="F59" s="19">
        <v>498192411.01999998</v>
      </c>
      <c r="G59" s="19">
        <v>9769944976.8199997</v>
      </c>
      <c r="H59" s="19"/>
      <c r="I59" s="19"/>
      <c r="J59" s="19">
        <v>10287637387.83</v>
      </c>
      <c r="K59" s="19">
        <v>56213980.43</v>
      </c>
      <c r="L59" s="19">
        <v>10046799.74</v>
      </c>
      <c r="M59" s="144">
        <v>44910930.689999998</v>
      </c>
      <c r="N59" s="19">
        <v>10290800046.209999</v>
      </c>
      <c r="O59" s="19">
        <v>318207922.06999999</v>
      </c>
      <c r="P59" s="77">
        <v>10039526705.35</v>
      </c>
      <c r="Q59" s="22">
        <f t="shared" si="16"/>
        <v>2.3962795688159188E-2</v>
      </c>
      <c r="R59" s="29">
        <v>9972592124.1399994</v>
      </c>
      <c r="S59" s="22">
        <f t="shared" si="17"/>
        <v>2.3740040740480667E-2</v>
      </c>
      <c r="T59" s="23">
        <f t="shared" si="18"/>
        <v>-6.6671052505226144E-3</v>
      </c>
      <c r="U59" s="58">
        <f t="shared" si="19"/>
        <v>1.0074411562145786E-3</v>
      </c>
      <c r="V59" s="24">
        <f t="shared" si="20"/>
        <v>4.5034360305669227E-3</v>
      </c>
      <c r="W59" s="25">
        <f t="shared" si="21"/>
        <v>1.0037338515237617</v>
      </c>
      <c r="X59" s="25">
        <f t="shared" si="22"/>
        <v>4.5202511920518192E-3</v>
      </c>
      <c r="Y59" s="140">
        <v>1</v>
      </c>
      <c r="Z59" s="140">
        <v>1</v>
      </c>
      <c r="AA59" s="141">
        <v>4467</v>
      </c>
      <c r="AB59" s="141">
        <v>10036497450.219999</v>
      </c>
      <c r="AC59" s="141">
        <v>24909499.989999998</v>
      </c>
      <c r="AD59" s="141">
        <v>125912487.16</v>
      </c>
      <c r="AE59" s="142">
        <v>9935494463</v>
      </c>
      <c r="AF59" s="5"/>
    </row>
    <row r="60" spans="1:241" ht="16.5" customHeight="1" x14ac:dyDescent="0.3">
      <c r="A60" s="164">
        <v>53</v>
      </c>
      <c r="B60" s="56" t="s">
        <v>74</v>
      </c>
      <c r="C60" s="56" t="s">
        <v>112</v>
      </c>
      <c r="D60" s="19"/>
      <c r="E60" s="19"/>
      <c r="F60" s="19">
        <v>1038335996.42</v>
      </c>
      <c r="G60" s="19">
        <v>2985721828.6500001</v>
      </c>
      <c r="H60" s="19"/>
      <c r="I60" s="19"/>
      <c r="J60" s="19">
        <v>4024057825.0700002</v>
      </c>
      <c r="K60" s="19">
        <v>30828468.039999999</v>
      </c>
      <c r="L60" s="19">
        <v>7095722.9800000004</v>
      </c>
      <c r="M60" s="144">
        <v>23732745.059999999</v>
      </c>
      <c r="N60" s="19">
        <v>23732745.059999999</v>
      </c>
      <c r="O60" s="19">
        <v>13214248.960000001</v>
      </c>
      <c r="P60" s="77">
        <v>4058888099.9099998</v>
      </c>
      <c r="Q60" s="22">
        <f t="shared" si="16"/>
        <v>9.6879374012136948E-3</v>
      </c>
      <c r="R60" s="29">
        <v>4031799552.5599999</v>
      </c>
      <c r="S60" s="22">
        <f t="shared" si="17"/>
        <v>9.5978141333520409E-3</v>
      </c>
      <c r="T60" s="23">
        <f t="shared" si="18"/>
        <v>-6.6738837541740941E-3</v>
      </c>
      <c r="U60" s="58">
        <f>(L60/R60)</f>
        <v>1.7599394234503933E-3</v>
      </c>
      <c r="V60" s="24">
        <f>M60/R60</f>
        <v>5.8863901219818431E-3</v>
      </c>
      <c r="W60" s="25">
        <f>R60/AE60</f>
        <v>22.641581984555998</v>
      </c>
      <c r="X60" s="25">
        <f>M60/AE60</f>
        <v>0.13327718453993248</v>
      </c>
      <c r="Y60" s="140">
        <v>22.642199999999999</v>
      </c>
      <c r="Z60" s="140">
        <v>22.642199999999999</v>
      </c>
      <c r="AA60" s="141">
        <v>1371</v>
      </c>
      <c r="AB60" s="141">
        <v>180208298.77000001</v>
      </c>
      <c r="AC60" s="141">
        <v>3886206.88</v>
      </c>
      <c r="AD60" s="141">
        <v>6023929.3399999999</v>
      </c>
      <c r="AE60" s="142">
        <v>178070576.31</v>
      </c>
      <c r="AF60" s="5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</row>
    <row r="61" spans="1:241" ht="16.5" customHeight="1" x14ac:dyDescent="0.3">
      <c r="A61" s="164">
        <v>54</v>
      </c>
      <c r="B61" s="57" t="s">
        <v>101</v>
      </c>
      <c r="C61" s="57" t="s">
        <v>102</v>
      </c>
      <c r="D61" s="19"/>
      <c r="E61" s="19"/>
      <c r="F61" s="19">
        <v>82751905.390000001</v>
      </c>
      <c r="G61" s="19">
        <v>362164984.14999998</v>
      </c>
      <c r="H61" s="19"/>
      <c r="I61" s="19"/>
      <c r="J61" s="19">
        <v>444916889.54000002</v>
      </c>
      <c r="K61" s="19">
        <v>3074140.04</v>
      </c>
      <c r="L61" s="19">
        <v>887577.63</v>
      </c>
      <c r="M61" s="144">
        <v>2186562.41</v>
      </c>
      <c r="N61" s="19">
        <v>463377710.92000002</v>
      </c>
      <c r="O61" s="19">
        <v>3451755.2</v>
      </c>
      <c r="P61" s="77">
        <v>458686488.47000003</v>
      </c>
      <c r="Q61" s="22">
        <f t="shared" si="16"/>
        <v>1.0948136232625928E-3</v>
      </c>
      <c r="R61" s="29">
        <v>459925955.72000003</v>
      </c>
      <c r="S61" s="22">
        <f t="shared" si="17"/>
        <v>1.0948668902207705E-3</v>
      </c>
      <c r="T61" s="23">
        <f t="shared" si="18"/>
        <v>2.7022100741061314E-3</v>
      </c>
      <c r="U61" s="58">
        <f t="shared" si="19"/>
        <v>1.9298272231897074E-3</v>
      </c>
      <c r="V61" s="24">
        <f t="shared" si="20"/>
        <v>4.7541618010599196E-3</v>
      </c>
      <c r="W61" s="25">
        <f t="shared" si="21"/>
        <v>2.1066600039077588</v>
      </c>
      <c r="X61" s="25">
        <f t="shared" si="22"/>
        <v>1.0015402518399007E-2</v>
      </c>
      <c r="Y61" s="140">
        <v>2.1183999999999998</v>
      </c>
      <c r="Z61" s="140">
        <v>2.1183999999999998</v>
      </c>
      <c r="AA61" s="141">
        <v>1413</v>
      </c>
      <c r="AB61" s="141">
        <v>218767562.7595</v>
      </c>
      <c r="AC61" s="141">
        <v>0</v>
      </c>
      <c r="AD61" s="141">
        <v>447589.5</v>
      </c>
      <c r="AE61" s="142">
        <v>218319973.2595</v>
      </c>
      <c r="AF61" s="5"/>
    </row>
    <row r="62" spans="1:241" ht="18" customHeight="1" x14ac:dyDescent="0.3">
      <c r="A62" s="164">
        <v>55</v>
      </c>
      <c r="B62" s="57" t="s">
        <v>23</v>
      </c>
      <c r="C62" s="57" t="s">
        <v>103</v>
      </c>
      <c r="D62" s="19">
        <v>17305929.850000001</v>
      </c>
      <c r="E62" s="19"/>
      <c r="F62" s="19">
        <v>4059150954.9699998</v>
      </c>
      <c r="G62" s="19">
        <v>18349533179.490002</v>
      </c>
      <c r="H62" s="19"/>
      <c r="I62" s="19"/>
      <c r="J62" s="19">
        <v>22425990064.310001</v>
      </c>
      <c r="K62" s="19">
        <v>150775784.25</v>
      </c>
      <c r="L62" s="19">
        <v>41408100.950000003</v>
      </c>
      <c r="M62" s="144">
        <v>108436826.22</v>
      </c>
      <c r="N62" s="19">
        <v>22520010005.009998</v>
      </c>
      <c r="O62" s="19">
        <v>90391097.379999995</v>
      </c>
      <c r="P62" s="77">
        <v>22623292314.34</v>
      </c>
      <c r="Q62" s="22">
        <f t="shared" si="16"/>
        <v>5.3998295679928865E-2</v>
      </c>
      <c r="R62" s="29">
        <v>22429618907.630001</v>
      </c>
      <c r="S62" s="22">
        <f t="shared" si="17"/>
        <v>5.3394349235606674E-2</v>
      </c>
      <c r="T62" s="23">
        <f t="shared" si="18"/>
        <v>-8.5607967230851394E-3</v>
      </c>
      <c r="U62" s="58">
        <f t="shared" si="19"/>
        <v>1.8461348416362968E-3</v>
      </c>
      <c r="V62" s="24">
        <f t="shared" si="20"/>
        <v>4.8345371656364827E-3</v>
      </c>
      <c r="W62" s="25">
        <f t="shared" si="21"/>
        <v>320.34708422204579</v>
      </c>
      <c r="X62" s="25">
        <f t="shared" si="22"/>
        <v>1.5487298845747608</v>
      </c>
      <c r="Y62" s="140">
        <v>320.33999999999997</v>
      </c>
      <c r="Z62" s="140">
        <v>320.35000000000002</v>
      </c>
      <c r="AA62" s="141">
        <v>9860</v>
      </c>
      <c r="AB62" s="141">
        <v>70963146.859999999</v>
      </c>
      <c r="AC62" s="141">
        <v>2756966.02</v>
      </c>
      <c r="AD62" s="141">
        <v>3703496.48</v>
      </c>
      <c r="AE62" s="142">
        <v>70016616.390000001</v>
      </c>
      <c r="AF62" s="5"/>
    </row>
    <row r="63" spans="1:241" ht="16.5" customHeight="1" x14ac:dyDescent="0.3">
      <c r="A63" s="164">
        <v>56</v>
      </c>
      <c r="B63" s="57" t="s">
        <v>104</v>
      </c>
      <c r="C63" s="57" t="s">
        <v>105</v>
      </c>
      <c r="D63" s="19"/>
      <c r="E63" s="19"/>
      <c r="F63" s="19">
        <v>901316079.66999996</v>
      </c>
      <c r="G63" s="19">
        <v>4962628024.0799999</v>
      </c>
      <c r="H63" s="19"/>
      <c r="I63" s="19"/>
      <c r="J63" s="19">
        <v>5863944103.6999998</v>
      </c>
      <c r="K63" s="19">
        <v>60032411.259999998</v>
      </c>
      <c r="L63" s="19">
        <v>9153155.1600000001</v>
      </c>
      <c r="M63" s="144">
        <v>50879256.100000001</v>
      </c>
      <c r="N63" s="19">
        <v>6812988092</v>
      </c>
      <c r="O63" s="19">
        <v>64750771</v>
      </c>
      <c r="P63" s="77">
        <v>6747491142</v>
      </c>
      <c r="Q63" s="22">
        <f t="shared" si="16"/>
        <v>1.6105216549426277E-2</v>
      </c>
      <c r="R63" s="29">
        <v>6748237321</v>
      </c>
      <c r="S63" s="22">
        <f t="shared" si="17"/>
        <v>1.6064371923842968E-2</v>
      </c>
      <c r="T63" s="23">
        <f t="shared" si="18"/>
        <v>1.1058613998844431E-4</v>
      </c>
      <c r="U63" s="58">
        <f t="shared" si="19"/>
        <v>1.35637718779037E-3</v>
      </c>
      <c r="V63" s="24">
        <f t="shared" si="20"/>
        <v>7.5396364531620181E-3</v>
      </c>
      <c r="W63" s="25">
        <f t="shared" si="21"/>
        <v>1.0399999999568479</v>
      </c>
      <c r="X63" s="25">
        <f t="shared" si="22"/>
        <v>7.8412219109631493E-3</v>
      </c>
      <c r="Y63" s="140">
        <v>1.04</v>
      </c>
      <c r="Z63" s="140">
        <v>1.04</v>
      </c>
      <c r="AA63" s="141">
        <v>2223</v>
      </c>
      <c r="AB63" s="141">
        <v>6550962274</v>
      </c>
      <c r="AC63" s="147"/>
      <c r="AD63" s="147">
        <v>62272542</v>
      </c>
      <c r="AE63" s="142">
        <v>6488689732</v>
      </c>
      <c r="AF63" s="5"/>
      <c r="AG63" s="199"/>
    </row>
    <row r="64" spans="1:241" ht="15.75" customHeight="1" x14ac:dyDescent="0.3">
      <c r="A64" s="164">
        <v>57</v>
      </c>
      <c r="B64" s="56" t="s">
        <v>25</v>
      </c>
      <c r="C64" s="57" t="s">
        <v>190</v>
      </c>
      <c r="D64" s="19"/>
      <c r="E64" s="19"/>
      <c r="F64" s="19">
        <v>469350014.30000001</v>
      </c>
      <c r="G64" s="19"/>
      <c r="H64" s="19"/>
      <c r="I64" s="19"/>
      <c r="J64" s="19">
        <v>4860208627.46</v>
      </c>
      <c r="K64" s="145">
        <v>41473508.299999997</v>
      </c>
      <c r="L64" s="145">
        <v>6294913.8200000003</v>
      </c>
      <c r="M64" s="144">
        <v>35178594.479999997</v>
      </c>
      <c r="N64" s="19">
        <v>4861107039.79</v>
      </c>
      <c r="O64" s="19">
        <v>34732941.950000003</v>
      </c>
      <c r="P64" s="77">
        <v>5043279788.8699999</v>
      </c>
      <c r="Q64" s="22">
        <f t="shared" si="16"/>
        <v>1.203752793590495E-2</v>
      </c>
      <c r="R64" s="29">
        <v>4826374097.8400002</v>
      </c>
      <c r="S64" s="22">
        <f t="shared" si="17"/>
        <v>1.1489321561058335E-2</v>
      </c>
      <c r="T64" s="23">
        <f t="shared" si="18"/>
        <v>-4.3008855370009078E-2</v>
      </c>
      <c r="U64" s="58">
        <f>(L65/R64)</f>
        <v>1.5981541004979311E-2</v>
      </c>
      <c r="V64" s="24">
        <f t="shared" si="20"/>
        <v>7.2888246470044372E-3</v>
      </c>
      <c r="W64" s="25">
        <f t="shared" si="21"/>
        <v>3.9661393309233315</v>
      </c>
      <c r="X64" s="25">
        <f t="shared" si="22"/>
        <v>2.8908494108687666E-2</v>
      </c>
      <c r="Y64" s="146">
        <v>3.97</v>
      </c>
      <c r="Z64" s="146">
        <v>3.97</v>
      </c>
      <c r="AA64" s="145">
        <v>887</v>
      </c>
      <c r="AB64" s="145">
        <v>1267428709</v>
      </c>
      <c r="AC64" s="145">
        <v>3285886</v>
      </c>
      <c r="AD64" s="145">
        <v>53819853</v>
      </c>
      <c r="AE64" s="142">
        <v>1216894742</v>
      </c>
      <c r="AF64" s="5"/>
    </row>
    <row r="65" spans="1:241" ht="16.5" customHeight="1" x14ac:dyDescent="0.3">
      <c r="A65" s="164">
        <v>58</v>
      </c>
      <c r="B65" s="57" t="s">
        <v>23</v>
      </c>
      <c r="C65" s="56" t="s">
        <v>106</v>
      </c>
      <c r="D65" s="19"/>
      <c r="E65" s="19"/>
      <c r="F65" s="19">
        <v>31888773207.099998</v>
      </c>
      <c r="G65" s="19">
        <v>31950141937.060001</v>
      </c>
      <c r="H65" s="19"/>
      <c r="I65" s="19"/>
      <c r="J65" s="19">
        <v>63838915144.160004</v>
      </c>
      <c r="K65" s="19">
        <v>439646593.17000002</v>
      </c>
      <c r="L65" s="19">
        <v>77132895.549999997</v>
      </c>
      <c r="M65" s="144">
        <v>362513697.62</v>
      </c>
      <c r="N65" s="19">
        <v>66001814602.019997</v>
      </c>
      <c r="O65" s="19">
        <v>142801710.94</v>
      </c>
      <c r="P65" s="77">
        <v>60797878857.57</v>
      </c>
      <c r="Q65" s="22">
        <f t="shared" si="16"/>
        <v>0.14511512266420259</v>
      </c>
      <c r="R65" s="29">
        <v>65859012891.080002</v>
      </c>
      <c r="S65" s="22">
        <f t="shared" si="17"/>
        <v>0.15677926357555819</v>
      </c>
      <c r="T65" s="23">
        <f t="shared" si="18"/>
        <v>8.3245240271730886E-2</v>
      </c>
      <c r="U65" s="58">
        <f>(L66/R65)</f>
        <v>5.336309862117594E-6</v>
      </c>
      <c r="V65" s="24">
        <f t="shared" si="20"/>
        <v>5.5043900858267976E-3</v>
      </c>
      <c r="W65" s="25">
        <f t="shared" si="21"/>
        <v>4389.6304759866307</v>
      </c>
      <c r="X65" s="25">
        <f t="shared" si="22"/>
        <v>24.162238472463976</v>
      </c>
      <c r="Y65" s="140">
        <v>4389.63</v>
      </c>
      <c r="Z65" s="70">
        <v>4389.63</v>
      </c>
      <c r="AA65" s="141">
        <v>450</v>
      </c>
      <c r="AB65" s="141">
        <v>13928887.01</v>
      </c>
      <c r="AC65" s="141">
        <v>1573574.27</v>
      </c>
      <c r="AD65" s="141">
        <v>499145.35</v>
      </c>
      <c r="AE65" s="142">
        <v>15003315.939999999</v>
      </c>
      <c r="AF65" s="5"/>
    </row>
    <row r="66" spans="1:241" ht="16.5" customHeight="1" x14ac:dyDescent="0.3">
      <c r="A66" s="164">
        <v>59</v>
      </c>
      <c r="B66" s="57" t="s">
        <v>23</v>
      </c>
      <c r="C66" s="56" t="s">
        <v>107</v>
      </c>
      <c r="D66" s="52">
        <v>71339155.5</v>
      </c>
      <c r="E66" s="19"/>
      <c r="F66" s="19">
        <v>153388880.56999999</v>
      </c>
      <c r="G66" s="19">
        <v>30649732.09</v>
      </c>
      <c r="H66" s="19"/>
      <c r="I66" s="19"/>
      <c r="J66" s="19">
        <v>255877396.41</v>
      </c>
      <c r="K66" s="19">
        <v>2889672.01</v>
      </c>
      <c r="L66" s="19">
        <v>351444.1</v>
      </c>
      <c r="M66" s="144">
        <v>4081166.58</v>
      </c>
      <c r="N66" s="19">
        <v>257603347.03999999</v>
      </c>
      <c r="O66" s="19">
        <v>1396209.82</v>
      </c>
      <c r="P66" s="77">
        <v>252269003.87</v>
      </c>
      <c r="Q66" s="22">
        <f t="shared" si="16"/>
        <v>6.0212704997048016E-4</v>
      </c>
      <c r="R66" s="29">
        <v>256207137.22</v>
      </c>
      <c r="S66" s="22">
        <f t="shared" si="17"/>
        <v>6.0990841697832322E-4</v>
      </c>
      <c r="T66" s="23">
        <f t="shared" si="18"/>
        <v>1.5610849091985174E-2</v>
      </c>
      <c r="U66" s="58">
        <f t="shared" si="19"/>
        <v>1.3717186172617114E-3</v>
      </c>
      <c r="V66" s="24">
        <f t="shared" si="20"/>
        <v>1.5929168189001631E-2</v>
      </c>
      <c r="W66" s="25">
        <f t="shared" si="21"/>
        <v>4127.6802747972506</v>
      </c>
      <c r="X66" s="25">
        <f t="shared" si="22"/>
        <v>65.750513327669879</v>
      </c>
      <c r="Y66" s="70">
        <v>4113.17</v>
      </c>
      <c r="Z66" s="70">
        <v>4135.72</v>
      </c>
      <c r="AA66" s="141">
        <v>15</v>
      </c>
      <c r="AB66" s="141">
        <v>62070.49</v>
      </c>
      <c r="AC66" s="141">
        <v>0</v>
      </c>
      <c r="AD66" s="141">
        <v>0</v>
      </c>
      <c r="AE66" s="142">
        <v>62070.49</v>
      </c>
      <c r="AF66" s="5"/>
    </row>
    <row r="67" spans="1:241" ht="16.5" customHeight="1" x14ac:dyDescent="0.3">
      <c r="A67" s="164">
        <v>60</v>
      </c>
      <c r="B67" s="56" t="s">
        <v>46</v>
      </c>
      <c r="C67" s="56" t="s">
        <v>109</v>
      </c>
      <c r="D67" s="19"/>
      <c r="E67" s="19"/>
      <c r="F67" s="19">
        <v>7604257.54</v>
      </c>
      <c r="G67" s="19">
        <v>45604135.420000002</v>
      </c>
      <c r="H67" s="19"/>
      <c r="I67" s="19"/>
      <c r="J67" s="19">
        <v>53208392.960000001</v>
      </c>
      <c r="K67" s="19">
        <v>406516.68</v>
      </c>
      <c r="L67" s="19">
        <v>57039.9</v>
      </c>
      <c r="M67" s="144">
        <v>349476.78</v>
      </c>
      <c r="N67" s="19">
        <v>55534083.43</v>
      </c>
      <c r="O67" s="19">
        <v>122940.05</v>
      </c>
      <c r="P67" s="77">
        <v>54960387.049999997</v>
      </c>
      <c r="Q67" s="22">
        <f t="shared" si="16"/>
        <v>1.3118193361839225E-4</v>
      </c>
      <c r="R67" s="29">
        <v>55411143.380000003</v>
      </c>
      <c r="S67" s="22">
        <f t="shared" si="17"/>
        <v>1.3190781142382845E-4</v>
      </c>
      <c r="T67" s="23">
        <f t="shared" si="18"/>
        <v>8.2014766306127331E-3</v>
      </c>
      <c r="U67" s="58">
        <f>(L67/R67)</f>
        <v>1.0293940265558186E-3</v>
      </c>
      <c r="V67" s="24">
        <f>M67/R67</f>
        <v>6.306976515596311E-3</v>
      </c>
      <c r="W67" s="25">
        <f>R67/AE67</f>
        <v>11.77647295430776</v>
      </c>
      <c r="X67" s="25">
        <f>M67/AE67</f>
        <v>7.4273938359374153E-2</v>
      </c>
      <c r="Y67" s="70">
        <v>11.7765</v>
      </c>
      <c r="Z67" s="70">
        <v>11.8026</v>
      </c>
      <c r="AA67" s="141">
        <v>47</v>
      </c>
      <c r="AB67" s="141">
        <v>4698740</v>
      </c>
      <c r="AC67" s="141">
        <v>44857</v>
      </c>
      <c r="AD67" s="141">
        <v>38356</v>
      </c>
      <c r="AE67" s="142">
        <v>4705241</v>
      </c>
      <c r="AF67" s="5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</row>
    <row r="68" spans="1:241" ht="16.5" customHeight="1" x14ac:dyDescent="0.3">
      <c r="A68" s="164">
        <v>61</v>
      </c>
      <c r="B68" s="57" t="s">
        <v>108</v>
      </c>
      <c r="C68" s="56" t="s">
        <v>222</v>
      </c>
      <c r="D68" s="19"/>
      <c r="E68" s="19"/>
      <c r="F68" s="19">
        <v>6979123426.4700003</v>
      </c>
      <c r="G68" s="19">
        <v>4884101264.7399998</v>
      </c>
      <c r="H68" s="19"/>
      <c r="I68" s="19"/>
      <c r="J68" s="19">
        <v>11879221829.790001</v>
      </c>
      <c r="K68" s="19">
        <v>143461171.50999999</v>
      </c>
      <c r="L68" s="19">
        <v>21242673.710000001</v>
      </c>
      <c r="M68" s="144">
        <v>122218497.8</v>
      </c>
      <c r="N68" s="19">
        <v>15003117404.74</v>
      </c>
      <c r="O68" s="19">
        <v>241435340.55000001</v>
      </c>
      <c r="P68" s="77">
        <v>14647915601.309999</v>
      </c>
      <c r="Q68" s="22">
        <f t="shared" si="16"/>
        <v>3.496230640280508E-2</v>
      </c>
      <c r="R68" s="29">
        <v>14761682064.190001</v>
      </c>
      <c r="S68" s="22">
        <f t="shared" si="17"/>
        <v>3.5140606297694575E-2</v>
      </c>
      <c r="T68" s="23">
        <f t="shared" si="18"/>
        <v>7.7667339146756586E-3</v>
      </c>
      <c r="U68" s="58">
        <f t="shared" si="19"/>
        <v>1.4390415413113441E-3</v>
      </c>
      <c r="V68" s="24">
        <f t="shared" si="20"/>
        <v>8.2794424963593301E-3</v>
      </c>
      <c r="W68" s="25">
        <f t="shared" si="21"/>
        <v>1164.3959526452416</v>
      </c>
      <c r="X68" s="25">
        <f t="shared" si="22"/>
        <v>9.640549332919818</v>
      </c>
      <c r="Y68" s="70">
        <v>1164.4000000000001</v>
      </c>
      <c r="Z68" s="70">
        <v>1164.4000000000001</v>
      </c>
      <c r="AA68" s="141">
        <v>6271</v>
      </c>
      <c r="AB68" s="141">
        <v>12684763.949999999</v>
      </c>
      <c r="AC68" s="141">
        <v>608892</v>
      </c>
      <c r="AD68" s="141">
        <v>616111</v>
      </c>
      <c r="AE68" s="142">
        <v>12677544.98</v>
      </c>
      <c r="AF68" s="5"/>
    </row>
    <row r="69" spans="1:241" ht="18.75" customHeight="1" x14ac:dyDescent="0.3">
      <c r="A69" s="164">
        <v>62</v>
      </c>
      <c r="B69" s="57" t="s">
        <v>78</v>
      </c>
      <c r="C69" s="57" t="s">
        <v>149</v>
      </c>
      <c r="D69" s="19"/>
      <c r="E69" s="19"/>
      <c r="F69" s="19"/>
      <c r="G69" s="19">
        <v>15496232.880000001</v>
      </c>
      <c r="H69" s="19"/>
      <c r="I69" s="19"/>
      <c r="J69" s="19">
        <v>26605296.739999998</v>
      </c>
      <c r="K69" s="19">
        <v>208346.11</v>
      </c>
      <c r="L69" s="19">
        <v>153282</v>
      </c>
      <c r="M69" s="144">
        <v>55064.11</v>
      </c>
      <c r="N69" s="19">
        <v>26605296.739999998</v>
      </c>
      <c r="O69" s="19">
        <v>2437428.77</v>
      </c>
      <c r="P69" s="77">
        <v>23175991.239999998</v>
      </c>
      <c r="Q69" s="22">
        <f t="shared" si="16"/>
        <v>5.53175024335299E-5</v>
      </c>
      <c r="R69" s="29">
        <v>24167867.969999999</v>
      </c>
      <c r="S69" s="22">
        <f t="shared" si="17"/>
        <v>5.7532300837765951E-5</v>
      </c>
      <c r="T69" s="23">
        <f t="shared" si="18"/>
        <v>4.2797596863434116E-2</v>
      </c>
      <c r="U69" s="58">
        <f t="shared" si="19"/>
        <v>6.3423881738460192E-3</v>
      </c>
      <c r="V69" s="24">
        <f t="shared" si="20"/>
        <v>2.2784016392489422E-3</v>
      </c>
      <c r="W69" s="25">
        <f t="shared" si="21"/>
        <v>0.78444063478346271</v>
      </c>
      <c r="X69" s="25">
        <f t="shared" si="22"/>
        <v>1.7872708281841221E-3</v>
      </c>
      <c r="Y69" s="70">
        <v>0.78439999999999999</v>
      </c>
      <c r="Z69" s="70">
        <v>0.78439999999999999</v>
      </c>
      <c r="AA69" s="141">
        <v>751</v>
      </c>
      <c r="AB69" s="141">
        <v>30666280.559999999</v>
      </c>
      <c r="AC69" s="141">
        <v>142765.91</v>
      </c>
      <c r="AD69" s="141">
        <v>0</v>
      </c>
      <c r="AE69" s="142">
        <v>30809046.469999999</v>
      </c>
      <c r="AF69" s="5"/>
    </row>
    <row r="70" spans="1:241" ht="16.5" customHeight="1" x14ac:dyDescent="0.3">
      <c r="A70" s="164">
        <v>63</v>
      </c>
      <c r="B70" s="57" t="s">
        <v>70</v>
      </c>
      <c r="C70" s="57" t="s">
        <v>200</v>
      </c>
      <c r="D70" s="19"/>
      <c r="E70" s="19"/>
      <c r="F70" s="19">
        <v>128589938.48</v>
      </c>
      <c r="G70" s="19">
        <v>259046553.03999999</v>
      </c>
      <c r="H70" s="19"/>
      <c r="I70" s="19"/>
      <c r="J70" s="19">
        <v>418817340.22000003</v>
      </c>
      <c r="K70" s="19">
        <v>3673960.79</v>
      </c>
      <c r="L70" s="19">
        <v>820313.35</v>
      </c>
      <c r="M70" s="144">
        <v>2853747.44</v>
      </c>
      <c r="N70" s="19">
        <v>418817340.22000003</v>
      </c>
      <c r="O70" s="19">
        <v>4341637.3600000003</v>
      </c>
      <c r="P70" s="77">
        <v>410654082.82999998</v>
      </c>
      <c r="Q70" s="22">
        <f t="shared" si="16"/>
        <v>9.80167708515561E-4</v>
      </c>
      <c r="R70" s="29">
        <v>414475702.87</v>
      </c>
      <c r="S70" s="22">
        <f t="shared" si="17"/>
        <v>9.8667126355793866E-4</v>
      </c>
      <c r="T70" s="23">
        <f t="shared" si="18"/>
        <v>9.3061781187308238E-3</v>
      </c>
      <c r="U70" s="58">
        <f t="shared" si="19"/>
        <v>1.9791590781312713E-3</v>
      </c>
      <c r="V70" s="24">
        <f t="shared" si="20"/>
        <v>6.8851983849462844E-3</v>
      </c>
      <c r="W70" s="25">
        <f t="shared" si="21"/>
        <v>1156.3289435918325</v>
      </c>
      <c r="X70" s="25">
        <f t="shared" si="22"/>
        <v>7.9615541748851273</v>
      </c>
      <c r="Y70" s="70">
        <v>1156.33</v>
      </c>
      <c r="Z70" s="70">
        <v>1168.43</v>
      </c>
      <c r="AA70" s="141">
        <v>104</v>
      </c>
      <c r="AB70" s="141">
        <v>357159</v>
      </c>
      <c r="AC70" s="141">
        <v>2581</v>
      </c>
      <c r="AD70" s="141">
        <v>1299</v>
      </c>
      <c r="AE70" s="142">
        <v>358441</v>
      </c>
      <c r="AF70" s="5"/>
    </row>
    <row r="71" spans="1:241" ht="16.5" customHeight="1" x14ac:dyDescent="0.3">
      <c r="A71" s="164">
        <v>64</v>
      </c>
      <c r="B71" s="57" t="s">
        <v>44</v>
      </c>
      <c r="C71" s="57" t="s">
        <v>111</v>
      </c>
      <c r="D71" s="19"/>
      <c r="E71" s="19"/>
      <c r="F71" s="19">
        <v>3009041.1</v>
      </c>
      <c r="G71" s="19">
        <v>156903836.38999999</v>
      </c>
      <c r="H71" s="19"/>
      <c r="I71" s="19"/>
      <c r="J71" s="19">
        <v>159912877.49000001</v>
      </c>
      <c r="K71" s="19">
        <v>1320786.97</v>
      </c>
      <c r="L71" s="19">
        <v>561215.31999999995</v>
      </c>
      <c r="M71" s="144">
        <v>759571.66</v>
      </c>
      <c r="N71" s="19">
        <v>168041749.28</v>
      </c>
      <c r="O71" s="19">
        <v>5986957.5800000001</v>
      </c>
      <c r="P71" s="77">
        <v>161636876.59999999</v>
      </c>
      <c r="Q71" s="22">
        <f t="shared" si="16"/>
        <v>3.8580219599136645E-4</v>
      </c>
      <c r="R71" s="29">
        <v>162054791.69999999</v>
      </c>
      <c r="S71" s="22">
        <f t="shared" si="17"/>
        <v>3.8577606596739019E-4</v>
      </c>
      <c r="T71" s="23">
        <f t="shared" si="18"/>
        <v>2.5855182851262423E-3</v>
      </c>
      <c r="U71" s="58">
        <f t="shared" si="19"/>
        <v>3.4631208007655599E-3</v>
      </c>
      <c r="V71" s="24">
        <f t="shared" si="20"/>
        <v>4.6871286682231448E-3</v>
      </c>
      <c r="W71" s="25">
        <f t="shared" si="21"/>
        <v>140.49301046482893</v>
      </c>
      <c r="X71" s="25">
        <f t="shared" si="22"/>
        <v>0.6585088170346739</v>
      </c>
      <c r="Y71" s="140">
        <v>140.49</v>
      </c>
      <c r="Z71" s="140">
        <v>140.49</v>
      </c>
      <c r="AA71" s="141">
        <v>15</v>
      </c>
      <c r="AB71" s="141">
        <v>1158552.92</v>
      </c>
      <c r="AC71" s="141">
        <v>0</v>
      </c>
      <c r="AD71" s="141">
        <v>5081</v>
      </c>
      <c r="AE71" s="142">
        <v>1153472.27</v>
      </c>
      <c r="AF71" s="5"/>
    </row>
    <row r="72" spans="1:241" ht="16.5" customHeight="1" x14ac:dyDescent="0.3">
      <c r="A72" s="164">
        <v>65</v>
      </c>
      <c r="B72" s="56" t="s">
        <v>114</v>
      </c>
      <c r="C72" s="56" t="s">
        <v>115</v>
      </c>
      <c r="D72" s="19"/>
      <c r="E72" s="19"/>
      <c r="F72" s="19">
        <v>348119394.13999999</v>
      </c>
      <c r="G72" s="19">
        <v>408466206.80000001</v>
      </c>
      <c r="H72" s="19"/>
      <c r="I72" s="19"/>
      <c r="J72" s="19">
        <v>758964528.42999995</v>
      </c>
      <c r="K72" s="19">
        <v>14988923.039999999</v>
      </c>
      <c r="L72" s="19">
        <v>4411617.83</v>
      </c>
      <c r="M72" s="144">
        <v>10577305.210000001</v>
      </c>
      <c r="N72" s="19">
        <v>758964528.42999995</v>
      </c>
      <c r="O72" s="19">
        <v>5604970.2400000002</v>
      </c>
      <c r="P72" s="77">
        <v>776521643.88999999</v>
      </c>
      <c r="Q72" s="22">
        <f t="shared" si="16"/>
        <v>1.8534369244770958E-3</v>
      </c>
      <c r="R72" s="29">
        <v>753359558.19000006</v>
      </c>
      <c r="S72" s="22">
        <f t="shared" si="17"/>
        <v>1.793393972302205E-3</v>
      </c>
      <c r="T72" s="23">
        <f t="shared" si="18"/>
        <v>-2.9827997560981066E-2</v>
      </c>
      <c r="U72" s="58">
        <f t="shared" si="19"/>
        <v>5.8559260077607903E-3</v>
      </c>
      <c r="V72" s="24">
        <f t="shared" si="20"/>
        <v>1.4040181869348986E-2</v>
      </c>
      <c r="W72" s="25">
        <f t="shared" si="21"/>
        <v>189.22262634498318</v>
      </c>
      <c r="X72" s="25">
        <f t="shared" si="22"/>
        <v>2.6567200876794308</v>
      </c>
      <c r="Y72" s="140">
        <v>189.2226</v>
      </c>
      <c r="Z72" s="140">
        <v>190.63040000000001</v>
      </c>
      <c r="AA72" s="141">
        <v>440</v>
      </c>
      <c r="AB72" s="141">
        <v>4130281.31</v>
      </c>
      <c r="AC72" s="141">
        <v>15387.01</v>
      </c>
      <c r="AD72" s="141">
        <v>164328.6</v>
      </c>
      <c r="AE72" s="142">
        <v>3981339.72</v>
      </c>
      <c r="AF72" s="5"/>
    </row>
    <row r="73" spans="1:241" ht="16.5" customHeight="1" x14ac:dyDescent="0.3">
      <c r="A73" s="164">
        <v>66</v>
      </c>
      <c r="B73" s="56" t="s">
        <v>72</v>
      </c>
      <c r="C73" s="56" t="s">
        <v>116</v>
      </c>
      <c r="D73" s="19"/>
      <c r="E73" s="19"/>
      <c r="F73" s="19">
        <v>45229515.890000001</v>
      </c>
      <c r="G73" s="19">
        <v>374489066.49000001</v>
      </c>
      <c r="H73" s="19"/>
      <c r="I73" s="19"/>
      <c r="J73" s="19">
        <v>419718582.38</v>
      </c>
      <c r="K73" s="19">
        <v>4562454.21</v>
      </c>
      <c r="L73" s="19">
        <v>863334.83</v>
      </c>
      <c r="M73" s="144">
        <v>2274455.84</v>
      </c>
      <c r="N73" s="19">
        <v>429219112.61000001</v>
      </c>
      <c r="O73" s="19">
        <v>4055137.4</v>
      </c>
      <c r="P73" s="77">
        <v>432018266.43000001</v>
      </c>
      <c r="Q73" s="22">
        <f t="shared" si="16"/>
        <v>1.0311607066594186E-3</v>
      </c>
      <c r="R73" s="29">
        <v>425163975.20999998</v>
      </c>
      <c r="S73" s="22">
        <f t="shared" si="17"/>
        <v>1.0121150015187784E-3</v>
      </c>
      <c r="T73" s="23">
        <f t="shared" si="18"/>
        <v>-1.586574400346711E-2</v>
      </c>
      <c r="U73" s="58">
        <f t="shared" si="19"/>
        <v>2.0305926191737564E-3</v>
      </c>
      <c r="V73" s="24">
        <f t="shared" si="20"/>
        <v>5.3495967970395063E-3</v>
      </c>
      <c r="W73" s="25">
        <f t="shared" si="21"/>
        <v>1.4846201994210662</v>
      </c>
      <c r="X73" s="25">
        <f t="shared" si="22"/>
        <v>7.9421194636430884E-3</v>
      </c>
      <c r="Y73" s="140">
        <v>1.4845999999999999</v>
      </c>
      <c r="Z73" s="140">
        <v>1.4845999999999999</v>
      </c>
      <c r="AA73" s="141">
        <v>175</v>
      </c>
      <c r="AB73" s="141">
        <v>292621955.92000002</v>
      </c>
      <c r="AC73" s="141">
        <v>292621955.92000002</v>
      </c>
      <c r="AD73" s="141">
        <v>6696087.7599999998</v>
      </c>
      <c r="AE73" s="142">
        <v>286378950.91000003</v>
      </c>
      <c r="AF73" s="5"/>
    </row>
    <row r="74" spans="1:241" ht="16.5" customHeight="1" x14ac:dyDescent="0.3">
      <c r="A74" s="164">
        <v>67</v>
      </c>
      <c r="B74" s="57" t="s">
        <v>50</v>
      </c>
      <c r="C74" s="57" t="s">
        <v>118</v>
      </c>
      <c r="D74" s="19"/>
      <c r="E74" s="19"/>
      <c r="F74" s="19">
        <v>191090129.53999999</v>
      </c>
      <c r="G74" s="19">
        <v>257886032.77000001</v>
      </c>
      <c r="H74" s="19"/>
      <c r="I74" s="19"/>
      <c r="J74" s="19">
        <v>448976162.31</v>
      </c>
      <c r="K74" s="19">
        <v>3863364.18</v>
      </c>
      <c r="L74" s="19">
        <v>660615.19999999995</v>
      </c>
      <c r="M74" s="144">
        <v>3202748.98</v>
      </c>
      <c r="N74" s="19">
        <v>451347748.91000003</v>
      </c>
      <c r="O74" s="19">
        <v>660615.19999999995</v>
      </c>
      <c r="P74" s="77">
        <v>451613326.47000003</v>
      </c>
      <c r="Q74" s="22">
        <f t="shared" si="16"/>
        <v>1.0779310808032027E-3</v>
      </c>
      <c r="R74" s="29">
        <v>450687133.70999998</v>
      </c>
      <c r="S74" s="22">
        <f t="shared" si="17"/>
        <v>1.0728736102208261E-3</v>
      </c>
      <c r="T74" s="23">
        <f t="shared" si="18"/>
        <v>-2.0508534751167836E-3</v>
      </c>
      <c r="U74" s="58">
        <f t="shared" si="19"/>
        <v>1.4657955610179027E-3</v>
      </c>
      <c r="V74" s="24">
        <f t="shared" si="20"/>
        <v>7.1063687876673377E-3</v>
      </c>
      <c r="W74" s="25">
        <f t="shared" si="21"/>
        <v>1.1955152679434464</v>
      </c>
      <c r="X74" s="25">
        <f t="shared" si="22"/>
        <v>8.4957723852930617E-3</v>
      </c>
      <c r="Y74" s="140">
        <v>1.19</v>
      </c>
      <c r="Z74" s="140">
        <v>1.19</v>
      </c>
      <c r="AA74" s="141">
        <v>235</v>
      </c>
      <c r="AB74" s="141">
        <v>377080801.20999998</v>
      </c>
      <c r="AC74" s="141">
        <v>382853.86</v>
      </c>
      <c r="AD74" s="141">
        <v>482159.48</v>
      </c>
      <c r="AE74" s="142">
        <v>376981495.58999997</v>
      </c>
      <c r="AF74" s="5"/>
    </row>
    <row r="75" spans="1:241" ht="16.5" customHeight="1" x14ac:dyDescent="0.3">
      <c r="A75" s="164">
        <v>68</v>
      </c>
      <c r="B75" s="56" t="s">
        <v>35</v>
      </c>
      <c r="C75" s="57" t="s">
        <v>120</v>
      </c>
      <c r="D75" s="19"/>
      <c r="E75" s="19"/>
      <c r="F75" s="19">
        <v>126909706.64</v>
      </c>
      <c r="G75" s="19">
        <v>916391993.35000002</v>
      </c>
      <c r="H75" s="19"/>
      <c r="I75" s="19"/>
      <c r="J75" s="19">
        <v>1043301699.99</v>
      </c>
      <c r="K75" s="19">
        <v>8360881.1600000001</v>
      </c>
      <c r="L75" s="19">
        <v>3392967</v>
      </c>
      <c r="M75" s="144">
        <v>4967914.16</v>
      </c>
      <c r="N75" s="19">
        <v>1300718962</v>
      </c>
      <c r="O75" s="19">
        <v>31762337</v>
      </c>
      <c r="P75" s="77">
        <v>1255593434</v>
      </c>
      <c r="Q75" s="22">
        <f t="shared" si="16"/>
        <v>2.9969071062187357E-3</v>
      </c>
      <c r="R75" s="29">
        <v>1268956625</v>
      </c>
      <c r="S75" s="22">
        <f t="shared" si="17"/>
        <v>3.020787534514827E-3</v>
      </c>
      <c r="T75" s="23">
        <f t="shared" si="18"/>
        <v>1.0642928386004924E-2</v>
      </c>
      <c r="U75" s="58">
        <f t="shared" si="19"/>
        <v>2.6738242530551428E-3</v>
      </c>
      <c r="V75" s="24">
        <f t="shared" si="20"/>
        <v>3.9149597883221584E-3</v>
      </c>
      <c r="W75" s="25">
        <f t="shared" si="21"/>
        <v>1.0434547326583228</v>
      </c>
      <c r="X75" s="25">
        <f t="shared" si="22"/>
        <v>4.085083319291782E-3</v>
      </c>
      <c r="Y75" s="140">
        <v>1.0383</v>
      </c>
      <c r="Z75" s="140">
        <v>1.0435000000000001</v>
      </c>
      <c r="AA75" s="141">
        <v>246</v>
      </c>
      <c r="AB75" s="141">
        <v>1208351448</v>
      </c>
      <c r="AC75" s="141">
        <v>57363541</v>
      </c>
      <c r="AD75" s="141">
        <v>49604136</v>
      </c>
      <c r="AE75" s="142">
        <v>1216110853</v>
      </c>
      <c r="AF75" s="5"/>
    </row>
    <row r="76" spans="1:241" ht="16.5" customHeight="1" x14ac:dyDescent="0.3">
      <c r="A76" s="164">
        <v>69</v>
      </c>
      <c r="B76" s="57" t="s">
        <v>23</v>
      </c>
      <c r="C76" s="57" t="s">
        <v>162</v>
      </c>
      <c r="D76" s="19"/>
      <c r="E76" s="19"/>
      <c r="F76" s="19">
        <v>16667238145.27</v>
      </c>
      <c r="G76" s="19">
        <v>14525044199.59</v>
      </c>
      <c r="H76" s="19"/>
      <c r="I76" s="19"/>
      <c r="J76" s="19">
        <v>31192282344.860001</v>
      </c>
      <c r="K76" s="19">
        <v>204128629.33000001</v>
      </c>
      <c r="L76" s="19">
        <v>46573067.710000001</v>
      </c>
      <c r="M76" s="144">
        <v>157555561.62</v>
      </c>
      <c r="N76" s="19">
        <v>32120159378.43</v>
      </c>
      <c r="O76" s="19">
        <v>90882290.099999994</v>
      </c>
      <c r="P76" s="77">
        <v>29813910559.43</v>
      </c>
      <c r="Q76" s="22">
        <f t="shared" si="16"/>
        <v>7.116118800898856E-2</v>
      </c>
      <c r="R76" s="29">
        <v>32029277088.330002</v>
      </c>
      <c r="S76" s="22">
        <f t="shared" si="17"/>
        <v>7.6246610058833666E-2</v>
      </c>
      <c r="T76" s="23">
        <f t="shared" si="18"/>
        <v>7.4306472627398812E-2</v>
      </c>
      <c r="U76" s="58">
        <f>(L76/R76)</f>
        <v>1.4540780168581791E-3</v>
      </c>
      <c r="V76" s="24">
        <f>M76/R76</f>
        <v>4.9191107618662437E-3</v>
      </c>
      <c r="W76" s="25">
        <f>R76/AE76</f>
        <v>109.48719095136688</v>
      </c>
      <c r="X76" s="25">
        <f>M76/AE76</f>
        <v>0.53857961929537324</v>
      </c>
      <c r="Y76" s="140">
        <v>109.49</v>
      </c>
      <c r="Z76" s="140">
        <v>109.49</v>
      </c>
      <c r="AA76" s="200">
        <v>2710</v>
      </c>
      <c r="AB76" s="141">
        <v>273717130.13999999</v>
      </c>
      <c r="AC76" s="141">
        <v>38584532.359999999</v>
      </c>
      <c r="AD76" s="141">
        <v>19762628.379999999</v>
      </c>
      <c r="AE76" s="142">
        <v>292539034.11000001</v>
      </c>
      <c r="AF76" s="5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</row>
    <row r="77" spans="1:241" ht="16.5" customHeight="1" x14ac:dyDescent="0.3">
      <c r="A77" s="164">
        <v>70</v>
      </c>
      <c r="B77" s="56" t="s">
        <v>121</v>
      </c>
      <c r="C77" s="57" t="s">
        <v>151</v>
      </c>
      <c r="D77" s="19"/>
      <c r="E77" s="19"/>
      <c r="F77" s="19"/>
      <c r="G77" s="19">
        <v>271850587.10000002</v>
      </c>
      <c r="H77" s="19"/>
      <c r="I77" s="19"/>
      <c r="J77" s="19">
        <v>271850587.10000002</v>
      </c>
      <c r="K77" s="19">
        <v>2874851.03</v>
      </c>
      <c r="L77" s="19">
        <v>425280.39</v>
      </c>
      <c r="M77" s="144">
        <v>2449570.64</v>
      </c>
      <c r="N77" s="19">
        <v>272695744.5</v>
      </c>
      <c r="O77" s="52">
        <v>7958671.7400000002</v>
      </c>
      <c r="P77" s="77">
        <v>261361781.78999999</v>
      </c>
      <c r="Q77" s="22">
        <f t="shared" si="16"/>
        <v>6.2383010290609838E-4</v>
      </c>
      <c r="R77" s="29">
        <v>264737072.75999999</v>
      </c>
      <c r="S77" s="22">
        <f t="shared" si="17"/>
        <v>6.302141724642107E-4</v>
      </c>
      <c r="T77" s="23">
        <f t="shared" si="18"/>
        <v>1.291424839118977E-2</v>
      </c>
      <c r="U77" s="58">
        <f>(L77/R77)</f>
        <v>1.6064255208621354E-3</v>
      </c>
      <c r="V77" s="24">
        <f>M77/R77</f>
        <v>9.2528432624193989E-3</v>
      </c>
      <c r="W77" s="25">
        <f>R77/AE77</f>
        <v>1110.5674669015857</v>
      </c>
      <c r="X77" s="25">
        <f>M77/AE77</f>
        <v>10.275906703582516</v>
      </c>
      <c r="Y77" s="70">
        <v>1110.57</v>
      </c>
      <c r="Z77" s="70">
        <v>1110.57</v>
      </c>
      <c r="AA77" s="141">
        <v>123</v>
      </c>
      <c r="AB77" s="141">
        <v>237540</v>
      </c>
      <c r="AC77" s="141">
        <v>1730</v>
      </c>
      <c r="AD77" s="141">
        <v>890</v>
      </c>
      <c r="AE77" s="142">
        <v>238380</v>
      </c>
      <c r="AF77" s="5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</row>
    <row r="78" spans="1:241" ht="16.5" customHeight="1" x14ac:dyDescent="0.3">
      <c r="A78" s="164">
        <v>71</v>
      </c>
      <c r="B78" s="56" t="s">
        <v>147</v>
      </c>
      <c r="C78" s="57" t="s">
        <v>148</v>
      </c>
      <c r="D78" s="19"/>
      <c r="E78" s="19"/>
      <c r="F78" s="19">
        <v>69854366.340000004</v>
      </c>
      <c r="G78" s="19">
        <v>632185849.50999999</v>
      </c>
      <c r="H78" s="19"/>
      <c r="I78" s="19"/>
      <c r="J78" s="19">
        <v>702040215.85000002</v>
      </c>
      <c r="K78" s="19">
        <v>16267130.67</v>
      </c>
      <c r="L78" s="19">
        <v>2491443.29</v>
      </c>
      <c r="M78" s="144">
        <v>13775687.390000001</v>
      </c>
      <c r="N78" s="19">
        <v>1629686568.77</v>
      </c>
      <c r="O78" s="19">
        <v>4558171.57</v>
      </c>
      <c r="P78" s="77">
        <v>1600950499.98</v>
      </c>
      <c r="Q78" s="22">
        <f t="shared" si="16"/>
        <v>3.8212209463453595E-3</v>
      </c>
      <c r="R78" s="29">
        <v>1625128397.2</v>
      </c>
      <c r="S78" s="22">
        <f t="shared" si="17"/>
        <v>3.8686646237792569E-3</v>
      </c>
      <c r="T78" s="23">
        <f t="shared" si="18"/>
        <v>1.5102214103622861E-2</v>
      </c>
      <c r="U78" s="58">
        <f t="shared" si="19"/>
        <v>1.5330747369208546E-3</v>
      </c>
      <c r="V78" s="24">
        <f t="shared" si="20"/>
        <v>8.4766763129206866E-3</v>
      </c>
      <c r="W78" s="25" t="e">
        <f>R78/AE82</f>
        <v>#DIV/0!</v>
      </c>
      <c r="X78" s="25" t="e">
        <f>M78/AE82</f>
        <v>#DIV/0!</v>
      </c>
      <c r="Y78" s="140">
        <v>1.0441</v>
      </c>
      <c r="Z78" s="140">
        <v>1.0441</v>
      </c>
      <c r="AA78" s="141">
        <v>624</v>
      </c>
      <c r="AB78" s="141">
        <v>1546470479.6300001</v>
      </c>
      <c r="AC78" s="141">
        <v>47858003.920000002</v>
      </c>
      <c r="AD78" s="141">
        <v>37892981.609999999</v>
      </c>
      <c r="AE78" s="142">
        <v>1556435501.96</v>
      </c>
      <c r="AF78" s="9"/>
    </row>
    <row r="79" spans="1:241" ht="16.5" customHeight="1" x14ac:dyDescent="0.3">
      <c r="A79" s="164">
        <v>72</v>
      </c>
      <c r="B79" s="57" t="s">
        <v>29</v>
      </c>
      <c r="C79" s="57" t="s">
        <v>196</v>
      </c>
      <c r="D79" s="19"/>
      <c r="E79" s="19"/>
      <c r="F79" s="19">
        <v>456450820.94999999</v>
      </c>
      <c r="G79" s="19">
        <v>1040871094.35</v>
      </c>
      <c r="H79" s="19"/>
      <c r="I79" s="154"/>
      <c r="J79" s="19">
        <v>1508457291.71</v>
      </c>
      <c r="K79" s="19">
        <v>11890038.84</v>
      </c>
      <c r="L79" s="19">
        <v>2505057.63</v>
      </c>
      <c r="M79" s="144">
        <v>9384981.2200000007</v>
      </c>
      <c r="N79" s="19">
        <v>1508457291.71</v>
      </c>
      <c r="O79" s="19">
        <v>5343290.8899999997</v>
      </c>
      <c r="P79" s="77">
        <v>1251582574.1500001</v>
      </c>
      <c r="Q79" s="22">
        <f t="shared" si="16"/>
        <v>2.9873338048131853E-3</v>
      </c>
      <c r="R79" s="29">
        <v>1503114000.8199999</v>
      </c>
      <c r="S79" s="22">
        <f t="shared" si="17"/>
        <v>3.5782058639173462E-3</v>
      </c>
      <c r="T79" s="23">
        <f t="shared" si="18"/>
        <v>0.20097070050757532</v>
      </c>
      <c r="U79" s="58">
        <f>(L79/R79)</f>
        <v>1.666578601911369E-3</v>
      </c>
      <c r="V79" s="24">
        <f>M79/R79</f>
        <v>6.2436922381670142E-3</v>
      </c>
      <c r="W79" s="25">
        <f>R79/AE79</f>
        <v>104.33708086433695</v>
      </c>
      <c r="X79" s="25">
        <f>M79/AE79</f>
        <v>0.65144862194566477</v>
      </c>
      <c r="Y79" s="140">
        <v>104.34</v>
      </c>
      <c r="Z79" s="140">
        <v>104.34</v>
      </c>
      <c r="AA79" s="141">
        <v>82</v>
      </c>
      <c r="AB79" s="141">
        <v>12077798</v>
      </c>
      <c r="AC79" s="141">
        <v>2568574</v>
      </c>
      <c r="AD79" s="141">
        <v>240046</v>
      </c>
      <c r="AE79" s="142">
        <v>14406326</v>
      </c>
      <c r="AF79" s="5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</row>
    <row r="80" spans="1:241" ht="16.5" customHeight="1" x14ac:dyDescent="0.3">
      <c r="A80" s="164">
        <v>73</v>
      </c>
      <c r="B80" s="57" t="s">
        <v>65</v>
      </c>
      <c r="C80" s="57" t="s">
        <v>211</v>
      </c>
      <c r="D80" s="19"/>
      <c r="E80" s="19"/>
      <c r="F80" s="19">
        <v>23391395.899999999</v>
      </c>
      <c r="G80" s="19">
        <v>219318745.84</v>
      </c>
      <c r="H80" s="19"/>
      <c r="I80" s="154"/>
      <c r="J80" s="19">
        <v>242710141.74000001</v>
      </c>
      <c r="K80" s="19">
        <v>3263085.82</v>
      </c>
      <c r="L80" s="19">
        <v>642837.19999999995</v>
      </c>
      <c r="M80" s="197">
        <v>2620248.62</v>
      </c>
      <c r="N80" s="19">
        <v>360515507.99000001</v>
      </c>
      <c r="O80" s="19">
        <v>3094896.9</v>
      </c>
      <c r="P80" s="77">
        <v>279646295.39999998</v>
      </c>
      <c r="Q80" s="22">
        <f t="shared" si="16"/>
        <v>6.6747240565133729E-4</v>
      </c>
      <c r="R80" s="29">
        <v>357420611.08999997</v>
      </c>
      <c r="S80" s="22">
        <f t="shared" si="17"/>
        <v>8.5084998595546461E-4</v>
      </c>
      <c r="T80" s="23">
        <f t="shared" si="18"/>
        <v>0.27811673878516185</v>
      </c>
      <c r="U80" s="58">
        <f>(L80/R80)</f>
        <v>1.7985454113560646E-3</v>
      </c>
      <c r="V80" s="24">
        <f>M80/R80</f>
        <v>7.3309947403682628E-3</v>
      </c>
      <c r="W80" s="25">
        <f>R80/AE80</f>
        <v>100.99934161777824</v>
      </c>
      <c r="X80" s="25">
        <f>M80/AE80</f>
        <v>0.7404256421805897</v>
      </c>
      <c r="Y80" s="140">
        <v>101.53</v>
      </c>
      <c r="Z80" s="140">
        <v>101.53</v>
      </c>
      <c r="AA80" s="188">
        <v>89</v>
      </c>
      <c r="AB80" s="141">
        <v>2777427</v>
      </c>
      <c r="AC80" s="141">
        <v>761414</v>
      </c>
      <c r="AD80" s="141">
        <v>0</v>
      </c>
      <c r="AE80" s="142">
        <v>3538841</v>
      </c>
      <c r="AF80" s="5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</row>
    <row r="81" spans="1:241" ht="16.5" customHeight="1" x14ac:dyDescent="0.3">
      <c r="A81" s="164">
        <v>74</v>
      </c>
      <c r="B81" s="57" t="s">
        <v>218</v>
      </c>
      <c r="C81" s="57" t="s">
        <v>219</v>
      </c>
      <c r="D81" s="19"/>
      <c r="E81" s="19"/>
      <c r="F81" s="19">
        <v>8854917.5299999993</v>
      </c>
      <c r="G81" s="19">
        <v>587126350.60000002</v>
      </c>
      <c r="H81" s="19"/>
      <c r="I81" s="154"/>
      <c r="J81" s="19">
        <v>595981268.13</v>
      </c>
      <c r="K81" s="19">
        <v>1362069.49</v>
      </c>
      <c r="L81" s="19">
        <v>1494677.62</v>
      </c>
      <c r="M81" s="197">
        <v>-132608.13</v>
      </c>
      <c r="N81" s="19">
        <v>890532649</v>
      </c>
      <c r="O81" s="19">
        <v>1460653</v>
      </c>
      <c r="P81" s="77">
        <v>0</v>
      </c>
      <c r="Q81" s="22">
        <f t="shared" si="16"/>
        <v>0</v>
      </c>
      <c r="R81" s="29">
        <v>889071997</v>
      </c>
      <c r="S81" s="22">
        <f t="shared" si="17"/>
        <v>2.1164613138954244E-3</v>
      </c>
      <c r="T81" s="23" t="e">
        <f t="shared" si="18"/>
        <v>#DIV/0!</v>
      </c>
      <c r="U81" s="58">
        <f>(L81/R81)</f>
        <v>1.6811660079762924E-3</v>
      </c>
      <c r="V81" s="24">
        <f>M81/R81</f>
        <v>-1.4915342114863619E-4</v>
      </c>
      <c r="W81" s="25">
        <f>R81/AE81</f>
        <v>0.99996592855474475</v>
      </c>
      <c r="X81" s="25">
        <f>M81/AE81</f>
        <v>-1.491483392760129E-4</v>
      </c>
      <c r="Y81" s="140">
        <v>1</v>
      </c>
      <c r="Z81" s="140">
        <v>1</v>
      </c>
      <c r="AA81" s="188">
        <v>29</v>
      </c>
      <c r="AB81" s="141">
        <v>0</v>
      </c>
      <c r="AC81" s="141">
        <v>889102290</v>
      </c>
      <c r="AD81" s="141">
        <v>0</v>
      </c>
      <c r="AE81" s="142">
        <v>889102290</v>
      </c>
      <c r="AF81" s="5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</row>
    <row r="82" spans="1:241" ht="16.5" customHeight="1" x14ac:dyDescent="0.3">
      <c r="A82" s="109" t="s">
        <v>91</v>
      </c>
      <c r="B82" s="84"/>
      <c r="C82" s="34" t="s">
        <v>52</v>
      </c>
      <c r="D82" s="35">
        <f>SUM(D53:D81)</f>
        <v>108145085.34999999</v>
      </c>
      <c r="E82" s="35"/>
      <c r="F82" s="35">
        <f>SUM(F53:F81)</f>
        <v>106814417784.94998</v>
      </c>
      <c r="G82" s="35">
        <f>SUM(G53:G81)</f>
        <v>277241033844.38995</v>
      </c>
      <c r="H82" s="35"/>
      <c r="I82" s="35">
        <f>SUM(I53:I79)</f>
        <v>0</v>
      </c>
      <c r="J82" s="35">
        <f t="shared" ref="J82:P82" si="23">SUM(J53:J81)</f>
        <v>389706745869.74988</v>
      </c>
      <c r="K82" s="35">
        <f t="shared" si="23"/>
        <v>3141779436.0599999</v>
      </c>
      <c r="L82" s="35">
        <f t="shared" si="23"/>
        <v>638410737.8300004</v>
      </c>
      <c r="M82" s="35">
        <f t="shared" si="23"/>
        <v>2501299966.2999997</v>
      </c>
      <c r="N82" s="35">
        <f t="shared" si="23"/>
        <v>418680513433.26996</v>
      </c>
      <c r="O82" s="35">
        <f t="shared" si="23"/>
        <v>3232053419.0799999</v>
      </c>
      <c r="P82" s="152">
        <f t="shared" si="23"/>
        <v>418963080769.02997</v>
      </c>
      <c r="Q82" s="83">
        <f>(P82/$P$151)</f>
        <v>0.29755521678124874</v>
      </c>
      <c r="R82" s="152">
        <f>SUM(R53:R81)</f>
        <v>420074768748.61011</v>
      </c>
      <c r="S82" s="83">
        <f>(R82/$R$151)</f>
        <v>0.29468939984601672</v>
      </c>
      <c r="T82" s="37">
        <f t="shared" si="18"/>
        <v>2.6534270693722565E-3</v>
      </c>
      <c r="U82" s="50"/>
      <c r="V82" s="38"/>
      <c r="W82" s="39"/>
      <c r="X82" s="39"/>
      <c r="Y82" s="35"/>
      <c r="Z82" s="35"/>
      <c r="AA82" s="40">
        <f>SUM(AA53:AA81)</f>
        <v>45392</v>
      </c>
      <c r="AB82" s="40"/>
      <c r="AC82" s="40"/>
      <c r="AD82" s="40"/>
      <c r="AE82" s="105">
        <v>0</v>
      </c>
      <c r="AF82" s="5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</row>
    <row r="83" spans="1:241" ht="16.5" customHeight="1" x14ac:dyDescent="0.3">
      <c r="A83" s="205" t="s">
        <v>177</v>
      </c>
      <c r="B83" s="203"/>
      <c r="C83" s="203"/>
      <c r="D83" s="44"/>
      <c r="E83" s="44"/>
      <c r="F83" s="44"/>
      <c r="G83" s="44"/>
      <c r="H83" s="44"/>
      <c r="I83" s="44"/>
      <c r="J83" s="44"/>
      <c r="K83" s="44"/>
      <c r="L83" s="44"/>
      <c r="M83" s="158"/>
      <c r="N83" s="44"/>
      <c r="O83" s="44"/>
      <c r="P83" s="189">
        <v>0</v>
      </c>
      <c r="Q83" s="23"/>
      <c r="R83" s="44">
        <v>0</v>
      </c>
      <c r="S83" s="23"/>
      <c r="T83" s="23"/>
      <c r="U83" s="23"/>
      <c r="V83" s="45"/>
      <c r="W83" s="46"/>
      <c r="X83" s="46"/>
      <c r="Y83" s="44"/>
      <c r="Z83" s="44"/>
      <c r="AA83" s="44"/>
      <c r="AB83" s="44"/>
      <c r="AC83" s="44"/>
      <c r="AD83" s="44"/>
      <c r="AE83" s="110"/>
      <c r="AF83" s="5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</row>
    <row r="84" spans="1:241" ht="16.5" customHeight="1" x14ac:dyDescent="0.3">
      <c r="A84" s="209" t="s">
        <v>176</v>
      </c>
      <c r="B84" s="210"/>
      <c r="C84" s="210"/>
      <c r="D84" s="85">
        <v>415.65</v>
      </c>
      <c r="E84" s="85"/>
      <c r="F84" s="85"/>
      <c r="G84" s="85"/>
      <c r="H84" s="85"/>
      <c r="I84" s="85"/>
      <c r="J84" s="85"/>
      <c r="K84" s="85"/>
      <c r="L84" s="85"/>
      <c r="M84" s="159"/>
      <c r="N84" s="85"/>
      <c r="O84" s="85"/>
      <c r="P84" s="190"/>
      <c r="Q84" s="86"/>
      <c r="R84" s="85"/>
      <c r="S84" s="86"/>
      <c r="T84" s="86"/>
      <c r="U84" s="87"/>
      <c r="V84" s="88"/>
      <c r="W84" s="89"/>
      <c r="X84" s="89"/>
      <c r="Y84" s="85"/>
      <c r="Z84" s="85"/>
      <c r="AA84" s="85"/>
      <c r="AB84" s="85"/>
      <c r="AC84" s="85"/>
      <c r="AD84" s="85"/>
      <c r="AE84" s="111"/>
      <c r="AF84" s="5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</row>
    <row r="85" spans="1:241" ht="16.5" customHeight="1" x14ac:dyDescent="0.3">
      <c r="A85" s="170" t="s">
        <v>220</v>
      </c>
      <c r="B85" s="57" t="s">
        <v>179</v>
      </c>
      <c r="C85" s="57" t="s">
        <v>198</v>
      </c>
      <c r="D85" s="19"/>
      <c r="E85" s="19">
        <v>0</v>
      </c>
      <c r="F85" s="143"/>
      <c r="G85" s="19"/>
      <c r="H85" s="28"/>
      <c r="I85" s="47"/>
      <c r="J85" s="27"/>
      <c r="K85" s="27"/>
      <c r="L85" s="27"/>
      <c r="M85" s="160"/>
      <c r="N85" s="19"/>
      <c r="O85" s="73"/>
      <c r="P85" s="21">
        <v>0</v>
      </c>
      <c r="Q85" s="139">
        <f t="shared" ref="Q85:Q93" si="24">(P85/$P$103)</f>
        <v>0</v>
      </c>
      <c r="R85" s="21">
        <v>0</v>
      </c>
      <c r="S85" s="22">
        <v>0</v>
      </c>
      <c r="T85" s="23" t="e">
        <f t="shared" ref="T85:T90" si="25">((R85-P85)/P85)</f>
        <v>#DIV/0!</v>
      </c>
      <c r="U85" s="58" t="e">
        <f t="shared" ref="U85:U90" si="26">(L85/R85)</f>
        <v>#DIV/0!</v>
      </c>
      <c r="V85" s="24" t="e">
        <f t="shared" ref="V85:V90" si="27">M85/R85</f>
        <v>#DIV/0!</v>
      </c>
      <c r="W85" s="25" t="e">
        <f t="shared" ref="W85:W90" si="28">R85/AE85</f>
        <v>#DIV/0!</v>
      </c>
      <c r="X85" s="25" t="e">
        <f t="shared" ref="X85:X93" si="29">M85/AE85</f>
        <v>#DIV/0!</v>
      </c>
      <c r="Y85" s="19">
        <v>123.78</v>
      </c>
      <c r="Z85" s="27">
        <v>122.26</v>
      </c>
      <c r="AA85" s="26"/>
      <c r="AB85" s="26"/>
      <c r="AC85" s="26"/>
      <c r="AD85" s="26"/>
      <c r="AE85" s="105"/>
      <c r="AF85" s="5"/>
    </row>
    <row r="86" spans="1:241" ht="16.5" customHeight="1" x14ac:dyDescent="0.3">
      <c r="A86" s="170" t="s">
        <v>221</v>
      </c>
      <c r="B86" s="57" t="s">
        <v>179</v>
      </c>
      <c r="C86" s="57" t="s">
        <v>197</v>
      </c>
      <c r="D86" s="28"/>
      <c r="E86" s="19"/>
      <c r="F86" s="143">
        <v>2227256482.4400001</v>
      </c>
      <c r="G86" s="19">
        <v>7522458143.1899996</v>
      </c>
      <c r="H86" s="28"/>
      <c r="I86" s="47"/>
      <c r="J86" s="27">
        <v>10238524912.98</v>
      </c>
      <c r="K86" s="27">
        <v>8034545.3700000001</v>
      </c>
      <c r="L86" s="27">
        <v>13923081.970000001</v>
      </c>
      <c r="M86" s="160">
        <v>44111463.399999999</v>
      </c>
      <c r="N86" s="19">
        <v>10284717380.040001</v>
      </c>
      <c r="O86" s="19">
        <v>46192467.060000002</v>
      </c>
      <c r="P86" s="21">
        <v>9374707567.0200005</v>
      </c>
      <c r="Q86" s="22">
        <f t="shared" si="24"/>
        <v>3.4953291754522262E-2</v>
      </c>
      <c r="R86" s="21">
        <v>10238524912.98</v>
      </c>
      <c r="S86" s="22">
        <f t="shared" ref="S86:S93" si="30">(R86/$R$103)</f>
        <v>3.6187191066449471E-2</v>
      </c>
      <c r="T86" s="23">
        <f t="shared" si="25"/>
        <v>9.2143391117488094E-2</v>
      </c>
      <c r="U86" s="58">
        <f t="shared" si="26"/>
        <v>1.3598718651696461E-3</v>
      </c>
      <c r="V86" s="24">
        <f t="shared" si="27"/>
        <v>4.3083807262193812E-3</v>
      </c>
      <c r="W86" s="25">
        <f t="shared" si="28"/>
        <v>52008.901676263871</v>
      </c>
      <c r="X86" s="25">
        <f t="shared" si="29"/>
        <v>224.07414957385416</v>
      </c>
      <c r="Y86" s="19">
        <v>123.4</v>
      </c>
      <c r="Z86" s="19">
        <v>121.87</v>
      </c>
      <c r="AA86" s="26">
        <v>1761</v>
      </c>
      <c r="AB86" s="26">
        <v>179807.15</v>
      </c>
      <c r="AC86" s="26">
        <v>18407.98</v>
      </c>
      <c r="AD86" s="26">
        <v>1354.12</v>
      </c>
      <c r="AE86" s="142">
        <v>196861.01</v>
      </c>
      <c r="AF86" s="5"/>
    </row>
    <row r="87" spans="1:241" ht="16.5" customHeight="1" x14ac:dyDescent="0.3">
      <c r="A87" s="164">
        <v>76</v>
      </c>
      <c r="B87" s="57" t="s">
        <v>33</v>
      </c>
      <c r="C87" s="57" t="s">
        <v>195</v>
      </c>
      <c r="D87" s="28"/>
      <c r="E87" s="19"/>
      <c r="F87" s="130"/>
      <c r="G87" s="19">
        <f>415.65*141710948</f>
        <v>58902155536.199997</v>
      </c>
      <c r="H87" s="19"/>
      <c r="I87" s="27"/>
      <c r="J87" s="27">
        <f>415.65*141710948</f>
        <v>58902155536.199997</v>
      </c>
      <c r="K87" s="27">
        <f>415.65*1076956</f>
        <v>447636761.39999998</v>
      </c>
      <c r="L87" s="27">
        <f>415.65*266180</f>
        <v>110637717</v>
      </c>
      <c r="M87" s="160">
        <f>415.65*810776</f>
        <v>336999044.39999998</v>
      </c>
      <c r="N87" s="19">
        <f>415.65*171849981</f>
        <v>71429444602.649994</v>
      </c>
      <c r="O87" s="19">
        <f>415.65*1558470</f>
        <v>647778055.5</v>
      </c>
      <c r="P87" s="21">
        <f>415.69*131346198</f>
        <v>54599301046.620003</v>
      </c>
      <c r="Q87" s="139">
        <f t="shared" si="24"/>
        <v>0.20357171521694145</v>
      </c>
      <c r="R87" s="21">
        <f>415.65*170291510</f>
        <v>70781666131.5</v>
      </c>
      <c r="S87" s="22">
        <f t="shared" si="30"/>
        <v>0.25017174818366622</v>
      </c>
      <c r="T87" s="23">
        <f>((R87-P87)/P87)</f>
        <v>0.29638410702478718</v>
      </c>
      <c r="U87" s="58">
        <f>(L87/R87)</f>
        <v>1.5630843839484422E-3</v>
      </c>
      <c r="V87" s="24">
        <f>M87/R87</f>
        <v>4.7611064110007597E-3</v>
      </c>
      <c r="W87" s="25">
        <f>R87/AE87</f>
        <v>52000.530521859102</v>
      </c>
      <c r="X87" s="25">
        <f t="shared" si="29"/>
        <v>247.58005924306406</v>
      </c>
      <c r="Y87" s="19">
        <f>415.65* 125.11</f>
        <v>52001.9715</v>
      </c>
      <c r="Z87" s="19">
        <f>415.65* 125.11</f>
        <v>52001.9715</v>
      </c>
      <c r="AA87" s="26">
        <v>1207</v>
      </c>
      <c r="AB87" s="26">
        <v>1052884</v>
      </c>
      <c r="AC87" s="26">
        <v>339361</v>
      </c>
      <c r="AD87" s="26">
        <v>31073</v>
      </c>
      <c r="AE87" s="142">
        <v>1361172</v>
      </c>
      <c r="AF87" s="5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</row>
    <row r="88" spans="1:241" ht="16.5" customHeight="1" x14ac:dyDescent="0.3">
      <c r="A88" s="164">
        <v>77</v>
      </c>
      <c r="B88" s="57" t="s">
        <v>180</v>
      </c>
      <c r="C88" s="57" t="s">
        <v>94</v>
      </c>
      <c r="D88" s="28"/>
      <c r="E88" s="19"/>
      <c r="F88" s="19">
        <f>415.65*1707641.27</f>
        <v>709781093.87549996</v>
      </c>
      <c r="G88" s="19">
        <f>415.65*11978800</f>
        <v>4978988220</v>
      </c>
      <c r="H88" s="19"/>
      <c r="I88" s="19"/>
      <c r="J88" s="27">
        <f>415.65*13856688.94</f>
        <v>5759532757.9109993</v>
      </c>
      <c r="K88" s="27">
        <f>415.65*79513.23</f>
        <v>33049674.049499996</v>
      </c>
      <c r="L88" s="27">
        <f>415.65*22866.59</f>
        <v>9504498.1335000005</v>
      </c>
      <c r="M88" s="160">
        <f>415.65*56646.64</f>
        <v>23545175.915999997</v>
      </c>
      <c r="N88" s="19">
        <f>415.65*13856688.94</f>
        <v>5759532757.9109993</v>
      </c>
      <c r="O88" s="19">
        <f>415.65*50826</f>
        <v>21125826.899999999</v>
      </c>
      <c r="P88" s="21">
        <f>415.69*13917581.73</f>
        <v>5785399549.3437004</v>
      </c>
      <c r="Q88" s="22">
        <f t="shared" si="24"/>
        <v>2.1570673743050158E-2</v>
      </c>
      <c r="R88" s="21">
        <f>415.65*13805862.53</f>
        <v>5738406760.5944996</v>
      </c>
      <c r="S88" s="22">
        <f t="shared" si="30"/>
        <v>2.0281908148641545E-2</v>
      </c>
      <c r="T88" s="23">
        <f t="shared" si="25"/>
        <v>-8.1226522642730385E-3</v>
      </c>
      <c r="U88" s="58">
        <f t="shared" si="26"/>
        <v>1.6562956461656151E-3</v>
      </c>
      <c r="V88" s="24">
        <f t="shared" si="27"/>
        <v>4.1030859083890934E-3</v>
      </c>
      <c r="W88" s="25">
        <f t="shared" si="28"/>
        <v>509.73085760929899</v>
      </c>
      <c r="X88" s="25">
        <f t="shared" si="29"/>
        <v>2.0914694989278022</v>
      </c>
      <c r="Y88" s="19">
        <f>415.65*1.23</f>
        <v>511.24949999999995</v>
      </c>
      <c r="Z88" s="19">
        <f>415.65*1.23</f>
        <v>511.24949999999995</v>
      </c>
      <c r="AA88" s="147">
        <v>124</v>
      </c>
      <c r="AB88" s="147">
        <v>11392970</v>
      </c>
      <c r="AC88" s="147">
        <v>142857</v>
      </c>
      <c r="AD88" s="147">
        <v>278108</v>
      </c>
      <c r="AE88" s="185">
        <v>11257719</v>
      </c>
      <c r="AF88" s="5"/>
    </row>
    <row r="89" spans="1:241" ht="16.5" customHeight="1" x14ac:dyDescent="0.3">
      <c r="A89" s="164">
        <v>78</v>
      </c>
      <c r="B89" s="57" t="s">
        <v>46</v>
      </c>
      <c r="C89" s="57" t="s">
        <v>95</v>
      </c>
      <c r="D89" s="28"/>
      <c r="E89" s="19"/>
      <c r="F89" s="27"/>
      <c r="G89" s="19">
        <v>646846111.01999998</v>
      </c>
      <c r="H89" s="19"/>
      <c r="I89" s="27"/>
      <c r="J89" s="27">
        <v>646846111.01999998</v>
      </c>
      <c r="K89" s="27">
        <v>6269673.4800000004</v>
      </c>
      <c r="L89" s="27">
        <v>1402878.63</v>
      </c>
      <c r="M89" s="160">
        <v>4866794.8499999996</v>
      </c>
      <c r="N89" s="19">
        <v>657862218</v>
      </c>
      <c r="O89" s="27">
        <v>16274161.5</v>
      </c>
      <c r="P89" s="21">
        <v>653661810.33000004</v>
      </c>
      <c r="Q89" s="22">
        <f t="shared" si="24"/>
        <v>2.4371567648287093E-3</v>
      </c>
      <c r="R89" s="21">
        <v>641588056.5</v>
      </c>
      <c r="S89" s="22">
        <f t="shared" si="30"/>
        <v>2.2676381396585297E-3</v>
      </c>
      <c r="T89" s="23">
        <f t="shared" si="25"/>
        <v>-1.8470948798285508E-2</v>
      </c>
      <c r="U89" s="58">
        <f t="shared" si="26"/>
        <v>2.1865722339860917E-3</v>
      </c>
      <c r="V89" s="24">
        <f t="shared" si="27"/>
        <v>7.5855446507988415E-3</v>
      </c>
      <c r="W89" s="25">
        <f t="shared" si="28"/>
        <v>46930.587118718453</v>
      </c>
      <c r="X89" s="25">
        <f t="shared" si="29"/>
        <v>355.99406407724376</v>
      </c>
      <c r="Y89" s="27">
        <v>114.1827</v>
      </c>
      <c r="Z89" s="27">
        <v>117.07899999999999</v>
      </c>
      <c r="AA89" s="26">
        <v>31</v>
      </c>
      <c r="AB89" s="26">
        <v>13704</v>
      </c>
      <c r="AC89" s="26">
        <v>1</v>
      </c>
      <c r="AD89" s="26">
        <v>34</v>
      </c>
      <c r="AE89" s="142">
        <v>13671</v>
      </c>
      <c r="AF89" s="5"/>
    </row>
    <row r="90" spans="1:241" ht="16.5" customHeight="1" x14ac:dyDescent="0.3">
      <c r="A90" s="164">
        <v>79</v>
      </c>
      <c r="B90" s="57" t="s">
        <v>31</v>
      </c>
      <c r="C90" s="57" t="s">
        <v>96</v>
      </c>
      <c r="D90" s="28"/>
      <c r="E90" s="28"/>
      <c r="F90" s="28"/>
      <c r="G90" s="20">
        <v>732870331.27999997</v>
      </c>
      <c r="H90" s="28"/>
      <c r="I90" s="28"/>
      <c r="J90" s="20">
        <v>732870331.27999997</v>
      </c>
      <c r="K90" s="20">
        <v>4793965.38</v>
      </c>
      <c r="L90" s="20">
        <v>1535415.67</v>
      </c>
      <c r="M90" s="160">
        <v>3258549.71</v>
      </c>
      <c r="N90" s="19">
        <v>751399027.92999995</v>
      </c>
      <c r="O90" s="27">
        <v>12665803.050000001</v>
      </c>
      <c r="P90" s="21">
        <v>722416130.63</v>
      </c>
      <c r="Q90" s="22">
        <f t="shared" si="24"/>
        <v>2.6935050081898287E-3</v>
      </c>
      <c r="R90" s="21">
        <v>738733224.88</v>
      </c>
      <c r="S90" s="22">
        <f t="shared" si="30"/>
        <v>2.6109894328602257E-3</v>
      </c>
      <c r="T90" s="23">
        <f t="shared" si="25"/>
        <v>2.2586835423747106E-2</v>
      </c>
      <c r="U90" s="58">
        <f t="shared" si="26"/>
        <v>2.0784440421634117E-3</v>
      </c>
      <c r="V90" s="24">
        <f t="shared" si="27"/>
        <v>4.4109965549868416E-3</v>
      </c>
      <c r="W90" s="25">
        <f t="shared" si="28"/>
        <v>43834.078668835937</v>
      </c>
      <c r="X90" s="25">
        <f t="shared" si="29"/>
        <v>193.35196999925753</v>
      </c>
      <c r="Y90" s="186">
        <f>415.65*105.5861</f>
        <v>43886.862464999998</v>
      </c>
      <c r="Z90" s="186">
        <f>415.65*105.5861</f>
        <v>43886.862464999998</v>
      </c>
      <c r="AA90" s="26">
        <v>188</v>
      </c>
      <c r="AB90" s="26">
        <v>16542.2935</v>
      </c>
      <c r="AC90" s="26">
        <v>451.5265</v>
      </c>
      <c r="AD90" s="26">
        <v>140.87710000000001</v>
      </c>
      <c r="AE90" s="142">
        <v>16852.942899999998</v>
      </c>
      <c r="AF90" s="5"/>
    </row>
    <row r="91" spans="1:241" ht="16.5" customHeight="1" x14ac:dyDescent="0.3">
      <c r="A91" s="164">
        <v>80</v>
      </c>
      <c r="B91" s="56" t="s">
        <v>35</v>
      </c>
      <c r="C91" s="57" t="s">
        <v>97</v>
      </c>
      <c r="D91" s="20"/>
      <c r="E91" s="28"/>
      <c r="F91" s="20"/>
      <c r="G91" s="20">
        <f>415.65*11926582.94</f>
        <v>4957284199.0109997</v>
      </c>
      <c r="H91" s="20"/>
      <c r="I91" s="28"/>
      <c r="J91" s="73">
        <f>415.65*11926582.94</f>
        <v>4957284199.0109997</v>
      </c>
      <c r="K91" s="73">
        <f>415.65*31062.4</f>
        <v>12911086.560000001</v>
      </c>
      <c r="L91" s="73">
        <f>415.65*42235.3</f>
        <v>17555102.445</v>
      </c>
      <c r="M91" s="161">
        <f>415.65*52.1</f>
        <v>21655.364999999998</v>
      </c>
      <c r="N91" s="73">
        <f>415.65*14404868</f>
        <v>5987383384.1999998</v>
      </c>
      <c r="O91" s="73">
        <f>415.65*265964</f>
        <v>110547936.59999999</v>
      </c>
      <c r="P91" s="21">
        <f>415.69*14700723</f>
        <v>6110943543.8699999</v>
      </c>
      <c r="Q91" s="139">
        <f t="shared" si="24"/>
        <v>2.2784453921073079E-2</v>
      </c>
      <c r="R91" s="21">
        <f>415.65*14138903</f>
        <v>5876835031.9499998</v>
      </c>
      <c r="S91" s="22">
        <f t="shared" si="30"/>
        <v>2.0771171040231441E-2</v>
      </c>
      <c r="T91" s="23">
        <f>((R91-P91)/P91)</f>
        <v>-3.8309716042924116E-2</v>
      </c>
      <c r="U91" s="58">
        <f>(L91/R91)</f>
        <v>2.9871695137875976E-3</v>
      </c>
      <c r="V91" s="24">
        <f>M91/R91</f>
        <v>3.6848686209955608E-6</v>
      </c>
      <c r="W91" s="25">
        <f>R91/AE91</f>
        <v>442.30957195093049</v>
      </c>
      <c r="X91" s="25">
        <f t="shared" si="29"/>
        <v>1.6298526624479619E-3</v>
      </c>
      <c r="Y91" s="186">
        <f>415.65*1.0588</f>
        <v>440.09021999999999</v>
      </c>
      <c r="Z91" s="186">
        <f>415.65*1.0641</f>
        <v>442.29316499999999</v>
      </c>
      <c r="AA91" s="26">
        <v>306</v>
      </c>
      <c r="AB91" s="26">
        <v>13819397</v>
      </c>
      <c r="AC91" s="26">
        <v>68414</v>
      </c>
      <c r="AD91" s="26">
        <v>601110</v>
      </c>
      <c r="AE91" s="142">
        <v>13286701</v>
      </c>
      <c r="AF91" s="5"/>
    </row>
    <row r="92" spans="1:241" ht="16.5" customHeight="1" x14ac:dyDescent="0.3">
      <c r="A92" s="164">
        <v>81</v>
      </c>
      <c r="B92" s="56" t="s">
        <v>158</v>
      </c>
      <c r="C92" s="57" t="s">
        <v>161</v>
      </c>
      <c r="D92" s="28"/>
      <c r="E92" s="19"/>
      <c r="F92" s="27"/>
      <c r="G92" s="19">
        <v>807680339.60000002</v>
      </c>
      <c r="H92" s="19"/>
      <c r="I92" s="27"/>
      <c r="J92" s="27">
        <v>810059653.21000004</v>
      </c>
      <c r="K92" s="27">
        <v>4356972.1500000004</v>
      </c>
      <c r="L92" s="27">
        <v>1599599.93</v>
      </c>
      <c r="M92" s="160">
        <v>2757372.22</v>
      </c>
      <c r="N92" s="19">
        <v>810495828.00999999</v>
      </c>
      <c r="O92" s="27">
        <v>784647223.71000004</v>
      </c>
      <c r="P92" s="21">
        <v>908269094.35000002</v>
      </c>
      <c r="Q92" s="22">
        <f t="shared" si="24"/>
        <v>3.3864517287042033E-3</v>
      </c>
      <c r="R92" s="21">
        <v>797212934.21000004</v>
      </c>
      <c r="S92" s="22">
        <f t="shared" si="30"/>
        <v>2.8176809663595761E-3</v>
      </c>
      <c r="T92" s="23">
        <f>((R92-P92)/P92)</f>
        <v>-0.1222723098593121</v>
      </c>
      <c r="U92" s="58">
        <f>(L92/R92)</f>
        <v>2.0064901877001368E-3</v>
      </c>
      <c r="V92" s="24">
        <f>M92/R92</f>
        <v>3.4587650321208402E-3</v>
      </c>
      <c r="W92" s="25">
        <f>R92/AE92</f>
        <v>42538.668591689835</v>
      </c>
      <c r="X92" s="25">
        <f t="shared" si="29"/>
        <v>147.13125943791385</v>
      </c>
      <c r="Y92" s="27">
        <v>102.34</v>
      </c>
      <c r="Z92" s="27">
        <v>102.34</v>
      </c>
      <c r="AA92" s="26">
        <v>36</v>
      </c>
      <c r="AB92" s="26">
        <v>21363.919999999998</v>
      </c>
      <c r="AC92" s="26">
        <v>195.62</v>
      </c>
      <c r="AD92" s="26">
        <v>2818.63</v>
      </c>
      <c r="AE92" s="142">
        <v>18740.900000000001</v>
      </c>
      <c r="AF92" s="5"/>
    </row>
    <row r="93" spans="1:241" ht="16.5" customHeight="1" x14ac:dyDescent="0.3">
      <c r="A93" s="164">
        <v>82</v>
      </c>
      <c r="B93" s="56" t="s">
        <v>42</v>
      </c>
      <c r="C93" s="57" t="s">
        <v>203</v>
      </c>
      <c r="D93" s="28"/>
      <c r="E93" s="19"/>
      <c r="F93" s="19"/>
      <c r="G93" s="19">
        <f>415.65*6472995.9</f>
        <v>2690500745.835</v>
      </c>
      <c r="H93" s="19"/>
      <c r="I93" s="19"/>
      <c r="J93" s="19">
        <f>415.65*6472995.9</f>
        <v>2690500745.835</v>
      </c>
      <c r="K93" s="19">
        <f>415.65*98746</f>
        <v>41043774.899999999</v>
      </c>
      <c r="L93" s="19">
        <f>415.65*5878.6</f>
        <v>2443440.09</v>
      </c>
      <c r="M93" s="160">
        <f>415.65*92867.4</f>
        <v>38600334.809999995</v>
      </c>
      <c r="N93" s="172">
        <f>415.65*7230454.22</f>
        <v>3005338296.5429997</v>
      </c>
      <c r="O93" s="172">
        <f>415.65*5878.6</f>
        <v>2443440.09</v>
      </c>
      <c r="P93" s="21">
        <f>415.69*7318450.23</f>
        <v>3042206576.1087003</v>
      </c>
      <c r="Q93" s="22">
        <f t="shared" si="24"/>
        <v>1.1342768110051573E-2</v>
      </c>
      <c r="R93" s="21">
        <f>415.65*7224575.62</f>
        <v>3002894856.4530001</v>
      </c>
      <c r="S93" s="22">
        <f t="shared" si="30"/>
        <v>1.0613475168201247E-2</v>
      </c>
      <c r="T93" s="23">
        <f>((R93-P93)/P93)</f>
        <v>-1.2922107250844221E-2</v>
      </c>
      <c r="U93" s="58">
        <f>(L93/R93)</f>
        <v>8.136948534009531E-4</v>
      </c>
      <c r="V93" s="24">
        <f>M93/R93</f>
        <v>1.2854374413759681E-2</v>
      </c>
      <c r="W93" s="25">
        <f>R93/AE93</f>
        <v>50273.523265301817</v>
      </c>
      <c r="X93" s="25">
        <f t="shared" si="29"/>
        <v>646.23469115104774</v>
      </c>
      <c r="Y93" s="27">
        <f>415.65*120.63</f>
        <v>50139.859499999999</v>
      </c>
      <c r="Z93" s="27">
        <f>415.65*121.47</f>
        <v>50489.005499999999</v>
      </c>
      <c r="AA93" s="26">
        <v>289</v>
      </c>
      <c r="AB93" s="26">
        <v>60770.16</v>
      </c>
      <c r="AC93" s="19">
        <v>4403.59</v>
      </c>
      <c r="AD93" s="19">
        <v>5442.62</v>
      </c>
      <c r="AE93" s="142">
        <v>59731.14</v>
      </c>
      <c r="AF93" s="5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</row>
    <row r="94" spans="1:241" ht="6" customHeight="1" x14ac:dyDescent="0.3">
      <c r="A94" s="164"/>
      <c r="B94" s="56"/>
      <c r="C94" s="57"/>
      <c r="D94" s="70"/>
      <c r="E94" s="70"/>
      <c r="F94" s="70"/>
      <c r="G94" s="70"/>
      <c r="H94" s="70"/>
      <c r="I94" s="52"/>
      <c r="J94" s="54"/>
      <c r="K94" s="54"/>
      <c r="L94" s="54"/>
      <c r="M94" s="160"/>
      <c r="N94" s="19"/>
      <c r="O94" s="19"/>
      <c r="P94" s="77"/>
      <c r="Q94" s="22"/>
      <c r="R94" s="29"/>
      <c r="S94" s="22"/>
      <c r="T94" s="23"/>
      <c r="U94" s="58"/>
      <c r="V94" s="24"/>
      <c r="W94" s="25"/>
      <c r="X94" s="25"/>
      <c r="Y94" s="19"/>
      <c r="Z94" s="19"/>
      <c r="AA94" s="26"/>
      <c r="AB94" s="26"/>
      <c r="AC94" s="26"/>
      <c r="AD94" s="26"/>
      <c r="AE94" s="104"/>
      <c r="AF94" s="5"/>
    </row>
    <row r="95" spans="1:241" ht="16.5" customHeight="1" x14ac:dyDescent="0.3">
      <c r="A95" s="209" t="s">
        <v>178</v>
      </c>
      <c r="B95" s="210"/>
      <c r="C95" s="210"/>
      <c r="D95" s="85"/>
      <c r="E95" s="85"/>
      <c r="F95" s="85"/>
      <c r="G95" s="85"/>
      <c r="H95" s="85"/>
      <c r="I95" s="85"/>
      <c r="J95" s="85"/>
      <c r="K95" s="85"/>
      <c r="L95" s="85"/>
      <c r="M95" s="159"/>
      <c r="N95" s="85"/>
      <c r="O95" s="85"/>
      <c r="P95" s="190"/>
      <c r="Q95" s="86"/>
      <c r="R95" s="85"/>
      <c r="S95" s="86"/>
      <c r="T95" s="86"/>
      <c r="U95" s="87"/>
      <c r="V95" s="88"/>
      <c r="W95" s="89"/>
      <c r="X95" s="89"/>
      <c r="Y95" s="85"/>
      <c r="Z95" s="85"/>
      <c r="AA95" s="85"/>
      <c r="AB95" s="85"/>
      <c r="AC95" s="85"/>
      <c r="AD95" s="85"/>
      <c r="AE95" s="111"/>
      <c r="AF95" s="5"/>
    </row>
    <row r="96" spans="1:241" ht="16.5" customHeight="1" x14ac:dyDescent="0.3">
      <c r="A96" s="164">
        <v>83</v>
      </c>
      <c r="B96" s="57" t="s">
        <v>23</v>
      </c>
      <c r="C96" s="57" t="s">
        <v>110</v>
      </c>
      <c r="D96" s="52"/>
      <c r="E96" s="52"/>
      <c r="F96" s="52">
        <f>415.65*113147777.18</f>
        <v>47029873584.866997</v>
      </c>
      <c r="G96" s="52">
        <f>415.65*302327856.96</f>
        <v>125662573745.42398</v>
      </c>
      <c r="H96" s="52"/>
      <c r="I96" s="52"/>
      <c r="J96" s="52">
        <f>415.65*415475634.14</f>
        <v>172692447330.29099</v>
      </c>
      <c r="K96" s="52">
        <f>415.65*2528367.88</f>
        <v>1050916109.3219999</v>
      </c>
      <c r="L96" s="52">
        <f>415.65*701955.61</f>
        <v>291767849.29649997</v>
      </c>
      <c r="M96" s="161">
        <f>415.65*1826412.27</f>
        <v>759148260.02549994</v>
      </c>
      <c r="N96" s="52">
        <f>415.65*416961919.39</f>
        <v>173310221794.45349</v>
      </c>
      <c r="O96" s="52">
        <f>415.65*1551862.92</f>
        <v>645031822.69799995</v>
      </c>
      <c r="P96" s="77">
        <f>415.69*422739391.1</f>
        <v>175728537486.35901</v>
      </c>
      <c r="Q96" s="22">
        <f t="shared" ref="Q96:Q102" si="31">(P96/$P$103)</f>
        <v>0.65519812713568171</v>
      </c>
      <c r="R96" s="29">
        <f>415.65*415410056.47</f>
        <v>172665189971.75549</v>
      </c>
      <c r="S96" s="22">
        <f t="shared" ref="S96:S102" si="32">(R96/$R$103)</f>
        <v>0.61027035370216287</v>
      </c>
      <c r="T96" s="23">
        <f t="shared" ref="T96:T103" si="33">((R96-P96)/P96)</f>
        <v>-1.7432271151982408E-2</v>
      </c>
      <c r="U96" s="58">
        <f t="shared" ref="U96:U102" si="34">(L96/R96)</f>
        <v>1.6897896405420644E-3</v>
      </c>
      <c r="V96" s="24">
        <f>M96/R96</f>
        <v>4.396649145955135E-3</v>
      </c>
      <c r="W96" s="25">
        <f t="shared" ref="W96:W102" si="35">R96/AE96</f>
        <v>547.96762054960436</v>
      </c>
      <c r="X96" s="25">
        <f>M96/AE96</f>
        <v>2.4092213709004859</v>
      </c>
      <c r="Y96" s="19">
        <f>415.65*1.3183</f>
        <v>547.95139499999993</v>
      </c>
      <c r="Z96" s="19">
        <f>415.65*1.3183</f>
        <v>547.95139499999993</v>
      </c>
      <c r="AA96" s="42">
        <v>4106</v>
      </c>
      <c r="AB96" s="42">
        <v>322056416.41000003</v>
      </c>
      <c r="AC96" s="42">
        <v>7630663.2800000003</v>
      </c>
      <c r="AD96" s="42">
        <v>14585998</v>
      </c>
      <c r="AE96" s="142">
        <v>315101081.69999999</v>
      </c>
      <c r="AF96" s="5"/>
    </row>
    <row r="97" spans="1:241" ht="16.5" customHeight="1" x14ac:dyDescent="0.3">
      <c r="A97" s="164">
        <v>84</v>
      </c>
      <c r="B97" s="56" t="s">
        <v>44</v>
      </c>
      <c r="C97" s="56" t="s">
        <v>113</v>
      </c>
      <c r="D97" s="52"/>
      <c r="E97" s="52"/>
      <c r="F97" s="52">
        <f>415.65*680300.93</f>
        <v>282767081.55449998</v>
      </c>
      <c r="G97" s="52">
        <v>0</v>
      </c>
      <c r="H97" s="52"/>
      <c r="I97" s="52"/>
      <c r="J97" s="52">
        <f>415.65*4020622.35</f>
        <v>1671171679.7774999</v>
      </c>
      <c r="K97" s="52">
        <f>415.65*23163.86</f>
        <v>9628058.409</v>
      </c>
      <c r="L97" s="52">
        <f>415.65*10278.47</f>
        <v>4272246.0554999998</v>
      </c>
      <c r="M97" s="161">
        <f>415.65*12885.39</f>
        <v>5355812.3534999993</v>
      </c>
      <c r="N97" s="52">
        <f>415.65*4244508.78</f>
        <v>1764230074.4070001</v>
      </c>
      <c r="O97" s="52">
        <f>415.65*38776.7</f>
        <v>16117535.354999999</v>
      </c>
      <c r="P97" s="77">
        <f>415.69*4304297.27</f>
        <v>1789253332.1662998</v>
      </c>
      <c r="Q97" s="22">
        <f t="shared" si="31"/>
        <v>6.6711727587082372E-3</v>
      </c>
      <c r="R97" s="29">
        <f>415.65*4205732.08</f>
        <v>1748112539.052</v>
      </c>
      <c r="S97" s="22">
        <f t="shared" si="32"/>
        <v>6.1785543321902945E-3</v>
      </c>
      <c r="T97" s="23">
        <f t="shared" si="33"/>
        <v>-2.2993274554637518E-2</v>
      </c>
      <c r="U97" s="58">
        <f t="shared" si="34"/>
        <v>2.4439193473303699E-3</v>
      </c>
      <c r="V97" s="24">
        <f>M97/R97</f>
        <v>3.0637686269354555E-3</v>
      </c>
      <c r="W97" s="25">
        <f t="shared" si="35"/>
        <v>451.87357225241033</v>
      </c>
      <c r="X97" s="25">
        <f>M97/AE97</f>
        <v>1.3844360740081865</v>
      </c>
      <c r="Y97" s="19">
        <f>415.65*1.09</f>
        <v>453.05849999999998</v>
      </c>
      <c r="Z97" s="19">
        <f>415.65*1.09</f>
        <v>453.05849999999998</v>
      </c>
      <c r="AA97" s="42">
        <v>256</v>
      </c>
      <c r="AB97" s="42">
        <v>4024479.25</v>
      </c>
      <c r="AC97" s="42">
        <v>35293.39</v>
      </c>
      <c r="AD97" s="42">
        <v>191184.95</v>
      </c>
      <c r="AE97" s="142">
        <v>3868587.69</v>
      </c>
      <c r="AF97" s="5"/>
    </row>
    <row r="98" spans="1:241" ht="16.5" customHeight="1" x14ac:dyDescent="0.3">
      <c r="A98" s="164">
        <v>85</v>
      </c>
      <c r="B98" s="57" t="s">
        <v>65</v>
      </c>
      <c r="C98" s="57" t="s">
        <v>119</v>
      </c>
      <c r="D98" s="52"/>
      <c r="E98" s="52"/>
      <c r="F98" s="52"/>
      <c r="G98" s="52">
        <f>415.65*11605340.89</f>
        <v>4823759940.9285002</v>
      </c>
      <c r="H98" s="52"/>
      <c r="I98" s="52"/>
      <c r="J98" s="52">
        <f>415.65*11605340.89</f>
        <v>4823759940.9285002</v>
      </c>
      <c r="K98" s="52">
        <f>415.65*68551.04</f>
        <v>28493239.775999997</v>
      </c>
      <c r="L98" s="52">
        <f>415.65*19095.05</f>
        <v>7936857.5324999988</v>
      </c>
      <c r="M98" s="161">
        <f>415.65*49455.99</f>
        <v>20556382.243499998</v>
      </c>
      <c r="N98" s="52">
        <f>415.65*13298794.86</f>
        <v>5527644083.5589991</v>
      </c>
      <c r="O98" s="52">
        <f>415.65*171646.22</f>
        <v>71344751.342999995</v>
      </c>
      <c r="P98" s="77">
        <f>415.69*11373534.47</f>
        <v>4727864543.8343</v>
      </c>
      <c r="Q98" s="22">
        <f t="shared" si="31"/>
        <v>1.7627688927371214E-2</v>
      </c>
      <c r="R98" s="29">
        <f>415.65*13127148.64</f>
        <v>5456299332.2159996</v>
      </c>
      <c r="S98" s="22">
        <f t="shared" si="32"/>
        <v>1.9284823558940997E-2</v>
      </c>
      <c r="T98" s="23">
        <f t="shared" si="33"/>
        <v>0.15407268580307901</v>
      </c>
      <c r="U98" s="58">
        <f t="shared" si="34"/>
        <v>1.4546228220357837E-3</v>
      </c>
      <c r="V98" s="24" t="e">
        <f>#REF!/R98</f>
        <v>#REF!</v>
      </c>
      <c r="W98" s="25">
        <f t="shared" si="35"/>
        <v>44708.007277893856</v>
      </c>
      <c r="X98" s="25" t="e">
        <f>#REF!/AE98</f>
        <v>#REF!</v>
      </c>
      <c r="Y98" s="19">
        <f>415.65*109.66</f>
        <v>45580.178999999996</v>
      </c>
      <c r="Z98" s="19">
        <f>415.65*109.66</f>
        <v>45580.178999999996</v>
      </c>
      <c r="AA98" s="42">
        <v>612</v>
      </c>
      <c r="AB98" s="42">
        <v>105109</v>
      </c>
      <c r="AC98" s="42">
        <v>25047</v>
      </c>
      <c r="AD98" s="42">
        <v>8113</v>
      </c>
      <c r="AE98" s="142">
        <v>122043</v>
      </c>
      <c r="AF98" s="5"/>
    </row>
    <row r="99" spans="1:241" ht="16.5" customHeight="1" x14ac:dyDescent="0.3">
      <c r="A99" s="164">
        <v>86</v>
      </c>
      <c r="B99" s="56" t="s">
        <v>121</v>
      </c>
      <c r="C99" s="57" t="s">
        <v>122</v>
      </c>
      <c r="D99" s="52"/>
      <c r="E99" s="52"/>
      <c r="F99" s="52"/>
      <c r="G99" s="52">
        <f>415.65*932863.04</f>
        <v>387744522.57599998</v>
      </c>
      <c r="H99" s="52"/>
      <c r="I99" s="52"/>
      <c r="J99" s="52">
        <f>415.65*932863.04</f>
        <v>387744522.57599998</v>
      </c>
      <c r="K99" s="52">
        <f>415.65*6993.99</f>
        <v>2907051.9434999996</v>
      </c>
      <c r="L99" s="52">
        <f>415.65*1773.93</f>
        <v>737334.00450000004</v>
      </c>
      <c r="M99" s="161">
        <f>415.65*5220.06</f>
        <v>2169717.9390000002</v>
      </c>
      <c r="N99" s="52">
        <f>415.65*1150887.06</f>
        <v>478366206.48900002</v>
      </c>
      <c r="O99" s="52">
        <f>415.65*42018.99</f>
        <v>17465193.193499997</v>
      </c>
      <c r="P99" s="77">
        <f>415.69*1063392.54</f>
        <v>442041644.9526</v>
      </c>
      <c r="Q99" s="22">
        <f t="shared" si="31"/>
        <v>1.6481378723783083E-3</v>
      </c>
      <c r="R99" s="29">
        <f>415.65*1108868.07</f>
        <v>460901013.29549998</v>
      </c>
      <c r="S99" s="22">
        <f t="shared" si="32"/>
        <v>1.6290152314519261E-3</v>
      </c>
      <c r="T99" s="23">
        <f t="shared" si="33"/>
        <v>4.2664234373035743E-2</v>
      </c>
      <c r="U99" s="58">
        <f t="shared" si="34"/>
        <v>1.5997665078407389E-3</v>
      </c>
      <c r="V99" s="24">
        <f>M98/R99</f>
        <v>4.460042753327724E-2</v>
      </c>
      <c r="W99" s="25">
        <f t="shared" si="35"/>
        <v>43849.397135905238</v>
      </c>
      <c r="X99" s="25">
        <f>M98/AE99</f>
        <v>1955.7018593378364</v>
      </c>
      <c r="Y99" s="19">
        <f>415.65*105.5</f>
        <v>43851.074999999997</v>
      </c>
      <c r="Z99" s="19">
        <f>415.65*105.5</f>
        <v>43851.074999999997</v>
      </c>
      <c r="AA99" s="42">
        <v>25</v>
      </c>
      <c r="AB99" s="42">
        <v>10131</v>
      </c>
      <c r="AC99" s="42">
        <v>380</v>
      </c>
      <c r="AD99" s="42">
        <v>0</v>
      </c>
      <c r="AE99" s="142">
        <v>10511</v>
      </c>
      <c r="AF99" s="5"/>
    </row>
    <row r="100" spans="1:241" ht="15.75" customHeight="1" x14ac:dyDescent="0.3">
      <c r="A100" s="164">
        <v>87</v>
      </c>
      <c r="B100" s="56" t="s">
        <v>82</v>
      </c>
      <c r="C100" s="57" t="s">
        <v>123</v>
      </c>
      <c r="D100" s="52"/>
      <c r="E100" s="52"/>
      <c r="F100" s="52">
        <f>415.65*794040.62</f>
        <v>330042983.70300001</v>
      </c>
      <c r="G100" s="52">
        <f>415.65*3968704.75</f>
        <v>1649592129.3374999</v>
      </c>
      <c r="H100" s="52"/>
      <c r="I100" s="52"/>
      <c r="J100" s="52">
        <f>415.65*4762745.37</f>
        <v>1979635113.0404999</v>
      </c>
      <c r="K100" s="52">
        <f>415.65*24222.13</f>
        <v>10067928.3345</v>
      </c>
      <c r="L100" s="52">
        <f>415.65*6445.6</f>
        <v>2679113.64</v>
      </c>
      <c r="M100" s="161">
        <f>415.65*18608.06</f>
        <v>7734440.1390000004</v>
      </c>
      <c r="N100" s="52">
        <f>415.65*4789433.11</f>
        <v>1990727872.1715</v>
      </c>
      <c r="O100" s="52">
        <f>415.65*11304.33</f>
        <v>4698644.7644999996</v>
      </c>
      <c r="P100" s="77">
        <f>415.69*4728772.08</f>
        <v>1965703265.9352</v>
      </c>
      <c r="Q100" s="22">
        <f t="shared" si="31"/>
        <v>7.329060588381734E-3</v>
      </c>
      <c r="R100" s="29">
        <f>415.65*4778128.78</f>
        <v>1986029227.4070001</v>
      </c>
      <c r="S100" s="22">
        <f t="shared" si="32"/>
        <v>7.0194505289153195E-3</v>
      </c>
      <c r="T100" s="23">
        <f t="shared" si="33"/>
        <v>1.0340299995447095E-2</v>
      </c>
      <c r="U100" s="58">
        <f t="shared" si="34"/>
        <v>1.3489799661699365E-3</v>
      </c>
      <c r="V100" s="24">
        <f>M100/R100</f>
        <v>3.8944241264254917E-3</v>
      </c>
      <c r="W100" s="25">
        <f t="shared" si="35"/>
        <v>457.75915481603045</v>
      </c>
      <c r="X100" s="25">
        <f>M100/AE100</f>
        <v>1.7827082966076908</v>
      </c>
      <c r="Y100" s="19">
        <f>415.65*0.0011</f>
        <v>0.45721499999999998</v>
      </c>
      <c r="Z100" s="19">
        <f>415.65*0.0011</f>
        <v>0.45721499999999998</v>
      </c>
      <c r="AA100" s="42">
        <v>133</v>
      </c>
      <c r="AB100" s="42">
        <v>4304828.63</v>
      </c>
      <c r="AC100" s="42">
        <v>207315.11</v>
      </c>
      <c r="AD100" s="42">
        <v>173553.88</v>
      </c>
      <c r="AE100" s="142">
        <v>4338589.8600000003</v>
      </c>
      <c r="AF100" s="5"/>
    </row>
    <row r="101" spans="1:241" ht="16.5" customHeight="1" x14ac:dyDescent="0.3">
      <c r="A101" s="164">
        <v>88</v>
      </c>
      <c r="B101" s="56" t="s">
        <v>89</v>
      </c>
      <c r="C101" s="57" t="s">
        <v>124</v>
      </c>
      <c r="D101" s="52"/>
      <c r="E101" s="52"/>
      <c r="F101" s="52"/>
      <c r="G101" s="52">
        <f>410.64*173980</f>
        <v>71443147.200000003</v>
      </c>
      <c r="H101" s="52"/>
      <c r="I101" s="52"/>
      <c r="J101" s="52">
        <f>410.64*215774.75</f>
        <v>88605743.340000004</v>
      </c>
      <c r="K101" s="52">
        <f>410.64*1308.29</f>
        <v>537236.20559999999</v>
      </c>
      <c r="L101" s="52">
        <f>410.64*90.81</f>
        <v>37290.218399999998</v>
      </c>
      <c r="M101" s="161">
        <f>410.64*1217.48</f>
        <v>499945.98719999997</v>
      </c>
      <c r="N101" s="52">
        <f>410.64*223434.6</f>
        <v>91751184.143999994</v>
      </c>
      <c r="O101" s="52">
        <f>410.64*2728.03</f>
        <v>1120238.2392</v>
      </c>
      <c r="P101" s="77">
        <f>410.64*226291.63</f>
        <v>92924394.943199992</v>
      </c>
      <c r="Q101" s="22">
        <f t="shared" si="31"/>
        <v>3.46465579255886E-4</v>
      </c>
      <c r="R101" s="29">
        <f>410.64*221776.42</f>
        <v>91070269.108800009</v>
      </c>
      <c r="S101" s="22">
        <f t="shared" si="32"/>
        <v>3.2188008103932171E-4</v>
      </c>
      <c r="T101" s="23">
        <f t="shared" si="33"/>
        <v>-1.9953057919110662E-2</v>
      </c>
      <c r="U101" s="58">
        <f t="shared" si="34"/>
        <v>4.094664347093347E-4</v>
      </c>
      <c r="V101" s="24">
        <f>M101/R101</f>
        <v>5.4896728876766962E-3</v>
      </c>
      <c r="W101" s="25">
        <f t="shared" si="35"/>
        <v>356.4603366491184</v>
      </c>
      <c r="X101" s="25">
        <f>M101/AE101</f>
        <v>1.956850645634773</v>
      </c>
      <c r="Y101" s="19">
        <v>414.5</v>
      </c>
      <c r="Z101" s="19">
        <v>414.5</v>
      </c>
      <c r="AA101" s="42">
        <v>2</v>
      </c>
      <c r="AB101" s="42">
        <v>255485</v>
      </c>
      <c r="AC101" s="42">
        <v>0</v>
      </c>
      <c r="AD101" s="42">
        <v>0</v>
      </c>
      <c r="AE101" s="42">
        <v>255485</v>
      </c>
      <c r="AF101" s="5"/>
    </row>
    <row r="102" spans="1:241" ht="16.5" customHeight="1" x14ac:dyDescent="0.3">
      <c r="A102" s="164">
        <v>89</v>
      </c>
      <c r="B102" s="56" t="s">
        <v>29</v>
      </c>
      <c r="C102" s="56" t="s">
        <v>181</v>
      </c>
      <c r="D102" s="52"/>
      <c r="E102" s="52"/>
      <c r="F102" s="187">
        <f>415.65*160909.4</f>
        <v>66881992.109999992</v>
      </c>
      <c r="G102" s="52">
        <f>415.65*6339015.5</f>
        <v>2634811792.5749998</v>
      </c>
      <c r="H102" s="52"/>
      <c r="I102" s="52"/>
      <c r="J102" s="52">
        <f>415.65*6499924.9</f>
        <v>2701693784.6849999</v>
      </c>
      <c r="K102" s="52">
        <f>415.65*43836.95</f>
        <v>18220828.267499998</v>
      </c>
      <c r="L102" s="52">
        <f>415.65*11449.9</f>
        <v>4759150.9349999996</v>
      </c>
      <c r="M102" s="161">
        <f>415.65*32387.1</f>
        <v>13461698.114999998</v>
      </c>
      <c r="N102" s="52">
        <f>415.65*6543816.4</f>
        <v>2719937286.6599998</v>
      </c>
      <c r="O102" s="52">
        <f>415.65*26727.9</f>
        <v>11109451.635</v>
      </c>
      <c r="P102" s="77">
        <f>415.69*5445127.9</f>
        <v>2263485216.7509999</v>
      </c>
      <c r="Q102" s="139">
        <f t="shared" si="31"/>
        <v>8.439330890861586E-3</v>
      </c>
      <c r="R102" s="29">
        <f>415.65*6517088.5</f>
        <v>2708827835.0249996</v>
      </c>
      <c r="S102" s="22">
        <f t="shared" si="32"/>
        <v>9.5741204192309227E-3</v>
      </c>
      <c r="T102" s="23">
        <f t="shared" si="33"/>
        <v>0.19675084024327899</v>
      </c>
      <c r="U102" s="58">
        <f t="shared" si="34"/>
        <v>1.7569041758447811E-3</v>
      </c>
      <c r="V102" s="24">
        <f>M102/R102</f>
        <v>4.9695657807930643E-3</v>
      </c>
      <c r="W102" s="25">
        <f t="shared" si="35"/>
        <v>430.64502531650999</v>
      </c>
      <c r="X102" s="25">
        <f>M102/AE102</f>
        <v>2.1401187814816907</v>
      </c>
      <c r="Y102" s="19">
        <f>415.65*1.0361</f>
        <v>430.654965</v>
      </c>
      <c r="Z102" s="19">
        <f>415.65*1.0361</f>
        <v>430.654965</v>
      </c>
      <c r="AA102" s="42">
        <v>220</v>
      </c>
      <c r="AB102" s="20">
        <v>5283011</v>
      </c>
      <c r="AC102" s="42">
        <v>1007153</v>
      </c>
      <c r="AD102" s="196">
        <v>0</v>
      </c>
      <c r="AE102" s="142">
        <v>6290164</v>
      </c>
      <c r="AF102" s="5"/>
    </row>
    <row r="103" spans="1:241" ht="16.5" customHeight="1" x14ac:dyDescent="0.3">
      <c r="A103" s="112"/>
      <c r="B103" s="74"/>
      <c r="C103" s="75" t="s">
        <v>52</v>
      </c>
      <c r="D103" s="80">
        <f>SUM(D84:D102)</f>
        <v>415.65</v>
      </c>
      <c r="E103" s="80"/>
      <c r="F103" s="80">
        <f>SUM(F84:F102)</f>
        <v>50646603218.549995</v>
      </c>
      <c r="G103" s="80">
        <f>SUM(G84:G102)</f>
        <v>216468708904.177</v>
      </c>
      <c r="H103" s="80"/>
      <c r="I103" s="80"/>
      <c r="J103" s="80">
        <f t="shared" ref="J103:O103" si="36">SUM(J84:J102)</f>
        <v>269082832362.08545</v>
      </c>
      <c r="K103" s="80">
        <f t="shared" si="36"/>
        <v>1678866905.5475998</v>
      </c>
      <c r="L103" s="80">
        <f t="shared" si="36"/>
        <v>470791575.55089986</v>
      </c>
      <c r="M103" s="80">
        <f t="shared" si="36"/>
        <v>1263086647.4736996</v>
      </c>
      <c r="N103" s="80">
        <f t="shared" si="36"/>
        <v>284569051997.16797</v>
      </c>
      <c r="O103" s="80">
        <f t="shared" si="36"/>
        <v>2408562551.6382003</v>
      </c>
      <c r="P103" s="152">
        <f>SUM(P85:P102)</f>
        <v>268206715203.21402</v>
      </c>
      <c r="Q103" s="83">
        <f>(P103/$P$151)</f>
        <v>0.19048529798375094</v>
      </c>
      <c r="R103" s="36">
        <f>SUM(R85:R102)</f>
        <v>282932292096.92731</v>
      </c>
      <c r="S103" s="83">
        <f>(R103/$R$151)</f>
        <v>0.19848168363808039</v>
      </c>
      <c r="T103" s="37">
        <f t="shared" si="33"/>
        <v>5.4903833718540788E-2</v>
      </c>
      <c r="U103" s="50"/>
      <c r="V103" s="38"/>
      <c r="W103" s="39"/>
      <c r="X103" s="39"/>
      <c r="Y103" s="35"/>
      <c r="Z103" s="35"/>
      <c r="AA103" s="127">
        <f>SUM(AA85:AA102)</f>
        <v>9296</v>
      </c>
      <c r="AB103" s="127"/>
      <c r="AC103" s="127"/>
      <c r="AD103" s="127"/>
      <c r="AE103" s="107"/>
      <c r="AF103" s="5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</row>
    <row r="104" spans="1:241" s="65" customFormat="1" ht="16.5" customHeight="1" x14ac:dyDescent="0.3">
      <c r="A104" s="211" t="s">
        <v>125</v>
      </c>
      <c r="B104" s="212"/>
      <c r="C104" s="212"/>
      <c r="D104" s="76"/>
      <c r="E104" s="44"/>
      <c r="F104" s="44"/>
      <c r="G104" s="44"/>
      <c r="H104" s="44"/>
      <c r="I104" s="44"/>
      <c r="J104" s="44"/>
      <c r="K104" s="44"/>
      <c r="L104" s="44"/>
      <c r="M104" s="158"/>
      <c r="N104" s="44"/>
      <c r="O104" s="44"/>
      <c r="P104" s="189">
        <v>0</v>
      </c>
      <c r="Q104" s="23"/>
      <c r="R104" s="44">
        <v>0</v>
      </c>
      <c r="S104" s="23"/>
      <c r="T104" s="23"/>
      <c r="U104" s="23"/>
      <c r="V104" s="45"/>
      <c r="W104" s="46"/>
      <c r="X104" s="46"/>
      <c r="Y104" s="44"/>
      <c r="Z104" s="44"/>
      <c r="AA104" s="44"/>
      <c r="AB104" s="44"/>
      <c r="AC104" s="44"/>
      <c r="AD104" s="44"/>
      <c r="AE104" s="110"/>
      <c r="AF104" s="63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  <c r="HU104" s="64"/>
      <c r="HV104" s="64"/>
      <c r="HW104" s="64"/>
      <c r="HX104" s="64"/>
      <c r="HY104" s="64"/>
      <c r="HZ104" s="64"/>
      <c r="IA104" s="64"/>
      <c r="IB104" s="64"/>
      <c r="IC104" s="64"/>
      <c r="ID104" s="64"/>
      <c r="IE104" s="64"/>
      <c r="IF104" s="64"/>
      <c r="IG104" s="64"/>
    </row>
    <row r="105" spans="1:241" ht="16.5" customHeight="1" x14ac:dyDescent="0.3">
      <c r="A105" s="164">
        <v>90</v>
      </c>
      <c r="B105" s="57" t="s">
        <v>104</v>
      </c>
      <c r="C105" s="57" t="s">
        <v>126</v>
      </c>
      <c r="D105" s="19"/>
      <c r="E105" s="48"/>
      <c r="F105" s="48"/>
      <c r="G105" s="19">
        <v>323003561.97000003</v>
      </c>
      <c r="H105" s="19"/>
      <c r="I105" s="66"/>
      <c r="J105" s="19">
        <v>2145149885.8900001</v>
      </c>
      <c r="K105" s="19">
        <v>20784532.02</v>
      </c>
      <c r="L105" s="20">
        <v>5054495.3499999996</v>
      </c>
      <c r="M105" s="49">
        <v>15730036.67</v>
      </c>
      <c r="N105" s="19">
        <v>2446557865.4299998</v>
      </c>
      <c r="O105" s="19">
        <v>111805325.48999999</v>
      </c>
      <c r="P105" s="77">
        <v>2319022501.3600001</v>
      </c>
      <c r="Q105" s="22">
        <f>(P105/$P$109)</f>
        <v>5.0828255705535536E-2</v>
      </c>
      <c r="R105" s="29">
        <v>2334752538.0300002</v>
      </c>
      <c r="S105" s="22">
        <f>(R105/$R$109)</f>
        <v>5.1443929876807355E-2</v>
      </c>
      <c r="T105" s="23">
        <f>((R105-P105)/P105)</f>
        <v>6.7830461587910992E-3</v>
      </c>
      <c r="U105" s="58">
        <f>(L105/R105)</f>
        <v>2.1648955371796463E-3</v>
      </c>
      <c r="V105" s="24">
        <f>M105/R105</f>
        <v>6.7373464269890335E-3</v>
      </c>
      <c r="W105" s="25">
        <f>R105/AE105</f>
        <v>116.73762690150001</v>
      </c>
      <c r="X105" s="25">
        <f>M105/AE105</f>
        <v>0.78650183350000002</v>
      </c>
      <c r="Y105" s="19">
        <v>69.3</v>
      </c>
      <c r="Z105" s="19">
        <v>69.3</v>
      </c>
      <c r="AA105" s="19">
        <v>2675</v>
      </c>
      <c r="AB105" s="105">
        <v>20000000</v>
      </c>
      <c r="AC105" s="19"/>
      <c r="AD105" s="19"/>
      <c r="AE105" s="105">
        <v>20000000</v>
      </c>
      <c r="AF105" s="5"/>
    </row>
    <row r="106" spans="1:241" ht="16.5" customHeight="1" x14ac:dyDescent="0.3">
      <c r="A106" s="164">
        <v>91</v>
      </c>
      <c r="B106" s="57" t="s">
        <v>104</v>
      </c>
      <c r="C106" s="57" t="s">
        <v>127</v>
      </c>
      <c r="D106" s="19"/>
      <c r="E106" s="48"/>
      <c r="F106" s="48"/>
      <c r="G106" s="19">
        <v>396074967.63</v>
      </c>
      <c r="H106" s="19">
        <v>9932058627.3999996</v>
      </c>
      <c r="I106" s="66"/>
      <c r="J106" s="19">
        <v>10502366033.120001</v>
      </c>
      <c r="K106" s="19">
        <v>40462858.539999999</v>
      </c>
      <c r="L106" s="20">
        <v>17437075.649999999</v>
      </c>
      <c r="M106" s="49">
        <v>23025782.890000001</v>
      </c>
      <c r="N106" s="19">
        <v>10822630264.190001</v>
      </c>
      <c r="O106" s="19">
        <v>1118109259.6800001</v>
      </c>
      <c r="P106" s="77">
        <v>10054415256</v>
      </c>
      <c r="Q106" s="22">
        <f>(P106/$P$109)</f>
        <v>0.22037232898857131</v>
      </c>
      <c r="R106" s="29">
        <v>9704521005</v>
      </c>
      <c r="S106" s="22">
        <f>(R106/$R$109)</f>
        <v>0.21382938445822094</v>
      </c>
      <c r="T106" s="23">
        <f>((R106-P106)/P106)</f>
        <v>-3.4800059684346102E-2</v>
      </c>
      <c r="U106" s="58">
        <f>(L106/R106)</f>
        <v>1.7967992074019935E-3</v>
      </c>
      <c r="V106" s="24">
        <f>M106/R106</f>
        <v>2.3726861818462314E-3</v>
      </c>
      <c r="W106" s="25">
        <f>R106/AE106</f>
        <v>51.584927205530327</v>
      </c>
      <c r="X106" s="25">
        <f>M106/AE106</f>
        <v>0.12239484397210554</v>
      </c>
      <c r="Y106" s="81">
        <v>36.6</v>
      </c>
      <c r="Z106" s="81">
        <v>36.6</v>
      </c>
      <c r="AA106" s="26">
        <v>5251</v>
      </c>
      <c r="AB106" s="26">
        <v>188127066</v>
      </c>
      <c r="AC106" s="26">
        <v>0</v>
      </c>
      <c r="AD106" s="26">
        <v>0</v>
      </c>
      <c r="AE106" s="26">
        <v>188127066</v>
      </c>
      <c r="AF106" s="5"/>
    </row>
    <row r="107" spans="1:241" ht="16.5" customHeight="1" x14ac:dyDescent="0.3">
      <c r="A107" s="164">
        <v>92</v>
      </c>
      <c r="B107" s="56" t="s">
        <v>194</v>
      </c>
      <c r="C107" s="57" t="s">
        <v>128</v>
      </c>
      <c r="D107" s="19"/>
      <c r="E107" s="48"/>
      <c r="F107" s="19">
        <v>2392711529.0999999</v>
      </c>
      <c r="G107" s="19">
        <v>1575430399.8099999</v>
      </c>
      <c r="H107" s="19">
        <v>21480000000</v>
      </c>
      <c r="I107" s="66"/>
      <c r="J107" s="19">
        <v>25448141928.91</v>
      </c>
      <c r="K107" s="19">
        <v>131884568.23999999</v>
      </c>
      <c r="L107" s="48" t="s">
        <v>216</v>
      </c>
      <c r="M107" s="49">
        <v>95972697.790000007</v>
      </c>
      <c r="N107" s="19">
        <v>25859056095.580002</v>
      </c>
      <c r="O107" s="19">
        <v>117748435.19</v>
      </c>
      <c r="P107" s="77">
        <v>25693395246.790001</v>
      </c>
      <c r="Q107" s="22">
        <f>(P107/$P$109)</f>
        <v>0.56314695643589208</v>
      </c>
      <c r="R107" s="29">
        <v>25741307660.389999</v>
      </c>
      <c r="S107" s="22">
        <f>(R107/$R$109)</f>
        <v>0.56718388979064105</v>
      </c>
      <c r="T107" s="23">
        <f>((R107-P107)/P107)</f>
        <v>1.8647754856760087E-3</v>
      </c>
      <c r="U107" s="58">
        <f>(L107/R107)</f>
        <v>1.3951066870336265E-3</v>
      </c>
      <c r="V107" s="24">
        <f>M107/R107</f>
        <v>3.7283536274142007E-3</v>
      </c>
      <c r="W107" s="25">
        <f>R107/AE107</f>
        <v>9.6471918074205014</v>
      </c>
      <c r="X107" s="25">
        <f>M107/AE107</f>
        <v>3.5968142569556785E-2</v>
      </c>
      <c r="Y107" s="81">
        <v>9.64</v>
      </c>
      <c r="Z107" s="81">
        <v>9.64</v>
      </c>
      <c r="AA107" s="26">
        <v>28836</v>
      </c>
      <c r="AB107" s="26">
        <v>2668269500</v>
      </c>
      <c r="AC107" s="26">
        <v>0</v>
      </c>
      <c r="AD107" s="26">
        <v>0</v>
      </c>
      <c r="AE107" s="142">
        <v>2668269500</v>
      </c>
      <c r="AF107" s="5"/>
    </row>
    <row r="108" spans="1:241" ht="16.5" customHeight="1" x14ac:dyDescent="0.3">
      <c r="A108" s="164">
        <v>93</v>
      </c>
      <c r="B108" s="57" t="s">
        <v>29</v>
      </c>
      <c r="C108" s="57" t="s">
        <v>129</v>
      </c>
      <c r="D108" s="19"/>
      <c r="E108" s="48"/>
      <c r="F108" s="19">
        <v>7007499274</v>
      </c>
      <c r="G108" s="173"/>
      <c r="H108" s="19">
        <v>730060000</v>
      </c>
      <c r="I108" s="66"/>
      <c r="J108" s="19">
        <v>7865561365</v>
      </c>
      <c r="K108" s="19">
        <v>63021084</v>
      </c>
      <c r="L108" s="66">
        <v>17028197</v>
      </c>
      <c r="M108" s="49">
        <v>45992887</v>
      </c>
      <c r="N108" s="19">
        <v>7865561365</v>
      </c>
      <c r="O108" s="19">
        <v>261729994</v>
      </c>
      <c r="P108" s="77">
        <v>7557839123</v>
      </c>
      <c r="Q108" s="22">
        <f>(P108/$P$109)</f>
        <v>0.16565245887000107</v>
      </c>
      <c r="R108" s="29">
        <v>7603831372</v>
      </c>
      <c r="S108" s="22">
        <f>(R108/$R$109)</f>
        <v>0.16754279587433071</v>
      </c>
      <c r="T108" s="23">
        <f>((R108-P108)/P108)</f>
        <v>6.0853702032418874E-3</v>
      </c>
      <c r="U108" s="58">
        <f>(L108/R108)</f>
        <v>2.2394232810979808E-3</v>
      </c>
      <c r="V108" s="24">
        <f>M108/R108</f>
        <v>6.0486463665359678E-3</v>
      </c>
      <c r="W108" s="25">
        <f>R108/AE108</f>
        <v>102.54661324342548</v>
      </c>
      <c r="X108" s="25">
        <f>M108/AE108</f>
        <v>0.62026819959541468</v>
      </c>
      <c r="Y108" s="81">
        <v>102.55</v>
      </c>
      <c r="Z108" s="81">
        <v>102.55</v>
      </c>
      <c r="AA108" s="26">
        <v>57</v>
      </c>
      <c r="AB108" s="26">
        <v>74150000</v>
      </c>
      <c r="AC108" s="26">
        <v>0</v>
      </c>
      <c r="AD108" s="26">
        <v>0</v>
      </c>
      <c r="AE108" s="26">
        <v>74150000</v>
      </c>
      <c r="AF108" s="5"/>
    </row>
    <row r="109" spans="1:241" ht="16.5" customHeight="1" x14ac:dyDescent="0.3">
      <c r="A109" s="113"/>
      <c r="B109" s="43"/>
      <c r="C109" s="34" t="s">
        <v>52</v>
      </c>
      <c r="D109" s="35"/>
      <c r="E109" s="35"/>
      <c r="F109" s="35">
        <f t="shared" ref="F109:P109" si="37">SUM(F105:F108)</f>
        <v>9400210803.1000004</v>
      </c>
      <c r="G109" s="35">
        <f t="shared" si="37"/>
        <v>2294508929.4099998</v>
      </c>
      <c r="H109" s="35">
        <f t="shared" si="37"/>
        <v>32142118627.400002</v>
      </c>
      <c r="I109" s="35">
        <f t="shared" si="37"/>
        <v>0</v>
      </c>
      <c r="J109" s="35">
        <f t="shared" si="37"/>
        <v>45961219212.919998</v>
      </c>
      <c r="K109" s="35">
        <f t="shared" si="37"/>
        <v>256153042.80000001</v>
      </c>
      <c r="L109" s="35">
        <f t="shared" si="37"/>
        <v>39519768</v>
      </c>
      <c r="M109" s="35">
        <f t="shared" si="37"/>
        <v>180721404.35000002</v>
      </c>
      <c r="N109" s="35">
        <f t="shared" si="37"/>
        <v>46993805590.200005</v>
      </c>
      <c r="O109" s="35">
        <f t="shared" si="37"/>
        <v>1609393014.3600001</v>
      </c>
      <c r="P109" s="152">
        <f t="shared" si="37"/>
        <v>45624672127.150002</v>
      </c>
      <c r="Q109" s="83">
        <f>(P109/$P$151)</f>
        <v>3.2403473786874665E-2</v>
      </c>
      <c r="R109" s="36">
        <f>SUM(R105:R108)</f>
        <v>45384412575.419998</v>
      </c>
      <c r="S109" s="83">
        <f>(R109/$R$151)</f>
        <v>3.1837916245377414E-2</v>
      </c>
      <c r="T109" s="37">
        <f>((R109-P109)/P109)</f>
        <v>-5.2660006204632301E-3</v>
      </c>
      <c r="U109" s="50"/>
      <c r="V109" s="38"/>
      <c r="W109" s="39"/>
      <c r="X109" s="39"/>
      <c r="Y109" s="35"/>
      <c r="Z109" s="35"/>
      <c r="AA109" s="40">
        <f>SUM(AA105:AA108)</f>
        <v>36819</v>
      </c>
      <c r="AB109" s="40"/>
      <c r="AC109" s="40"/>
      <c r="AD109" s="40"/>
      <c r="AE109" s="107"/>
      <c r="AF109" s="5"/>
    </row>
    <row r="110" spans="1:241" ht="16.5" customHeight="1" x14ac:dyDescent="0.3">
      <c r="A110" s="205" t="s">
        <v>182</v>
      </c>
      <c r="B110" s="203"/>
      <c r="C110" s="203"/>
      <c r="D110" s="44"/>
      <c r="E110" s="44"/>
      <c r="F110" s="44"/>
      <c r="G110" s="44"/>
      <c r="H110" s="44"/>
      <c r="I110" s="44"/>
      <c r="J110" s="44"/>
      <c r="K110" s="44"/>
      <c r="L110" s="44"/>
      <c r="M110" s="158"/>
      <c r="N110" s="44"/>
      <c r="O110" s="44"/>
      <c r="P110" s="189"/>
      <c r="Q110" s="23"/>
      <c r="R110" s="44"/>
      <c r="S110" s="23"/>
      <c r="T110" s="23"/>
      <c r="U110" s="23"/>
      <c r="V110" s="45"/>
      <c r="W110" s="46"/>
      <c r="X110" s="46"/>
      <c r="Y110" s="44"/>
      <c r="Z110" s="44"/>
      <c r="AA110" s="44"/>
      <c r="AB110" s="44"/>
      <c r="AC110" s="44"/>
      <c r="AD110" s="44"/>
      <c r="AE110" s="110"/>
      <c r="AF110" s="5"/>
    </row>
    <row r="111" spans="1:241" s="182" customFormat="1" ht="16.5" customHeight="1" x14ac:dyDescent="0.3">
      <c r="A111" s="164">
        <v>94</v>
      </c>
      <c r="B111" s="57" t="s">
        <v>23</v>
      </c>
      <c r="C111" s="57" t="s">
        <v>130</v>
      </c>
      <c r="D111" s="19">
        <v>959627292</v>
      </c>
      <c r="E111" s="19"/>
      <c r="F111" s="19">
        <v>419789180.85000002</v>
      </c>
      <c r="G111" s="19">
        <v>342179086.94</v>
      </c>
      <c r="H111" s="28"/>
      <c r="I111" s="27"/>
      <c r="J111" s="27">
        <v>1722153559.79</v>
      </c>
      <c r="K111" s="27">
        <v>21689086.800000001</v>
      </c>
      <c r="L111" s="19">
        <v>2914388.59</v>
      </c>
      <c r="M111" s="144">
        <v>39343818.170000002</v>
      </c>
      <c r="N111" s="19">
        <v>1733997874.76</v>
      </c>
      <c r="O111" s="19">
        <v>7170534.0899999999</v>
      </c>
      <c r="P111" s="77">
        <v>1751940774.1500001</v>
      </c>
      <c r="Q111" s="22">
        <f t="shared" ref="Q111:Q133" si="38">(P111/$P$151)</f>
        <v>1.2442602720106951E-3</v>
      </c>
      <c r="R111" s="77">
        <v>1726827340.6700001</v>
      </c>
      <c r="S111" s="22">
        <f t="shared" ref="S111:S132" si="39">(R111/$R$133)</f>
        <v>5.4777065143829656E-2</v>
      </c>
      <c r="T111" s="23">
        <f>((R111-P111)/P111)</f>
        <v>-1.4334636107881249E-2</v>
      </c>
      <c r="U111" s="58">
        <f>(L111/R111)</f>
        <v>1.687712790596211E-3</v>
      </c>
      <c r="V111" s="24">
        <f t="shared" ref="V111:V120" si="40">M111/R111</f>
        <v>2.2783874938379654E-2</v>
      </c>
      <c r="W111" s="25">
        <f>R111/AE111</f>
        <v>3745.0225271856834</v>
      </c>
      <c r="X111" s="25">
        <f>M111/AE111</f>
        <v>85.326124900813127</v>
      </c>
      <c r="Y111" s="19">
        <v>3717.45</v>
      </c>
      <c r="Z111" s="19">
        <v>3760.11</v>
      </c>
      <c r="AA111" s="26">
        <v>1403</v>
      </c>
      <c r="AB111" s="26">
        <v>475194.83</v>
      </c>
      <c r="AC111" s="26">
        <v>8229.67</v>
      </c>
      <c r="AD111" s="26">
        <v>22325.18</v>
      </c>
      <c r="AE111" s="142">
        <v>461099.32</v>
      </c>
      <c r="AF111" s="18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</row>
    <row r="112" spans="1:241" ht="16.5" customHeight="1" x14ac:dyDescent="0.3">
      <c r="A112" s="164">
        <v>95</v>
      </c>
      <c r="B112" s="57" t="s">
        <v>29</v>
      </c>
      <c r="C112" s="57" t="s">
        <v>174</v>
      </c>
      <c r="D112" s="19">
        <v>111742589.3</v>
      </c>
      <c r="E112" s="35"/>
      <c r="F112" s="19">
        <v>34996086.149999999</v>
      </c>
      <c r="G112" s="19">
        <v>53785191.670000002</v>
      </c>
      <c r="H112" s="28"/>
      <c r="I112" s="27"/>
      <c r="J112" s="27">
        <v>203623069.81999999</v>
      </c>
      <c r="K112" s="27">
        <v>1388128.03</v>
      </c>
      <c r="L112" s="19">
        <v>411231.08</v>
      </c>
      <c r="M112" s="144">
        <v>976896.95</v>
      </c>
      <c r="N112" s="19">
        <v>203623069.81999999</v>
      </c>
      <c r="O112" s="19">
        <v>1111341.98</v>
      </c>
      <c r="P112" s="77">
        <v>201148504.49000001</v>
      </c>
      <c r="Q112" s="22">
        <f t="shared" si="38"/>
        <v>1.4285933440455619E-4</v>
      </c>
      <c r="R112" s="77">
        <v>202511727.84</v>
      </c>
      <c r="S112" s="22">
        <f t="shared" si="39"/>
        <v>6.423918504774865E-3</v>
      </c>
      <c r="T112" s="23">
        <f>((R112-P112)/P112)</f>
        <v>6.7771985352631141E-3</v>
      </c>
      <c r="U112" s="58">
        <f>(L112/R112)</f>
        <v>2.0306531596278933E-3</v>
      </c>
      <c r="V112" s="24">
        <f t="shared" si="40"/>
        <v>4.8239030915376143E-3</v>
      </c>
      <c r="W112" s="25">
        <f>R112/AE112</f>
        <v>154.55198678924913</v>
      </c>
      <c r="X112" s="25">
        <f>M112/AE112</f>
        <v>0.74554380687593935</v>
      </c>
      <c r="Y112" s="19">
        <v>153.36000000000001</v>
      </c>
      <c r="Z112" s="19">
        <v>155.19</v>
      </c>
      <c r="AA112" s="26">
        <v>720</v>
      </c>
      <c r="AB112" s="26">
        <v>1310154.26</v>
      </c>
      <c r="AC112" s="26">
        <v>160</v>
      </c>
      <c r="AD112" s="26">
        <v>0</v>
      </c>
      <c r="AE112" s="105">
        <v>1310314.6200000001</v>
      </c>
      <c r="AF112" s="5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</row>
    <row r="113" spans="1:241" s="182" customFormat="1" ht="16.5" customHeight="1" x14ac:dyDescent="0.3">
      <c r="A113" s="164">
        <v>96</v>
      </c>
      <c r="B113" s="57" t="s">
        <v>33</v>
      </c>
      <c r="C113" s="57" t="s">
        <v>131</v>
      </c>
      <c r="D113" s="19">
        <v>583378069</v>
      </c>
      <c r="E113" s="19"/>
      <c r="F113" s="19">
        <v>9551463</v>
      </c>
      <c r="G113" s="19">
        <v>301971491</v>
      </c>
      <c r="H113" s="28"/>
      <c r="I113" s="27"/>
      <c r="J113" s="27">
        <v>894901023</v>
      </c>
      <c r="K113" s="27">
        <v>12051301</v>
      </c>
      <c r="L113" s="19">
        <v>2080978</v>
      </c>
      <c r="M113" s="144">
        <v>62899280</v>
      </c>
      <c r="N113" s="19">
        <v>1101421866</v>
      </c>
      <c r="O113" s="19">
        <v>14161822</v>
      </c>
      <c r="P113" s="77">
        <v>1024077268.39</v>
      </c>
      <c r="Q113" s="22">
        <f t="shared" si="38"/>
        <v>7.2731834279336945E-4</v>
      </c>
      <c r="R113" s="77">
        <v>1087260043.77</v>
      </c>
      <c r="S113" s="22">
        <f t="shared" si="39"/>
        <v>3.4489212003537426E-2</v>
      </c>
      <c r="T113" s="23">
        <f>((R113-P113)/P113)</f>
        <v>6.1697273565433794E-2</v>
      </c>
      <c r="U113" s="58">
        <f>(L113/R113)</f>
        <v>1.9139653038148545E-3</v>
      </c>
      <c r="V113" s="24">
        <f t="shared" si="40"/>
        <v>5.7851183220070372E-2</v>
      </c>
      <c r="W113" s="25">
        <f>R113/AE113</f>
        <v>1.5592406158194507</v>
      </c>
      <c r="X113" s="25">
        <f>M113/AE113</f>
        <v>9.020391454994639E-2</v>
      </c>
      <c r="Y113" s="19">
        <v>1.56</v>
      </c>
      <c r="Z113" s="19">
        <v>1.58</v>
      </c>
      <c r="AA113" s="26">
        <v>1309</v>
      </c>
      <c r="AB113" s="26">
        <v>697179048</v>
      </c>
      <c r="AC113" s="26">
        <v>244448</v>
      </c>
      <c r="AD113" s="26">
        <v>122494</v>
      </c>
      <c r="AE113" s="105">
        <v>697301002</v>
      </c>
      <c r="AF113" s="18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</row>
    <row r="114" spans="1:241" s="182" customFormat="1" ht="16.5" customHeight="1" x14ac:dyDescent="0.3">
      <c r="A114" s="164">
        <v>97</v>
      </c>
      <c r="B114" s="56" t="s">
        <v>35</v>
      </c>
      <c r="C114" s="57" t="s">
        <v>167</v>
      </c>
      <c r="D114" s="19">
        <v>2974917778.9000001</v>
      </c>
      <c r="E114" s="19"/>
      <c r="F114" s="19">
        <v>99339934.25</v>
      </c>
      <c r="G114" s="19">
        <v>464836395.95999998</v>
      </c>
      <c r="H114" s="73">
        <v>62366417.5</v>
      </c>
      <c r="I114" s="27"/>
      <c r="J114" s="27">
        <v>3601460526.6100001</v>
      </c>
      <c r="K114" s="27">
        <v>22522128.780000001</v>
      </c>
      <c r="L114" s="19">
        <v>13496987.220000001</v>
      </c>
      <c r="M114" s="144">
        <v>198561717.91999999</v>
      </c>
      <c r="N114" s="19">
        <v>5016114836</v>
      </c>
      <c r="O114" s="19">
        <v>103927866</v>
      </c>
      <c r="P114" s="77">
        <v>4846464477</v>
      </c>
      <c r="Q114" s="22">
        <f t="shared" si="38"/>
        <v>3.4420474124577244E-3</v>
      </c>
      <c r="R114" s="77">
        <v>4912186970</v>
      </c>
      <c r="S114" s="22">
        <f t="shared" si="39"/>
        <v>0.15582054981244475</v>
      </c>
      <c r="T114" s="23">
        <f>((R114-P114)/P114)</f>
        <v>1.356091503649744E-2</v>
      </c>
      <c r="U114" s="58">
        <f>(L114/R114)</f>
        <v>2.7476533980545941E-3</v>
      </c>
      <c r="V114" s="24">
        <f t="shared" si="40"/>
        <v>4.0422263878119438E-2</v>
      </c>
      <c r="W114" s="25">
        <f>R114/AE114</f>
        <v>520.71308370091219</v>
      </c>
      <c r="X114" s="25">
        <f>M114/AE114</f>
        <v>21.048401674147566</v>
      </c>
      <c r="Y114" s="19">
        <v>518.10950000000003</v>
      </c>
      <c r="Z114" s="19">
        <v>533.73090000000002</v>
      </c>
      <c r="AA114" s="26">
        <v>1869</v>
      </c>
      <c r="AB114" s="26">
        <v>9686927</v>
      </c>
      <c r="AC114" s="26">
        <v>36403</v>
      </c>
      <c r="AD114" s="26">
        <v>289752</v>
      </c>
      <c r="AE114" s="105">
        <v>9433577</v>
      </c>
      <c r="AF114" s="18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</row>
    <row r="115" spans="1:241" s="182" customFormat="1" ht="16.5" customHeight="1" x14ac:dyDescent="0.3">
      <c r="A115" s="164">
        <v>98</v>
      </c>
      <c r="B115" s="57" t="s">
        <v>74</v>
      </c>
      <c r="C115" s="57" t="s">
        <v>210</v>
      </c>
      <c r="D115" s="19">
        <v>1190232375.25</v>
      </c>
      <c r="E115" s="19"/>
      <c r="F115" s="19">
        <v>355883096.56999999</v>
      </c>
      <c r="G115" s="19">
        <v>1051018613.23</v>
      </c>
      <c r="H115" s="28"/>
      <c r="I115" s="27"/>
      <c r="J115" s="27">
        <v>2597134085.0500002</v>
      </c>
      <c r="K115" s="27">
        <v>11480848</v>
      </c>
      <c r="L115" s="19">
        <v>23263475.859999999</v>
      </c>
      <c r="M115" s="144">
        <v>27085862.640000001</v>
      </c>
      <c r="N115" s="19">
        <v>2608593599.96</v>
      </c>
      <c r="O115" s="19">
        <v>23263475.859999999</v>
      </c>
      <c r="P115" s="77">
        <v>2534669014</v>
      </c>
      <c r="Q115" s="22">
        <f t="shared" si="38"/>
        <v>1.8001681354478795E-3</v>
      </c>
      <c r="R115" s="77">
        <v>2585330124.0999999</v>
      </c>
      <c r="S115" s="22">
        <f t="shared" si="39"/>
        <v>8.2009818405576279E-2</v>
      </c>
      <c r="T115" s="23">
        <f>((R115-P115)/P115)</f>
        <v>1.998726848364743E-2</v>
      </c>
      <c r="U115" s="58">
        <f>(L115/R115)</f>
        <v>8.9982612445280788E-3</v>
      </c>
      <c r="V115" s="24">
        <f t="shared" si="40"/>
        <v>1.0476752035459719E-2</v>
      </c>
      <c r="W115" s="25">
        <f>R115/AE115</f>
        <v>14.086540577160047</v>
      </c>
      <c r="X115" s="25">
        <f>M115/AE115</f>
        <v>0.14758119266434744</v>
      </c>
      <c r="Y115" s="19">
        <v>14.0867</v>
      </c>
      <c r="Z115" s="19">
        <v>14.2225</v>
      </c>
      <c r="AA115" s="26">
        <v>6379</v>
      </c>
      <c r="AB115" s="26">
        <v>183781790.74000001</v>
      </c>
      <c r="AC115" s="26">
        <v>17797.98</v>
      </c>
      <c r="AD115" s="26">
        <v>267648.43</v>
      </c>
      <c r="AE115" s="105">
        <v>183531940.28999999</v>
      </c>
      <c r="AF115" s="18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</row>
    <row r="116" spans="1:241" ht="16.5" customHeight="1" x14ac:dyDescent="0.3">
      <c r="A116" s="164">
        <v>99</v>
      </c>
      <c r="B116" s="56" t="s">
        <v>55</v>
      </c>
      <c r="C116" s="56" t="s">
        <v>134</v>
      </c>
      <c r="D116" s="19">
        <v>1993975104.48</v>
      </c>
      <c r="E116" s="19"/>
      <c r="F116" s="19">
        <v>1472036646.74</v>
      </c>
      <c r="G116" s="19">
        <v>1137077180.26</v>
      </c>
      <c r="H116" s="179"/>
      <c r="I116" s="180"/>
      <c r="J116" s="27">
        <v>4578354847.0699997</v>
      </c>
      <c r="K116" s="27">
        <v>26065455.370000001</v>
      </c>
      <c r="L116" s="19">
        <v>8318680.7599999998</v>
      </c>
      <c r="M116" s="144">
        <v>21188326.27</v>
      </c>
      <c r="N116" s="19">
        <v>4676389600.3699999</v>
      </c>
      <c r="O116" s="19">
        <v>98034753.299999997</v>
      </c>
      <c r="P116" s="77">
        <v>4526276779</v>
      </c>
      <c r="Q116" s="22">
        <f t="shared" si="38"/>
        <v>3.2146442729872986E-3</v>
      </c>
      <c r="R116" s="77">
        <v>4578354847.0699997</v>
      </c>
      <c r="S116" s="22">
        <f t="shared" si="39"/>
        <v>0.14523098853196109</v>
      </c>
      <c r="T116" s="23">
        <f t="shared" ref="T116:T125" si="41">((R116-P116)/P116)</f>
        <v>1.1505718852991887E-2</v>
      </c>
      <c r="U116" s="58">
        <f t="shared" ref="U116:U125" si="42">(L116/R116)</f>
        <v>1.8169585010047197E-3</v>
      </c>
      <c r="V116" s="24">
        <f t="shared" si="40"/>
        <v>4.6279344825270255E-3</v>
      </c>
      <c r="W116" s="25">
        <f t="shared" ref="W116:W125" si="43">R116/AE116</f>
        <v>194.93854984956903</v>
      </c>
      <c r="X116" s="25">
        <f t="shared" ref="X116:X121" si="44">M116/AE116</f>
        <v>0.9021628368226341</v>
      </c>
      <c r="Y116" s="19">
        <v>194.94</v>
      </c>
      <c r="Z116" s="19">
        <v>196.34</v>
      </c>
      <c r="AA116" s="26">
        <v>5466</v>
      </c>
      <c r="AB116" s="26">
        <v>23476873.870000001</v>
      </c>
      <c r="AC116" s="26">
        <v>20192.2</v>
      </c>
      <c r="AD116" s="26">
        <v>10922.1</v>
      </c>
      <c r="AE116" s="105">
        <v>23486143.969999999</v>
      </c>
      <c r="AF116" s="5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</row>
    <row r="117" spans="1:241" s="182" customFormat="1" ht="16.5" customHeight="1" x14ac:dyDescent="0.3">
      <c r="A117" s="164">
        <v>100</v>
      </c>
      <c r="B117" s="57" t="s">
        <v>87</v>
      </c>
      <c r="C117" s="198" t="s">
        <v>135</v>
      </c>
      <c r="D117" s="19"/>
      <c r="E117" s="19"/>
      <c r="F117" s="19">
        <v>70419551.239999995</v>
      </c>
      <c r="G117" s="19">
        <v>895399831.01999998</v>
      </c>
      <c r="H117" s="28"/>
      <c r="I117" s="27"/>
      <c r="J117" s="27">
        <v>4167180050.5999999</v>
      </c>
      <c r="K117" s="27">
        <v>110197516.72</v>
      </c>
      <c r="L117" s="19">
        <v>12355203.970000001</v>
      </c>
      <c r="M117" s="161">
        <v>189080764.68000001</v>
      </c>
      <c r="N117" s="19">
        <v>5524963153.7299995</v>
      </c>
      <c r="O117" s="19">
        <v>18445877.289999999</v>
      </c>
      <c r="P117" s="77">
        <v>5326232160.8900003</v>
      </c>
      <c r="Q117" s="22">
        <f t="shared" si="38"/>
        <v>3.7827871667159936E-3</v>
      </c>
      <c r="R117" s="77">
        <v>5506517276.4399996</v>
      </c>
      <c r="S117" s="22">
        <f t="shared" si="39"/>
        <v>0.17467343055278828</v>
      </c>
      <c r="T117" s="23">
        <f t="shared" si="41"/>
        <v>3.384852745883199E-2</v>
      </c>
      <c r="U117" s="58">
        <f t="shared" si="42"/>
        <v>2.2437419787753256E-3</v>
      </c>
      <c r="V117" s="24">
        <f t="shared" si="40"/>
        <v>3.4337632152539432E-2</v>
      </c>
      <c r="W117" s="25">
        <f t="shared" si="43"/>
        <v>200.39779105809046</v>
      </c>
      <c r="X117" s="25">
        <f t="shared" si="44"/>
        <v>6.8811856335341659</v>
      </c>
      <c r="Y117" s="19">
        <v>198.10939999999999</v>
      </c>
      <c r="Z117" s="19">
        <v>201.8689</v>
      </c>
      <c r="AA117" s="26">
        <v>26</v>
      </c>
      <c r="AB117" s="26">
        <v>27442753</v>
      </c>
      <c r="AC117" s="26">
        <v>35181</v>
      </c>
      <c r="AD117" s="26">
        <v>0</v>
      </c>
      <c r="AE117" s="105">
        <v>27477934</v>
      </c>
      <c r="AF117" s="18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  <c r="HI117" s="71"/>
      <c r="HJ117" s="71"/>
      <c r="HK117" s="71"/>
      <c r="HL117" s="71"/>
      <c r="HM117" s="71"/>
      <c r="HN117" s="71"/>
      <c r="HO117" s="71"/>
      <c r="HP117" s="71"/>
      <c r="HQ117" s="71"/>
      <c r="HR117" s="71"/>
      <c r="HS117" s="71"/>
      <c r="HT117" s="71"/>
      <c r="HU117" s="71"/>
      <c r="HV117" s="71"/>
      <c r="HW117" s="71"/>
      <c r="HX117" s="71"/>
      <c r="HY117" s="71"/>
      <c r="HZ117" s="71"/>
      <c r="IA117" s="71"/>
      <c r="IB117" s="71"/>
      <c r="IC117" s="71"/>
      <c r="ID117" s="71"/>
      <c r="IE117" s="71"/>
      <c r="IF117" s="71"/>
      <c r="IG117" s="71"/>
    </row>
    <row r="118" spans="1:241" s="182" customFormat="1" ht="16.5" customHeight="1" x14ac:dyDescent="0.3">
      <c r="A118" s="164">
        <v>101</v>
      </c>
      <c r="B118" s="57" t="s">
        <v>82</v>
      </c>
      <c r="C118" s="57" t="s">
        <v>173</v>
      </c>
      <c r="D118" s="19">
        <v>1076577586.0899999</v>
      </c>
      <c r="E118" s="19"/>
      <c r="F118" s="19">
        <v>731329302.78999996</v>
      </c>
      <c r="G118" s="19">
        <v>506360712.80000001</v>
      </c>
      <c r="H118" s="28"/>
      <c r="I118" s="27"/>
      <c r="J118" s="27">
        <v>2314267601.6799998</v>
      </c>
      <c r="K118" s="27">
        <v>48906857.810000002</v>
      </c>
      <c r="L118" s="19">
        <v>5667775.8099999996</v>
      </c>
      <c r="M118" s="144">
        <v>43657384.68</v>
      </c>
      <c r="N118" s="19">
        <v>2323731188.2199998</v>
      </c>
      <c r="O118" s="19">
        <v>16106621.58</v>
      </c>
      <c r="P118" s="77">
        <v>2283166530.9000001</v>
      </c>
      <c r="Q118" s="22">
        <f t="shared" si="38"/>
        <v>1.621546487586981E-3</v>
      </c>
      <c r="R118" s="77">
        <v>2311964566.6399999</v>
      </c>
      <c r="S118" s="22">
        <f t="shared" si="39"/>
        <v>7.3338330181828421E-2</v>
      </c>
      <c r="T118" s="23">
        <f t="shared" si="41"/>
        <v>1.2613199847778029E-2</v>
      </c>
      <c r="U118" s="58">
        <f t="shared" si="42"/>
        <v>2.4514976967129872E-3</v>
      </c>
      <c r="V118" s="24">
        <f t="shared" si="40"/>
        <v>1.8883241252891557E-2</v>
      </c>
      <c r="W118" s="25">
        <f t="shared" si="43"/>
        <v>4230.4673276751182</v>
      </c>
      <c r="X118" s="25">
        <f t="shared" si="44"/>
        <v>79.884935160964702</v>
      </c>
      <c r="Y118" s="19">
        <v>1914.52</v>
      </c>
      <c r="Z118" s="19">
        <v>1976.49</v>
      </c>
      <c r="AA118" s="26">
        <v>830</v>
      </c>
      <c r="AB118" s="26">
        <v>546344.42000000004</v>
      </c>
      <c r="AC118" s="26">
        <v>195.33</v>
      </c>
      <c r="AD118" s="26">
        <v>36.409999999999997</v>
      </c>
      <c r="AE118" s="105">
        <v>546503.35</v>
      </c>
      <c r="AF118" s="18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  <c r="HI118" s="71"/>
      <c r="HJ118" s="71"/>
      <c r="HK118" s="71"/>
      <c r="HL118" s="71"/>
      <c r="HM118" s="71"/>
      <c r="HN118" s="71"/>
      <c r="HO118" s="71"/>
      <c r="HP118" s="71"/>
      <c r="HQ118" s="71"/>
      <c r="HR118" s="71"/>
      <c r="HS118" s="71"/>
      <c r="HT118" s="71"/>
      <c r="HU118" s="71"/>
      <c r="HV118" s="71"/>
      <c r="HW118" s="71"/>
      <c r="HX118" s="71"/>
      <c r="HY118" s="71"/>
      <c r="HZ118" s="71"/>
      <c r="IA118" s="71"/>
      <c r="IB118" s="71"/>
      <c r="IC118" s="71"/>
      <c r="ID118" s="71"/>
      <c r="IE118" s="71"/>
      <c r="IF118" s="71"/>
      <c r="IG118" s="71"/>
    </row>
    <row r="119" spans="1:241" s="182" customFormat="1" ht="16.5" customHeight="1" x14ac:dyDescent="0.3">
      <c r="A119" s="164">
        <v>102</v>
      </c>
      <c r="B119" s="57" t="s">
        <v>78</v>
      </c>
      <c r="C119" s="183" t="s">
        <v>175</v>
      </c>
      <c r="D119" s="19">
        <v>1019652177.17</v>
      </c>
      <c r="E119" s="19"/>
      <c r="F119" s="19"/>
      <c r="G119" s="19">
        <v>743559554.90999997</v>
      </c>
      <c r="H119" s="28"/>
      <c r="I119" s="27"/>
      <c r="J119" s="27">
        <v>2306133483.6199999</v>
      </c>
      <c r="K119" s="27">
        <v>23231165.460000001</v>
      </c>
      <c r="L119" s="19">
        <v>8133980.6399999997</v>
      </c>
      <c r="M119" s="144">
        <v>38083159.189999998</v>
      </c>
      <c r="N119" s="19">
        <v>2341523169.5300002</v>
      </c>
      <c r="O119" s="19">
        <v>227671579.00999999</v>
      </c>
      <c r="P119" s="77">
        <v>2007895974.71</v>
      </c>
      <c r="Q119" s="22">
        <f t="shared" si="38"/>
        <v>1.4260443209753947E-3</v>
      </c>
      <c r="R119" s="77">
        <v>2113851590.51</v>
      </c>
      <c r="S119" s="22">
        <f t="shared" si="39"/>
        <v>6.7053945435464363E-2</v>
      </c>
      <c r="T119" s="23">
        <f t="shared" si="41"/>
        <v>5.2769474681228494E-2</v>
      </c>
      <c r="U119" s="58">
        <f t="shared" si="42"/>
        <v>3.8479430989937892E-3</v>
      </c>
      <c r="V119" s="24">
        <f t="shared" si="40"/>
        <v>1.801600422705732E-2</v>
      </c>
      <c r="W119" s="25">
        <f t="shared" si="43"/>
        <v>1.3449296082168518</v>
      </c>
      <c r="X119" s="25">
        <f t="shared" si="44"/>
        <v>2.4230257506729348E-2</v>
      </c>
      <c r="Y119" s="19">
        <v>1.3307</v>
      </c>
      <c r="Z119" s="19">
        <v>1.3567</v>
      </c>
      <c r="AA119" s="26">
        <v>10331</v>
      </c>
      <c r="AB119" s="26">
        <v>1512909589.8800001</v>
      </c>
      <c r="AC119" s="19">
        <v>66577704.68</v>
      </c>
      <c r="AD119" s="19">
        <v>7768129.0999999996</v>
      </c>
      <c r="AE119" s="142">
        <v>1571719127.5999999</v>
      </c>
      <c r="AF119" s="18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</row>
    <row r="120" spans="1:241" s="182" customFormat="1" ht="16.5" customHeight="1" x14ac:dyDescent="0.3">
      <c r="A120" s="164">
        <v>103</v>
      </c>
      <c r="B120" s="56" t="s">
        <v>27</v>
      </c>
      <c r="C120" s="57" t="s">
        <v>136</v>
      </c>
      <c r="D120" s="19">
        <v>241805656.59999999</v>
      </c>
      <c r="E120" s="19"/>
      <c r="F120" s="19">
        <v>1011582467.5599999</v>
      </c>
      <c r="G120" s="19"/>
      <c r="H120" s="28"/>
      <c r="I120" s="27"/>
      <c r="J120" s="27">
        <f>SUM(D120,F120)</f>
        <v>1253388124.1599998</v>
      </c>
      <c r="K120" s="27">
        <v>9504759.5500000007</v>
      </c>
      <c r="L120" s="19">
        <v>2198412.27</v>
      </c>
      <c r="M120" s="144">
        <v>7306347.2800000003</v>
      </c>
      <c r="N120" s="19">
        <v>1263480599.3399999</v>
      </c>
      <c r="O120" s="19">
        <v>28474574.890000001</v>
      </c>
      <c r="P120" s="77">
        <v>1216810049.05</v>
      </c>
      <c r="Q120" s="22">
        <f t="shared" si="38"/>
        <v>8.6420067673284823E-4</v>
      </c>
      <c r="R120" s="77">
        <v>1235006024.45</v>
      </c>
      <c r="S120" s="22">
        <f t="shared" si="39"/>
        <v>3.9175894347417438E-2</v>
      </c>
      <c r="T120" s="23">
        <f t="shared" si="41"/>
        <v>1.4953833931767935E-2</v>
      </c>
      <c r="U120" s="58">
        <f t="shared" si="42"/>
        <v>1.7800822234685415E-3</v>
      </c>
      <c r="V120" s="24">
        <f t="shared" si="40"/>
        <v>5.916041813037975E-3</v>
      </c>
      <c r="W120" s="25">
        <f t="shared" si="43"/>
        <v>1655.6150203767008</v>
      </c>
      <c r="X120" s="25">
        <f t="shared" si="44"/>
        <v>9.7946876868422823</v>
      </c>
      <c r="Y120" s="19">
        <v>0</v>
      </c>
      <c r="Z120" s="19">
        <v>0</v>
      </c>
      <c r="AA120" s="26">
        <v>830</v>
      </c>
      <c r="AB120" s="26">
        <v>745950</v>
      </c>
      <c r="AC120" s="26">
        <v>0</v>
      </c>
      <c r="AD120" s="26">
        <v>0</v>
      </c>
      <c r="AE120" s="105">
        <v>745950</v>
      </c>
      <c r="AF120" s="18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  <c r="HI120" s="71"/>
      <c r="HJ120" s="71"/>
      <c r="HK120" s="71"/>
      <c r="HL120" s="71"/>
      <c r="HM120" s="71"/>
      <c r="HN120" s="71"/>
      <c r="HO120" s="71"/>
      <c r="HP120" s="71"/>
      <c r="HQ120" s="71"/>
      <c r="HR120" s="71"/>
      <c r="HS120" s="71"/>
      <c r="HT120" s="71"/>
      <c r="HU120" s="71"/>
      <c r="HV120" s="71"/>
      <c r="HW120" s="71"/>
      <c r="HX120" s="71"/>
      <c r="HY120" s="71"/>
      <c r="HZ120" s="71"/>
      <c r="IA120" s="71"/>
      <c r="IB120" s="71"/>
      <c r="IC120" s="71"/>
      <c r="ID120" s="71"/>
      <c r="IE120" s="71"/>
      <c r="IF120" s="71"/>
      <c r="IG120" s="71"/>
    </row>
    <row r="121" spans="1:241" s="182" customFormat="1" ht="16.5" customHeight="1" x14ac:dyDescent="0.3">
      <c r="A121" s="164">
        <v>104</v>
      </c>
      <c r="B121" s="56" t="s">
        <v>44</v>
      </c>
      <c r="C121" s="57" t="s">
        <v>139</v>
      </c>
      <c r="D121" s="19">
        <v>692558910.60000002</v>
      </c>
      <c r="E121" s="19"/>
      <c r="F121" s="19">
        <v>787741744.25999999</v>
      </c>
      <c r="G121" s="19">
        <v>521809185.22000003</v>
      </c>
      <c r="H121" s="28"/>
      <c r="I121" s="27"/>
      <c r="J121" s="27">
        <v>2002109840.0799999</v>
      </c>
      <c r="K121" s="27">
        <v>90268745.379999995</v>
      </c>
      <c r="L121" s="19">
        <v>5516475.3700000001</v>
      </c>
      <c r="M121" s="144">
        <v>51671663.109999999</v>
      </c>
      <c r="N121" s="19">
        <v>2218155976.6100001</v>
      </c>
      <c r="O121" s="19">
        <v>61600153.5</v>
      </c>
      <c r="P121" s="77">
        <v>2079089727.54</v>
      </c>
      <c r="Q121" s="22">
        <f t="shared" si="38"/>
        <v>1.4766074219481982E-3</v>
      </c>
      <c r="R121" s="77">
        <v>2156555823.1100001</v>
      </c>
      <c r="S121" s="22">
        <f t="shared" si="39"/>
        <v>6.8408575673215788E-2</v>
      </c>
      <c r="T121" s="23">
        <f t="shared" si="41"/>
        <v>3.7259621142786775E-2</v>
      </c>
      <c r="U121" s="58">
        <f t="shared" si="42"/>
        <v>2.5580025849016104E-3</v>
      </c>
      <c r="V121" s="24">
        <f ca="1">V121/R121</f>
        <v>0</v>
      </c>
      <c r="W121" s="25">
        <f t="shared" si="43"/>
        <v>3.1085343616723713</v>
      </c>
      <c r="X121" s="25">
        <f t="shared" si="44"/>
        <v>7.4481327392933769E-2</v>
      </c>
      <c r="Y121" s="19">
        <v>3.1</v>
      </c>
      <c r="Z121" s="19">
        <v>3.14</v>
      </c>
      <c r="AA121" s="26">
        <v>2021</v>
      </c>
      <c r="AB121" s="26">
        <v>694765300.01999998</v>
      </c>
      <c r="AC121" s="26">
        <v>9224.36</v>
      </c>
      <c r="AD121" s="26">
        <v>1021272.14</v>
      </c>
      <c r="AE121" s="105">
        <v>693753252.24000001</v>
      </c>
      <c r="AF121" s="18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  <c r="HE121" s="71"/>
      <c r="HF121" s="71"/>
      <c r="HG121" s="71"/>
      <c r="HH121" s="71"/>
      <c r="HI121" s="71"/>
      <c r="HJ121" s="71"/>
      <c r="HK121" s="71"/>
      <c r="HL121" s="71"/>
      <c r="HM121" s="71"/>
      <c r="HN121" s="71"/>
      <c r="HO121" s="71"/>
      <c r="HP121" s="71"/>
      <c r="HQ121" s="71"/>
      <c r="HR121" s="71"/>
      <c r="HS121" s="71"/>
      <c r="HT121" s="71"/>
      <c r="HU121" s="71"/>
      <c r="HV121" s="71"/>
      <c r="HW121" s="71"/>
      <c r="HX121" s="71"/>
      <c r="HY121" s="71"/>
      <c r="HZ121" s="71"/>
      <c r="IA121" s="71"/>
      <c r="IB121" s="71"/>
      <c r="IC121" s="71"/>
      <c r="ID121" s="71"/>
      <c r="IE121" s="71"/>
      <c r="IF121" s="71"/>
      <c r="IG121" s="71"/>
    </row>
    <row r="122" spans="1:241" s="182" customFormat="1" ht="16.5" customHeight="1" x14ac:dyDescent="0.3">
      <c r="A122" s="164">
        <v>105</v>
      </c>
      <c r="B122" s="56" t="s">
        <v>46</v>
      </c>
      <c r="C122" s="56" t="s">
        <v>140</v>
      </c>
      <c r="D122" s="19">
        <v>75112460.799999997</v>
      </c>
      <c r="E122" s="19"/>
      <c r="F122" s="19">
        <v>36198245.82</v>
      </c>
      <c r="G122" s="19">
        <v>52595607.07</v>
      </c>
      <c r="H122" s="73">
        <v>924000</v>
      </c>
      <c r="I122" s="27"/>
      <c r="J122" s="27">
        <v>164830313.69</v>
      </c>
      <c r="K122" s="27">
        <v>1059043.29</v>
      </c>
      <c r="L122" s="19">
        <v>251033.92</v>
      </c>
      <c r="M122" s="144">
        <v>808009.37</v>
      </c>
      <c r="N122" s="19">
        <v>170004909.49000001</v>
      </c>
      <c r="O122" s="19">
        <v>2842164.85</v>
      </c>
      <c r="P122" s="77">
        <v>169809642.38999999</v>
      </c>
      <c r="Q122" s="22">
        <f t="shared" si="38"/>
        <v>1.2060190329934631E-4</v>
      </c>
      <c r="R122" s="77">
        <v>167162744.63999999</v>
      </c>
      <c r="S122" s="22">
        <f t="shared" si="39"/>
        <v>5.3026057308160849E-3</v>
      </c>
      <c r="T122" s="23">
        <f t="shared" si="41"/>
        <v>-1.5587440811640709E-2</v>
      </c>
      <c r="U122" s="58">
        <f t="shared" si="42"/>
        <v>1.5017336580625314E-3</v>
      </c>
      <c r="V122" s="24">
        <f>M121/R122</f>
        <v>0.30910992291541739</v>
      </c>
      <c r="W122" s="25">
        <f t="shared" si="43"/>
        <v>1.693112588001338</v>
      </c>
      <c r="X122" s="25">
        <f>M121/AE122</f>
        <v>0.52335790156421647</v>
      </c>
      <c r="Y122" s="19">
        <v>1.6931</v>
      </c>
      <c r="Z122" s="19">
        <v>1.7219</v>
      </c>
      <c r="AA122" s="26">
        <v>100</v>
      </c>
      <c r="AB122" s="26">
        <v>98713807</v>
      </c>
      <c r="AC122" s="26">
        <v>17220</v>
      </c>
      <c r="AD122" s="26">
        <v>0</v>
      </c>
      <c r="AE122" s="105">
        <v>98731027</v>
      </c>
      <c r="AF122" s="18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  <c r="FO122" s="71"/>
      <c r="FP122" s="71"/>
      <c r="FQ122" s="71"/>
      <c r="FR122" s="71"/>
      <c r="FS122" s="71"/>
      <c r="FT122" s="71"/>
      <c r="FU122" s="71"/>
      <c r="FV122" s="71"/>
      <c r="FW122" s="71"/>
      <c r="FX122" s="71"/>
      <c r="FY122" s="71"/>
      <c r="FZ122" s="71"/>
      <c r="GA122" s="71"/>
      <c r="GB122" s="71"/>
      <c r="GC122" s="71"/>
      <c r="GD122" s="71"/>
      <c r="GE122" s="71"/>
      <c r="GF122" s="71"/>
      <c r="GG122" s="71"/>
      <c r="GH122" s="71"/>
      <c r="GI122" s="71"/>
      <c r="GJ122" s="71"/>
      <c r="GK122" s="71"/>
      <c r="GL122" s="71"/>
      <c r="GM122" s="71"/>
      <c r="GN122" s="71"/>
      <c r="GO122" s="71"/>
      <c r="GP122" s="71"/>
      <c r="GQ122" s="71"/>
      <c r="GR122" s="71"/>
      <c r="GS122" s="71"/>
      <c r="GT122" s="71"/>
      <c r="GU122" s="71"/>
      <c r="GV122" s="71"/>
      <c r="GW122" s="71"/>
      <c r="GX122" s="71"/>
      <c r="GY122" s="71"/>
      <c r="GZ122" s="71"/>
      <c r="HA122" s="71"/>
      <c r="HB122" s="71"/>
      <c r="HC122" s="71"/>
      <c r="HD122" s="71"/>
      <c r="HE122" s="71"/>
      <c r="HF122" s="71"/>
      <c r="HG122" s="71"/>
      <c r="HH122" s="71"/>
      <c r="HI122" s="71"/>
      <c r="HJ122" s="71"/>
      <c r="HK122" s="71"/>
      <c r="HL122" s="71"/>
      <c r="HM122" s="71"/>
      <c r="HN122" s="71"/>
      <c r="HO122" s="71"/>
      <c r="HP122" s="71"/>
      <c r="HQ122" s="71"/>
      <c r="HR122" s="71"/>
      <c r="HS122" s="71"/>
      <c r="HT122" s="71"/>
      <c r="HU122" s="71"/>
      <c r="HV122" s="71"/>
      <c r="HW122" s="71"/>
      <c r="HX122" s="71"/>
      <c r="HY122" s="71"/>
      <c r="HZ122" s="71"/>
      <c r="IA122" s="71"/>
      <c r="IB122" s="71"/>
      <c r="IC122" s="71"/>
      <c r="ID122" s="71"/>
      <c r="IE122" s="71"/>
      <c r="IF122" s="71"/>
      <c r="IG122" s="71"/>
    </row>
    <row r="123" spans="1:241" s="182" customFormat="1" ht="16.5" customHeight="1" x14ac:dyDescent="0.3">
      <c r="A123" s="164">
        <v>106</v>
      </c>
      <c r="B123" s="57" t="s">
        <v>33</v>
      </c>
      <c r="C123" s="57" t="s">
        <v>217</v>
      </c>
      <c r="D123" s="19">
        <v>313866813</v>
      </c>
      <c r="E123" s="19"/>
      <c r="F123" s="19">
        <v>9551162</v>
      </c>
      <c r="G123" s="19"/>
      <c r="H123" s="28"/>
      <c r="I123" s="27"/>
      <c r="J123" s="27">
        <v>323417974.87</v>
      </c>
      <c r="K123" s="27">
        <v>3072717.23</v>
      </c>
      <c r="L123" s="19">
        <v>1229657</v>
      </c>
      <c r="M123" s="144">
        <v>26647126</v>
      </c>
      <c r="N123" s="19">
        <v>661357660</v>
      </c>
      <c r="O123" s="19">
        <v>16971178</v>
      </c>
      <c r="P123" s="77">
        <v>622841222</v>
      </c>
      <c r="Q123" s="22">
        <f t="shared" si="38"/>
        <v>4.4235318895480003E-4</v>
      </c>
      <c r="R123" s="77">
        <v>644386483</v>
      </c>
      <c r="S123" s="22">
        <f t="shared" si="39"/>
        <v>2.0440723589307427E-2</v>
      </c>
      <c r="T123" s="23">
        <f t="shared" si="41"/>
        <v>3.4591899570834764E-2</v>
      </c>
      <c r="U123" s="58">
        <f t="shared" si="42"/>
        <v>1.9082600775162442E-3</v>
      </c>
      <c r="V123" s="24">
        <f t="shared" ref="V123:V132" si="45">M123/R123</f>
        <v>4.1352707890367095E-2</v>
      </c>
      <c r="W123" s="25">
        <f t="shared" si="43"/>
        <v>1.2251550409759264</v>
      </c>
      <c r="X123" s="25">
        <f t="shared" ref="X123:X132" si="46">M123/AE123</f>
        <v>5.0663478529888215E-2</v>
      </c>
      <c r="Y123" s="19">
        <v>1.23</v>
      </c>
      <c r="Z123" s="19">
        <v>1.24</v>
      </c>
      <c r="AA123" s="26">
        <v>253</v>
      </c>
      <c r="AB123" s="26">
        <v>525015305</v>
      </c>
      <c r="AC123" s="26">
        <v>1031978</v>
      </c>
      <c r="AD123" s="26">
        <v>84070</v>
      </c>
      <c r="AE123" s="105">
        <v>525963214</v>
      </c>
      <c r="AF123" s="18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71"/>
      <c r="GE123" s="71"/>
      <c r="GF123" s="71"/>
      <c r="GG123" s="71"/>
      <c r="GH123" s="71"/>
      <c r="GI123" s="71"/>
      <c r="GJ123" s="71"/>
      <c r="GK123" s="71"/>
      <c r="GL123" s="71"/>
      <c r="GM123" s="71"/>
      <c r="GN123" s="71"/>
      <c r="GO123" s="71"/>
      <c r="GP123" s="71"/>
      <c r="GQ123" s="71"/>
      <c r="GR123" s="71"/>
      <c r="GS123" s="71"/>
      <c r="GT123" s="71"/>
      <c r="GU123" s="71"/>
      <c r="GV123" s="71"/>
      <c r="GW123" s="71"/>
      <c r="GX123" s="71"/>
      <c r="GY123" s="71"/>
      <c r="GZ123" s="71"/>
      <c r="HA123" s="71"/>
      <c r="HB123" s="71"/>
      <c r="HC123" s="71"/>
      <c r="HD123" s="71"/>
      <c r="HE123" s="71"/>
      <c r="HF123" s="71"/>
      <c r="HG123" s="71"/>
      <c r="HH123" s="71"/>
      <c r="HI123" s="71"/>
      <c r="HJ123" s="71"/>
      <c r="HK123" s="71"/>
      <c r="HL123" s="71"/>
      <c r="HM123" s="71"/>
      <c r="HN123" s="71"/>
      <c r="HO123" s="71"/>
      <c r="HP123" s="71"/>
      <c r="HQ123" s="71"/>
      <c r="HR123" s="71"/>
      <c r="HS123" s="71"/>
      <c r="HT123" s="71"/>
      <c r="HU123" s="71"/>
      <c r="HV123" s="71"/>
      <c r="HW123" s="71"/>
      <c r="HX123" s="71"/>
      <c r="HY123" s="71"/>
      <c r="HZ123" s="71"/>
      <c r="IA123" s="71"/>
      <c r="IB123" s="71"/>
      <c r="IC123" s="71"/>
      <c r="ID123" s="71"/>
      <c r="IE123" s="71"/>
      <c r="IF123" s="71"/>
      <c r="IG123" s="71"/>
    </row>
    <row r="124" spans="1:241" s="182" customFormat="1" ht="16.5" customHeight="1" x14ac:dyDescent="0.3">
      <c r="A124" s="164">
        <v>107</v>
      </c>
      <c r="B124" s="56" t="s">
        <v>72</v>
      </c>
      <c r="C124" s="57" t="s">
        <v>137</v>
      </c>
      <c r="D124" s="19">
        <v>69521852.799999997</v>
      </c>
      <c r="E124" s="19"/>
      <c r="F124" s="19">
        <v>53390065.960000001</v>
      </c>
      <c r="G124" s="19">
        <v>3678807.94</v>
      </c>
      <c r="H124" s="28"/>
      <c r="I124" s="27"/>
      <c r="J124" s="27">
        <v>126590726.7</v>
      </c>
      <c r="K124" s="27">
        <v>2341856.7599999998</v>
      </c>
      <c r="L124" s="19">
        <v>373008.29</v>
      </c>
      <c r="M124" s="144">
        <v>6001916.2599999998</v>
      </c>
      <c r="N124" s="19">
        <v>131953119.16</v>
      </c>
      <c r="O124" s="19">
        <v>1388722.22</v>
      </c>
      <c r="P124" s="77">
        <v>123632480.68000001</v>
      </c>
      <c r="Q124" s="22">
        <f t="shared" si="38"/>
        <v>8.7806041340004166E-5</v>
      </c>
      <c r="R124" s="77">
        <v>130564396.94</v>
      </c>
      <c r="S124" s="22">
        <f t="shared" si="39"/>
        <v>4.1416615941882763E-3</v>
      </c>
      <c r="T124" s="23">
        <f t="shared" si="41"/>
        <v>5.6068730659396729E-2</v>
      </c>
      <c r="U124" s="58">
        <f t="shared" si="42"/>
        <v>2.8568913022392578E-3</v>
      </c>
      <c r="V124" s="24">
        <f t="shared" si="45"/>
        <v>4.5969011466105422E-2</v>
      </c>
      <c r="W124" s="25">
        <f t="shared" si="43"/>
        <v>1.2546572867535115</v>
      </c>
      <c r="X124" s="25">
        <f t="shared" si="46"/>
        <v>5.7675355200804884E-2</v>
      </c>
      <c r="Y124" s="19">
        <v>1.2643</v>
      </c>
      <c r="Z124" s="19">
        <v>1.2607999999999999</v>
      </c>
      <c r="AA124" s="26">
        <v>130</v>
      </c>
      <c r="AB124" s="26">
        <v>103325524.86</v>
      </c>
      <c r="AC124" s="26">
        <v>738268.75</v>
      </c>
      <c r="AD124" s="26">
        <v>0</v>
      </c>
      <c r="AE124" s="142">
        <v>104063793.61</v>
      </c>
      <c r="AF124" s="18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  <c r="HG124" s="71"/>
      <c r="HH124" s="71"/>
      <c r="HI124" s="71"/>
      <c r="HJ124" s="71"/>
      <c r="HK124" s="71"/>
      <c r="HL124" s="71"/>
      <c r="HM124" s="71"/>
      <c r="HN124" s="71"/>
      <c r="HO124" s="71"/>
      <c r="HP124" s="71"/>
      <c r="HQ124" s="71"/>
      <c r="HR124" s="71"/>
      <c r="HS124" s="71"/>
      <c r="HT124" s="71"/>
      <c r="HU124" s="71"/>
      <c r="HV124" s="71"/>
      <c r="HW124" s="71"/>
      <c r="HX124" s="71"/>
      <c r="HY124" s="71"/>
      <c r="HZ124" s="71"/>
      <c r="IA124" s="71"/>
      <c r="IB124" s="71"/>
      <c r="IC124" s="71"/>
      <c r="ID124" s="71"/>
      <c r="IE124" s="71"/>
      <c r="IF124" s="71"/>
      <c r="IG124" s="71"/>
    </row>
    <row r="125" spans="1:241" s="182" customFormat="1" ht="16.5" customHeight="1" x14ac:dyDescent="0.3">
      <c r="A125" s="164">
        <v>108</v>
      </c>
      <c r="B125" s="56" t="s">
        <v>63</v>
      </c>
      <c r="C125" s="57" t="s">
        <v>212</v>
      </c>
      <c r="D125" s="19">
        <v>57585452.899999999</v>
      </c>
      <c r="E125" s="19"/>
      <c r="F125" s="19"/>
      <c r="G125" s="19"/>
      <c r="H125" s="28"/>
      <c r="I125" s="27"/>
      <c r="J125" s="27">
        <v>57585452.899999999</v>
      </c>
      <c r="K125" s="27">
        <v>1405586.06</v>
      </c>
      <c r="L125" s="19">
        <v>332248.95</v>
      </c>
      <c r="M125" s="144">
        <v>1073337.1100000001</v>
      </c>
      <c r="N125" s="19">
        <v>231635783.22999999</v>
      </c>
      <c r="O125" s="19">
        <v>1598899.99</v>
      </c>
      <c r="P125" s="77">
        <v>228161322.97</v>
      </c>
      <c r="Q125" s="22">
        <f t="shared" si="38"/>
        <v>1.6204433047613148E-4</v>
      </c>
      <c r="R125" s="77">
        <v>228450393.63</v>
      </c>
      <c r="S125" s="22">
        <f t="shared" si="39"/>
        <v>7.2467245562308109E-3</v>
      </c>
      <c r="T125" s="23">
        <f t="shared" si="41"/>
        <v>1.2669573275484783E-3</v>
      </c>
      <c r="U125" s="58">
        <f t="shared" si="42"/>
        <v>1.4543592800199457E-3</v>
      </c>
      <c r="V125" s="24">
        <f t="shared" si="45"/>
        <v>4.698337757029148E-3</v>
      </c>
      <c r="W125" s="25">
        <f t="shared" si="43"/>
        <v>149.72067500347347</v>
      </c>
      <c r="X125" s="25">
        <f t="shared" si="46"/>
        <v>0.70343830037670962</v>
      </c>
      <c r="Y125" s="19">
        <v>149.22999999999999</v>
      </c>
      <c r="Z125" s="19">
        <v>151.31</v>
      </c>
      <c r="AA125" s="26">
        <v>39</v>
      </c>
      <c r="AB125" s="26">
        <v>1525844</v>
      </c>
      <c r="AC125" s="26">
        <v>0</v>
      </c>
      <c r="AD125" s="26">
        <v>0</v>
      </c>
      <c r="AE125" s="105">
        <v>1525844</v>
      </c>
      <c r="AF125" s="18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  <c r="HI125" s="71"/>
      <c r="HJ125" s="71"/>
      <c r="HK125" s="71"/>
      <c r="HL125" s="71"/>
      <c r="HM125" s="71"/>
      <c r="HN125" s="71"/>
      <c r="HO125" s="71"/>
      <c r="HP125" s="71"/>
      <c r="HQ125" s="71"/>
      <c r="HR125" s="71"/>
      <c r="HS125" s="71"/>
      <c r="HT125" s="71"/>
      <c r="HU125" s="71"/>
      <c r="HV125" s="71"/>
      <c r="HW125" s="71"/>
      <c r="HX125" s="71"/>
      <c r="HY125" s="71"/>
      <c r="HZ125" s="71"/>
      <c r="IA125" s="71"/>
      <c r="IB125" s="71"/>
      <c r="IC125" s="71"/>
      <c r="ID125" s="71"/>
      <c r="IE125" s="71"/>
      <c r="IF125" s="71"/>
      <c r="IG125" s="71"/>
    </row>
    <row r="126" spans="1:241" s="182" customFormat="1" ht="16.5" customHeight="1" x14ac:dyDescent="0.3">
      <c r="A126" s="164">
        <v>109</v>
      </c>
      <c r="B126" s="57" t="s">
        <v>58</v>
      </c>
      <c r="C126" s="57" t="s">
        <v>133</v>
      </c>
      <c r="D126" s="19">
        <v>80721195.879999995</v>
      </c>
      <c r="E126" s="19"/>
      <c r="F126" s="19"/>
      <c r="G126" s="19">
        <v>34141185.969999999</v>
      </c>
      <c r="H126" s="28"/>
      <c r="I126" s="27"/>
      <c r="J126" s="27">
        <v>178179073.53</v>
      </c>
      <c r="K126" s="27">
        <v>1064593.04</v>
      </c>
      <c r="L126" s="19">
        <v>441017.23</v>
      </c>
      <c r="M126" s="144">
        <v>623575.81000000006</v>
      </c>
      <c r="N126" s="19">
        <v>178179073.53</v>
      </c>
      <c r="O126" s="19">
        <v>11974974.85</v>
      </c>
      <c r="P126" s="77">
        <v>162243414.94999999</v>
      </c>
      <c r="Q126" s="22">
        <f t="shared" si="38"/>
        <v>1.1522823065498605E-4</v>
      </c>
      <c r="R126" s="77">
        <v>166204098.68000001</v>
      </c>
      <c r="S126" s="22">
        <f t="shared" si="39"/>
        <v>5.2721963140990582E-3</v>
      </c>
      <c r="T126" s="23">
        <f t="shared" ref="T126:T133" si="47">((R126-P126)/P126)</f>
        <v>2.4411984493919944E-2</v>
      </c>
      <c r="U126" s="58">
        <f t="shared" ref="U126:U132" si="48">(L126/R126)</f>
        <v>2.6534678356465182E-3</v>
      </c>
      <c r="V126" s="24">
        <f t="shared" si="45"/>
        <v>3.7518678236726144E-3</v>
      </c>
      <c r="W126" s="25">
        <f t="shared" ref="W126:W132" si="49">R126/AE126</f>
        <v>3.7844549769205016</v>
      </c>
      <c r="X126" s="25">
        <f t="shared" si="46"/>
        <v>1.4198774858045715E-2</v>
      </c>
      <c r="Y126" s="19">
        <v>3.7458999999999998</v>
      </c>
      <c r="Z126" s="19">
        <v>3.8092999999999999</v>
      </c>
      <c r="AA126" s="26">
        <v>11818</v>
      </c>
      <c r="AB126" s="26">
        <v>43917578.539999999</v>
      </c>
      <c r="AC126" s="26">
        <v>0</v>
      </c>
      <c r="AD126" s="26">
        <v>0</v>
      </c>
      <c r="AE126" s="105">
        <v>43917578.539999999</v>
      </c>
      <c r="AF126" s="18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  <c r="HG126" s="71"/>
      <c r="HH126" s="71"/>
      <c r="HI126" s="71"/>
      <c r="HJ126" s="71"/>
      <c r="HK126" s="71"/>
      <c r="HL126" s="71"/>
      <c r="HM126" s="71"/>
      <c r="HN126" s="71"/>
      <c r="HO126" s="71"/>
      <c r="HP126" s="71"/>
      <c r="HQ126" s="71"/>
      <c r="HR126" s="71"/>
      <c r="HS126" s="71"/>
      <c r="HT126" s="71"/>
      <c r="HU126" s="71"/>
      <c r="HV126" s="71"/>
      <c r="HW126" s="71"/>
      <c r="HX126" s="71"/>
      <c r="HY126" s="71"/>
      <c r="HZ126" s="71"/>
      <c r="IA126" s="71"/>
      <c r="IB126" s="71"/>
      <c r="IC126" s="71"/>
      <c r="ID126" s="71"/>
      <c r="IE126" s="71"/>
      <c r="IF126" s="71"/>
      <c r="IG126" s="71"/>
    </row>
    <row r="127" spans="1:241" ht="16.5" customHeight="1" x14ac:dyDescent="0.3">
      <c r="A127" s="164">
        <v>110</v>
      </c>
      <c r="B127" s="56" t="s">
        <v>65</v>
      </c>
      <c r="C127" s="57" t="s">
        <v>138</v>
      </c>
      <c r="D127" s="19">
        <v>142232950.80000001</v>
      </c>
      <c r="E127" s="19"/>
      <c r="F127" s="19">
        <v>56139350.140000001</v>
      </c>
      <c r="G127" s="19">
        <v>97154573.799999997</v>
      </c>
      <c r="H127" s="28"/>
      <c r="I127" s="27"/>
      <c r="J127" s="27">
        <v>295526874.80000001</v>
      </c>
      <c r="K127" s="27">
        <v>2080489.6</v>
      </c>
      <c r="L127" s="27">
        <v>692332.26</v>
      </c>
      <c r="M127" s="144">
        <v>-170195.3</v>
      </c>
      <c r="N127" s="19">
        <v>351760017.43000001</v>
      </c>
      <c r="O127" s="19">
        <v>6014113.5499999998</v>
      </c>
      <c r="P127" s="77">
        <v>358524164.08999997</v>
      </c>
      <c r="Q127" s="22">
        <f t="shared" si="38"/>
        <v>2.5463039648099191E-4</v>
      </c>
      <c r="R127" s="77">
        <v>345745903.88</v>
      </c>
      <c r="S127" s="22">
        <f t="shared" si="39"/>
        <v>1.0967480913696221E-2</v>
      </c>
      <c r="T127" s="23">
        <f t="shared" si="47"/>
        <v>-3.5641280253545932E-2</v>
      </c>
      <c r="U127" s="58">
        <f t="shared" si="48"/>
        <v>2.0024308378799819E-3</v>
      </c>
      <c r="V127" s="24">
        <f t="shared" si="45"/>
        <v>-4.9225543409205693E-4</v>
      </c>
      <c r="W127" s="25">
        <f t="shared" si="49"/>
        <v>133.5971835409411</v>
      </c>
      <c r="X127" s="25">
        <f t="shared" si="46"/>
        <v>-6.5763939577422173E-2</v>
      </c>
      <c r="Y127" s="19">
        <v>135.29</v>
      </c>
      <c r="Z127" s="19">
        <v>136.13999999999999</v>
      </c>
      <c r="AA127" s="26">
        <f>SUM(582,29,4)</f>
        <v>615</v>
      </c>
      <c r="AB127" s="26">
        <v>2611683</v>
      </c>
      <c r="AC127" s="26">
        <v>880</v>
      </c>
      <c r="AD127" s="26">
        <v>24590</v>
      </c>
      <c r="AE127" s="105">
        <v>2587973</v>
      </c>
      <c r="AF127" s="5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</row>
    <row r="128" spans="1:241" ht="16.5" customHeight="1" x14ac:dyDescent="0.3">
      <c r="A128" s="164">
        <v>111</v>
      </c>
      <c r="B128" s="60" t="s">
        <v>114</v>
      </c>
      <c r="C128" s="60" t="s">
        <v>141</v>
      </c>
      <c r="D128" s="19">
        <v>61515486.75</v>
      </c>
      <c r="E128" s="19"/>
      <c r="F128" s="19">
        <v>14524560.449999999</v>
      </c>
      <c r="G128" s="19">
        <v>25547554.350000001</v>
      </c>
      <c r="H128" s="28"/>
      <c r="I128" s="180"/>
      <c r="J128" s="27">
        <v>158783133.15000001</v>
      </c>
      <c r="K128" s="27">
        <v>895260.34</v>
      </c>
      <c r="L128" s="19">
        <v>2038505.62</v>
      </c>
      <c r="M128" s="144">
        <v>1143245.28</v>
      </c>
      <c r="N128" s="19">
        <v>158783133.13999999</v>
      </c>
      <c r="O128" s="19">
        <v>5395436.9199999999</v>
      </c>
      <c r="P128" s="77">
        <v>153373232.41</v>
      </c>
      <c r="Q128" s="22">
        <f t="shared" si="38"/>
        <v>1.0892846533023659E-4</v>
      </c>
      <c r="R128" s="77">
        <v>153387696.22999999</v>
      </c>
      <c r="S128" s="22">
        <f t="shared" si="39"/>
        <v>4.8656444282337355E-3</v>
      </c>
      <c r="T128" s="23">
        <f t="shared" si="47"/>
        <v>9.430472170872628E-5</v>
      </c>
      <c r="U128" s="58">
        <f t="shared" si="48"/>
        <v>1.3289890063563674E-2</v>
      </c>
      <c r="V128" s="24">
        <f t="shared" si="45"/>
        <v>7.4533049788148582E-3</v>
      </c>
      <c r="W128" s="25">
        <f t="shared" si="49"/>
        <v>141.0049814051082</v>
      </c>
      <c r="X128" s="25">
        <f t="shared" si="46"/>
        <v>1.0509531299443895</v>
      </c>
      <c r="Y128" s="19">
        <v>141.005</v>
      </c>
      <c r="Z128" s="19">
        <v>145.9649</v>
      </c>
      <c r="AA128" s="26">
        <v>129</v>
      </c>
      <c r="AB128" s="26">
        <v>1086065.83</v>
      </c>
      <c r="AC128" s="19">
        <v>2297.7600000000002</v>
      </c>
      <c r="AD128" s="19">
        <v>546.02</v>
      </c>
      <c r="AE128" s="105">
        <v>1087817.57</v>
      </c>
      <c r="AF128" s="5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</row>
    <row r="129" spans="1:241" s="182" customFormat="1" ht="17.25" customHeight="1" x14ac:dyDescent="0.3">
      <c r="A129" s="164">
        <v>112</v>
      </c>
      <c r="B129" s="57" t="s">
        <v>101</v>
      </c>
      <c r="C129" s="57" t="s">
        <v>132</v>
      </c>
      <c r="D129" s="19">
        <v>528674299.38</v>
      </c>
      <c r="E129" s="19"/>
      <c r="F129" s="19">
        <v>228815445.43000001</v>
      </c>
      <c r="G129" s="19">
        <v>305426729.38999999</v>
      </c>
      <c r="H129" s="20">
        <v>24789626.609999999</v>
      </c>
      <c r="I129" s="27"/>
      <c r="J129" s="27">
        <v>1087706100.8099999</v>
      </c>
      <c r="K129" s="27">
        <v>3371366.16</v>
      </c>
      <c r="L129" s="19">
        <v>1680660.75</v>
      </c>
      <c r="M129" s="144">
        <v>5624565.8200000003</v>
      </c>
      <c r="N129" s="19">
        <v>1107921141.04</v>
      </c>
      <c r="O129" s="19">
        <v>65965751.990000002</v>
      </c>
      <c r="P129" s="77">
        <v>1034909072.72</v>
      </c>
      <c r="Q129" s="22">
        <f t="shared" si="38"/>
        <v>7.3501128766963186E-4</v>
      </c>
      <c r="R129" s="77">
        <v>1041955389.05</v>
      </c>
      <c r="S129" s="22">
        <f t="shared" si="39"/>
        <v>3.3052093210900468E-2</v>
      </c>
      <c r="T129" s="23">
        <f t="shared" si="47"/>
        <v>6.8086332565241124E-3</v>
      </c>
      <c r="U129" s="58">
        <f t="shared" si="48"/>
        <v>1.6129872426998415E-3</v>
      </c>
      <c r="V129" s="24">
        <f t="shared" si="45"/>
        <v>5.3980869806030595E-3</v>
      </c>
      <c r="W129" s="25">
        <f t="shared" si="49"/>
        <v>2.4120998792385091</v>
      </c>
      <c r="X129" s="25">
        <f t="shared" si="46"/>
        <v>1.3020724954031608E-2</v>
      </c>
      <c r="Y129" s="19">
        <v>2.3852000000000002</v>
      </c>
      <c r="Z129" s="19">
        <v>2.4386999999999999</v>
      </c>
      <c r="AA129" s="26">
        <v>2777</v>
      </c>
      <c r="AB129" s="19">
        <v>431970250.49349999</v>
      </c>
      <c r="AC129" s="26">
        <v>0</v>
      </c>
      <c r="AD129" s="26">
        <v>0</v>
      </c>
      <c r="AE129" s="105">
        <v>431970250.49349999</v>
      </c>
      <c r="AF129" s="18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1"/>
      <c r="GC129" s="71"/>
      <c r="GD129" s="71"/>
      <c r="GE129" s="71"/>
      <c r="GF129" s="71"/>
      <c r="GG129" s="71"/>
      <c r="GH129" s="71"/>
      <c r="GI129" s="71"/>
      <c r="GJ129" s="71"/>
      <c r="GK129" s="71"/>
      <c r="GL129" s="71"/>
      <c r="GM129" s="71"/>
      <c r="GN129" s="71"/>
      <c r="GO129" s="71"/>
      <c r="GP129" s="71"/>
      <c r="GQ129" s="71"/>
      <c r="GR129" s="71"/>
      <c r="GS129" s="71"/>
      <c r="GT129" s="71"/>
      <c r="GU129" s="71"/>
      <c r="GV129" s="71"/>
      <c r="GW129" s="71"/>
      <c r="GX129" s="71"/>
      <c r="GY129" s="71"/>
      <c r="GZ129" s="71"/>
      <c r="HA129" s="71"/>
      <c r="HB129" s="71"/>
      <c r="HC129" s="71"/>
      <c r="HD129" s="71"/>
      <c r="HE129" s="71"/>
      <c r="HF129" s="71"/>
      <c r="HG129" s="71"/>
      <c r="HH129" s="71"/>
      <c r="HI129" s="71"/>
      <c r="HJ129" s="71"/>
      <c r="HK129" s="71"/>
      <c r="HL129" s="71"/>
      <c r="HM129" s="71"/>
      <c r="HN129" s="71"/>
      <c r="HO129" s="71"/>
      <c r="HP129" s="71"/>
      <c r="HQ129" s="71"/>
      <c r="HR129" s="71"/>
      <c r="HS129" s="71"/>
      <c r="HT129" s="71"/>
      <c r="HU129" s="71"/>
      <c r="HV129" s="71"/>
      <c r="HW129" s="71"/>
      <c r="HX129" s="71"/>
      <c r="HY129" s="71"/>
      <c r="HZ129" s="71"/>
      <c r="IA129" s="71"/>
      <c r="IB129" s="71"/>
      <c r="IC129" s="71"/>
      <c r="ID129" s="71"/>
      <c r="IE129" s="71"/>
      <c r="IF129" s="71"/>
      <c r="IG129" s="71"/>
    </row>
    <row r="130" spans="1:241" ht="15.75" customHeight="1" x14ac:dyDescent="0.3">
      <c r="A130" s="164">
        <v>113</v>
      </c>
      <c r="B130" s="56" t="s">
        <v>89</v>
      </c>
      <c r="C130" s="57" t="s">
        <v>191</v>
      </c>
      <c r="D130" s="19">
        <v>8449293.75</v>
      </c>
      <c r="E130" s="19"/>
      <c r="F130" s="19"/>
      <c r="G130" s="19">
        <v>3604650</v>
      </c>
      <c r="H130" s="28"/>
      <c r="I130" s="180"/>
      <c r="J130" s="27">
        <f>SUM(D130:G130)</f>
        <v>12053943.75</v>
      </c>
      <c r="K130" s="27">
        <v>63132.46</v>
      </c>
      <c r="L130" s="19">
        <v>8406.49</v>
      </c>
      <c r="M130" s="144">
        <v>178318.72</v>
      </c>
      <c r="N130" s="19">
        <v>19219040.140000001</v>
      </c>
      <c r="O130" s="19">
        <v>343705.27</v>
      </c>
      <c r="P130" s="77">
        <v>18446706.899999999</v>
      </c>
      <c r="Q130" s="22">
        <f t="shared" si="38"/>
        <v>1.3101187485194281E-5</v>
      </c>
      <c r="R130" s="77">
        <v>18875334.870000001</v>
      </c>
      <c r="S130" s="22">
        <f t="shared" si="39"/>
        <v>5.9874859717267857E-4</v>
      </c>
      <c r="T130" s="23">
        <f t="shared" si="47"/>
        <v>2.3236015638108422E-2</v>
      </c>
      <c r="U130" s="58">
        <f t="shared" si="48"/>
        <v>4.4536905214651691E-4</v>
      </c>
      <c r="V130" s="24">
        <f t="shared" si="45"/>
        <v>9.4471817972043206E-3</v>
      </c>
      <c r="W130" s="25">
        <f t="shared" si="49"/>
        <v>1.2209047191069393</v>
      </c>
      <c r="X130" s="25">
        <f t="shared" si="46"/>
        <v>1.1534108838467932E-2</v>
      </c>
      <c r="Y130" s="19">
        <v>1.2018</v>
      </c>
      <c r="Z130" s="19">
        <v>1.2018</v>
      </c>
      <c r="AA130" s="26">
        <v>3</v>
      </c>
      <c r="AB130" s="26">
        <v>15460121.15</v>
      </c>
      <c r="AC130" s="26">
        <v>0</v>
      </c>
      <c r="AD130" s="26">
        <v>0</v>
      </c>
      <c r="AE130" s="105">
        <v>15460121.15</v>
      </c>
    </row>
    <row r="131" spans="1:241" ht="15.75" customHeight="1" x14ac:dyDescent="0.3">
      <c r="A131" s="164">
        <v>114</v>
      </c>
      <c r="B131" s="56" t="s">
        <v>158</v>
      </c>
      <c r="C131" s="57" t="s">
        <v>192</v>
      </c>
      <c r="D131" s="19">
        <v>53800984.140000001</v>
      </c>
      <c r="E131" s="19"/>
      <c r="F131" s="19"/>
      <c r="G131" s="19">
        <v>74065033.859999999</v>
      </c>
      <c r="H131" s="28"/>
      <c r="I131" s="27"/>
      <c r="J131" s="27">
        <v>128922540.2</v>
      </c>
      <c r="K131" s="27">
        <v>7611089.5899999999</v>
      </c>
      <c r="L131" s="19">
        <v>713594.74</v>
      </c>
      <c r="M131" s="144">
        <v>6897494.8499999996</v>
      </c>
      <c r="N131" s="19">
        <v>211487289.27000001</v>
      </c>
      <c r="O131" s="19">
        <v>198778255.05000001</v>
      </c>
      <c r="P131" s="77">
        <v>205413740.69999999</v>
      </c>
      <c r="Q131" s="22">
        <f t="shared" si="38"/>
        <v>1.4588858290721707E-4</v>
      </c>
      <c r="R131" s="77">
        <v>207365798.27000001</v>
      </c>
      <c r="S131" s="22">
        <f t="shared" si="39"/>
        <v>6.5778955271989384E-3</v>
      </c>
      <c r="T131" s="23">
        <f t="shared" si="47"/>
        <v>9.5030525384907846E-3</v>
      </c>
      <c r="U131" s="58">
        <f t="shared" si="48"/>
        <v>3.4412364331694954E-3</v>
      </c>
      <c r="V131" s="24">
        <f t="shared" si="45"/>
        <v>3.326245170391666E-2</v>
      </c>
      <c r="W131" s="25">
        <f t="shared" si="49"/>
        <v>1.0743416964035182</v>
      </c>
      <c r="X131" s="25">
        <f t="shared" si="46"/>
        <v>3.5735238790125912E-2</v>
      </c>
      <c r="Y131" s="19">
        <v>1.05</v>
      </c>
      <c r="Z131" s="19">
        <v>1.05</v>
      </c>
      <c r="AA131" s="26">
        <v>82</v>
      </c>
      <c r="AB131" s="26">
        <v>197299286.53</v>
      </c>
      <c r="AC131" s="26">
        <v>307270.23</v>
      </c>
      <c r="AD131" s="26">
        <v>4589941.13</v>
      </c>
      <c r="AE131" s="105">
        <v>193016615.63</v>
      </c>
    </row>
    <row r="132" spans="1:241" ht="15.75" customHeight="1" x14ac:dyDescent="0.3">
      <c r="A132" s="164">
        <v>115</v>
      </c>
      <c r="B132" s="56" t="s">
        <v>154</v>
      </c>
      <c r="C132" s="57" t="s">
        <v>156</v>
      </c>
      <c r="D132" s="19">
        <v>578662.44999999995</v>
      </c>
      <c r="E132" s="19"/>
      <c r="F132" s="19">
        <v>2681136.9900000002</v>
      </c>
      <c r="G132" s="19">
        <v>958037.36</v>
      </c>
      <c r="H132" s="179"/>
      <c r="I132" s="180"/>
      <c r="J132" s="27">
        <v>4217836.8</v>
      </c>
      <c r="K132" s="27">
        <v>13682.31</v>
      </c>
      <c r="L132" s="27">
        <v>8582.0400000000009</v>
      </c>
      <c r="M132" s="144">
        <v>5100.2700000000004</v>
      </c>
      <c r="N132" s="19">
        <v>4400849.1399999997</v>
      </c>
      <c r="O132" s="19">
        <v>223930.44</v>
      </c>
      <c r="P132" s="77">
        <v>4182706.71</v>
      </c>
      <c r="Q132" s="22">
        <f t="shared" si="38"/>
        <v>2.970634547421044E-6</v>
      </c>
      <c r="R132" s="77">
        <v>4176918.7</v>
      </c>
      <c r="S132" s="22">
        <f t="shared" si="39"/>
        <v>1.3249694531799997E-4</v>
      </c>
      <c r="T132" s="23">
        <f t="shared" si="47"/>
        <v>-1.3837953271172046E-3</v>
      </c>
      <c r="U132" s="58">
        <f t="shared" si="48"/>
        <v>2.0546341972133668E-3</v>
      </c>
      <c r="V132" s="24">
        <f t="shared" si="45"/>
        <v>1.2210603955494753E-3</v>
      </c>
      <c r="W132" s="25">
        <f t="shared" si="49"/>
        <v>167.93658330652943</v>
      </c>
      <c r="X132" s="25">
        <f t="shared" si="46"/>
        <v>0.20506071083949826</v>
      </c>
      <c r="Y132" s="19">
        <v>102.09</v>
      </c>
      <c r="Z132" s="19">
        <v>102.31</v>
      </c>
      <c r="AA132" s="26">
        <v>87</v>
      </c>
      <c r="AB132" s="19">
        <v>24872</v>
      </c>
      <c r="AC132" s="26">
        <v>0</v>
      </c>
      <c r="AD132" s="26">
        <v>0</v>
      </c>
      <c r="AE132" s="105">
        <v>24872</v>
      </c>
    </row>
    <row r="133" spans="1:241" ht="15.75" customHeight="1" x14ac:dyDescent="0.3">
      <c r="A133" s="112"/>
      <c r="B133" s="55"/>
      <c r="C133" s="75" t="s">
        <v>52</v>
      </c>
      <c r="D133" s="35">
        <f>SUM(D111:D132)</f>
        <v>12236526992.039997</v>
      </c>
      <c r="E133" s="35"/>
      <c r="F133" s="35">
        <f>SUM(F111:F132)</f>
        <v>5393969440.1999998</v>
      </c>
      <c r="G133" s="35">
        <f>SUM(G111:G132)</f>
        <v>6615169422.75</v>
      </c>
      <c r="H133" s="35">
        <f>SUM(H111:H132)</f>
        <v>88080044.109999999</v>
      </c>
      <c r="I133" s="35"/>
      <c r="J133" s="35">
        <f t="shared" ref="J133:P133" si="50">SUM(J111:J132)</f>
        <v>28178520182.679996</v>
      </c>
      <c r="K133" s="35">
        <f t="shared" si="50"/>
        <v>400284809.74000001</v>
      </c>
      <c r="L133" s="35">
        <f t="shared" si="50"/>
        <v>92126636.860000014</v>
      </c>
      <c r="M133" s="35">
        <f t="shared" si="50"/>
        <v>728687715.0799998</v>
      </c>
      <c r="N133" s="35">
        <f t="shared" si="50"/>
        <v>32238696949.91</v>
      </c>
      <c r="O133" s="35">
        <f t="shared" si="50"/>
        <v>911465732.63000011</v>
      </c>
      <c r="P133" s="152">
        <f t="shared" si="50"/>
        <v>30879308966.640007</v>
      </c>
      <c r="Q133" s="83">
        <f t="shared" si="38"/>
        <v>2.1931048093206906E-2</v>
      </c>
      <c r="R133" s="152">
        <f>SUM(R111:R132)</f>
        <v>31524641492.489998</v>
      </c>
      <c r="S133" s="83">
        <f>(R133/$R$151)</f>
        <v>2.2115057539535816E-2</v>
      </c>
      <c r="T133" s="37">
        <f t="shared" si="47"/>
        <v>2.0898541691692845E-2</v>
      </c>
      <c r="U133" s="50"/>
      <c r="V133" s="38"/>
      <c r="W133" s="39"/>
      <c r="X133" s="39"/>
      <c r="Y133" s="35"/>
      <c r="Z133" s="35"/>
      <c r="AA133" s="40">
        <f>SUM(AA111:AA132)</f>
        <v>47217</v>
      </c>
      <c r="AB133" s="40"/>
      <c r="AC133" s="40"/>
      <c r="AD133" s="40"/>
      <c r="AE133" s="114"/>
    </row>
    <row r="134" spans="1:241" ht="15.75" customHeight="1" x14ac:dyDescent="0.3">
      <c r="A134" s="205" t="s">
        <v>142</v>
      </c>
      <c r="B134" s="203"/>
      <c r="C134" s="203"/>
      <c r="D134" s="44"/>
      <c r="E134" s="44"/>
      <c r="F134" s="44"/>
      <c r="G134" s="44"/>
      <c r="H134" s="44"/>
      <c r="I134" s="44"/>
      <c r="J134" s="44"/>
      <c r="K134" s="44"/>
      <c r="L134" s="44"/>
      <c r="M134" s="158"/>
      <c r="N134" s="44"/>
      <c r="O134" s="44"/>
      <c r="P134" s="189"/>
      <c r="Q134" s="23"/>
      <c r="R134" s="44"/>
      <c r="S134" s="23"/>
      <c r="T134" s="23"/>
      <c r="U134" s="23"/>
      <c r="V134" s="45"/>
      <c r="W134" s="46"/>
      <c r="X134" s="46"/>
      <c r="Y134" s="44"/>
      <c r="Z134" s="44"/>
      <c r="AA134" s="44"/>
      <c r="AB134" s="44"/>
      <c r="AC134" s="44"/>
      <c r="AD134" s="44"/>
      <c r="AE134" s="110"/>
    </row>
    <row r="135" spans="1:241" ht="15.75" customHeight="1" x14ac:dyDescent="0.3">
      <c r="A135" s="164">
        <v>116</v>
      </c>
      <c r="B135" s="57" t="s">
        <v>74</v>
      </c>
      <c r="C135" s="56" t="s">
        <v>209</v>
      </c>
      <c r="D135" s="19">
        <v>325167806.5</v>
      </c>
      <c r="E135" s="19"/>
      <c r="F135" s="19">
        <v>36992035.920000002</v>
      </c>
      <c r="G135" s="19"/>
      <c r="H135" s="28"/>
      <c r="I135" s="19"/>
      <c r="J135" s="19">
        <v>606448688.95000005</v>
      </c>
      <c r="K135" s="19">
        <v>2705136.74</v>
      </c>
      <c r="L135" s="20">
        <v>6628239.8200000003</v>
      </c>
      <c r="M135" s="144">
        <v>3261990.12</v>
      </c>
      <c r="N135" s="19">
        <v>615935765.14999998</v>
      </c>
      <c r="O135" s="19">
        <v>7611969.8700000001</v>
      </c>
      <c r="P135" s="77">
        <v>598858183</v>
      </c>
      <c r="Q135" s="22">
        <f>(P135/$P$138)</f>
        <v>0.2091963378523613</v>
      </c>
      <c r="R135" s="29">
        <v>608323795.27999997</v>
      </c>
      <c r="S135" s="22">
        <f>(R135/$R$138)</f>
        <v>0.26069715242274516</v>
      </c>
      <c r="T135" s="23">
        <f>((R135-P135)/P135)</f>
        <v>1.5806099922658936E-2</v>
      </c>
      <c r="U135" s="58">
        <f t="shared" ref="U135:U150" si="51">(L135/R135)</f>
        <v>1.0895907527255524E-2</v>
      </c>
      <c r="V135" s="24">
        <f>M135/R135</f>
        <v>5.3622596145504508E-3</v>
      </c>
      <c r="W135" s="25">
        <f>R135/AE135</f>
        <v>16.259744102920195</v>
      </c>
      <c r="X135" s="25">
        <f>M135/AE135</f>
        <v>8.7188969146013803E-2</v>
      </c>
      <c r="Y135" s="19">
        <v>16.259899999999998</v>
      </c>
      <c r="Z135" s="19">
        <v>16.442</v>
      </c>
      <c r="AA135" s="26">
        <v>1532</v>
      </c>
      <c r="AB135" s="26">
        <v>37412285.149999999</v>
      </c>
      <c r="AC135" s="26">
        <v>15370.79</v>
      </c>
      <c r="AD135" s="26">
        <v>14779.61</v>
      </c>
      <c r="AE135" s="105">
        <v>37412876.329999998</v>
      </c>
    </row>
    <row r="136" spans="1:241" ht="15.75" customHeight="1" x14ac:dyDescent="0.3">
      <c r="A136" s="164">
        <v>117</v>
      </c>
      <c r="B136" s="57" t="s">
        <v>23</v>
      </c>
      <c r="C136" s="56" t="s">
        <v>143</v>
      </c>
      <c r="D136" s="19">
        <v>1407558745.8499999</v>
      </c>
      <c r="E136" s="19"/>
      <c r="F136" s="19">
        <v>389485389.99000001</v>
      </c>
      <c r="G136" s="19">
        <v>12220301.91</v>
      </c>
      <c r="H136" s="28"/>
      <c r="I136" s="19"/>
      <c r="J136" s="19">
        <v>1811409663</v>
      </c>
      <c r="K136" s="19">
        <v>28992313.449999999</v>
      </c>
      <c r="L136" s="19">
        <v>5736741.04</v>
      </c>
      <c r="M136" s="144">
        <v>61300715.229999997</v>
      </c>
      <c r="N136" s="19">
        <v>1853091400.6900001</v>
      </c>
      <c r="O136" s="19">
        <v>14922289.970000001</v>
      </c>
      <c r="P136" s="77">
        <v>1777816425.6700001</v>
      </c>
      <c r="Q136" s="22">
        <f>(P136/$P$138)</f>
        <v>0.6210363257638557</v>
      </c>
      <c r="R136" s="29">
        <v>1220201110.46</v>
      </c>
      <c r="S136" s="22">
        <f>(R136/$R$138)</f>
        <v>0.5229171657399605</v>
      </c>
      <c r="T136" s="23">
        <f>((R136-P136)/P136)</f>
        <v>-0.31365179619141687</v>
      </c>
      <c r="U136" s="58">
        <f t="shared" si="51"/>
        <v>4.701471741684715E-3</v>
      </c>
      <c r="V136" s="24">
        <f>M136/R136</f>
        <v>5.0238206394428227E-2</v>
      </c>
      <c r="W136" s="25">
        <f>R136/AE136</f>
        <v>0.99127989924057436</v>
      </c>
      <c r="X136" s="25">
        <f>M136/AE136</f>
        <v>4.9800124172695991E-2</v>
      </c>
      <c r="Y136" s="19">
        <v>1.48</v>
      </c>
      <c r="Z136" s="19">
        <v>1.5</v>
      </c>
      <c r="AA136" s="26">
        <v>9486</v>
      </c>
      <c r="AB136" s="26">
        <v>1220201110.46</v>
      </c>
      <c r="AC136" s="26">
        <v>14987890.189999999</v>
      </c>
      <c r="AD136" s="26">
        <v>4254013.08</v>
      </c>
      <c r="AE136" s="142">
        <v>1230934987.5799999</v>
      </c>
    </row>
    <row r="137" spans="1:241" ht="15.75" customHeight="1" x14ac:dyDescent="0.3">
      <c r="A137" s="164">
        <v>118</v>
      </c>
      <c r="B137" s="56" t="s">
        <v>35</v>
      </c>
      <c r="C137" s="56" t="s">
        <v>144</v>
      </c>
      <c r="D137" s="19">
        <v>193754908.75</v>
      </c>
      <c r="E137" s="19"/>
      <c r="F137" s="19">
        <v>9933993.4299999997</v>
      </c>
      <c r="G137" s="19">
        <v>152229741.13999999</v>
      </c>
      <c r="H137" s="20">
        <v>1138451.25</v>
      </c>
      <c r="I137" s="19"/>
      <c r="J137" s="19">
        <v>357057094.56999999</v>
      </c>
      <c r="K137" s="19">
        <v>7614420.7999999998</v>
      </c>
      <c r="L137" s="20">
        <v>1405956.11</v>
      </c>
      <c r="M137" s="144">
        <v>16430276.35</v>
      </c>
      <c r="N137" s="19">
        <v>514870154</v>
      </c>
      <c r="O137" s="19">
        <v>9944965</v>
      </c>
      <c r="P137" s="77">
        <v>485986321</v>
      </c>
      <c r="Q137" s="22">
        <f>(P137/$P$138)</f>
        <v>0.16976733638378305</v>
      </c>
      <c r="R137" s="29">
        <v>504925190</v>
      </c>
      <c r="S137" s="22">
        <f>(R137/$R$138)</f>
        <v>0.21638568183729451</v>
      </c>
      <c r="T137" s="23">
        <f>((R137-P137)/P137)</f>
        <v>3.8969963107253792E-2</v>
      </c>
      <c r="U137" s="58">
        <f t="shared" si="51"/>
        <v>2.7844839945497671E-3</v>
      </c>
      <c r="V137" s="24">
        <f>M137/R137</f>
        <v>3.2540021126694033E-2</v>
      </c>
      <c r="W137" s="25">
        <f>R137/AE137</f>
        <v>43.894541691779366</v>
      </c>
      <c r="X137" s="25">
        <f>M137/AE137</f>
        <v>1.4283293139970528</v>
      </c>
      <c r="Y137" s="19">
        <v>43.674999999999997</v>
      </c>
      <c r="Z137" s="19">
        <v>44.991900000000001</v>
      </c>
      <c r="AA137" s="26">
        <v>190</v>
      </c>
      <c r="AB137" s="26">
        <v>11558062</v>
      </c>
      <c r="AC137" s="26">
        <v>107550</v>
      </c>
      <c r="AD137" s="26">
        <v>162469</v>
      </c>
      <c r="AE137" s="105">
        <v>11503143</v>
      </c>
    </row>
    <row r="138" spans="1:241" ht="15" customHeight="1" x14ac:dyDescent="0.3">
      <c r="A138" s="103"/>
      <c r="B138" s="82"/>
      <c r="C138" s="75" t="s">
        <v>52</v>
      </c>
      <c r="D138" s="35">
        <f>SUM(D135:D137)</f>
        <v>1926481461.0999999</v>
      </c>
      <c r="E138" s="35"/>
      <c r="F138" s="35">
        <f>SUM(F135:F137)</f>
        <v>436411419.34000003</v>
      </c>
      <c r="G138" s="35">
        <f>SUM(G135:G137)</f>
        <v>164450043.04999998</v>
      </c>
      <c r="H138" s="35">
        <f>SUM(H135:H137)</f>
        <v>1138451.25</v>
      </c>
      <c r="I138" s="35"/>
      <c r="J138" s="35">
        <f t="shared" ref="J138:P138" si="52">SUM(J135:J137)</f>
        <v>2774915446.52</v>
      </c>
      <c r="K138" s="35">
        <f t="shared" si="52"/>
        <v>39311870.989999995</v>
      </c>
      <c r="L138" s="35">
        <f t="shared" si="52"/>
        <v>13770936.969999999</v>
      </c>
      <c r="M138" s="35">
        <f t="shared" si="52"/>
        <v>80992981.699999988</v>
      </c>
      <c r="N138" s="35">
        <f t="shared" si="52"/>
        <v>2983897319.8400002</v>
      </c>
      <c r="O138" s="35">
        <f t="shared" si="52"/>
        <v>32479224.84</v>
      </c>
      <c r="P138" s="152">
        <f t="shared" si="52"/>
        <v>2862660929.6700001</v>
      </c>
      <c r="Q138" s="83">
        <f>(P138/$P$151)</f>
        <v>2.0331139725620747E-3</v>
      </c>
      <c r="R138" s="36">
        <f>SUM(R135:R137)</f>
        <v>2333450095.7399998</v>
      </c>
      <c r="S138" s="83">
        <f>(R138/$R$151)</f>
        <v>1.6369538459372799E-3</v>
      </c>
      <c r="T138" s="37">
        <f>((R138-P138)/P138)</f>
        <v>-0.18486675402070979</v>
      </c>
      <c r="U138" s="50"/>
      <c r="V138" s="38"/>
      <c r="W138" s="39"/>
      <c r="X138" s="39"/>
      <c r="Y138" s="35"/>
      <c r="Z138" s="35"/>
      <c r="AA138" s="40">
        <f>SUM(AA135:AA137)</f>
        <v>11208</v>
      </c>
      <c r="AB138" s="40"/>
      <c r="AC138" s="40"/>
      <c r="AD138" s="40"/>
      <c r="AE138" s="114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</row>
    <row r="139" spans="1:241" ht="15.75" customHeight="1" x14ac:dyDescent="0.3">
      <c r="A139" s="205" t="s">
        <v>183</v>
      </c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4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</row>
    <row r="140" spans="1:241" ht="15.75" customHeight="1" x14ac:dyDescent="0.3">
      <c r="A140" s="201" t="s">
        <v>184</v>
      </c>
      <c r="B140" s="202"/>
      <c r="C140" s="202"/>
      <c r="D140" s="99"/>
      <c r="E140" s="99"/>
      <c r="F140" s="99"/>
      <c r="G140" s="99"/>
      <c r="H140" s="99"/>
      <c r="I140" s="99"/>
      <c r="J140" s="99"/>
      <c r="K140" s="99"/>
      <c r="L140" s="85"/>
      <c r="M140" s="159"/>
      <c r="N140" s="85"/>
      <c r="O140" s="90"/>
      <c r="P140" s="190"/>
      <c r="Q140" s="86"/>
      <c r="R140" s="85"/>
      <c r="S140" s="86"/>
      <c r="T140" s="86"/>
      <c r="U140" s="91"/>
      <c r="V140" s="88"/>
      <c r="W140" s="89"/>
      <c r="X140" s="89"/>
      <c r="Y140" s="85"/>
      <c r="Z140" s="85"/>
      <c r="AA140" s="92"/>
      <c r="AB140" s="92"/>
      <c r="AC140" s="92"/>
      <c r="AD140" s="92"/>
      <c r="AE140" s="111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</row>
    <row r="141" spans="1:241" ht="15.75" customHeight="1" x14ac:dyDescent="0.3">
      <c r="A141" s="164">
        <v>119</v>
      </c>
      <c r="B141" s="57" t="s">
        <v>108</v>
      </c>
      <c r="C141" s="56" t="s">
        <v>166</v>
      </c>
      <c r="D141" s="20">
        <v>1319962275.4000001</v>
      </c>
      <c r="E141" s="130"/>
      <c r="F141" s="20"/>
      <c r="G141" s="19">
        <v>857600401.22000003</v>
      </c>
      <c r="H141" s="19"/>
      <c r="I141" s="20">
        <v>716475214.59000003</v>
      </c>
      <c r="J141" s="171">
        <v>2894039325.5700002</v>
      </c>
      <c r="K141" s="27">
        <v>56977078.409999996</v>
      </c>
      <c r="L141" s="20">
        <v>8709693.4700000007</v>
      </c>
      <c r="M141" s="144">
        <v>144726210.36000001</v>
      </c>
      <c r="N141" s="20">
        <v>3511246581.7399998</v>
      </c>
      <c r="O141" s="20">
        <v>341969774</v>
      </c>
      <c r="P141" s="21">
        <v>3020743542.02</v>
      </c>
      <c r="Q141" s="22">
        <f>(P141/$P$150)</f>
        <v>0.16121989472358411</v>
      </c>
      <c r="R141" s="21">
        <v>3169276807.7399998</v>
      </c>
      <c r="S141" s="22">
        <f>(R141/$R$150)</f>
        <v>0.16937268675471415</v>
      </c>
      <c r="T141" s="23">
        <f>((R141-P141)/P141)</f>
        <v>4.9171094352708333E-2</v>
      </c>
      <c r="U141" s="58">
        <f>(L141/R141)</f>
        <v>2.7481643284452809E-3</v>
      </c>
      <c r="V141" s="24">
        <f>M141/R141</f>
        <v>4.5665373881684942E-2</v>
      </c>
      <c r="W141" s="25">
        <f>R141/AE141</f>
        <v>1.5897338848918114</v>
      </c>
      <c r="X141" s="25">
        <f>M141/AE141</f>
        <v>7.2595792225968056E-2</v>
      </c>
      <c r="Y141" s="27">
        <v>1.58</v>
      </c>
      <c r="Z141" s="27">
        <v>1.6</v>
      </c>
      <c r="AA141" s="30">
        <v>15196</v>
      </c>
      <c r="AB141" s="27">
        <v>1991198851.99</v>
      </c>
      <c r="AC141" s="27">
        <v>3244340</v>
      </c>
      <c r="AD141" s="27">
        <v>853675</v>
      </c>
      <c r="AE141" s="142">
        <v>1993589517</v>
      </c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</row>
    <row r="142" spans="1:241" ht="15.75" customHeight="1" x14ac:dyDescent="0.3">
      <c r="A142" s="164">
        <v>120</v>
      </c>
      <c r="B142" s="57" t="s">
        <v>23</v>
      </c>
      <c r="C142" s="57" t="s">
        <v>145</v>
      </c>
      <c r="D142" s="52">
        <v>231665745.5</v>
      </c>
      <c r="E142" s="52"/>
      <c r="F142" s="52">
        <v>98582251.420000002</v>
      </c>
      <c r="G142" s="52">
        <v>23668771.739999998</v>
      </c>
      <c r="H142" s="52"/>
      <c r="I142" s="52"/>
      <c r="J142" s="52">
        <v>353916768.66000003</v>
      </c>
      <c r="K142" s="52">
        <v>6773396.7999999998</v>
      </c>
      <c r="L142" s="52">
        <v>848266.51</v>
      </c>
      <c r="M142" s="144">
        <v>19946230.309999999</v>
      </c>
      <c r="N142" s="19">
        <v>357237975.02999997</v>
      </c>
      <c r="O142" s="19">
        <v>8955124.2899999991</v>
      </c>
      <c r="P142" s="77">
        <v>306644841.04000002</v>
      </c>
      <c r="Q142" s="22">
        <f>(P142/$P$150)</f>
        <v>1.6365920609380771E-2</v>
      </c>
      <c r="R142" s="29">
        <v>348282850.74000001</v>
      </c>
      <c r="S142" s="22">
        <f>(R142/$R$150)</f>
        <v>1.8612953603913872E-2</v>
      </c>
      <c r="T142" s="23">
        <f>((R142-P142)/P142)</f>
        <v>0.13578578253194404</v>
      </c>
      <c r="U142" s="58">
        <f t="shared" si="51"/>
        <v>2.4355678386049724E-3</v>
      </c>
      <c r="V142" s="24">
        <f>M142/R142</f>
        <v>5.7270205143951376E-2</v>
      </c>
      <c r="W142" s="25">
        <f>R142/AE142</f>
        <v>275.44677859451542</v>
      </c>
      <c r="X142" s="25">
        <f>M142/AE142</f>
        <v>15.774893516348454</v>
      </c>
      <c r="Y142" s="19">
        <v>273.02</v>
      </c>
      <c r="Z142" s="19">
        <v>276.77999999999997</v>
      </c>
      <c r="AA142" s="26">
        <v>477</v>
      </c>
      <c r="AB142" s="26">
        <v>1166629.83</v>
      </c>
      <c r="AC142" s="26">
        <v>146645.69</v>
      </c>
      <c r="AD142" s="26">
        <v>48846.68</v>
      </c>
      <c r="AE142" s="142">
        <v>1264428.8400000001</v>
      </c>
    </row>
    <row r="143" spans="1:241" ht="4.5" customHeight="1" x14ac:dyDescent="0.3">
      <c r="A143" s="164"/>
      <c r="B143" s="57"/>
      <c r="C143" s="57"/>
      <c r="D143" s="52"/>
      <c r="E143" s="52"/>
      <c r="F143" s="52"/>
      <c r="G143" s="52"/>
      <c r="H143" s="52"/>
      <c r="I143" s="52"/>
      <c r="J143" s="52"/>
      <c r="K143" s="52"/>
      <c r="L143" s="52"/>
      <c r="M143" s="144"/>
      <c r="N143" s="19"/>
      <c r="O143" s="19"/>
      <c r="P143" s="77"/>
      <c r="Q143" s="22"/>
      <c r="R143" s="29"/>
      <c r="S143" s="22"/>
      <c r="T143" s="23"/>
      <c r="U143" s="58"/>
      <c r="V143" s="24"/>
      <c r="W143" s="25"/>
      <c r="X143" s="25"/>
      <c r="Y143" s="19"/>
      <c r="Z143" s="19"/>
      <c r="AA143" s="26"/>
      <c r="AB143" s="26"/>
      <c r="AC143" s="26"/>
      <c r="AD143" s="26"/>
      <c r="AE143" s="105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</row>
    <row r="144" spans="1:241" ht="15.75" customHeight="1" x14ac:dyDescent="0.3">
      <c r="A144" s="201" t="s">
        <v>185</v>
      </c>
      <c r="B144" s="202"/>
      <c r="C144" s="202"/>
      <c r="D144" s="99"/>
      <c r="E144" s="99"/>
      <c r="F144" s="99"/>
      <c r="G144" s="99"/>
      <c r="H144" s="99"/>
      <c r="I144" s="99"/>
      <c r="J144" s="99"/>
      <c r="K144" s="99"/>
      <c r="L144" s="85"/>
      <c r="M144" s="159"/>
      <c r="N144" s="85"/>
      <c r="O144" s="85"/>
      <c r="P144" s="190"/>
      <c r="Q144" s="86"/>
      <c r="R144" s="85"/>
      <c r="S144" s="86"/>
      <c r="T144" s="86"/>
      <c r="U144" s="91"/>
      <c r="V144" s="88"/>
      <c r="W144" s="89"/>
      <c r="X144" s="89"/>
      <c r="Y144" s="85"/>
      <c r="Z144" s="85"/>
      <c r="AA144" s="92"/>
      <c r="AB144" s="92"/>
      <c r="AC144" s="92"/>
      <c r="AD144" s="92"/>
      <c r="AE144" s="111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</row>
    <row r="145" spans="1:241" ht="15.75" customHeight="1" x14ac:dyDescent="0.3">
      <c r="A145" s="164">
        <v>121</v>
      </c>
      <c r="B145" s="56" t="s">
        <v>23</v>
      </c>
      <c r="C145" s="56" t="s">
        <v>117</v>
      </c>
      <c r="D145" s="70"/>
      <c r="E145" s="70"/>
      <c r="F145" s="70">
        <v>509525010.92000002</v>
      </c>
      <c r="G145" s="70">
        <v>6558036319.21</v>
      </c>
      <c r="H145" s="70"/>
      <c r="I145" s="52"/>
      <c r="J145" s="52">
        <v>7067561330.1300001</v>
      </c>
      <c r="K145" s="52">
        <v>32267640.07</v>
      </c>
      <c r="L145" s="52">
        <v>11692666.279999999</v>
      </c>
      <c r="M145" s="144">
        <v>20574973.789999999</v>
      </c>
      <c r="N145" s="19">
        <v>7086599559.4700003</v>
      </c>
      <c r="O145" s="19">
        <v>61955589.960000001</v>
      </c>
      <c r="P145" s="77">
        <v>7135616631.8699999</v>
      </c>
      <c r="Q145" s="22">
        <f>(P145/$P$150)</f>
        <v>0.38083450189507034</v>
      </c>
      <c r="R145" s="29">
        <v>7024643969.5100002</v>
      </c>
      <c r="S145" s="22">
        <f>(R145/$R$150)</f>
        <v>0.37541145655233532</v>
      </c>
      <c r="T145" s="23">
        <f t="shared" ref="T145:T150" si="53">((R145-P145)/P145)</f>
        <v>-1.555193728659124E-2</v>
      </c>
      <c r="U145" s="58">
        <f>(L145/R145)</f>
        <v>1.6645208398818844E-3</v>
      </c>
      <c r="V145" s="24">
        <f>M145/R145</f>
        <v>2.9289703334865517E-3</v>
      </c>
      <c r="W145" s="25">
        <f>R145/AE145</f>
        <v>118.49396014564012</v>
      </c>
      <c r="X145" s="25">
        <f>M145/AE145</f>
        <v>0.34706529396391766</v>
      </c>
      <c r="Y145" s="19">
        <v>118.49</v>
      </c>
      <c r="Z145" s="19">
        <v>118.49</v>
      </c>
      <c r="AA145" s="26">
        <v>971</v>
      </c>
      <c r="AB145" s="26">
        <v>60383086.259999998</v>
      </c>
      <c r="AC145" s="26">
        <v>267219.61</v>
      </c>
      <c r="AD145" s="26">
        <v>1367588.32</v>
      </c>
      <c r="AE145" s="142">
        <v>59282717.539999999</v>
      </c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</row>
    <row r="146" spans="1:241" ht="15.75" customHeight="1" x14ac:dyDescent="0.3">
      <c r="A146" s="164">
        <v>122</v>
      </c>
      <c r="B146" s="57" t="s">
        <v>55</v>
      </c>
      <c r="C146" s="57" t="s">
        <v>186</v>
      </c>
      <c r="D146" s="70"/>
      <c r="E146" s="70"/>
      <c r="F146" s="70">
        <v>540211786</v>
      </c>
      <c r="G146" s="70">
        <v>4995882365.2299995</v>
      </c>
      <c r="H146" s="70"/>
      <c r="I146" s="52"/>
      <c r="J146" s="52">
        <v>5520390869.4499998</v>
      </c>
      <c r="K146" s="52">
        <v>71786873.129999995</v>
      </c>
      <c r="L146" s="52">
        <v>9656848.4000000004</v>
      </c>
      <c r="M146" s="144">
        <v>62130024.729999997</v>
      </c>
      <c r="N146" s="19">
        <v>5520898887.25</v>
      </c>
      <c r="O146" s="19">
        <v>508017.8</v>
      </c>
      <c r="P146" s="77">
        <v>5566677926.79</v>
      </c>
      <c r="Q146" s="22">
        <f>(P146/$P$150)</f>
        <v>0.29709878274441121</v>
      </c>
      <c r="R146" s="29">
        <v>5520390869.4499998</v>
      </c>
      <c r="S146" s="22">
        <f>(R146/$R$150)</f>
        <v>0.29502106954226143</v>
      </c>
      <c r="T146" s="23">
        <f t="shared" si="53"/>
        <v>-8.3150234212833966E-3</v>
      </c>
      <c r="U146" s="58">
        <f t="shared" si="51"/>
        <v>1.7493051902250753E-3</v>
      </c>
      <c r="V146" s="24">
        <f>M146/R146</f>
        <v>1.1254642325026171E-2</v>
      </c>
      <c r="W146" s="25">
        <f>R146/AE146</f>
        <v>115.30222624584111</v>
      </c>
      <c r="X146" s="25">
        <f>M146/AE146</f>
        <v>1.2976853156761869</v>
      </c>
      <c r="Y146" s="19">
        <v>119.99</v>
      </c>
      <c r="Z146" s="19">
        <v>119.99</v>
      </c>
      <c r="AA146" s="26">
        <v>391</v>
      </c>
      <c r="AB146" s="26">
        <v>48141268</v>
      </c>
      <c r="AC146" s="26">
        <v>298614</v>
      </c>
      <c r="AD146" s="26">
        <v>562309</v>
      </c>
      <c r="AE146" s="142">
        <v>47877574</v>
      </c>
      <c r="AG146" s="199"/>
    </row>
    <row r="147" spans="1:241" ht="15.75" customHeight="1" x14ac:dyDescent="0.3">
      <c r="A147" s="164">
        <v>123</v>
      </c>
      <c r="B147" s="57" t="s">
        <v>33</v>
      </c>
      <c r="C147" s="57" t="s">
        <v>157</v>
      </c>
      <c r="D147" s="70"/>
      <c r="E147" s="70"/>
      <c r="F147" s="70"/>
      <c r="G147" s="70">
        <v>1477890528</v>
      </c>
      <c r="H147" s="70"/>
      <c r="I147" s="52"/>
      <c r="J147" s="52">
        <v>1477890528</v>
      </c>
      <c r="K147" s="52">
        <v>14368795</v>
      </c>
      <c r="L147" s="52">
        <v>3300071</v>
      </c>
      <c r="M147" s="144">
        <v>11068724</v>
      </c>
      <c r="N147" s="19">
        <v>1893050047</v>
      </c>
      <c r="O147" s="19">
        <v>22864814.809999999</v>
      </c>
      <c r="P147" s="77">
        <v>1867704239</v>
      </c>
      <c r="Q147" s="22">
        <f>(P147/$P$150)</f>
        <v>9.9681113804522409E-2</v>
      </c>
      <c r="R147" s="29">
        <v>1870185233</v>
      </c>
      <c r="S147" s="22">
        <f>(R147/$R$150)</f>
        <v>9.9946554642565383E-2</v>
      </c>
      <c r="T147" s="23">
        <f t="shared" si="53"/>
        <v>1.3283655667710888E-3</v>
      </c>
      <c r="U147" s="58">
        <f t="shared" si="51"/>
        <v>1.7645690607375254E-3</v>
      </c>
      <c r="V147" s="24">
        <f>M147/R147</f>
        <v>5.9185174840913736E-3</v>
      </c>
      <c r="W147" s="25">
        <f>R147/AE147</f>
        <v>70.64080818225095</v>
      </c>
      <c r="X147" s="25">
        <f>M147/AE147</f>
        <v>0.41808885831699721</v>
      </c>
      <c r="Y147" s="19">
        <v>1.1100000000000001</v>
      </c>
      <c r="Z147" s="19">
        <v>1.1100000000000001</v>
      </c>
      <c r="AA147" s="26">
        <v>119</v>
      </c>
      <c r="AB147" s="26">
        <v>1700781334</v>
      </c>
      <c r="AC147" s="26">
        <v>1700781334</v>
      </c>
      <c r="AD147" s="26">
        <v>17530995</v>
      </c>
      <c r="AE147" s="142">
        <v>26474573</v>
      </c>
    </row>
    <row r="148" spans="1:241" ht="15.75" customHeight="1" x14ac:dyDescent="0.3">
      <c r="A148" s="164">
        <v>124</v>
      </c>
      <c r="B148" s="57" t="s">
        <v>187</v>
      </c>
      <c r="C148" s="57" t="s">
        <v>153</v>
      </c>
      <c r="D148" s="70"/>
      <c r="E148" s="70"/>
      <c r="F148" s="70"/>
      <c r="G148" s="70">
        <v>264138422.36000001</v>
      </c>
      <c r="H148" s="70"/>
      <c r="I148" s="52"/>
      <c r="J148" s="52">
        <v>306953764.44</v>
      </c>
      <c r="K148" s="52">
        <v>2968916.23</v>
      </c>
      <c r="L148" s="52">
        <v>666568.25</v>
      </c>
      <c r="M148" s="144">
        <v>2302347.98</v>
      </c>
      <c r="N148" s="19">
        <v>19662377.469999999</v>
      </c>
      <c r="O148" s="19">
        <v>2962246.22</v>
      </c>
      <c r="P148" s="77">
        <v>312707436.63</v>
      </c>
      <c r="Q148" s="22">
        <f>(P148/$P$150)</f>
        <v>1.6689486979440064E-2</v>
      </c>
      <c r="R148" s="29">
        <v>316700131.25</v>
      </c>
      <c r="S148" s="22">
        <f>(R148/$R$150)</f>
        <v>1.6925107959766334E-2</v>
      </c>
      <c r="T148" s="23">
        <f t="shared" si="53"/>
        <v>1.2768147323353296E-2</v>
      </c>
      <c r="U148" s="58">
        <f t="shared" si="51"/>
        <v>2.104729945545294E-3</v>
      </c>
      <c r="V148" s="24">
        <f>M148/R148</f>
        <v>7.2698043127192424E-3</v>
      </c>
      <c r="W148" s="25">
        <f>R148/AE148</f>
        <v>102.0163049658115</v>
      </c>
      <c r="X148" s="25">
        <f>M148/AE148</f>
        <v>0.74163857380813791</v>
      </c>
      <c r="Y148" s="19">
        <v>102.02</v>
      </c>
      <c r="Z148" s="19">
        <v>102.02</v>
      </c>
      <c r="AA148" s="26">
        <v>212</v>
      </c>
      <c r="AB148" s="26">
        <v>3090948</v>
      </c>
      <c r="AC148" s="26">
        <v>16467</v>
      </c>
      <c r="AD148" s="26">
        <v>3008</v>
      </c>
      <c r="AE148" s="142">
        <v>3104407</v>
      </c>
    </row>
    <row r="149" spans="1:241" ht="16.5" customHeight="1" x14ac:dyDescent="0.3">
      <c r="A149" s="164">
        <v>125</v>
      </c>
      <c r="B149" s="57" t="s">
        <v>201</v>
      </c>
      <c r="C149" s="56" t="s">
        <v>206</v>
      </c>
      <c r="D149" s="19"/>
      <c r="E149" s="19"/>
      <c r="F149" s="19">
        <v>100001182</v>
      </c>
      <c r="G149" s="19">
        <v>248422682</v>
      </c>
      <c r="H149" s="19"/>
      <c r="I149" s="19"/>
      <c r="J149" s="19">
        <v>348423864</v>
      </c>
      <c r="K149" s="19">
        <v>4269951</v>
      </c>
      <c r="L149" s="19">
        <v>715557</v>
      </c>
      <c r="M149" s="144">
        <v>3554394</v>
      </c>
      <c r="N149" s="19">
        <v>456861776.37</v>
      </c>
      <c r="O149" s="19">
        <v>5511308.9900000002</v>
      </c>
      <c r="P149" s="77">
        <v>526696814</v>
      </c>
      <c r="Q149" s="22">
        <f>(P149/$P$82)</f>
        <v>1.2571437393319211E-3</v>
      </c>
      <c r="R149" s="29">
        <v>462373085</v>
      </c>
      <c r="S149" s="22">
        <f>(R149/$R$150)</f>
        <v>2.4710170944443569E-2</v>
      </c>
      <c r="T149" s="23">
        <f t="shared" si="53"/>
        <v>-0.12212667191110065</v>
      </c>
      <c r="U149" s="58">
        <f t="shared" si="51"/>
        <v>1.5475749415647755E-3</v>
      </c>
      <c r="V149" s="24">
        <f>M149/R149</f>
        <v>7.6872856905154845E-3</v>
      </c>
      <c r="W149" s="25">
        <f>R149/AE149</f>
        <v>1048.1156734603205</v>
      </c>
      <c r="X149" s="25">
        <f>M149/AE149</f>
        <v>8.0571646185965218</v>
      </c>
      <c r="Y149" s="70">
        <v>1048.1199999999999</v>
      </c>
      <c r="Z149" s="70">
        <v>1048.1199999999999</v>
      </c>
      <c r="AA149" s="26">
        <v>21</v>
      </c>
      <c r="AB149" s="141">
        <v>500834</v>
      </c>
      <c r="AC149" s="141">
        <v>10313</v>
      </c>
      <c r="AD149" s="141">
        <v>70000</v>
      </c>
      <c r="AE149" s="185">
        <v>441147</v>
      </c>
      <c r="AF149" s="5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</row>
    <row r="150" spans="1:241" ht="15.75" customHeight="1" x14ac:dyDescent="0.3">
      <c r="A150" s="115"/>
      <c r="B150" s="52"/>
      <c r="C150" s="75" t="s">
        <v>52</v>
      </c>
      <c r="D150" s="35">
        <f>SUM(D141:D149)</f>
        <v>1551628020.9000001</v>
      </c>
      <c r="E150" s="35"/>
      <c r="F150" s="35">
        <f>SUM(F141:F149)</f>
        <v>1248320230.3400002</v>
      </c>
      <c r="G150" s="35">
        <f>SUM(G141:G149)</f>
        <v>14425639489.76</v>
      </c>
      <c r="H150" s="35"/>
      <c r="I150" s="35">
        <f t="shared" ref="I150:P150" si="54">SUM(I141:I149)</f>
        <v>716475214.59000003</v>
      </c>
      <c r="J150" s="35">
        <f t="shared" si="54"/>
        <v>17969176450.25</v>
      </c>
      <c r="K150" s="35">
        <f t="shared" si="54"/>
        <v>189412650.63999999</v>
      </c>
      <c r="L150" s="35">
        <f t="shared" si="54"/>
        <v>35589670.909999996</v>
      </c>
      <c r="M150" s="35">
        <f t="shared" si="54"/>
        <v>264302905.16999999</v>
      </c>
      <c r="N150" s="35">
        <f t="shared" si="54"/>
        <v>18845557204.329998</v>
      </c>
      <c r="O150" s="35">
        <f t="shared" si="54"/>
        <v>444726876.07000005</v>
      </c>
      <c r="P150" s="152">
        <f t="shared" si="54"/>
        <v>18736791431.350002</v>
      </c>
      <c r="Q150" s="83">
        <f>(P150/$P$151)</f>
        <v>1.3307210806992228E-2</v>
      </c>
      <c r="R150" s="36">
        <f>SUM(R141:R149)</f>
        <v>18711852946.689999</v>
      </c>
      <c r="S150" s="83">
        <f>(R150/$R$151)</f>
        <v>1.3126674404400872E-2</v>
      </c>
      <c r="T150" s="37">
        <f t="shared" si="53"/>
        <v>-1.330990140514513E-3</v>
      </c>
      <c r="U150" s="58">
        <f t="shared" si="51"/>
        <v>1.9019853892286798E-3</v>
      </c>
      <c r="V150" s="38"/>
      <c r="W150" s="39"/>
      <c r="X150" s="39"/>
      <c r="Y150" s="35"/>
      <c r="Z150" s="35"/>
      <c r="AA150" s="40">
        <f>SUM(AA141:AA149)</f>
        <v>17387</v>
      </c>
      <c r="AB150" s="40"/>
      <c r="AC150" s="40"/>
      <c r="AD150" s="40"/>
      <c r="AE150" s="107"/>
    </row>
    <row r="151" spans="1:241" ht="15.75" customHeight="1" thickBot="1" x14ac:dyDescent="0.35">
      <c r="A151" s="116"/>
      <c r="B151" s="117"/>
      <c r="C151" s="118" t="s">
        <v>146</v>
      </c>
      <c r="D151" s="119">
        <f>SUM(D150,D138,D133,D109,D103,D82,D51,D20)</f>
        <v>28478908545.999992</v>
      </c>
      <c r="E151" s="119"/>
      <c r="F151" s="119">
        <f t="shared" ref="F151:O151" si="55">SUM(F150,F138,F133,F109,F103,F82,F51,F20)</f>
        <v>686172842878.69995</v>
      </c>
      <c r="G151" s="119">
        <f t="shared" si="55"/>
        <v>517392747215.53699</v>
      </c>
      <c r="H151" s="119">
        <f t="shared" si="55"/>
        <v>32232675505.260002</v>
      </c>
      <c r="I151" s="119">
        <f t="shared" si="55"/>
        <v>739791150.92000008</v>
      </c>
      <c r="J151" s="119">
        <f t="shared" si="55"/>
        <v>1285510868938.5654</v>
      </c>
      <c r="K151" s="119">
        <f t="shared" si="55"/>
        <v>9130498350.6375999</v>
      </c>
      <c r="L151" s="119">
        <f t="shared" si="55"/>
        <v>2290434805.3009005</v>
      </c>
      <c r="M151" s="119">
        <f t="shared" si="55"/>
        <v>7825324406.4636984</v>
      </c>
      <c r="N151" s="119">
        <f t="shared" si="55"/>
        <v>1434607853588.418</v>
      </c>
      <c r="O151" s="119">
        <f t="shared" si="55"/>
        <v>15376523617.158201</v>
      </c>
      <c r="P151" s="191">
        <f>SUM(P20,P51,P82,P103,P109,P133,P138,P150)</f>
        <v>1408017931263.6138</v>
      </c>
      <c r="Q151" s="120"/>
      <c r="R151" s="119">
        <f>SUM(R20,R51,R82,R103,R109,R133,R138,R150)</f>
        <v>1425483132301.707</v>
      </c>
      <c r="S151" s="120"/>
      <c r="T151" s="121"/>
      <c r="U151" s="122"/>
      <c r="V151" s="123"/>
      <c r="W151" s="124"/>
      <c r="X151" s="124"/>
      <c r="Y151" s="119"/>
      <c r="Z151" s="119"/>
      <c r="AA151" s="126">
        <f>SUM(AA20,AA51,AA82,AA103,AA109,AA133,AA138,AA150)</f>
        <v>900540</v>
      </c>
      <c r="AB151" s="119"/>
      <c r="AC151" s="119"/>
      <c r="AD151" s="119"/>
      <c r="AE151" s="125"/>
    </row>
    <row r="152" spans="1:241" ht="6" customHeight="1" x14ac:dyDescent="0.25">
      <c r="A152" s="137"/>
      <c r="B152" s="137"/>
      <c r="C152" s="137"/>
      <c r="D152" s="5"/>
      <c r="E152" s="5"/>
      <c r="F152" s="5"/>
      <c r="G152" s="5"/>
      <c r="H152" s="5"/>
      <c r="I152" s="138"/>
      <c r="J152" s="5"/>
      <c r="K152" s="5"/>
      <c r="L152" s="5"/>
      <c r="M152" s="162"/>
      <c r="N152" s="5"/>
      <c r="O152" s="5"/>
      <c r="P152" s="192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241" ht="15.75" customHeight="1" x14ac:dyDescent="0.3">
      <c r="A153" s="131" t="s">
        <v>163</v>
      </c>
      <c r="B153" s="132" t="s">
        <v>164</v>
      </c>
      <c r="C153" s="133"/>
      <c r="D153" s="5"/>
      <c r="E153" s="5"/>
      <c r="F153" s="5"/>
      <c r="G153" s="5"/>
      <c r="H153" s="134"/>
      <c r="I153" s="5"/>
      <c r="J153" s="5"/>
      <c r="K153" s="5"/>
      <c r="L153" s="5"/>
      <c r="M153" s="162"/>
      <c r="N153" s="5"/>
      <c r="O153" s="5"/>
      <c r="P153" s="193"/>
      <c r="Q153" s="5"/>
      <c r="R153" s="13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136"/>
    </row>
    <row r="156" spans="1:241" ht="15.75" customHeight="1" x14ac:dyDescent="0.25">
      <c r="E156" s="71"/>
    </row>
  </sheetData>
  <mergeCells count="24">
    <mergeCell ref="A84:C84"/>
    <mergeCell ref="A95:C95"/>
    <mergeCell ref="A104:C104"/>
    <mergeCell ref="A110:C110"/>
    <mergeCell ref="A134:C134"/>
    <mergeCell ref="A1:AE1"/>
    <mergeCell ref="A3:C3"/>
    <mergeCell ref="A21:C21"/>
    <mergeCell ref="A52:C52"/>
    <mergeCell ref="A83:C83"/>
    <mergeCell ref="AA139:AE139"/>
    <mergeCell ref="J139:K139"/>
    <mergeCell ref="A140:C140"/>
    <mergeCell ref="L139:M139"/>
    <mergeCell ref="N139:O139"/>
    <mergeCell ref="P139:Q139"/>
    <mergeCell ref="A139:C139"/>
    <mergeCell ref="D139:F139"/>
    <mergeCell ref="G139:I139"/>
    <mergeCell ref="A144:C144"/>
    <mergeCell ref="R139:S139"/>
    <mergeCell ref="U139:V139"/>
    <mergeCell ref="W139:X139"/>
    <mergeCell ref="Y139:Z139"/>
  </mergeCells>
  <phoneticPr fontId="1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60" max="16383" man="1"/>
    <brk id="94" max="16383" man="1"/>
    <brk id="130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Q4" sqref="Q4"/>
    </sheetView>
  </sheetViews>
  <sheetFormatPr defaultColWidth="10" defaultRowHeight="12.95" customHeight="1" x14ac:dyDescent="0.25"/>
  <cols>
    <col min="1" max="256" width="10" style="13" customWidth="1"/>
  </cols>
  <sheetData>
    <row r="1" spans="1:12" ht="12.9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5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5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5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5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5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5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5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5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5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5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5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5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5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5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5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5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5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5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5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5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5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5"/>
    </row>
    <row r="24" spans="1:12" ht="12.95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Q9" sqref="Q9"/>
    </sheetView>
  </sheetViews>
  <sheetFormatPr defaultColWidth="10" defaultRowHeight="12.95" customHeight="1" x14ac:dyDescent="0.25"/>
  <cols>
    <col min="1" max="256" width="10" style="16" customWidth="1"/>
  </cols>
  <sheetData>
    <row r="1" spans="1:14" ht="12.9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V15" sqref="V14:V15"/>
    </sheetView>
  </sheetViews>
  <sheetFormatPr defaultColWidth="8.85546875" defaultRowHeight="15" customHeight="1" x14ac:dyDescent="0.25"/>
  <cols>
    <col min="1" max="3" width="8.85546875" style="17" customWidth="1"/>
    <col min="4" max="4" width="10.42578125" style="17" customWidth="1"/>
    <col min="5" max="256" width="8.85546875" style="17" customWidth="1"/>
  </cols>
  <sheetData>
    <row r="1" spans="1:14" ht="1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5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5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5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5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5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5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5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5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5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5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5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5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5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5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5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5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5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5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5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5"/>
    </row>
    <row r="22" spans="1:14" ht="15" customHeight="1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2022</vt:lpstr>
      <vt:lpstr>Market Share</vt:lpstr>
      <vt:lpstr>Unit Holders</vt:lpstr>
      <vt:lpstr>NAV Comparison Apr &amp; May '22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2022-07-19T08:09:14Z</dcterms:modified>
</cp:coreProperties>
</file>