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isaac\Desktop\Monthly NAVs\2022\"/>
    </mc:Choice>
  </mc:AlternateContent>
  <bookViews>
    <workbookView xWindow="-15" yWindow="495" windowWidth="28800" windowHeight="16380"/>
  </bookViews>
  <sheets>
    <sheet name="MARCH 2022" sheetId="1" r:id="rId1"/>
    <sheet name="Market Share" sheetId="2" r:id="rId2"/>
    <sheet name="Unit Holders" sheetId="3" r:id="rId3"/>
    <sheet name="NAV Comparison Jan - Mar '22" sheetId="4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45" i="1" l="1"/>
  <c r="AE146" i="1"/>
  <c r="AE147" i="1"/>
  <c r="AE148" i="1"/>
  <c r="AE141" i="1"/>
  <c r="AE135" i="1"/>
  <c r="AE136" i="1"/>
  <c r="AE134" i="1"/>
  <c r="AE131" i="1"/>
  <c r="AE125" i="1"/>
  <c r="AE126" i="1"/>
  <c r="AE127" i="1"/>
  <c r="AE128" i="1"/>
  <c r="AE129" i="1"/>
  <c r="AE130" i="1"/>
  <c r="AE119" i="1"/>
  <c r="AE120" i="1"/>
  <c r="AE121" i="1"/>
  <c r="AE122" i="1"/>
  <c r="AE123" i="1"/>
  <c r="AE124" i="1"/>
  <c r="AE113" i="1"/>
  <c r="AE114" i="1"/>
  <c r="AE115" i="1"/>
  <c r="AE116" i="1"/>
  <c r="AE117" i="1"/>
  <c r="AE118" i="1"/>
  <c r="AE111" i="1"/>
  <c r="AE112" i="1"/>
  <c r="AE105" i="1"/>
  <c r="AE106" i="1"/>
  <c r="AE107" i="1"/>
  <c r="AE104" i="1"/>
  <c r="AE101" i="1"/>
  <c r="AE96" i="1"/>
  <c r="AE97" i="1"/>
  <c r="AE98" i="1"/>
  <c r="AE99" i="1"/>
  <c r="AE100" i="1"/>
  <c r="AE95" i="1"/>
  <c r="AE92" i="1"/>
  <c r="AE86" i="1"/>
  <c r="AE87" i="1"/>
  <c r="AE88" i="1"/>
  <c r="AE89" i="1"/>
  <c r="AE90" i="1"/>
  <c r="AE91" i="1"/>
  <c r="AE85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48" i="1"/>
  <c r="AE49" i="1"/>
  <c r="AE50" i="1"/>
  <c r="AE44" i="1"/>
  <c r="AE45" i="1"/>
  <c r="AE46" i="1"/>
  <c r="AE47" i="1"/>
  <c r="AE37" i="1"/>
  <c r="AE38" i="1"/>
  <c r="AE39" i="1"/>
  <c r="AE40" i="1"/>
  <c r="AE41" i="1"/>
  <c r="AE29" i="1"/>
  <c r="AE30" i="1"/>
  <c r="AE31" i="1"/>
  <c r="AE32" i="1"/>
  <c r="AE33" i="1"/>
  <c r="AE34" i="1"/>
  <c r="AE35" i="1"/>
  <c r="AE26" i="1"/>
  <c r="AE27" i="1"/>
  <c r="AE28" i="1"/>
  <c r="AE23" i="1"/>
  <c r="AE24" i="1"/>
  <c r="AE25" i="1"/>
  <c r="AE19" i="1"/>
  <c r="AE18" i="1"/>
  <c r="AE11" i="1"/>
  <c r="AE12" i="1"/>
  <c r="AE13" i="1"/>
  <c r="AE14" i="1"/>
  <c r="AE15" i="1"/>
  <c r="AE16" i="1"/>
  <c r="AE5" i="1"/>
  <c r="AE6" i="1"/>
  <c r="AE7" i="1"/>
  <c r="AE8" i="1"/>
  <c r="AE9" i="1"/>
  <c r="AE10" i="1"/>
  <c r="AE4" i="1"/>
  <c r="AE144" i="1"/>
  <c r="AE140" i="1"/>
  <c r="AB150" i="1"/>
  <c r="AC150" i="1"/>
  <c r="R137" i="1" l="1"/>
  <c r="X17" i="1" l="1"/>
  <c r="W17" i="1"/>
  <c r="V17" i="1"/>
  <c r="U17" i="1"/>
  <c r="T17" i="1"/>
  <c r="J119" i="1" l="1"/>
  <c r="AA81" i="1"/>
  <c r="M80" i="1"/>
  <c r="X80" i="1" s="1"/>
  <c r="L81" i="1"/>
  <c r="K81" i="1"/>
  <c r="J81" i="1"/>
  <c r="U80" i="1"/>
  <c r="T80" i="1"/>
  <c r="Z90" i="1"/>
  <c r="Y90" i="1"/>
  <c r="R90" i="1"/>
  <c r="O90" i="1"/>
  <c r="N90" i="1"/>
  <c r="M90" i="1"/>
  <c r="L90" i="1"/>
  <c r="K90" i="1"/>
  <c r="G90" i="1"/>
  <c r="Z89" i="1"/>
  <c r="Y89" i="1"/>
  <c r="Z96" i="1"/>
  <c r="Y96" i="1"/>
  <c r="R96" i="1"/>
  <c r="O96" i="1"/>
  <c r="N96" i="1"/>
  <c r="M96" i="1"/>
  <c r="L96" i="1"/>
  <c r="K96" i="1"/>
  <c r="J96" i="1"/>
  <c r="F96" i="1"/>
  <c r="G96" i="1"/>
  <c r="F95" i="1"/>
  <c r="Z95" i="1"/>
  <c r="Y95" i="1"/>
  <c r="R95" i="1"/>
  <c r="O95" i="1"/>
  <c r="N95" i="1"/>
  <c r="M95" i="1"/>
  <c r="L95" i="1"/>
  <c r="K95" i="1"/>
  <c r="J95" i="1"/>
  <c r="G95" i="1"/>
  <c r="G92" i="1"/>
  <c r="Z99" i="1"/>
  <c r="Y99" i="1"/>
  <c r="R99" i="1"/>
  <c r="L99" i="1"/>
  <c r="M99" i="1"/>
  <c r="N99" i="1"/>
  <c r="K99" i="1"/>
  <c r="O99" i="1"/>
  <c r="J99" i="1"/>
  <c r="F99" i="1"/>
  <c r="G99" i="1"/>
  <c r="V80" i="1" l="1"/>
  <c r="W80" i="1"/>
  <c r="Z101" i="1"/>
  <c r="Y101" i="1"/>
  <c r="R101" i="1"/>
  <c r="O101" i="1"/>
  <c r="N101" i="1"/>
  <c r="M101" i="1"/>
  <c r="L101" i="1"/>
  <c r="K101" i="1"/>
  <c r="J101" i="1"/>
  <c r="F101" i="1"/>
  <c r="G101" i="1"/>
  <c r="Z86" i="1"/>
  <c r="Y86" i="1"/>
  <c r="R86" i="1"/>
  <c r="O86" i="1"/>
  <c r="N86" i="1"/>
  <c r="M86" i="1"/>
  <c r="L86" i="1"/>
  <c r="K86" i="1"/>
  <c r="J86" i="1"/>
  <c r="G86" i="1"/>
  <c r="F87" i="1"/>
  <c r="R100" i="1" l="1"/>
  <c r="O100" i="1"/>
  <c r="N100" i="1"/>
  <c r="M100" i="1"/>
  <c r="L100" i="1"/>
  <c r="K100" i="1"/>
  <c r="J100" i="1"/>
  <c r="G100" i="1"/>
  <c r="Z87" i="1"/>
  <c r="Y87" i="1"/>
  <c r="R87" i="1"/>
  <c r="O87" i="1"/>
  <c r="N87" i="1"/>
  <c r="M87" i="1"/>
  <c r="L87" i="1"/>
  <c r="K87" i="1"/>
  <c r="J87" i="1"/>
  <c r="G87" i="1"/>
  <c r="G98" i="1"/>
  <c r="Z98" i="1"/>
  <c r="Y98" i="1"/>
  <c r="R98" i="1"/>
  <c r="O98" i="1"/>
  <c r="N98" i="1"/>
  <c r="M98" i="1"/>
  <c r="L98" i="1"/>
  <c r="K98" i="1"/>
  <c r="J98" i="1"/>
  <c r="G97" i="1"/>
  <c r="AA97" i="1"/>
  <c r="Z97" i="1"/>
  <c r="Y97" i="1"/>
  <c r="R97" i="1"/>
  <c r="O97" i="1"/>
  <c r="N97" i="1"/>
  <c r="M97" i="1"/>
  <c r="L97" i="1"/>
  <c r="K97" i="1"/>
  <c r="J97" i="1"/>
  <c r="Z92" i="1"/>
  <c r="Y92" i="1"/>
  <c r="R92" i="1"/>
  <c r="O92" i="1"/>
  <c r="N92" i="1"/>
  <c r="M92" i="1"/>
  <c r="L92" i="1"/>
  <c r="K92" i="1"/>
  <c r="J92" i="1"/>
  <c r="M69" i="1"/>
  <c r="M81" i="1" s="1"/>
  <c r="AA140" i="1"/>
  <c r="AA30" i="1"/>
  <c r="J129" i="1" l="1"/>
  <c r="J47" i="1"/>
  <c r="AA126" i="1"/>
  <c r="AE22" i="1"/>
  <c r="AE42" i="1"/>
  <c r="AE110" i="1"/>
  <c r="AE43" i="1"/>
  <c r="AE53" i="1"/>
  <c r="P149" i="1" l="1"/>
  <c r="P137" i="1"/>
  <c r="P132" i="1"/>
  <c r="P108" i="1"/>
  <c r="P101" i="1"/>
  <c r="P100" i="1"/>
  <c r="P99" i="1"/>
  <c r="P98" i="1"/>
  <c r="P97" i="1"/>
  <c r="P96" i="1"/>
  <c r="P95" i="1"/>
  <c r="P92" i="1"/>
  <c r="P90" i="1"/>
  <c r="P87" i="1"/>
  <c r="P86" i="1"/>
  <c r="P81" i="1"/>
  <c r="Q80" i="1" s="1"/>
  <c r="P51" i="1"/>
  <c r="Q31" i="1" s="1"/>
  <c r="P20" i="1"/>
  <c r="Q17" i="1" s="1"/>
  <c r="P102" i="1" l="1"/>
  <c r="P150" i="1"/>
  <c r="R81" i="1"/>
  <c r="S80" i="1" s="1"/>
  <c r="R149" i="1"/>
  <c r="S148" i="1" s="1"/>
  <c r="G108" i="1" l="1"/>
  <c r="O108" i="1"/>
  <c r="K108" i="1"/>
  <c r="L108" i="1"/>
  <c r="M108" i="1"/>
  <c r="N108" i="1"/>
  <c r="H108" i="1"/>
  <c r="I108" i="1"/>
  <c r="J108" i="1"/>
  <c r="F108" i="1"/>
  <c r="O81" i="1"/>
  <c r="N81" i="1"/>
  <c r="F81" i="1"/>
  <c r="G81" i="1"/>
  <c r="I81" i="1"/>
  <c r="D81" i="1"/>
  <c r="O51" i="1"/>
  <c r="N51" i="1"/>
  <c r="I51" i="1"/>
  <c r="K51" i="1"/>
  <c r="L51" i="1"/>
  <c r="M51" i="1"/>
  <c r="F51" i="1"/>
  <c r="O20" i="1"/>
  <c r="K20" i="1"/>
  <c r="L20" i="1"/>
  <c r="M20" i="1"/>
  <c r="N20" i="1"/>
  <c r="F20" i="1"/>
  <c r="G20" i="1"/>
  <c r="H20" i="1"/>
  <c r="D20" i="1"/>
  <c r="L132" i="1"/>
  <c r="M132" i="1"/>
  <c r="N132" i="1"/>
  <c r="O132" i="1"/>
  <c r="F132" i="1"/>
  <c r="G132" i="1"/>
  <c r="H132" i="1"/>
  <c r="D132" i="1"/>
  <c r="J137" i="1"/>
  <c r="K137" i="1"/>
  <c r="L137" i="1"/>
  <c r="M137" i="1"/>
  <c r="N137" i="1"/>
  <c r="O137" i="1"/>
  <c r="F137" i="1"/>
  <c r="G137" i="1"/>
  <c r="H137" i="1"/>
  <c r="D137" i="1"/>
  <c r="M149" i="1"/>
  <c r="N149" i="1"/>
  <c r="O149" i="1"/>
  <c r="J149" i="1"/>
  <c r="K149" i="1"/>
  <c r="L149" i="1"/>
  <c r="G149" i="1"/>
  <c r="F149" i="1"/>
  <c r="D149" i="1"/>
  <c r="H150" i="1" l="1"/>
  <c r="J51" i="1"/>
  <c r="J132" i="1"/>
  <c r="D102" i="1" l="1"/>
  <c r="D150" i="1" s="1"/>
  <c r="W92" i="1"/>
  <c r="X92" i="1"/>
  <c r="U92" i="1"/>
  <c r="J20" i="1"/>
  <c r="K132" i="1"/>
  <c r="O102" i="1" l="1"/>
  <c r="O150" i="1" s="1"/>
  <c r="F102" i="1"/>
  <c r="F150" i="1" s="1"/>
  <c r="G102" i="1"/>
  <c r="G150" i="1" s="1"/>
  <c r="J102" i="1"/>
  <c r="J150" i="1" s="1"/>
  <c r="K102" i="1"/>
  <c r="K150" i="1" s="1"/>
  <c r="L102" i="1"/>
  <c r="L150" i="1" s="1"/>
  <c r="M102" i="1"/>
  <c r="M150" i="1" s="1"/>
  <c r="N102" i="1"/>
  <c r="N150" i="1" s="1"/>
  <c r="T92" i="1"/>
  <c r="V92" i="1"/>
  <c r="AA149" i="1"/>
  <c r="I149" i="1"/>
  <c r="I150" i="1" s="1"/>
  <c r="R20" i="1" l="1"/>
  <c r="S17" i="1" s="1"/>
  <c r="Q92" i="1" l="1"/>
  <c r="Q149" i="1"/>
  <c r="X148" i="1" l="1"/>
  <c r="W148" i="1"/>
  <c r="V148" i="1"/>
  <c r="U148" i="1"/>
  <c r="T148" i="1"/>
  <c r="X79" i="1" l="1"/>
  <c r="W79" i="1"/>
  <c r="V79" i="1"/>
  <c r="U79" i="1"/>
  <c r="T79" i="1"/>
  <c r="Q148" i="1"/>
  <c r="Q79" i="1" l="1"/>
  <c r="X35" i="1" l="1"/>
  <c r="V34" i="1"/>
  <c r="V35" i="1"/>
  <c r="V42" i="1" l="1"/>
  <c r="V48" i="1"/>
  <c r="V121" i="1"/>
  <c r="X120" i="1"/>
  <c r="X122" i="1"/>
  <c r="X98" i="1"/>
  <c r="W98" i="1"/>
  <c r="X97" i="1"/>
  <c r="W101" i="1"/>
  <c r="X101" i="1"/>
  <c r="U101" i="1"/>
  <c r="V101" i="1" l="1"/>
  <c r="T76" i="1" l="1"/>
  <c r="T70" i="1"/>
  <c r="T135" i="1"/>
  <c r="R132" i="1" l="1"/>
  <c r="AA137" i="1" l="1"/>
  <c r="S135" i="1"/>
  <c r="S136" i="1" l="1"/>
  <c r="S134" i="1"/>
  <c r="Q135" i="1"/>
  <c r="Q136" i="1"/>
  <c r="Q134" i="1"/>
  <c r="T137" i="1"/>
  <c r="AA102" i="1"/>
  <c r="R102" i="1"/>
  <c r="S92" i="1" s="1"/>
  <c r="S79" i="1" l="1"/>
  <c r="S96" i="1"/>
  <c r="S87" i="1"/>
  <c r="S97" i="1"/>
  <c r="S88" i="1"/>
  <c r="S89" i="1"/>
  <c r="S99" i="1"/>
  <c r="S90" i="1"/>
  <c r="S98" i="1"/>
  <c r="S100" i="1"/>
  <c r="S91" i="1"/>
  <c r="S101" i="1"/>
  <c r="S84" i="1"/>
  <c r="S85" i="1"/>
  <c r="S86" i="1"/>
  <c r="S61" i="1"/>
  <c r="S69" i="1"/>
  <c r="S77" i="1"/>
  <c r="S63" i="1"/>
  <c r="S71" i="1"/>
  <c r="S54" i="1"/>
  <c r="S62" i="1"/>
  <c r="S70" i="1"/>
  <c r="S78" i="1"/>
  <c r="S55" i="1"/>
  <c r="S53" i="1"/>
  <c r="S56" i="1"/>
  <c r="S64" i="1"/>
  <c r="S72" i="1"/>
  <c r="S65" i="1"/>
  <c r="S73" i="1"/>
  <c r="S75" i="1"/>
  <c r="S57" i="1"/>
  <c r="S67" i="1"/>
  <c r="S58" i="1"/>
  <c r="S66" i="1"/>
  <c r="S74" i="1"/>
  <c r="S59" i="1"/>
  <c r="S60" i="1"/>
  <c r="S68" i="1"/>
  <c r="S76" i="1"/>
  <c r="S145" i="1"/>
  <c r="S146" i="1"/>
  <c r="S147" i="1"/>
  <c r="S144" i="1"/>
  <c r="S141" i="1"/>
  <c r="Q145" i="1"/>
  <c r="Q146" i="1"/>
  <c r="Q147" i="1"/>
  <c r="Q144" i="1"/>
  <c r="Q141" i="1"/>
  <c r="Q101" i="1"/>
  <c r="Q91" i="1"/>
  <c r="Q95" i="1"/>
  <c r="Q84" i="1"/>
  <c r="Q99" i="1"/>
  <c r="Q85" i="1"/>
  <c r="Q96" i="1"/>
  <c r="Q86" i="1"/>
  <c r="Q90" i="1"/>
  <c r="Q97" i="1"/>
  <c r="Q87" i="1"/>
  <c r="Q98" i="1"/>
  <c r="Q88" i="1"/>
  <c r="Q89" i="1"/>
  <c r="Q100" i="1"/>
  <c r="Q59" i="1"/>
  <c r="Q60" i="1"/>
  <c r="Q68" i="1"/>
  <c r="Q76" i="1"/>
  <c r="Q62" i="1"/>
  <c r="Q70" i="1"/>
  <c r="Q63" i="1"/>
  <c r="Q71" i="1"/>
  <c r="Q61" i="1"/>
  <c r="Q69" i="1"/>
  <c r="Q77" i="1"/>
  <c r="Q54" i="1"/>
  <c r="Q78" i="1"/>
  <c r="Q55" i="1"/>
  <c r="Q53" i="1"/>
  <c r="Q67" i="1"/>
  <c r="Q56" i="1"/>
  <c r="Q64" i="1"/>
  <c r="Q72" i="1"/>
  <c r="Q57" i="1"/>
  <c r="Q65" i="1"/>
  <c r="Q73" i="1"/>
  <c r="Q58" i="1"/>
  <c r="Q66" i="1"/>
  <c r="Q74" i="1"/>
  <c r="Q75" i="1"/>
  <c r="X126" i="1"/>
  <c r="W126" i="1"/>
  <c r="V126" i="1"/>
  <c r="U126" i="1"/>
  <c r="T126" i="1"/>
  <c r="X125" i="1"/>
  <c r="W125" i="1"/>
  <c r="V125" i="1"/>
  <c r="U125" i="1"/>
  <c r="T125" i="1"/>
  <c r="X100" i="1" l="1"/>
  <c r="W100" i="1"/>
  <c r="V100" i="1"/>
  <c r="U100" i="1"/>
  <c r="T100" i="1"/>
  <c r="W99" i="1"/>
  <c r="X99" i="1"/>
  <c r="X91" i="1"/>
  <c r="W91" i="1"/>
  <c r="V91" i="1"/>
  <c r="U91" i="1"/>
  <c r="T91" i="1"/>
  <c r="W90" i="1"/>
  <c r="X90" i="1"/>
  <c r="X89" i="1"/>
  <c r="W89" i="1"/>
  <c r="V89" i="1"/>
  <c r="U89" i="1"/>
  <c r="T89" i="1"/>
  <c r="X88" i="1"/>
  <c r="W88" i="1"/>
  <c r="V88" i="1"/>
  <c r="U88" i="1"/>
  <c r="T88" i="1"/>
  <c r="X86" i="1"/>
  <c r="X87" i="1"/>
  <c r="X85" i="1"/>
  <c r="W85" i="1"/>
  <c r="V85" i="1"/>
  <c r="U85" i="1"/>
  <c r="T85" i="1"/>
  <c r="X84" i="1"/>
  <c r="W84" i="1"/>
  <c r="V84" i="1"/>
  <c r="U84" i="1"/>
  <c r="T84" i="1"/>
  <c r="U98" i="1" l="1"/>
  <c r="W97" i="1"/>
  <c r="U99" i="1"/>
  <c r="V98" i="1"/>
  <c r="V97" i="1"/>
  <c r="T99" i="1"/>
  <c r="T98" i="1"/>
  <c r="T97" i="1"/>
  <c r="U97" i="1"/>
  <c r="V99" i="1"/>
  <c r="U87" i="1"/>
  <c r="U90" i="1"/>
  <c r="T86" i="1"/>
  <c r="W86" i="1"/>
  <c r="U86" i="1"/>
  <c r="T90" i="1"/>
  <c r="V87" i="1"/>
  <c r="V90" i="1"/>
  <c r="W87" i="1"/>
  <c r="V86" i="1"/>
  <c r="T87" i="1"/>
  <c r="T147" i="1" l="1"/>
  <c r="U140" i="1"/>
  <c r="U135" i="1"/>
  <c r="U136" i="1"/>
  <c r="U141" i="1"/>
  <c r="U145" i="1"/>
  <c r="U146" i="1"/>
  <c r="U147" i="1"/>
  <c r="T127" i="1"/>
  <c r="Q140" i="1"/>
  <c r="T50" i="1"/>
  <c r="T45" i="1"/>
  <c r="T58" i="1"/>
  <c r="S111" i="1" l="1"/>
  <c r="S119" i="1"/>
  <c r="S127" i="1"/>
  <c r="S112" i="1"/>
  <c r="S120" i="1"/>
  <c r="S128" i="1"/>
  <c r="S113" i="1"/>
  <c r="S121" i="1"/>
  <c r="S129" i="1"/>
  <c r="S114" i="1"/>
  <c r="S122" i="1"/>
  <c r="S130" i="1"/>
  <c r="S115" i="1"/>
  <c r="S123" i="1"/>
  <c r="S131" i="1"/>
  <c r="S125" i="1"/>
  <c r="S116" i="1"/>
  <c r="S124" i="1"/>
  <c r="S117" i="1"/>
  <c r="S118" i="1"/>
  <c r="S126" i="1"/>
  <c r="Q106" i="1"/>
  <c r="Q105" i="1"/>
  <c r="Q107" i="1"/>
  <c r="Q24" i="1"/>
  <c r="Q25" i="1"/>
  <c r="Q33" i="1"/>
  <c r="Q26" i="1"/>
  <c r="Q34" i="1"/>
  <c r="Q42" i="1"/>
  <c r="Q50" i="1"/>
  <c r="Q38" i="1"/>
  <c r="Q47" i="1"/>
  <c r="Q40" i="1"/>
  <c r="Q27" i="1"/>
  <c r="Q35" i="1"/>
  <c r="Q43" i="1"/>
  <c r="Q23" i="1"/>
  <c r="Q41" i="1"/>
  <c r="Q28" i="1"/>
  <c r="Q36" i="1"/>
  <c r="Q44" i="1"/>
  <c r="Q46" i="1"/>
  <c r="Q39" i="1"/>
  <c r="Q48" i="1"/>
  <c r="Q29" i="1"/>
  <c r="Q37" i="1"/>
  <c r="Q45" i="1"/>
  <c r="Q30" i="1"/>
  <c r="Q32" i="1"/>
  <c r="Q49" i="1"/>
  <c r="Q6" i="1"/>
  <c r="Q7" i="1"/>
  <c r="Q15" i="1"/>
  <c r="Q10" i="1"/>
  <c r="Q8" i="1"/>
  <c r="Q16" i="1"/>
  <c r="Q9" i="1"/>
  <c r="Q18" i="1"/>
  <c r="Q11" i="1"/>
  <c r="Q19" i="1"/>
  <c r="Q12" i="1"/>
  <c r="Q5" i="1"/>
  <c r="Q13" i="1"/>
  <c r="Q14" i="1"/>
  <c r="S140" i="1"/>
  <c r="Q121" i="1" l="1"/>
  <c r="Q137" i="1"/>
  <c r="Q114" i="1"/>
  <c r="Q122" i="1"/>
  <c r="Q130" i="1"/>
  <c r="Q115" i="1"/>
  <c r="Q123" i="1"/>
  <c r="Q131" i="1"/>
  <c r="Q116" i="1"/>
  <c r="Q124" i="1"/>
  <c r="Q110" i="1"/>
  <c r="Q51" i="1"/>
  <c r="Q118" i="1"/>
  <c r="Q119" i="1"/>
  <c r="Q117" i="1"/>
  <c r="Q125" i="1"/>
  <c r="Q132" i="1"/>
  <c r="Q111" i="1"/>
  <c r="Q127" i="1"/>
  <c r="Q126" i="1"/>
  <c r="Q112" i="1"/>
  <c r="Q120" i="1"/>
  <c r="Q128" i="1"/>
  <c r="Q108" i="1"/>
  <c r="Q113" i="1"/>
  <c r="Q129" i="1"/>
  <c r="Q102" i="1"/>
  <c r="Q81" i="1"/>
  <c r="Q20" i="1"/>
  <c r="U149" i="1"/>
  <c r="U131" i="1"/>
  <c r="U130" i="1"/>
  <c r="U45" i="1"/>
  <c r="U44" i="1"/>
  <c r="X110" i="1" l="1"/>
  <c r="W123" i="1"/>
  <c r="T19" i="1" l="1"/>
  <c r="U64" i="1"/>
  <c r="U65" i="1"/>
  <c r="X135" i="1" l="1"/>
  <c r="T101" i="1" l="1"/>
  <c r="T57" i="1" l="1"/>
  <c r="X112" i="1"/>
  <c r="T130" i="1"/>
  <c r="T131" i="1"/>
  <c r="T56" i="1"/>
  <c r="AA108" i="1" l="1"/>
  <c r="T18" i="1" l="1"/>
  <c r="AA20" i="1"/>
  <c r="U19" i="1"/>
  <c r="U18" i="1"/>
  <c r="S7" i="1" l="1"/>
  <c r="S15" i="1"/>
  <c r="S13" i="1"/>
  <c r="S6" i="1"/>
  <c r="S8" i="1"/>
  <c r="S16" i="1"/>
  <c r="S10" i="1"/>
  <c r="S14" i="1"/>
  <c r="S9" i="1"/>
  <c r="S18" i="1"/>
  <c r="S11" i="1"/>
  <c r="S19" i="1"/>
  <c r="S12" i="1"/>
  <c r="S5" i="1"/>
  <c r="T20" i="1"/>
  <c r="X55" i="1" l="1"/>
  <c r="X49" i="1"/>
  <c r="W49" i="1"/>
  <c r="V49" i="1"/>
  <c r="U49" i="1"/>
  <c r="T49" i="1"/>
  <c r="U76" i="1" l="1"/>
  <c r="U28" i="1"/>
  <c r="X76" i="1" l="1"/>
  <c r="W76" i="1"/>
  <c r="V76" i="1"/>
  <c r="T48" i="1" l="1"/>
  <c r="X130" i="1" l="1"/>
  <c r="W130" i="1"/>
  <c r="V130" i="1"/>
  <c r="X56" i="1"/>
  <c r="W56" i="1"/>
  <c r="V56" i="1"/>
  <c r="U56" i="1"/>
  <c r="X48" i="1"/>
  <c r="W48" i="1"/>
  <c r="U48" i="1"/>
  <c r="X146" i="1" l="1"/>
  <c r="W146" i="1"/>
  <c r="V146" i="1"/>
  <c r="T146" i="1"/>
  <c r="X129" i="1" l="1"/>
  <c r="W129" i="1"/>
  <c r="V129" i="1"/>
  <c r="U129" i="1"/>
  <c r="T129" i="1"/>
  <c r="X47" i="1" l="1"/>
  <c r="W47" i="1"/>
  <c r="V47" i="1"/>
  <c r="U47" i="1"/>
  <c r="T47" i="1"/>
  <c r="X106" i="1" l="1"/>
  <c r="W106" i="1"/>
  <c r="V106" i="1"/>
  <c r="U106" i="1"/>
  <c r="T106" i="1"/>
  <c r="X77" i="1" l="1"/>
  <c r="W77" i="1"/>
  <c r="V77" i="1"/>
  <c r="U77" i="1"/>
  <c r="T77" i="1"/>
  <c r="X145" i="1"/>
  <c r="W145" i="1"/>
  <c r="V145" i="1"/>
  <c r="T145" i="1"/>
  <c r="T149" i="1" l="1"/>
  <c r="X147" i="1"/>
  <c r="W147" i="1"/>
  <c r="V147" i="1"/>
  <c r="X141" i="1"/>
  <c r="W141" i="1"/>
  <c r="V141" i="1"/>
  <c r="T141" i="1"/>
  <c r="X136" i="1"/>
  <c r="W136" i="1"/>
  <c r="V136" i="1"/>
  <c r="T136" i="1"/>
  <c r="W135" i="1"/>
  <c r="V135" i="1"/>
  <c r="X140" i="1"/>
  <c r="W140" i="1"/>
  <c r="V140" i="1"/>
  <c r="T140" i="1"/>
  <c r="X134" i="1"/>
  <c r="W134" i="1"/>
  <c r="V134" i="1"/>
  <c r="U134" i="1"/>
  <c r="T134" i="1"/>
  <c r="AA132" i="1"/>
  <c r="X131" i="1"/>
  <c r="W131" i="1"/>
  <c r="V131" i="1"/>
  <c r="X127" i="1"/>
  <c r="W127" i="1"/>
  <c r="V127" i="1"/>
  <c r="U127" i="1"/>
  <c r="X121" i="1"/>
  <c r="W121" i="1"/>
  <c r="U121" i="1"/>
  <c r="T121" i="1"/>
  <c r="W120" i="1"/>
  <c r="U120" i="1"/>
  <c r="T120" i="1"/>
  <c r="X124" i="1"/>
  <c r="W124" i="1"/>
  <c r="V124" i="1"/>
  <c r="U124" i="1"/>
  <c r="T124" i="1"/>
  <c r="X123" i="1"/>
  <c r="V123" i="1"/>
  <c r="U123" i="1"/>
  <c r="T123" i="1"/>
  <c r="X119" i="1"/>
  <c r="W119" i="1"/>
  <c r="V119" i="1"/>
  <c r="U119" i="1"/>
  <c r="T119" i="1"/>
  <c r="W122" i="1"/>
  <c r="V122" i="1"/>
  <c r="U122" i="1"/>
  <c r="T122" i="1"/>
  <c r="X117" i="1"/>
  <c r="W117" i="1"/>
  <c r="V117" i="1"/>
  <c r="U117" i="1"/>
  <c r="T117" i="1"/>
  <c r="X118" i="1"/>
  <c r="W118" i="1"/>
  <c r="V118" i="1"/>
  <c r="U118" i="1"/>
  <c r="T118" i="1"/>
  <c r="X116" i="1"/>
  <c r="W116" i="1"/>
  <c r="V116" i="1"/>
  <c r="U116" i="1"/>
  <c r="T116" i="1"/>
  <c r="X115" i="1"/>
  <c r="W115" i="1"/>
  <c r="V115" i="1"/>
  <c r="U115" i="1"/>
  <c r="T115" i="1"/>
  <c r="X128" i="1"/>
  <c r="W128" i="1"/>
  <c r="V128" i="1"/>
  <c r="U128" i="1"/>
  <c r="T128" i="1"/>
  <c r="X114" i="1"/>
  <c r="W114" i="1"/>
  <c r="V114" i="1"/>
  <c r="U114" i="1"/>
  <c r="T114" i="1"/>
  <c r="X113" i="1"/>
  <c r="W113" i="1"/>
  <c r="V113" i="1"/>
  <c r="U113" i="1"/>
  <c r="T113" i="1"/>
  <c r="W112" i="1"/>
  <c r="V112" i="1"/>
  <c r="U112" i="1"/>
  <c r="T112" i="1"/>
  <c r="X111" i="1"/>
  <c r="W111" i="1"/>
  <c r="V111" i="1"/>
  <c r="U111" i="1"/>
  <c r="T111" i="1"/>
  <c r="W110" i="1"/>
  <c r="V110" i="1"/>
  <c r="U110" i="1"/>
  <c r="T110" i="1"/>
  <c r="R108" i="1"/>
  <c r="Q104" i="1"/>
  <c r="X107" i="1"/>
  <c r="W107" i="1"/>
  <c r="V107" i="1"/>
  <c r="U107" i="1"/>
  <c r="T107" i="1"/>
  <c r="X105" i="1"/>
  <c r="W105" i="1"/>
  <c r="V105" i="1"/>
  <c r="U105" i="1"/>
  <c r="T105" i="1"/>
  <c r="X104" i="1"/>
  <c r="W104" i="1"/>
  <c r="V104" i="1"/>
  <c r="U104" i="1"/>
  <c r="T104" i="1"/>
  <c r="X78" i="1"/>
  <c r="W78" i="1"/>
  <c r="V78" i="1"/>
  <c r="U78" i="1"/>
  <c r="T78" i="1"/>
  <c r="X75" i="1"/>
  <c r="W75" i="1"/>
  <c r="V75" i="1"/>
  <c r="U75" i="1"/>
  <c r="T75" i="1"/>
  <c r="X74" i="1"/>
  <c r="W74" i="1"/>
  <c r="V74" i="1"/>
  <c r="U74" i="1"/>
  <c r="T74" i="1"/>
  <c r="X144" i="1"/>
  <c r="W144" i="1"/>
  <c r="V144" i="1"/>
  <c r="U144" i="1"/>
  <c r="T144" i="1"/>
  <c r="X73" i="1"/>
  <c r="W73" i="1"/>
  <c r="V73" i="1"/>
  <c r="U73" i="1"/>
  <c r="T73" i="1"/>
  <c r="X72" i="1"/>
  <c r="W72" i="1"/>
  <c r="V72" i="1"/>
  <c r="U72" i="1"/>
  <c r="T72" i="1"/>
  <c r="X96" i="1"/>
  <c r="W96" i="1"/>
  <c r="V96" i="1"/>
  <c r="U96" i="1"/>
  <c r="T96" i="1"/>
  <c r="X60" i="1"/>
  <c r="W60" i="1"/>
  <c r="V60" i="1"/>
  <c r="U60" i="1"/>
  <c r="T60" i="1"/>
  <c r="X71" i="1"/>
  <c r="W71" i="1"/>
  <c r="V71" i="1"/>
  <c r="U71" i="1"/>
  <c r="T71" i="1"/>
  <c r="X70" i="1"/>
  <c r="W70" i="1"/>
  <c r="V70" i="1"/>
  <c r="U70" i="1"/>
  <c r="X95" i="1"/>
  <c r="W95" i="1"/>
  <c r="V95" i="1"/>
  <c r="U95" i="1"/>
  <c r="T95" i="1"/>
  <c r="X69" i="1"/>
  <c r="W69" i="1"/>
  <c r="V69" i="1"/>
  <c r="U69" i="1"/>
  <c r="T69" i="1"/>
  <c r="X67" i="1"/>
  <c r="W67" i="1"/>
  <c r="V67" i="1"/>
  <c r="U67" i="1"/>
  <c r="T67" i="1"/>
  <c r="X68" i="1"/>
  <c r="W68" i="1"/>
  <c r="V68" i="1"/>
  <c r="U68" i="1"/>
  <c r="T68" i="1"/>
  <c r="X66" i="1"/>
  <c r="W66" i="1"/>
  <c r="V66" i="1"/>
  <c r="U66" i="1"/>
  <c r="T66" i="1"/>
  <c r="X65" i="1"/>
  <c r="W65" i="1"/>
  <c r="V65" i="1"/>
  <c r="T65" i="1"/>
  <c r="X64" i="1"/>
  <c r="W64" i="1"/>
  <c r="V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59" i="1"/>
  <c r="W59" i="1"/>
  <c r="V59" i="1"/>
  <c r="U59" i="1"/>
  <c r="T59" i="1"/>
  <c r="X58" i="1"/>
  <c r="W58" i="1"/>
  <c r="V58" i="1"/>
  <c r="U58" i="1"/>
  <c r="X57" i="1"/>
  <c r="W57" i="1"/>
  <c r="V57" i="1"/>
  <c r="U57" i="1"/>
  <c r="W55" i="1"/>
  <c r="V55" i="1"/>
  <c r="U55" i="1"/>
  <c r="T55" i="1"/>
  <c r="X54" i="1"/>
  <c r="W54" i="1"/>
  <c r="V54" i="1"/>
  <c r="U54" i="1"/>
  <c r="T54" i="1"/>
  <c r="X53" i="1"/>
  <c r="W53" i="1"/>
  <c r="V53" i="1"/>
  <c r="U53" i="1"/>
  <c r="T53" i="1"/>
  <c r="AA51" i="1"/>
  <c r="R51" i="1"/>
  <c r="X50" i="1"/>
  <c r="W50" i="1"/>
  <c r="V50" i="1"/>
  <c r="U50" i="1"/>
  <c r="X46" i="1"/>
  <c r="W46" i="1"/>
  <c r="V46" i="1"/>
  <c r="U46" i="1"/>
  <c r="T46" i="1"/>
  <c r="X45" i="1"/>
  <c r="W45" i="1"/>
  <c r="V45" i="1"/>
  <c r="X44" i="1"/>
  <c r="W44" i="1"/>
  <c r="V44" i="1"/>
  <c r="T44" i="1"/>
  <c r="X43" i="1"/>
  <c r="W43" i="1"/>
  <c r="V43" i="1"/>
  <c r="U43" i="1"/>
  <c r="T43" i="1"/>
  <c r="X42" i="1"/>
  <c r="W42" i="1"/>
  <c r="U42" i="1"/>
  <c r="T42" i="1"/>
  <c r="X41" i="1"/>
  <c r="W41" i="1"/>
  <c r="V41" i="1"/>
  <c r="U41" i="1"/>
  <c r="T41" i="1"/>
  <c r="X40" i="1"/>
  <c r="W40" i="1"/>
  <c r="V40" i="1"/>
  <c r="U40" i="1"/>
  <c r="T40" i="1"/>
  <c r="X39" i="1"/>
  <c r="W39" i="1"/>
  <c r="V39" i="1"/>
  <c r="U39" i="1"/>
  <c r="T39" i="1"/>
  <c r="X38" i="1"/>
  <c r="W38" i="1"/>
  <c r="V38" i="1"/>
  <c r="U38" i="1"/>
  <c r="T38" i="1"/>
  <c r="X37" i="1"/>
  <c r="W37" i="1"/>
  <c r="V37" i="1"/>
  <c r="U37" i="1"/>
  <c r="T37" i="1"/>
  <c r="V36" i="1"/>
  <c r="U36" i="1"/>
  <c r="T36" i="1"/>
  <c r="W35" i="1"/>
  <c r="U35" i="1"/>
  <c r="T35" i="1"/>
  <c r="X34" i="1"/>
  <c r="W34" i="1"/>
  <c r="U34" i="1"/>
  <c r="T34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4" i="1"/>
  <c r="W24" i="1"/>
  <c r="V24" i="1"/>
  <c r="U24" i="1"/>
  <c r="T24" i="1"/>
  <c r="X23" i="1"/>
  <c r="W23" i="1"/>
  <c r="V23" i="1"/>
  <c r="U23" i="1"/>
  <c r="T23" i="1"/>
  <c r="X22" i="1"/>
  <c r="W22" i="1"/>
  <c r="V22" i="1"/>
  <c r="U22" i="1"/>
  <c r="T22" i="1"/>
  <c r="X18" i="1"/>
  <c r="W18" i="1"/>
  <c r="V18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8" i="1"/>
  <c r="W8" i="1"/>
  <c r="V8" i="1"/>
  <c r="U8" i="1"/>
  <c r="T8" i="1"/>
  <c r="X7" i="1"/>
  <c r="W7" i="1"/>
  <c r="V7" i="1"/>
  <c r="U7" i="1"/>
  <c r="T7" i="1"/>
  <c r="X6" i="1"/>
  <c r="W6" i="1"/>
  <c r="V6" i="1"/>
  <c r="U6" i="1"/>
  <c r="T6" i="1"/>
  <c r="X5" i="1"/>
  <c r="W5" i="1"/>
  <c r="V5" i="1"/>
  <c r="U5" i="1"/>
  <c r="T5" i="1"/>
  <c r="X4" i="1"/>
  <c r="W4" i="1"/>
  <c r="V4" i="1"/>
  <c r="U4" i="1"/>
  <c r="T4" i="1"/>
  <c r="R150" i="1" l="1"/>
  <c r="S51" i="1"/>
  <c r="AA150" i="1"/>
  <c r="S105" i="1"/>
  <c r="S107" i="1"/>
  <c r="S106" i="1"/>
  <c r="S29" i="1"/>
  <c r="S37" i="1"/>
  <c r="S45" i="1"/>
  <c r="S40" i="1"/>
  <c r="S42" i="1"/>
  <c r="S30" i="1"/>
  <c r="S38" i="1"/>
  <c r="S46" i="1"/>
  <c r="S24" i="1"/>
  <c r="S23" i="1"/>
  <c r="S31" i="1"/>
  <c r="S39" i="1"/>
  <c r="S47" i="1"/>
  <c r="S32" i="1"/>
  <c r="S48" i="1"/>
  <c r="S50" i="1"/>
  <c r="S25" i="1"/>
  <c r="S33" i="1"/>
  <c r="S41" i="1"/>
  <c r="S49" i="1"/>
  <c r="S26" i="1"/>
  <c r="S34" i="1"/>
  <c r="S27" i="1"/>
  <c r="S35" i="1"/>
  <c r="S43" i="1"/>
  <c r="S28" i="1"/>
  <c r="S36" i="1"/>
  <c r="S44" i="1"/>
  <c r="T81" i="1"/>
  <c r="S95" i="1"/>
  <c r="S104" i="1"/>
  <c r="S110" i="1"/>
  <c r="Q4" i="1"/>
  <c r="Q22" i="1"/>
  <c r="T132" i="1"/>
  <c r="S22" i="1"/>
  <c r="T102" i="1"/>
  <c r="T51" i="1"/>
  <c r="S4" i="1"/>
  <c r="T108" i="1"/>
  <c r="S81" i="1" l="1"/>
  <c r="S102" i="1"/>
  <c r="S108" i="1"/>
  <c r="S20" i="1"/>
  <c r="S132" i="1"/>
  <c r="S149" i="1"/>
  <c r="S137" i="1"/>
  <c r="AE150" i="1"/>
  <c r="W36" i="1"/>
  <c r="X36" i="1"/>
  <c r="AE36" i="1"/>
  <c r="AD36" i="1"/>
  <c r="AD150" i="1"/>
  <c r="V120" i="1"/>
</calcChain>
</file>

<file path=xl/sharedStrings.xml><?xml version="1.0" encoding="utf-8"?>
<sst xmlns="http://schemas.openxmlformats.org/spreadsheetml/2006/main" count="311" uniqueCount="221">
  <si>
    <t>FUND MANAGER</t>
  </si>
  <si>
    <t>FUND</t>
  </si>
  <si>
    <t>EQUITIES</t>
  </si>
  <si>
    <t>UNQUOTED EQUITIES</t>
  </si>
  <si>
    <t>MONEY MARKET</t>
  </si>
  <si>
    <t>BONDS</t>
  </si>
  <si>
    <t>REAL ESTATE</t>
  </si>
  <si>
    <t>OTHERS</t>
  </si>
  <si>
    <t xml:space="preserve">TOTAL VALUE OF INVESTMENT (N)               </t>
  </si>
  <si>
    <t>TOTAL EXPENSES (N)</t>
  </si>
  <si>
    <t>NET INCOME/LOSS</t>
  </si>
  <si>
    <t>GROSS ASSET VALUE (N)</t>
  </si>
  <si>
    <t>TOTAL LIABILITIES (N)</t>
  </si>
  <si>
    <t>% ON TOTAL</t>
  </si>
  <si>
    <t>% CHANGE IN NAV</t>
  </si>
  <si>
    <t>EXPENSE RATIO (%)</t>
  </si>
  <si>
    <t>Return on Equity (RoE)</t>
  </si>
  <si>
    <t>Net Asset Per Unit</t>
  </si>
  <si>
    <t>Earnings Per Unit (EPU)</t>
  </si>
  <si>
    <t>BID PRICE (N)</t>
  </si>
  <si>
    <t>OFFER PRICE (N)</t>
  </si>
  <si>
    <t>NUMBER OF UNIT HOLDERS</t>
  </si>
  <si>
    <t>EQUITY BASED FUNDS</t>
  </si>
  <si>
    <t>Stanbic IBTC Asset Mgt. Limited</t>
  </si>
  <si>
    <t>Stanbic IBTC Nigerian Equity Fund</t>
  </si>
  <si>
    <t>First City Asset Management Plc</t>
  </si>
  <si>
    <t>Legacy Equity Fund</t>
  </si>
  <si>
    <t>SCM Capital Limited</t>
  </si>
  <si>
    <t>Frontier Fund</t>
  </si>
  <si>
    <t>Chapel Hill Denham Mgt. Limited</t>
  </si>
  <si>
    <t>Paramount Equity Fund</t>
  </si>
  <si>
    <t>Afrinvest Asset Management Ltd.</t>
  </si>
  <si>
    <t>Afrinvest Equity Fund</t>
  </si>
  <si>
    <t>United Capital Asset Mgt. Ltd</t>
  </si>
  <si>
    <t>United Capital Equity Fund</t>
  </si>
  <si>
    <t xml:space="preserve">ARM Investment Managers Limited </t>
  </si>
  <si>
    <t>ARM Aggressive Growth Fund</t>
  </si>
  <si>
    <t>FBN Capital Asset Mgt</t>
  </si>
  <si>
    <t>FBN Nigeria Smart Beta Equity Fund</t>
  </si>
  <si>
    <t>Meristem Wealth Management Limited</t>
  </si>
  <si>
    <t>Meristem Equity Market Fund</t>
  </si>
  <si>
    <t>Stanbic IBTC Aggressive Fund (Sub Fund)</t>
  </si>
  <si>
    <t>AXA Mansard Investments Limited</t>
  </si>
  <si>
    <t>AXA Mansard Equity Income Fund</t>
  </si>
  <si>
    <t>Investment One Funds Management Limited</t>
  </si>
  <si>
    <t>Vantage Equity Income Fund</t>
  </si>
  <si>
    <t>PAC Asset Management Ltd.</t>
  </si>
  <si>
    <t>Pacam Equity Fund</t>
  </si>
  <si>
    <t>Global Asset Management Nig. Ltd</t>
  </si>
  <si>
    <t>Continental Unit Trust Fund (Inactive)</t>
  </si>
  <si>
    <t>Anchoria Asset Management Limited</t>
  </si>
  <si>
    <t>Anchoria Equity Fund</t>
  </si>
  <si>
    <t>Sub Total</t>
  </si>
  <si>
    <t>MONEY MARKET FUNDS</t>
  </si>
  <si>
    <t>Stanbic IBTC Money Market Fund</t>
  </si>
  <si>
    <t>FBN Capital Asset Mgt. Limited</t>
  </si>
  <si>
    <t>FBN Money Market Fund</t>
  </si>
  <si>
    <t>United Capital Money Market Fund</t>
  </si>
  <si>
    <t>AIICO Capital Ltd</t>
  </si>
  <si>
    <t>AIICO Money Market Fund</t>
  </si>
  <si>
    <t>ARM Money Market Fund</t>
  </si>
  <si>
    <t>Meristem Money Market Fund</t>
  </si>
  <si>
    <t>AXA Mansard Money Market Fund</t>
  </si>
  <si>
    <t xml:space="preserve">Greenwich Asst Management Ltd </t>
  </si>
  <si>
    <t>Greenwich Plus Money Market</t>
  </si>
  <si>
    <t>Cordros Asset Management Limited</t>
  </si>
  <si>
    <t>Cordros Money Market Fund</t>
  </si>
  <si>
    <t>PACAM Money Market Fund</t>
  </si>
  <si>
    <t>Chapel Hill Denham Money Market Fund(Frml NGIF)</t>
  </si>
  <si>
    <t>Abacus Money Market Fund</t>
  </si>
  <si>
    <t>EDC Fund Management</t>
  </si>
  <si>
    <t>EDC Money Market Class B</t>
  </si>
  <si>
    <t>Coronation Asset Management Limited</t>
  </si>
  <si>
    <t>Coronation Money Market Fund</t>
  </si>
  <si>
    <t>Zenith Asset Management Ltd</t>
  </si>
  <si>
    <t>Zenith Money Market Fund</t>
  </si>
  <si>
    <t>Afrinvest Plutus Fund</t>
  </si>
  <si>
    <t>Legacy Money Market Fund</t>
  </si>
  <si>
    <t xml:space="preserve">Growth and Development Asset Management Limited </t>
  </si>
  <si>
    <t>GDL Money Market Fund</t>
  </si>
  <si>
    <t>Vetiva Fund Managers Limited</t>
  </si>
  <si>
    <t>Vetiva Money Market Fund</t>
  </si>
  <si>
    <t>FSDH Asset Management Ltd</t>
  </si>
  <si>
    <t>FAAM Money Market Fund</t>
  </si>
  <si>
    <t>Anchoria Money Market Fund</t>
  </si>
  <si>
    <t>Trustbanc Asset Management Limited</t>
  </si>
  <si>
    <t>Trustbanc Money Market Fund</t>
  </si>
  <si>
    <t>ValuAlliance Asset Management Limited</t>
  </si>
  <si>
    <t>ValuAlliance Money Market Fund</t>
  </si>
  <si>
    <t>NOVAMBL Asset Management Limited</t>
  </si>
  <si>
    <t>NOVA Prime Money Market Fund</t>
  </si>
  <si>
    <t xml:space="preserve"> </t>
  </si>
  <si>
    <t>Stanbic IBTC Bond Fund</t>
  </si>
  <si>
    <t>Nigeria International Debt Fund</t>
  </si>
  <si>
    <t>Legacy USD Bond Fund</t>
  </si>
  <si>
    <t>Pacam Eurobond Fund</t>
  </si>
  <si>
    <t>Afrinvest Dollar Fund</t>
  </si>
  <si>
    <t>ARM Eurobond Fund</t>
  </si>
  <si>
    <t>Coral Income Fund</t>
  </si>
  <si>
    <t>United Capital Fixed Income Fund</t>
  </si>
  <si>
    <t>Vantage Guaranteed Income Fund</t>
  </si>
  <si>
    <t>Capital Express Assset &amp; Trust Limited</t>
  </si>
  <si>
    <t>CEAT Fixed Income Fund(Frml BGL Sapphire)</t>
  </si>
  <si>
    <t>Stanbic IBTC Guaranteed Investment Fund</t>
  </si>
  <si>
    <t>SFS Capital Nigeria Ltd</t>
  </si>
  <si>
    <t>SFS Fixed Income Fund</t>
  </si>
  <si>
    <t>Stanbic IBTC Absolute Fund (Sub Fund)</t>
  </si>
  <si>
    <t>Stanbic IBTC Conservative Fund (Sub Fund)</t>
  </si>
  <si>
    <t>Lotus Capital Limited</t>
  </si>
  <si>
    <t>PACAM Fixed Income Fund</t>
  </si>
  <si>
    <t>Stanbic IBTC Dollar Fund</t>
  </si>
  <si>
    <t>Kedari Investment Fund</t>
  </si>
  <si>
    <t>Zenith Income Fund</t>
  </si>
  <si>
    <t>Vantage Dollar Fund</t>
  </si>
  <si>
    <t>Lead Asset Mgt Ltd</t>
  </si>
  <si>
    <t xml:space="preserve">Lead Fixed Income Fund </t>
  </si>
  <si>
    <t>Coronation Fixed Income Fund</t>
  </si>
  <si>
    <t>Stanbic IBTC Shariah Fixed Income Fund</t>
  </si>
  <si>
    <t>Anchoria Fixed Income Fund</t>
  </si>
  <si>
    <t>Cordros Dollar Fund</t>
  </si>
  <si>
    <t>ARM Fixed Income Fund</t>
  </si>
  <si>
    <t>AVA Global Asset Managers Limited</t>
  </si>
  <si>
    <t>AVA GAM Fixed Income Dollar Fund</t>
  </si>
  <si>
    <t>FSDH Dollar Fund</t>
  </si>
  <si>
    <t>NOVA Dollar Fixed Income Fund</t>
  </si>
  <si>
    <t>REAL ESTATE FUNDS</t>
  </si>
  <si>
    <t>SFS Real Estate Investment Trust Fund</t>
  </si>
  <si>
    <t>Union Homes REITS</t>
  </si>
  <si>
    <t>UPDC Real Estate Investment Fund</t>
  </si>
  <si>
    <t>Nigeria Real Estate Investment Trust</t>
  </si>
  <si>
    <t>Stanbic IBTC Balanced Fund</t>
  </si>
  <si>
    <t>United Capital Balanced Fund</t>
  </si>
  <si>
    <t>Capital Express Balanced Fund</t>
  </si>
  <si>
    <t>AIICO Balanced Fund</t>
  </si>
  <si>
    <t>FBN Balanced Fund</t>
  </si>
  <si>
    <t>ValuAlliance Value Fund</t>
  </si>
  <si>
    <t>Wealth For Women Fund</t>
  </si>
  <si>
    <t>Nigeria Energy Sector Fund</t>
  </si>
  <si>
    <t>Coronation Balanced Fund</t>
  </si>
  <si>
    <t>Cordros Milestone Fund</t>
  </si>
  <si>
    <t>Vantage Balanced Fund</t>
  </si>
  <si>
    <t>PACAM Balanced Fund</t>
  </si>
  <si>
    <t xml:space="preserve">Lead Balanced Fund </t>
  </si>
  <si>
    <t>ETHICAL FUNDS</t>
  </si>
  <si>
    <t>Stanbic IBTC Ethical Fund</t>
  </si>
  <si>
    <t>ARM Ethical Fund</t>
  </si>
  <si>
    <t>Stanbic IBTC Imaan Fund</t>
  </si>
  <si>
    <t>Grand Total</t>
  </si>
  <si>
    <t>CardinalStone Asset Mgt. Limited</t>
  </si>
  <si>
    <t>CardinalStone Fixed Income Alpha Fund</t>
  </si>
  <si>
    <t>GDL Income Fund</t>
  </si>
  <si>
    <t>Coral Money Market Fund (FSDH Treasury Bill Fund)</t>
  </si>
  <si>
    <t>AVA GAM Fixed Income Naira Fund</t>
  </si>
  <si>
    <t>Norrenberger Investment and Capital Management Limited</t>
  </si>
  <si>
    <t>Norrenberger Islamic Fund</t>
  </si>
  <si>
    <t>Core Asset Management Limited</t>
  </si>
  <si>
    <t>Core Investment Money Market Fund</t>
  </si>
  <si>
    <t>Core Value Mixed Fund</t>
  </si>
  <si>
    <t>United Capital Sukuk Fund</t>
  </si>
  <si>
    <t>Emerging Africa Asset Management Limited</t>
  </si>
  <si>
    <t>Emerging Africa Money Market Fund</t>
  </si>
  <si>
    <t>Emerging Africa Bond Fund</t>
  </si>
  <si>
    <t>Emerging Africa Eurobond Fund</t>
  </si>
  <si>
    <t>Stanbic IBTC Enhanced Short-Term Fixed Income Fund</t>
  </si>
  <si>
    <t>Note:</t>
  </si>
  <si>
    <t>*Continental Unit Trust Scheme is Inactive*</t>
  </si>
  <si>
    <t>TOTAL INCOME (N)</t>
  </si>
  <si>
    <t>Lotus Halal Investment  Fund</t>
  </si>
  <si>
    <t>ARM Discovery Balanced Fund</t>
  </si>
  <si>
    <t>EDC Money Market Class A</t>
  </si>
  <si>
    <t>Norrenberger Money Market Fund</t>
  </si>
  <si>
    <t xml:space="preserve">Futureview Asset Management Limited </t>
  </si>
  <si>
    <t>Futureview Equity Fund</t>
  </si>
  <si>
    <t>First Ally Asset Management Limited</t>
  </si>
  <si>
    <t>Coral Balanced Fund</t>
  </si>
  <si>
    <t>Women's Balanced Fund</t>
  </si>
  <si>
    <t>GDL Canary Balanced Fund</t>
  </si>
  <si>
    <t>DOLLAR FUNDS (EUROBONDS)</t>
  </si>
  <si>
    <t>DOLLAR FUND</t>
  </si>
  <si>
    <t>DOLLAR FUNDS (FIXED INCOME)</t>
  </si>
  <si>
    <t>FBNQuest Asset Management Limited</t>
  </si>
  <si>
    <t>First City Asset Management Ltd.</t>
  </si>
  <si>
    <t>Nigeria Dollar Income Fund</t>
  </si>
  <si>
    <t>MIXED FUNDS</t>
  </si>
  <si>
    <t>SHARI'AH COMPLIANT FUNDS</t>
  </si>
  <si>
    <t>SHARI'AH COMPLIANT FUNDS (EQUITIES)</t>
  </si>
  <si>
    <t>SHARI'AH COMPLIANT FUNDS (FIXED INCOME)</t>
  </si>
  <si>
    <t>FBN Halal Fund</t>
  </si>
  <si>
    <t>Norrenberger Investment &amp; Capital Management Limited</t>
  </si>
  <si>
    <t>BOND/FIXED INCOME FUNDS</t>
  </si>
  <si>
    <t>FBN Bond Fund (FBN Fixed Income Fund)</t>
  </si>
  <si>
    <t>Legacy Debt Fund</t>
  </si>
  <si>
    <t>NOVA Hybrid Balanced Fund</t>
  </si>
  <si>
    <t>Emerging Africa Balanced-Diversity Fund (Gender/Diversity)</t>
  </si>
  <si>
    <t>S/N</t>
  </si>
  <si>
    <t>Stanbic IBTC Asset Management Limited</t>
  </si>
  <si>
    <t xml:space="preserve">Nigerian Eurobond Fund </t>
  </si>
  <si>
    <t>Chapel Hill Denham Nigeria Bond Fund</t>
  </si>
  <si>
    <t>FBN Dollar Fund (Institutional)</t>
  </si>
  <si>
    <t>FBN Dollar Fund (Retail)</t>
  </si>
  <si>
    <t>Halal Fixed Income Fund</t>
  </si>
  <si>
    <t xml:space="preserve">AXA Mansard Investments Limited </t>
  </si>
  <si>
    <t>EDC Nigeria Fixed Income Fund</t>
  </si>
  <si>
    <t xml:space="preserve">Capital Trust Investments &amp; Asset Mgt. Ltd </t>
  </si>
  <si>
    <t xml:space="preserve">NET ASSET VALUE  (N) </t>
  </si>
  <si>
    <t>Nigerian Entertainment Fund</t>
  </si>
  <si>
    <t>AXA Mansard Dollar Bond Fund</t>
  </si>
  <si>
    <t>SPREADSHEET OF REGISTERED MUTUAL FUNDS AS AT 31ST MARCH, 2022</t>
  </si>
  <si>
    <t>NET ASSET VALUE  (N) PREVIOUS FEBRUARY</t>
  </si>
  <si>
    <t>CLOSING NUMBER OF UNITS</t>
  </si>
  <si>
    <t>OPENING NUMBER OF UNITS</t>
  </si>
  <si>
    <t>Capital Trust Halal Fixed Income Fund</t>
  </si>
  <si>
    <t>ADDITIONS</t>
  </si>
  <si>
    <t>REDEMPTIONS</t>
  </si>
  <si>
    <t>Zenith ESG Impact Fund</t>
  </si>
  <si>
    <t>Zenith Balanced Strategy Fund</t>
  </si>
  <si>
    <t>52,377,265.76</t>
  </si>
  <si>
    <t xml:space="preserve">840,000.00	</t>
  </si>
  <si>
    <t>Cordros Fixed Income Fund</t>
  </si>
  <si>
    <t>74a</t>
  </si>
  <si>
    <t>74b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</si>
</sst>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&quot; &quot;* #,##0&quot; &quot;;&quot;-&quot;* #,##0&quot; &quot;;&quot; &quot;* &quot;-&quot;??&quot; &quot;"/>
    <numFmt numFmtId="166" formatCode="&quot; &quot;* #,##0.00&quot; &quot;;&quot;-&quot;* #,##0.00&quot; &quot;;&quot; &quot;* &quot;-&quot;??&quot; &quot;"/>
    <numFmt numFmtId="167" formatCode="&quot; &quot;* #,##0.00&quot; &quot;;&quot; &quot;* \(#,##0.00\);&quot; &quot;* &quot;-&quot;??&quot; &quot;"/>
    <numFmt numFmtId="168" formatCode="_-* #,##0_-;\-* #,##0_-;_-* &quot;-&quot;??_-;_-@_-"/>
  </numFmts>
  <fonts count="23" x14ac:knownFonts="1">
    <font>
      <sz val="11"/>
      <color indexed="8"/>
      <name val="Calibri"/>
    </font>
    <font>
      <b/>
      <sz val="12"/>
      <color indexed="8"/>
      <name val="Trebuchet MS"/>
      <family val="2"/>
    </font>
    <font>
      <sz val="12"/>
      <color indexed="8"/>
      <name val="Calibri"/>
      <family val="2"/>
    </font>
    <font>
      <sz val="8"/>
      <color indexed="8"/>
      <name val="Trebuchet MS"/>
      <family val="2"/>
    </font>
    <font>
      <b/>
      <sz val="8"/>
      <color indexed="8"/>
      <name val="Trebuchet MS"/>
      <family val="2"/>
    </font>
    <font>
      <sz val="8"/>
      <color indexed="9"/>
      <name val="Trebuchet MS"/>
      <family val="2"/>
    </font>
    <font>
      <b/>
      <sz val="12"/>
      <color indexed="8"/>
      <name val="Calibri"/>
      <family val="2"/>
    </font>
    <font>
      <i/>
      <sz val="12"/>
      <color indexed="8"/>
      <name val="Arial Narrow"/>
      <family val="2"/>
    </font>
    <font>
      <sz val="11"/>
      <color indexed="8"/>
      <name val="Calibri"/>
      <family val="2"/>
    </font>
    <font>
      <b/>
      <sz val="8"/>
      <color rgb="FFFF0000"/>
      <name val="Trebuchet MS"/>
      <family val="2"/>
    </font>
    <font>
      <sz val="8"/>
      <name val="Trebuchet MS"/>
      <family val="2"/>
    </font>
    <font>
      <b/>
      <sz val="36"/>
      <color indexed="9"/>
      <name val="Trebuchet MS"/>
      <family val="2"/>
    </font>
    <font>
      <sz val="8"/>
      <color rgb="FFFF0000"/>
      <name val="Trebuchet MS"/>
      <family val="2"/>
    </font>
    <font>
      <b/>
      <sz val="10"/>
      <color indexed="8"/>
      <name val="Calibri"/>
      <family val="2"/>
    </font>
    <font>
      <sz val="10"/>
      <color indexed="8"/>
      <name val="Arial Narrow"/>
      <family val="2"/>
    </font>
    <font>
      <sz val="8"/>
      <name val="Calibri"/>
      <family val="2"/>
    </font>
    <font>
      <sz val="8"/>
      <color rgb="FF000000"/>
      <name val="Trebuchet MS"/>
      <family val="2"/>
    </font>
    <font>
      <sz val="11"/>
      <color rgb="FF000000"/>
      <name val="Calibri"/>
      <family val="2"/>
    </font>
    <font>
      <b/>
      <sz val="10"/>
      <color indexed="8"/>
      <name val="Trebuchet MS"/>
      <family val="2"/>
    </font>
    <font>
      <sz val="11"/>
      <color indexed="8"/>
      <name val="Calibri"/>
      <family val="2"/>
    </font>
    <font>
      <b/>
      <sz val="8"/>
      <name val="Trebuchet MS"/>
      <family val="2"/>
    </font>
    <font>
      <sz val="8"/>
      <color theme="1"/>
      <name val="Trebuchet MS"/>
      <family val="2"/>
    </font>
    <font>
      <sz val="8"/>
      <color indexed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/>
      <right style="thin">
        <color indexed="11"/>
      </right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11"/>
      </left>
      <right style="thin">
        <color indexed="11"/>
      </right>
      <top/>
      <bottom style="thin">
        <color indexed="11"/>
      </bottom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  <border>
      <left/>
      <right style="thin">
        <color indexed="11"/>
      </right>
      <top/>
      <bottom style="thin">
        <color indexed="11"/>
      </bottom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AAAAAA"/>
      </right>
      <top style="thin">
        <color rgb="FFAAAAAA"/>
      </top>
      <bottom style="thin">
        <color rgb="FFAAAAAA"/>
      </bottom>
      <diagonal/>
    </border>
    <border>
      <left/>
      <right style="thin">
        <color rgb="FFAAAAAA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11"/>
      </bottom>
      <diagonal/>
    </border>
  </borders>
  <cellStyleXfs count="3">
    <xf numFmtId="0" fontId="0" fillId="0" borderId="0" applyNumberFormat="0" applyFill="0" applyBorder="0" applyProtection="0"/>
    <xf numFmtId="43" fontId="8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23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2" borderId="5" xfId="0" applyNumberFormat="1" applyFont="1" applyFill="1" applyBorder="1" applyAlignment="1"/>
    <xf numFmtId="0" fontId="0" fillId="2" borderId="6" xfId="0" applyNumberFormat="1" applyFont="1" applyFill="1" applyBorder="1" applyAlignment="1"/>
    <xf numFmtId="0" fontId="0" fillId="2" borderId="7" xfId="0" applyNumberFormat="1" applyFont="1" applyFill="1" applyBorder="1" applyAlignment="1"/>
    <xf numFmtId="166" fontId="3" fillId="2" borderId="3" xfId="0" applyNumberFormat="1" applyFont="1" applyFill="1" applyBorder="1" applyAlignment="1"/>
    <xf numFmtId="0" fontId="0" fillId="2" borderId="8" xfId="0" applyNumberFormat="1" applyFont="1" applyFill="1" applyBorder="1" applyAlignment="1"/>
    <xf numFmtId="0" fontId="2" fillId="2" borderId="6" xfId="0" applyNumberFormat="1" applyFont="1" applyFill="1" applyBorder="1" applyAlignment="1"/>
    <xf numFmtId="0" fontId="2" fillId="2" borderId="7" xfId="0" applyNumberFormat="1" applyFont="1" applyFill="1" applyBorder="1" applyAlignment="1"/>
    <xf numFmtId="0" fontId="0" fillId="2" borderId="10" xfId="0" applyNumberFormat="1" applyFont="1" applyFill="1" applyBorder="1" applyAlignment="1"/>
    <xf numFmtId="0" fontId="0" fillId="2" borderId="11" xfId="0" applyNumberFormat="1" applyFont="1" applyFill="1" applyBorder="1" applyAlignment="1"/>
    <xf numFmtId="0" fontId="2" fillId="2" borderId="10" xfId="0" applyNumberFormat="1" applyFont="1" applyFill="1" applyBorder="1" applyAlignment="1"/>
    <xf numFmtId="0" fontId="2" fillId="2" borderId="4" xfId="0" applyNumberFormat="1" applyFont="1" applyFill="1" applyBorder="1" applyAlignment="1"/>
    <xf numFmtId="165" fontId="3" fillId="2" borderId="13" xfId="0" applyNumberFormat="1" applyFont="1" applyFill="1" applyBorder="1" applyAlignment="1"/>
    <xf numFmtId="0" fontId="0" fillId="2" borderId="9" xfId="0" applyNumberFormat="1" applyFont="1" applyFill="1" applyBorder="1" applyAlignment="1"/>
    <xf numFmtId="0" fontId="0" fillId="2" borderId="14" xfId="0" applyNumberFormat="1" applyFont="1" applyFill="1" applyBorder="1" applyAlignment="1"/>
    <xf numFmtId="0" fontId="0" fillId="2" borderId="15" xfId="0" applyNumberFormat="1" applyFont="1" applyFill="1" applyBorder="1" applyAlignment="1"/>
    <xf numFmtId="0" fontId="0" fillId="2" borderId="16" xfId="0" applyNumberFormat="1" applyFont="1" applyFill="1" applyBorder="1" applyAlignment="1"/>
    <xf numFmtId="0" fontId="0" fillId="0" borderId="0" xfId="0" applyNumberFormat="1" applyFont="1" applyAlignment="1"/>
    <xf numFmtId="0" fontId="0" fillId="2" borderId="17" xfId="0" applyNumberFormat="1" applyFont="1" applyFill="1" applyBorder="1" applyAlignment="1"/>
    <xf numFmtId="0" fontId="0" fillId="2" borderId="12" xfId="0" applyNumberFormat="1" applyFont="1" applyFill="1" applyBorder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0" borderId="0" xfId="0" applyNumberFormat="1" applyFont="1" applyAlignment="1"/>
    <xf numFmtId="0" fontId="0" fillId="2" borderId="18" xfId="0" applyNumberFormat="1" applyFont="1" applyFill="1" applyBorder="1" applyAlignment="1"/>
    <xf numFmtId="4" fontId="0" fillId="2" borderId="11" xfId="0" applyNumberFormat="1" applyFont="1" applyFill="1" applyBorder="1" applyAlignment="1"/>
    <xf numFmtId="0" fontId="2" fillId="2" borderId="11" xfId="0" applyNumberFormat="1" applyFont="1" applyFill="1" applyBorder="1" applyAlignment="1"/>
    <xf numFmtId="0" fontId="2" fillId="2" borderId="16" xfId="0" applyNumberFormat="1" applyFont="1" applyFill="1" applyBorder="1" applyAlignment="1"/>
    <xf numFmtId="166" fontId="3" fillId="2" borderId="19" xfId="0" applyNumberFormat="1" applyFont="1" applyFill="1" applyBorder="1" applyAlignment="1"/>
    <xf numFmtId="4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>
      <alignment horizontal="left"/>
    </xf>
    <xf numFmtId="10" fontId="3" fillId="6" borderId="19" xfId="0" applyNumberFormat="1" applyFont="1" applyFill="1" applyBorder="1" applyAlignment="1"/>
    <xf numFmtId="10" fontId="3" fillId="4" borderId="19" xfId="0" applyNumberFormat="1" applyFont="1" applyFill="1" applyBorder="1" applyAlignment="1"/>
    <xf numFmtId="10" fontId="3" fillId="3" borderId="19" xfId="0" applyNumberFormat="1" applyFont="1" applyFill="1" applyBorder="1" applyAlignment="1">
      <alignment horizontal="right" vertical="center"/>
    </xf>
    <xf numFmtId="166" fontId="3" fillId="3" borderId="19" xfId="0" applyNumberFormat="1" applyFont="1" applyFill="1" applyBorder="1" applyAlignment="1">
      <alignment horizontal="right" vertical="center"/>
    </xf>
    <xf numFmtId="165" fontId="3" fillId="2" borderId="19" xfId="0" applyNumberFormat="1" applyFont="1" applyFill="1" applyBorder="1" applyAlignment="1"/>
    <xf numFmtId="166" fontId="3" fillId="2" borderId="19" xfId="0" applyNumberFormat="1" applyFont="1" applyFill="1" applyBorder="1" applyAlignment="1">
      <alignment horizontal="left"/>
    </xf>
    <xf numFmtId="0" fontId="3" fillId="2" borderId="19" xfId="0" applyNumberFormat="1" applyFont="1" applyFill="1" applyBorder="1" applyAlignment="1"/>
    <xf numFmtId="166" fontId="3" fillId="7" borderId="19" xfId="0" applyNumberFormat="1" applyFont="1" applyFill="1" applyBorder="1" applyAlignment="1"/>
    <xf numFmtId="165" fontId="3" fillId="2" borderId="19" xfId="0" applyNumberFormat="1" applyFont="1" applyFill="1" applyBorder="1" applyAlignment="1">
      <alignment horizontal="left"/>
    </xf>
    <xf numFmtId="10" fontId="5" fillId="3" borderId="19" xfId="0" applyNumberFormat="1" applyFont="1" applyFill="1" applyBorder="1" applyAlignment="1">
      <alignment horizontal="right" vertical="center"/>
    </xf>
    <xf numFmtId="166" fontId="5" fillId="3" borderId="19" xfId="0" applyNumberFormat="1" applyFont="1" applyFill="1" applyBorder="1" applyAlignment="1">
      <alignment horizontal="right" vertical="center"/>
    </xf>
    <xf numFmtId="166" fontId="4" fillId="2" borderId="19" xfId="0" applyNumberFormat="1" applyFont="1" applyFill="1" applyBorder="1" applyAlignment="1">
      <alignment vertical="top" wrapText="1"/>
    </xf>
    <xf numFmtId="49" fontId="4" fillId="2" borderId="19" xfId="0" applyNumberFormat="1" applyFont="1" applyFill="1" applyBorder="1" applyAlignment="1">
      <alignment horizontal="right"/>
    </xf>
    <xf numFmtId="166" fontId="4" fillId="2" borderId="19" xfId="0" applyNumberFormat="1" applyFont="1" applyFill="1" applyBorder="1" applyAlignment="1"/>
    <xf numFmtId="166" fontId="4" fillId="7" borderId="19" xfId="0" applyNumberFormat="1" applyFont="1" applyFill="1" applyBorder="1" applyAlignment="1"/>
    <xf numFmtId="10" fontId="4" fillId="4" borderId="19" xfId="0" applyNumberFormat="1" applyFont="1" applyFill="1" applyBorder="1" applyAlignment="1"/>
    <xf numFmtId="10" fontId="4" fillId="3" borderId="19" xfId="0" applyNumberFormat="1" applyFont="1" applyFill="1" applyBorder="1" applyAlignment="1">
      <alignment horizontal="right" vertical="center"/>
    </xf>
    <xf numFmtId="166" fontId="4" fillId="3" borderId="19" xfId="0" applyNumberFormat="1" applyFont="1" applyFill="1" applyBorder="1" applyAlignment="1">
      <alignment horizontal="right" vertical="center"/>
    </xf>
    <xf numFmtId="165" fontId="4" fillId="2" borderId="19" xfId="0" applyNumberFormat="1" applyFont="1" applyFill="1" applyBorder="1" applyAlignment="1"/>
    <xf numFmtId="0" fontId="3" fillId="4" borderId="19" xfId="0" applyNumberFormat="1" applyFont="1" applyFill="1" applyBorder="1" applyAlignment="1">
      <alignment vertical="top" wrapText="1"/>
    </xf>
    <xf numFmtId="3" fontId="3" fillId="2" borderId="19" xfId="0" applyNumberFormat="1" applyFont="1" applyFill="1" applyBorder="1" applyAlignment="1"/>
    <xf numFmtId="166" fontId="4" fillId="2" borderId="19" xfId="0" applyNumberFormat="1" applyFont="1" applyFill="1" applyBorder="1" applyAlignment="1">
      <alignment wrapText="1"/>
    </xf>
    <xf numFmtId="166" fontId="3" fillId="4" borderId="19" xfId="0" applyNumberFormat="1" applyFont="1" applyFill="1" applyBorder="1" applyAlignment="1"/>
    <xf numFmtId="10" fontId="3" fillId="4" borderId="19" xfId="0" applyNumberFormat="1" applyFont="1" applyFill="1" applyBorder="1" applyAlignment="1">
      <alignment horizontal="right" vertical="center"/>
    </xf>
    <xf numFmtId="166" fontId="3" fillId="4" borderId="19" xfId="0" applyNumberFormat="1" applyFont="1" applyFill="1" applyBorder="1" applyAlignment="1">
      <alignment horizontal="right" vertical="center"/>
    </xf>
    <xf numFmtId="166" fontId="5" fillId="2" borderId="19" xfId="0" applyNumberFormat="1" applyFont="1" applyFill="1" applyBorder="1" applyAlignment="1">
      <alignment horizontal="left"/>
    </xf>
    <xf numFmtId="49" fontId="3" fillId="2" borderId="19" xfId="0" applyNumberFormat="1" applyFont="1" applyFill="1" applyBorder="1" applyAlignment="1">
      <alignment horizontal="right"/>
    </xf>
    <xf numFmtId="43" fontId="3" fillId="5" borderId="19" xfId="1" applyFont="1" applyFill="1" applyBorder="1" applyAlignment="1">
      <alignment horizontal="right"/>
    </xf>
    <xf numFmtId="10" fontId="9" fillId="9" borderId="19" xfId="0" applyNumberFormat="1" applyFont="1" applyFill="1" applyBorder="1" applyAlignment="1">
      <alignment horizontal="right" vertical="center"/>
    </xf>
    <xf numFmtId="166" fontId="3" fillId="0" borderId="19" xfId="0" applyNumberFormat="1" applyFont="1" applyFill="1" applyBorder="1" applyAlignment="1">
      <alignment horizontal="right"/>
    </xf>
    <xf numFmtId="166" fontId="3" fillId="0" borderId="19" xfId="0" applyNumberFormat="1" applyFont="1" applyFill="1" applyBorder="1" applyAlignment="1"/>
    <xf numFmtId="4" fontId="3" fillId="0" borderId="19" xfId="0" applyNumberFormat="1" applyFont="1" applyFill="1" applyBorder="1" applyAlignment="1"/>
    <xf numFmtId="166" fontId="3" fillId="0" borderId="19" xfId="0" applyNumberFormat="1" applyFont="1" applyFill="1" applyBorder="1" applyAlignment="1">
      <alignment horizontal="left"/>
    </xf>
    <xf numFmtId="166" fontId="4" fillId="0" borderId="19" xfId="0" applyNumberFormat="1" applyFont="1" applyFill="1" applyBorder="1" applyAlignment="1"/>
    <xf numFmtId="49" fontId="3" fillId="0" borderId="19" xfId="0" applyNumberFormat="1" applyFont="1" applyFill="1" applyBorder="1" applyAlignment="1"/>
    <xf numFmtId="49" fontId="3" fillId="0" borderId="19" xfId="0" applyNumberFormat="1" applyFont="1" applyFill="1" applyBorder="1" applyAlignment="1">
      <alignment wrapText="1"/>
    </xf>
    <xf numFmtId="10" fontId="12" fillId="9" borderId="19" xfId="0" applyNumberFormat="1" applyFont="1" applyFill="1" applyBorder="1" applyAlignment="1">
      <alignment horizontal="right" vertical="center"/>
    </xf>
    <xf numFmtId="49" fontId="3" fillId="0" borderId="19" xfId="0" applyNumberFormat="1" applyFont="1" applyFill="1" applyBorder="1" applyAlignment="1">
      <alignment vertical="center" wrapText="1"/>
    </xf>
    <xf numFmtId="49" fontId="3" fillId="0" borderId="19" xfId="0" applyNumberFormat="1" applyFont="1" applyFill="1" applyBorder="1" applyAlignment="1">
      <alignment vertical="top" wrapText="1"/>
    </xf>
    <xf numFmtId="49" fontId="10" fillId="0" borderId="19" xfId="0" applyNumberFormat="1" applyFont="1" applyFill="1" applyBorder="1" applyAlignment="1"/>
    <xf numFmtId="0" fontId="0" fillId="9" borderId="0" xfId="0" applyNumberFormat="1" applyFont="1" applyFill="1" applyAlignment="1"/>
    <xf numFmtId="0" fontId="0" fillId="9" borderId="0" xfId="0" applyFont="1" applyFill="1" applyAlignment="1"/>
    <xf numFmtId="0" fontId="3" fillId="2" borderId="11" xfId="0" applyNumberFormat="1" applyFont="1" applyFill="1" applyBorder="1" applyAlignment="1"/>
    <xf numFmtId="0" fontId="3" fillId="2" borderId="4" xfId="0" applyNumberFormat="1" applyFont="1" applyFill="1" applyBorder="1" applyAlignment="1"/>
    <xf numFmtId="0" fontId="3" fillId="2" borderId="5" xfId="0" applyNumberFormat="1" applyFont="1" applyFill="1" applyBorder="1" applyAlignment="1"/>
    <xf numFmtId="0" fontId="3" fillId="2" borderId="6" xfId="0" applyNumberFormat="1" applyFont="1" applyFill="1" applyBorder="1" applyAlignment="1"/>
    <xf numFmtId="0" fontId="3" fillId="2" borderId="7" xfId="0" applyNumberFormat="1" applyFont="1" applyFill="1" applyBorder="1" applyAlignment="1"/>
    <xf numFmtId="0" fontId="3" fillId="0" borderId="0" xfId="0" applyNumberFormat="1" applyFont="1" applyAlignment="1"/>
    <xf numFmtId="0" fontId="3" fillId="0" borderId="0" xfId="0" applyFont="1" applyAlignment="1"/>
    <xf numFmtId="4" fontId="3" fillId="2" borderId="19" xfId="0" applyNumberFormat="1" applyFont="1" applyFill="1" applyBorder="1" applyAlignment="1">
      <alignment horizontal="right"/>
    </xf>
    <xf numFmtId="10" fontId="3" fillId="12" borderId="19" xfId="0" applyNumberFormat="1" applyFont="1" applyFill="1" applyBorder="1" applyAlignment="1"/>
    <xf numFmtId="10" fontId="3" fillId="10" borderId="19" xfId="0" applyNumberFormat="1" applyFont="1" applyFill="1" applyBorder="1" applyAlignment="1">
      <alignment horizontal="right" vertical="center"/>
    </xf>
    <xf numFmtId="166" fontId="3" fillId="10" borderId="19" xfId="0" applyNumberFormat="1" applyFont="1" applyFill="1" applyBorder="1" applyAlignment="1">
      <alignment horizontal="right" vertical="center"/>
    </xf>
    <xf numFmtId="43" fontId="3" fillId="0" borderId="19" xfId="1" applyFont="1" applyFill="1" applyBorder="1" applyAlignment="1"/>
    <xf numFmtId="0" fontId="8" fillId="0" borderId="0" xfId="0" applyNumberFormat="1" applyFont="1" applyAlignment="1"/>
    <xf numFmtId="49" fontId="5" fillId="0" borderId="19" xfId="0" applyNumberFormat="1" applyFont="1" applyFill="1" applyBorder="1" applyAlignment="1">
      <alignment vertical="center" wrapText="1"/>
    </xf>
    <xf numFmtId="43" fontId="3" fillId="2" borderId="19" xfId="1" applyFont="1" applyFill="1" applyBorder="1" applyAlignment="1"/>
    <xf numFmtId="166" fontId="4" fillId="0" borderId="19" xfId="0" applyNumberFormat="1" applyFont="1" applyFill="1" applyBorder="1" applyAlignment="1">
      <alignment vertical="top" wrapText="1"/>
    </xf>
    <xf numFmtId="49" fontId="4" fillId="0" borderId="19" xfId="0" applyNumberFormat="1" applyFont="1" applyFill="1" applyBorder="1" applyAlignment="1">
      <alignment horizontal="right"/>
    </xf>
    <xf numFmtId="166" fontId="3" fillId="12" borderId="19" xfId="0" applyNumberFormat="1" applyFont="1" applyFill="1" applyBorder="1" applyAlignment="1"/>
    <xf numFmtId="166" fontId="3" fillId="7" borderId="19" xfId="0" applyNumberFormat="1" applyFont="1" applyFill="1" applyBorder="1"/>
    <xf numFmtId="0" fontId="17" fillId="13" borderId="21" xfId="0" applyFont="1" applyFill="1" applyBorder="1" applyAlignment="1"/>
    <xf numFmtId="0" fontId="17" fillId="13" borderId="6" xfId="0" applyFont="1" applyFill="1" applyBorder="1" applyAlignment="1"/>
    <xf numFmtId="0" fontId="17" fillId="13" borderId="22" xfId="0" applyFont="1" applyFill="1" applyBorder="1" applyAlignment="1"/>
    <xf numFmtId="0" fontId="17" fillId="0" borderId="6" xfId="0" applyFont="1" applyBorder="1" applyAlignment="1"/>
    <xf numFmtId="43" fontId="4" fillId="2" borderId="19" xfId="1" applyFont="1" applyFill="1" applyBorder="1" applyAlignment="1"/>
    <xf numFmtId="43" fontId="3" fillId="2" borderId="19" xfId="1" applyFont="1" applyFill="1" applyBorder="1" applyAlignment="1">
      <alignment horizontal="right"/>
    </xf>
    <xf numFmtId="49" fontId="3" fillId="16" borderId="19" xfId="0" applyNumberFormat="1" applyFont="1" applyFill="1" applyBorder="1" applyAlignment="1"/>
    <xf numFmtId="10" fontId="9" fillId="6" borderId="19" xfId="0" applyNumberFormat="1" applyFont="1" applyFill="1" applyBorder="1" applyAlignment="1"/>
    <xf numFmtId="166" fontId="4" fillId="16" borderId="19" xfId="0" applyNumberFormat="1" applyFont="1" applyFill="1" applyBorder="1" applyAlignment="1">
      <alignment wrapText="1"/>
    </xf>
    <xf numFmtId="166" fontId="3" fillId="2" borderId="15" xfId="0" applyNumberFormat="1" applyFont="1" applyFill="1" applyBorder="1" applyAlignment="1"/>
    <xf numFmtId="165" fontId="3" fillId="2" borderId="15" xfId="0" applyNumberFormat="1" applyFont="1" applyFill="1" applyBorder="1" applyAlignment="1"/>
    <xf numFmtId="166" fontId="3" fillId="2" borderId="23" xfId="0" applyNumberFormat="1" applyFont="1" applyFill="1" applyBorder="1" applyAlignment="1"/>
    <xf numFmtId="166" fontId="3" fillId="17" borderId="19" xfId="0" applyNumberFormat="1" applyFont="1" applyFill="1" applyBorder="1" applyAlignment="1"/>
    <xf numFmtId="10" fontId="3" fillId="17" borderId="19" xfId="0" applyNumberFormat="1" applyFont="1" applyFill="1" applyBorder="1" applyAlignment="1"/>
    <xf numFmtId="10" fontId="9" fillId="17" borderId="19" xfId="0" applyNumberFormat="1" applyFont="1" applyFill="1" applyBorder="1" applyAlignment="1">
      <alignment horizontal="right" vertical="center"/>
    </xf>
    <xf numFmtId="10" fontId="3" fillId="17" borderId="19" xfId="0" applyNumberFormat="1" applyFont="1" applyFill="1" applyBorder="1" applyAlignment="1">
      <alignment horizontal="right" vertical="center"/>
    </xf>
    <xf numFmtId="166" fontId="3" fillId="17" borderId="19" xfId="0" applyNumberFormat="1" applyFont="1" applyFill="1" applyBorder="1" applyAlignment="1">
      <alignment horizontal="right" vertical="center"/>
    </xf>
    <xf numFmtId="3" fontId="3" fillId="17" borderId="19" xfId="0" applyNumberFormat="1" applyFont="1" applyFill="1" applyBorder="1" applyAlignment="1"/>
    <xf numFmtId="10" fontId="12" fillId="17" borderId="19" xfId="0" applyNumberFormat="1" applyFont="1" applyFill="1" applyBorder="1" applyAlignment="1">
      <alignment horizontal="right" vertical="center"/>
    </xf>
    <xf numFmtId="165" fontId="3" fillId="17" borderId="19" xfId="0" applyNumberFormat="1" applyFont="1" applyFill="1" applyBorder="1" applyAlignment="1"/>
    <xf numFmtId="9" fontId="12" fillId="9" borderId="19" xfId="2" applyFont="1" applyFill="1" applyBorder="1" applyAlignment="1">
      <alignment horizontal="right" vertical="center"/>
    </xf>
    <xf numFmtId="0" fontId="0" fillId="0" borderId="6" xfId="0" applyNumberFormat="1" applyFont="1" applyBorder="1" applyAlignment="1"/>
    <xf numFmtId="49" fontId="1" fillId="3" borderId="19" xfId="0" applyNumberFormat="1" applyFont="1" applyFill="1" applyBorder="1" applyAlignment="1">
      <alignment horizontal="center" vertical="top" wrapText="1"/>
    </xf>
    <xf numFmtId="0" fontId="4" fillId="4" borderId="19" xfId="0" applyNumberFormat="1" applyFont="1" applyFill="1" applyBorder="1" applyAlignment="1">
      <alignment vertical="top" wrapText="1"/>
    </xf>
    <xf numFmtId="10" fontId="12" fillId="14" borderId="19" xfId="0" applyNumberFormat="1" applyFont="1" applyFill="1" applyBorder="1" applyAlignment="1">
      <alignment horizontal="right" vertical="center"/>
    </xf>
    <xf numFmtId="10" fontId="16" fillId="15" borderId="19" xfId="0" applyNumberFormat="1" applyFont="1" applyFill="1" applyBorder="1" applyAlignment="1">
      <alignment horizontal="right" vertical="center"/>
    </xf>
    <xf numFmtId="166" fontId="16" fillId="15" borderId="19" xfId="0" applyNumberFormat="1" applyFont="1" applyFill="1" applyBorder="1" applyAlignment="1">
      <alignment horizontal="right" vertical="center"/>
    </xf>
    <xf numFmtId="0" fontId="20" fillId="17" borderId="19" xfId="0" applyFont="1" applyFill="1" applyBorder="1" applyAlignment="1">
      <alignment wrapText="1"/>
    </xf>
    <xf numFmtId="49" fontId="1" fillId="3" borderId="28" xfId="0" applyNumberFormat="1" applyFont="1" applyFill="1" applyBorder="1" applyAlignment="1">
      <alignment horizontal="center" vertical="top" wrapText="1"/>
    </xf>
    <xf numFmtId="49" fontId="1" fillId="3" borderId="24" xfId="0" applyNumberFormat="1" applyFont="1" applyFill="1" applyBorder="1" applyAlignment="1">
      <alignment horizontal="center" vertical="top" wrapText="1"/>
    </xf>
    <xf numFmtId="0" fontId="4" fillId="4" borderId="24" xfId="0" applyNumberFormat="1" applyFont="1" applyFill="1" applyBorder="1" applyAlignment="1">
      <alignment vertical="top" wrapText="1"/>
    </xf>
    <xf numFmtId="165" fontId="3" fillId="16" borderId="28" xfId="0" applyNumberFormat="1" applyFont="1" applyFill="1" applyBorder="1" applyAlignment="1">
      <alignment horizontal="center" wrapText="1"/>
    </xf>
    <xf numFmtId="4" fontId="3" fillId="2" borderId="24" xfId="0" applyNumberFormat="1" applyFont="1" applyFill="1" applyBorder="1" applyAlignment="1"/>
    <xf numFmtId="166" fontId="3" fillId="2" borderId="24" xfId="0" applyNumberFormat="1" applyFont="1" applyFill="1" applyBorder="1" applyAlignment="1"/>
    <xf numFmtId="165" fontId="4" fillId="2" borderId="28" xfId="0" applyNumberFormat="1" applyFont="1" applyFill="1" applyBorder="1" applyAlignment="1">
      <alignment horizontal="center"/>
    </xf>
    <xf numFmtId="166" fontId="4" fillId="2" borderId="24" xfId="0" applyNumberFormat="1" applyFont="1" applyFill="1" applyBorder="1" applyAlignment="1"/>
    <xf numFmtId="0" fontId="3" fillId="4" borderId="24" xfId="0" applyNumberFormat="1" applyFont="1" applyFill="1" applyBorder="1" applyAlignment="1">
      <alignment vertical="top" wrapText="1"/>
    </xf>
    <xf numFmtId="49" fontId="4" fillId="16" borderId="28" xfId="0" applyNumberFormat="1" applyFont="1" applyFill="1" applyBorder="1" applyAlignment="1">
      <alignment horizontal="center" wrapText="1"/>
    </xf>
    <xf numFmtId="166" fontId="3" fillId="4" borderId="24" xfId="0" applyNumberFormat="1" applyFont="1" applyFill="1" applyBorder="1" applyAlignment="1"/>
    <xf numFmtId="166" fontId="3" fillId="17" borderId="24" xfId="0" applyNumberFormat="1" applyFont="1" applyFill="1" applyBorder="1" applyAlignment="1"/>
    <xf numFmtId="165" fontId="4" fillId="0" borderId="28" xfId="0" applyNumberFormat="1" applyFont="1" applyFill="1" applyBorder="1" applyAlignment="1">
      <alignment horizontal="center" wrapText="1"/>
    </xf>
    <xf numFmtId="165" fontId="4" fillId="2" borderId="28" xfId="0" applyNumberFormat="1" applyFont="1" applyFill="1" applyBorder="1" applyAlignment="1">
      <alignment horizontal="center" wrapText="1"/>
    </xf>
    <xf numFmtId="166" fontId="4" fillId="2" borderId="24" xfId="0" applyNumberFormat="1" applyFont="1" applyFill="1" applyBorder="1" applyAlignment="1">
      <alignment wrapText="1"/>
    </xf>
    <xf numFmtId="165" fontId="3" fillId="0" borderId="28" xfId="0" applyNumberFormat="1" applyFont="1" applyFill="1" applyBorder="1" applyAlignment="1">
      <alignment horizontal="center"/>
    </xf>
    <xf numFmtId="165" fontId="3" fillId="8" borderId="29" xfId="0" applyNumberFormat="1" applyFont="1" applyFill="1" applyBorder="1" applyAlignment="1">
      <alignment horizontal="center" wrapText="1"/>
    </xf>
    <xf numFmtId="166" fontId="3" fillId="8" borderId="20" xfId="0" applyNumberFormat="1" applyFont="1" applyFill="1" applyBorder="1" applyAlignment="1">
      <alignment wrapText="1"/>
    </xf>
    <xf numFmtId="49" fontId="4" fillId="8" borderId="20" xfId="0" applyNumberFormat="1" applyFont="1" applyFill="1" applyBorder="1" applyAlignment="1">
      <alignment horizontal="right"/>
    </xf>
    <xf numFmtId="166" fontId="4" fillId="8" borderId="20" xfId="0" applyNumberFormat="1" applyFont="1" applyFill="1" applyBorder="1" applyAlignment="1"/>
    <xf numFmtId="10" fontId="4" fillId="6" borderId="20" xfId="0" applyNumberFormat="1" applyFont="1" applyFill="1" applyBorder="1" applyAlignment="1"/>
    <xf numFmtId="10" fontId="4" fillId="4" borderId="20" xfId="0" applyNumberFormat="1" applyFont="1" applyFill="1" applyBorder="1" applyAlignment="1"/>
    <xf numFmtId="10" fontId="9" fillId="9" borderId="20" xfId="0" applyNumberFormat="1" applyFont="1" applyFill="1" applyBorder="1" applyAlignment="1">
      <alignment horizontal="right" vertical="center"/>
    </xf>
    <xf numFmtId="10" fontId="4" fillId="3" borderId="20" xfId="0" applyNumberFormat="1" applyFont="1" applyFill="1" applyBorder="1" applyAlignment="1">
      <alignment horizontal="right" vertical="center"/>
    </xf>
    <xf numFmtId="166" fontId="4" fillId="3" borderId="20" xfId="0" applyNumberFormat="1" applyFont="1" applyFill="1" applyBorder="1" applyAlignment="1">
      <alignment horizontal="right" vertical="center"/>
    </xf>
    <xf numFmtId="166" fontId="4" fillId="8" borderId="30" xfId="0" applyNumberFormat="1" applyFont="1" applyFill="1" applyBorder="1" applyAlignment="1"/>
    <xf numFmtId="165" fontId="4" fillId="8" borderId="20" xfId="0" applyNumberFormat="1" applyFont="1" applyFill="1" applyBorder="1" applyAlignment="1"/>
    <xf numFmtId="168" fontId="4" fillId="2" borderId="19" xfId="1" applyNumberFormat="1" applyFont="1" applyFill="1" applyBorder="1" applyAlignment="1"/>
    <xf numFmtId="0" fontId="0" fillId="16" borderId="10" xfId="0" applyNumberFormat="1" applyFont="1" applyFill="1" applyBorder="1" applyAlignment="1"/>
    <xf numFmtId="0" fontId="0" fillId="16" borderId="5" xfId="0" applyNumberFormat="1" applyFont="1" applyFill="1" applyBorder="1" applyAlignment="1"/>
    <xf numFmtId="0" fontId="0" fillId="16" borderId="6" xfId="0" applyNumberFormat="1" applyFont="1" applyFill="1" applyBorder="1" applyAlignment="1"/>
    <xf numFmtId="0" fontId="0" fillId="16" borderId="7" xfId="0" applyNumberFormat="1" applyFont="1" applyFill="1" applyBorder="1" applyAlignment="1"/>
    <xf numFmtId="0" fontId="0" fillId="16" borderId="0" xfId="0" applyNumberFormat="1" applyFont="1" applyFill="1" applyAlignment="1"/>
    <xf numFmtId="0" fontId="0" fillId="16" borderId="11" xfId="0" applyNumberFormat="1" applyFont="1" applyFill="1" applyBorder="1" applyAlignment="1"/>
    <xf numFmtId="0" fontId="0" fillId="16" borderId="4" xfId="0" applyNumberFormat="1" applyFont="1" applyFill="1" applyBorder="1" applyAlignment="1"/>
    <xf numFmtId="0" fontId="0" fillId="0" borderId="19" xfId="0" applyNumberFormat="1" applyFont="1" applyBorder="1" applyAlignment="1"/>
    <xf numFmtId="0" fontId="13" fillId="2" borderId="6" xfId="0" applyNumberFormat="1" applyFont="1" applyFill="1" applyBorder="1" applyAlignment="1"/>
    <xf numFmtId="0" fontId="14" fillId="2" borderId="6" xfId="0" applyNumberFormat="1" applyFont="1" applyFill="1" applyBorder="1" applyAlignment="1"/>
    <xf numFmtId="0" fontId="7" fillId="2" borderId="6" xfId="0" applyNumberFormat="1" applyFont="1" applyFill="1" applyBorder="1" applyAlignment="1"/>
    <xf numFmtId="4" fontId="4" fillId="0" borderId="6" xfId="0" applyNumberFormat="1" applyFont="1" applyBorder="1" applyAlignment="1"/>
    <xf numFmtId="166" fontId="2" fillId="2" borderId="6" xfId="0" applyNumberFormat="1" applyFont="1" applyFill="1" applyBorder="1" applyAlignment="1"/>
    <xf numFmtId="167" fontId="2" fillId="2" borderId="6" xfId="0" applyNumberFormat="1" applyFont="1" applyFill="1" applyBorder="1" applyAlignment="1"/>
    <xf numFmtId="0" fontId="6" fillId="2" borderId="6" xfId="0" applyNumberFormat="1" applyFont="1" applyFill="1" applyBorder="1" applyAlignment="1"/>
    <xf numFmtId="4" fontId="0" fillId="2" borderId="6" xfId="0" applyNumberFormat="1" applyFont="1" applyFill="1" applyBorder="1" applyAlignment="1"/>
    <xf numFmtId="10" fontId="3" fillId="9" borderId="19" xfId="0" applyNumberFormat="1" applyFont="1" applyFill="1" applyBorder="1" applyAlignment="1"/>
    <xf numFmtId="2" fontId="3" fillId="0" borderId="19" xfId="0" applyNumberFormat="1" applyFont="1" applyFill="1" applyBorder="1" applyAlignment="1"/>
    <xf numFmtId="165" fontId="3" fillId="0" borderId="19" xfId="0" applyNumberFormat="1" applyFont="1" applyFill="1" applyBorder="1" applyAlignment="1"/>
    <xf numFmtId="166" fontId="3" fillId="0" borderId="24" xfId="0" applyNumberFormat="1" applyFont="1" applyFill="1" applyBorder="1" applyAlignment="1"/>
    <xf numFmtId="166" fontId="21" fillId="2" borderId="19" xfId="0" applyNumberFormat="1" applyFont="1" applyFill="1" applyBorder="1" applyAlignment="1">
      <alignment horizontal="left"/>
    </xf>
    <xf numFmtId="43" fontId="3" fillId="5" borderId="19" xfId="1" applyFont="1" applyFill="1" applyBorder="1" applyAlignment="1"/>
    <xf numFmtId="43" fontId="3" fillId="11" borderId="19" xfId="1" applyFont="1" applyFill="1" applyBorder="1" applyAlignment="1">
      <alignment horizontal="left"/>
    </xf>
    <xf numFmtId="166" fontId="3" fillId="16" borderId="19" xfId="0" applyNumberFormat="1" applyFont="1" applyFill="1" applyBorder="1" applyAlignment="1"/>
    <xf numFmtId="2" fontId="3" fillId="16" borderId="19" xfId="0" applyNumberFormat="1" applyFont="1" applyFill="1" applyBorder="1" applyAlignment="1"/>
    <xf numFmtId="165" fontId="3" fillId="16" borderId="19" xfId="0" applyNumberFormat="1" applyFont="1" applyFill="1" applyBorder="1" applyAlignment="1"/>
    <xf numFmtId="4" fontId="3" fillId="16" borderId="19" xfId="0" applyNumberFormat="1" applyFont="1" applyFill="1" applyBorder="1" applyAlignment="1"/>
    <xf numFmtId="166" fontId="5" fillId="2" borderId="19" xfId="0" applyNumberFormat="1" applyFont="1" applyFill="1" applyBorder="1" applyAlignment="1"/>
    <xf numFmtId="165" fontId="5" fillId="2" borderId="19" xfId="0" applyNumberFormat="1" applyFont="1" applyFill="1" applyBorder="1" applyAlignment="1"/>
    <xf numFmtId="166" fontId="5" fillId="2" borderId="24" xfId="0" applyNumberFormat="1" applyFont="1" applyFill="1" applyBorder="1" applyAlignment="1"/>
    <xf numFmtId="166" fontId="4" fillId="7" borderId="19" xfId="0" applyNumberFormat="1" applyFont="1" applyFill="1" applyBorder="1"/>
    <xf numFmtId="166" fontId="4" fillId="7" borderId="19" xfId="0" applyNumberFormat="1" applyFont="1" applyFill="1" applyBorder="1" applyAlignment="1">
      <alignment horizontal="left"/>
    </xf>
    <xf numFmtId="166" fontId="16" fillId="13" borderId="19" xfId="0" applyNumberFormat="1" applyFont="1" applyFill="1" applyBorder="1" applyAlignment="1"/>
    <xf numFmtId="164" fontId="3" fillId="2" borderId="19" xfId="0" applyNumberFormat="1" applyFont="1" applyFill="1" applyBorder="1" applyAlignment="1"/>
    <xf numFmtId="43" fontId="1" fillId="3" borderId="19" xfId="1" applyFont="1" applyFill="1" applyBorder="1" applyAlignment="1">
      <alignment horizontal="center" vertical="top" wrapText="1"/>
    </xf>
    <xf numFmtId="43" fontId="4" fillId="4" borderId="19" xfId="1" applyFont="1" applyFill="1" applyBorder="1" applyAlignment="1">
      <alignment vertical="top" wrapText="1"/>
    </xf>
    <xf numFmtId="43" fontId="3" fillId="4" borderId="19" xfId="1" applyFont="1" applyFill="1" applyBorder="1" applyAlignment="1">
      <alignment vertical="top" wrapText="1"/>
    </xf>
    <xf numFmtId="43" fontId="3" fillId="4" borderId="19" xfId="1" applyFont="1" applyFill="1" applyBorder="1" applyAlignment="1"/>
    <xf numFmtId="43" fontId="3" fillId="17" borderId="19" xfId="1" applyFont="1" applyFill="1" applyBorder="1" applyAlignment="1"/>
    <xf numFmtId="43" fontId="3" fillId="5" borderId="19" xfId="1" applyFont="1" applyFill="1" applyBorder="1" applyAlignment="1">
      <alignment horizontal="left"/>
    </xf>
    <xf numFmtId="43" fontId="3" fillId="11" borderId="19" xfId="1" applyFont="1" applyFill="1" applyBorder="1" applyAlignment="1"/>
    <xf numFmtId="43" fontId="0" fillId="2" borderId="6" xfId="1" applyFont="1" applyFill="1" applyBorder="1" applyAlignment="1"/>
    <xf numFmtId="43" fontId="0" fillId="0" borderId="0" xfId="1" applyFont="1" applyAlignment="1"/>
    <xf numFmtId="165" fontId="3" fillId="0" borderId="28" xfId="0" applyNumberFormat="1" applyFont="1" applyFill="1" applyBorder="1" applyAlignment="1">
      <alignment horizontal="center" wrapText="1"/>
    </xf>
    <xf numFmtId="165" fontId="10" fillId="0" borderId="28" xfId="0" applyNumberFormat="1" applyFont="1" applyFill="1" applyBorder="1" applyAlignment="1">
      <alignment horizontal="center" wrapText="1"/>
    </xf>
    <xf numFmtId="165" fontId="16" fillId="0" borderId="28" xfId="0" applyNumberFormat="1" applyFont="1" applyFill="1" applyBorder="1" applyAlignment="1">
      <alignment horizontal="center" wrapText="1"/>
    </xf>
    <xf numFmtId="49" fontId="16" fillId="0" borderId="19" xfId="0" applyNumberFormat="1" applyFont="1" applyFill="1" applyBorder="1" applyAlignment="1">
      <alignment wrapText="1"/>
    </xf>
    <xf numFmtId="165" fontId="21" fillId="0" borderId="28" xfId="0" applyNumberFormat="1" applyFont="1" applyFill="1" applyBorder="1" applyAlignment="1">
      <alignment horizontal="center" wrapText="1"/>
    </xf>
    <xf numFmtId="49" fontId="21" fillId="0" borderId="19" xfId="0" applyNumberFormat="1" applyFont="1" applyFill="1" applyBorder="1" applyAlignment="1">
      <alignment wrapText="1"/>
    </xf>
    <xf numFmtId="165" fontId="3" fillId="0" borderId="28" xfId="0" applyNumberFormat="1" applyFont="1" applyFill="1" applyBorder="1" applyAlignment="1">
      <alignment horizontal="right" wrapText="1"/>
    </xf>
    <xf numFmtId="166" fontId="3" fillId="2" borderId="19" xfId="0" applyNumberFormat="1" applyFont="1" applyFill="1" applyBorder="1" applyAlignment="1">
      <alignment horizontal="left" wrapText="1"/>
    </xf>
    <xf numFmtId="166" fontId="16" fillId="13" borderId="19" xfId="0" applyNumberFormat="1" applyFont="1" applyFill="1" applyBorder="1" applyAlignment="1">
      <alignment horizontal="left"/>
    </xf>
    <xf numFmtId="2" fontId="3" fillId="2" borderId="19" xfId="0" applyNumberFormat="1" applyFont="1" applyFill="1" applyBorder="1" applyAlignment="1">
      <alignment horizontal="right"/>
    </xf>
    <xf numFmtId="166" fontId="5" fillId="5" borderId="19" xfId="0" applyNumberFormat="1" applyFont="1" applyFill="1" applyBorder="1" applyAlignment="1"/>
    <xf numFmtId="3" fontId="22" fillId="0" borderId="19" xfId="0" applyNumberFormat="1" applyFont="1" applyBorder="1" applyAlignment="1"/>
    <xf numFmtId="4" fontId="22" fillId="0" borderId="19" xfId="0" applyNumberFormat="1" applyFont="1" applyBorder="1" applyAlignment="1"/>
    <xf numFmtId="4" fontId="3" fillId="0" borderId="19" xfId="0" applyNumberFormat="1" applyFont="1" applyBorder="1" applyAlignment="1"/>
    <xf numFmtId="49" fontId="10" fillId="0" borderId="19" xfId="0" applyNumberFormat="1" applyFont="1" applyFill="1" applyBorder="1" applyAlignment="1">
      <alignment wrapText="1"/>
    </xf>
    <xf numFmtId="0" fontId="4" fillId="2" borderId="19" xfId="0" applyNumberFormat="1" applyFont="1" applyFill="1" applyBorder="1" applyAlignment="1"/>
    <xf numFmtId="166" fontId="4" fillId="2" borderId="19" xfId="0" applyNumberFormat="1" applyFont="1" applyFill="1" applyBorder="1" applyAlignment="1">
      <alignment horizontal="left"/>
    </xf>
    <xf numFmtId="49" fontId="3" fillId="10" borderId="19" xfId="0" applyNumberFormat="1" applyFont="1" applyFill="1" applyBorder="1" applyAlignment="1">
      <alignment wrapText="1"/>
    </xf>
    <xf numFmtId="0" fontId="8" fillId="2" borderId="11" xfId="0" applyNumberFormat="1" applyFont="1" applyFill="1" applyBorder="1" applyAlignment="1"/>
    <xf numFmtId="0" fontId="8" fillId="2" borderId="4" xfId="0" applyNumberFormat="1" applyFont="1" applyFill="1" applyBorder="1" applyAlignment="1"/>
    <xf numFmtId="0" fontId="8" fillId="2" borderId="5" xfId="0" applyNumberFormat="1" applyFont="1" applyFill="1" applyBorder="1" applyAlignment="1"/>
    <xf numFmtId="0" fontId="8" fillId="2" borderId="6" xfId="0" applyNumberFormat="1" applyFont="1" applyFill="1" applyBorder="1" applyAlignment="1"/>
    <xf numFmtId="0" fontId="8" fillId="2" borderId="7" xfId="0" applyNumberFormat="1" applyFont="1" applyFill="1" applyBorder="1" applyAlignment="1"/>
    <xf numFmtId="0" fontId="8" fillId="0" borderId="0" xfId="0" applyFont="1" applyAlignment="1"/>
    <xf numFmtId="0" fontId="3" fillId="0" borderId="19" xfId="0" applyFont="1" applyFill="1" applyBorder="1" applyAlignment="1"/>
    <xf numFmtId="43" fontId="3" fillId="0" borderId="19" xfId="1" applyFont="1" applyFill="1" applyBorder="1" applyAlignment="1">
      <alignment horizontal="right"/>
    </xf>
    <xf numFmtId="49" fontId="3" fillId="16" borderId="19" xfId="0" applyNumberFormat="1" applyFont="1" applyFill="1" applyBorder="1" applyAlignment="1">
      <alignment wrapText="1"/>
    </xf>
    <xf numFmtId="0" fontId="20" fillId="17" borderId="28" xfId="0" applyFont="1" applyFill="1" applyBorder="1" applyAlignment="1">
      <alignment horizontal="center" wrapText="1"/>
    </xf>
    <xf numFmtId="0" fontId="20" fillId="17" borderId="19" xfId="0" applyFont="1" applyFill="1" applyBorder="1" applyAlignment="1">
      <alignment horizontal="center" wrapText="1"/>
    </xf>
    <xf numFmtId="49" fontId="18" fillId="4" borderId="19" xfId="0" applyNumberFormat="1" applyFont="1" applyFill="1" applyBorder="1" applyAlignment="1">
      <alignment horizontal="center" vertical="top" wrapText="1"/>
    </xf>
    <xf numFmtId="49" fontId="18" fillId="4" borderId="24" xfId="0" applyNumberFormat="1" applyFont="1" applyFill="1" applyBorder="1" applyAlignment="1">
      <alignment horizontal="center" vertical="top" wrapText="1"/>
    </xf>
    <xf numFmtId="49" fontId="18" fillId="4" borderId="28" xfId="0" applyNumberFormat="1" applyFont="1" applyFill="1" applyBorder="1" applyAlignment="1">
      <alignment horizontal="center" vertical="top" wrapText="1"/>
    </xf>
    <xf numFmtId="49" fontId="11" fillId="2" borderId="25" xfId="0" applyNumberFormat="1" applyFont="1" applyFill="1" applyBorder="1" applyAlignment="1">
      <alignment horizontal="center"/>
    </xf>
    <xf numFmtId="0" fontId="11" fillId="2" borderId="26" xfId="0" applyNumberFormat="1" applyFont="1" applyFill="1" applyBorder="1" applyAlignment="1">
      <alignment horizontal="center"/>
    </xf>
    <xf numFmtId="0" fontId="11" fillId="2" borderId="27" xfId="0" applyNumberFormat="1" applyFont="1" applyFill="1" applyBorder="1" applyAlignment="1">
      <alignment horizontal="center"/>
    </xf>
    <xf numFmtId="166" fontId="4" fillId="17" borderId="28" xfId="0" applyNumberFormat="1" applyFont="1" applyFill="1" applyBorder="1" applyAlignment="1">
      <alignment horizontal="center" wrapText="1"/>
    </xf>
    <xf numFmtId="166" fontId="4" fillId="17" borderId="19" xfId="0" applyNumberFormat="1" applyFont="1" applyFill="1" applyBorder="1" applyAlignment="1">
      <alignment horizontal="center" wrapText="1"/>
    </xf>
    <xf numFmtId="49" fontId="18" fillId="12" borderId="28" xfId="0" applyNumberFormat="1" applyFont="1" applyFill="1" applyBorder="1" applyAlignment="1">
      <alignment horizontal="center" vertical="top" wrapText="1"/>
    </xf>
    <xf numFmtId="49" fontId="18" fillId="12" borderId="19" xfId="0" applyNumberFormat="1" applyFont="1" applyFill="1" applyBorder="1" applyAlignment="1">
      <alignment horizontal="center" vertical="top" wrapText="1"/>
    </xf>
    <xf numFmtId="0" fontId="0" fillId="16" borderId="16" xfId="0" applyNumberFormat="1" applyFont="1" applyFill="1" applyBorder="1" applyAlignment="1"/>
    <xf numFmtId="166" fontId="3" fillId="2" borderId="31" xfId="0" applyNumberFormat="1" applyFont="1" applyFill="1" applyBorder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0000"/>
      <rgbColor rgb="FFFFFFFF"/>
      <rgbColor rgb="FFAAAAAA"/>
      <rgbColor rgb="FF92D050"/>
      <rgbColor rgb="FFDBE5F1"/>
      <rgbColor rgb="FFB6DDE8"/>
      <rgbColor rgb="FFFFFF00"/>
      <rgbColor rgb="FF95B3D7"/>
      <rgbColor rgb="FFFDE9D9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452437</xdr:colOff>
      <xdr:row>24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86687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631030</xdr:colOff>
      <xdr:row>24</xdr:row>
      <xdr:rowOff>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98780" cy="400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321469</xdr:colOff>
      <xdr:row>20</xdr:row>
      <xdr:rowOff>47625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751094" cy="3857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X155"/>
  <sheetViews>
    <sheetView showGridLines="0" tabSelected="1" view="pageBreakPreview" zoomScale="120" zoomScaleNormal="160" zoomScaleSheetLayoutView="120" workbookViewId="0">
      <pane ySplit="2" topLeftCell="A3" activePane="bottomLeft" state="frozen"/>
      <selection pane="bottomLeft" activeCell="A3" sqref="A3:C3"/>
    </sheetView>
  </sheetViews>
  <sheetFormatPr defaultColWidth="8.85546875" defaultRowHeight="15.75" customHeight="1" x14ac:dyDescent="0.25"/>
  <cols>
    <col min="1" max="1" width="6.42578125" style="1" customWidth="1"/>
    <col min="2" max="2" width="47" style="1" customWidth="1"/>
    <col min="3" max="3" width="53.7109375" style="1" customWidth="1"/>
    <col min="4" max="4" width="18.28515625" style="1" customWidth="1"/>
    <col min="5" max="5" width="17.42578125" style="1" customWidth="1"/>
    <col min="6" max="6" width="21.140625" style="1" customWidth="1"/>
    <col min="7" max="7" width="19.85546875" style="1" customWidth="1"/>
    <col min="8" max="8" width="17.85546875" style="1" customWidth="1"/>
    <col min="9" max="9" width="18" style="1" customWidth="1"/>
    <col min="10" max="10" width="20.28515625" style="1" customWidth="1"/>
    <col min="11" max="11" width="17.140625" style="26" customWidth="1"/>
    <col min="12" max="12" width="19.7109375" style="1" customWidth="1"/>
    <col min="13" max="13" width="17.7109375" style="193" customWidth="1"/>
    <col min="14" max="14" width="22.42578125" style="1" customWidth="1"/>
    <col min="15" max="15" width="19.42578125" style="1" customWidth="1"/>
    <col min="16" max="16" width="20.42578125" style="26" customWidth="1"/>
    <col min="17" max="17" width="9.28515625" style="1" customWidth="1"/>
    <col min="18" max="18" width="20.42578125" style="1" customWidth="1"/>
    <col min="19" max="19" width="9.140625" style="1" customWidth="1"/>
    <col min="20" max="20" width="10.140625" style="1" customWidth="1"/>
    <col min="21" max="21" width="11" style="1" customWidth="1"/>
    <col min="22" max="22" width="12.140625" style="1" customWidth="1"/>
    <col min="23" max="23" width="15.42578125" style="1" customWidth="1"/>
    <col min="24" max="24" width="16.7109375" style="1" customWidth="1"/>
    <col min="25" max="25" width="15" style="1" customWidth="1"/>
    <col min="26" max="26" width="14.42578125" style="1" customWidth="1"/>
    <col min="27" max="27" width="14.28515625" style="1" customWidth="1"/>
    <col min="28" max="28" width="20.140625" style="26" customWidth="1"/>
    <col min="29" max="29" width="18.140625" style="26" customWidth="1"/>
    <col min="30" max="30" width="19" style="26" customWidth="1"/>
    <col min="31" max="31" width="21.85546875" style="1" customWidth="1"/>
    <col min="32" max="32" width="12.42578125" style="1" customWidth="1"/>
    <col min="33" max="258" width="8.85546875" style="1" customWidth="1"/>
  </cols>
  <sheetData>
    <row r="1" spans="1:258" ht="39" customHeight="1" x14ac:dyDescent="0.7">
      <c r="A1" s="226" t="s">
        <v>207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8"/>
      <c r="AF1" s="11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</row>
    <row r="2" spans="1:258" ht="54" customHeight="1" x14ac:dyDescent="0.25">
      <c r="A2" s="123" t="s">
        <v>194</v>
      </c>
      <c r="B2" s="117" t="s">
        <v>0</v>
      </c>
      <c r="C2" s="117" t="s">
        <v>1</v>
      </c>
      <c r="D2" s="117" t="s">
        <v>2</v>
      </c>
      <c r="E2" s="117" t="s">
        <v>3</v>
      </c>
      <c r="F2" s="117" t="s">
        <v>4</v>
      </c>
      <c r="G2" s="117" t="s">
        <v>5</v>
      </c>
      <c r="H2" s="117" t="s">
        <v>6</v>
      </c>
      <c r="I2" s="117" t="s">
        <v>7</v>
      </c>
      <c r="J2" s="117" t="s">
        <v>8</v>
      </c>
      <c r="K2" s="117" t="s">
        <v>166</v>
      </c>
      <c r="L2" s="117" t="s">
        <v>9</v>
      </c>
      <c r="M2" s="185" t="s">
        <v>10</v>
      </c>
      <c r="N2" s="117" t="s">
        <v>11</v>
      </c>
      <c r="O2" s="117" t="s">
        <v>12</v>
      </c>
      <c r="P2" s="117" t="s">
        <v>208</v>
      </c>
      <c r="Q2" s="117" t="s">
        <v>13</v>
      </c>
      <c r="R2" s="117" t="s">
        <v>204</v>
      </c>
      <c r="S2" s="117" t="s">
        <v>13</v>
      </c>
      <c r="T2" s="117" t="s">
        <v>14</v>
      </c>
      <c r="U2" s="117" t="s">
        <v>15</v>
      </c>
      <c r="V2" s="117" t="s">
        <v>16</v>
      </c>
      <c r="W2" s="117" t="s">
        <v>17</v>
      </c>
      <c r="X2" s="117" t="s">
        <v>18</v>
      </c>
      <c r="Y2" s="117" t="s">
        <v>19</v>
      </c>
      <c r="Z2" s="117" t="s">
        <v>20</v>
      </c>
      <c r="AA2" s="117" t="s">
        <v>21</v>
      </c>
      <c r="AB2" s="117" t="s">
        <v>210</v>
      </c>
      <c r="AC2" s="117" t="s">
        <v>212</v>
      </c>
      <c r="AD2" s="117" t="s">
        <v>213</v>
      </c>
      <c r="AE2" s="124" t="s">
        <v>209</v>
      </c>
      <c r="AF2" s="13"/>
      <c r="AG2" s="4"/>
      <c r="AH2" s="5"/>
      <c r="AI2" s="6"/>
      <c r="AJ2" s="6"/>
      <c r="AK2" s="6"/>
      <c r="AL2" s="7"/>
      <c r="AM2" s="5"/>
      <c r="AN2" s="6"/>
      <c r="AO2" s="6"/>
      <c r="AP2" s="6"/>
      <c r="AQ2" s="7"/>
      <c r="AR2" s="5"/>
      <c r="AS2" s="6"/>
      <c r="AT2" s="6"/>
      <c r="AU2" s="6"/>
      <c r="AV2" s="7"/>
    </row>
    <row r="3" spans="1:258" ht="18" customHeight="1" x14ac:dyDescent="0.25">
      <c r="A3" s="225" t="s">
        <v>22</v>
      </c>
      <c r="B3" s="223"/>
      <c r="C3" s="223"/>
      <c r="D3" s="118"/>
      <c r="E3" s="118"/>
      <c r="F3" s="118"/>
      <c r="G3" s="118"/>
      <c r="H3" s="118"/>
      <c r="I3" s="118"/>
      <c r="J3" s="118"/>
      <c r="K3" s="118"/>
      <c r="L3" s="118"/>
      <c r="M3" s="186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25"/>
      <c r="AF3" s="13"/>
      <c r="AG3" s="4"/>
      <c r="AH3" s="5"/>
      <c r="AI3" s="6"/>
      <c r="AJ3" s="6"/>
      <c r="AK3" s="6"/>
      <c r="AL3" s="7"/>
      <c r="AM3" s="5"/>
      <c r="AN3" s="6"/>
      <c r="AO3" s="6"/>
      <c r="AP3" s="6"/>
      <c r="AQ3" s="7"/>
      <c r="AR3" s="5"/>
      <c r="AS3" s="6"/>
      <c r="AT3" s="6"/>
      <c r="AU3" s="6"/>
      <c r="AV3" s="7"/>
    </row>
    <row r="4" spans="1:258" ht="18" customHeight="1" x14ac:dyDescent="0.3">
      <c r="A4" s="194">
        <v>1</v>
      </c>
      <c r="B4" s="69" t="s">
        <v>23</v>
      </c>
      <c r="C4" s="69" t="s">
        <v>24</v>
      </c>
      <c r="D4" s="63">
        <v>4976781747.25</v>
      </c>
      <c r="E4" s="87"/>
      <c r="F4" s="64">
        <v>1868237036.6500001</v>
      </c>
      <c r="G4" s="64">
        <v>61432497.310000002</v>
      </c>
      <c r="H4" s="64"/>
      <c r="I4" s="64"/>
      <c r="J4" s="65">
        <v>6945109867.4399996</v>
      </c>
      <c r="K4" s="87">
        <v>51941425.920000002</v>
      </c>
      <c r="L4" s="65">
        <v>18805236.140000001</v>
      </c>
      <c r="M4" s="172">
        <v>84380115.230000004</v>
      </c>
      <c r="N4" s="32">
        <v>7018969686.2200003</v>
      </c>
      <c r="O4" s="32">
        <v>62358699.990000002</v>
      </c>
      <c r="P4" s="33">
        <v>6947177312.04</v>
      </c>
      <c r="Q4" s="34">
        <f t="shared" ref="Q4:Q19" si="0">(P4/$P$20)</f>
        <v>0.44368261549250909</v>
      </c>
      <c r="R4" s="33">
        <v>6956610986.2299995</v>
      </c>
      <c r="S4" s="34">
        <f t="shared" ref="S4:S19" si="1">(R4/$R$20)</f>
        <v>0.44961602384425747</v>
      </c>
      <c r="T4" s="35">
        <f t="shared" ref="T4:T17" si="2">((R4-P4)/P4)</f>
        <v>1.3579146992045658E-3</v>
      </c>
      <c r="U4" s="70">
        <f t="shared" ref="U4:U16" si="3">(L4/R4)</f>
        <v>2.7032180148096989E-3</v>
      </c>
      <c r="V4" s="36">
        <f t="shared" ref="V4:V18" si="4">M4/R4</f>
        <v>1.2129485951855441E-2</v>
      </c>
      <c r="W4" s="37">
        <f t="shared" ref="W4:W18" si="5">R4/AE4</f>
        <v>11541.455230817955</v>
      </c>
      <c r="X4" s="37">
        <f t="shared" ref="X4:X18" si="6">M4/AE4</f>
        <v>139.99191908617487</v>
      </c>
      <c r="Y4" s="64">
        <v>11437.58</v>
      </c>
      <c r="Z4" s="64">
        <v>11599.03</v>
      </c>
      <c r="AA4" s="169">
        <v>17161</v>
      </c>
      <c r="AB4" s="169">
        <v>609563.88</v>
      </c>
      <c r="AC4" s="169">
        <v>1493.67</v>
      </c>
      <c r="AD4" s="169">
        <v>8307.65</v>
      </c>
      <c r="AE4" s="170">
        <f t="shared" ref="AE4:AE19" si="7">(AB4+AC4)-AD4</f>
        <v>602749.9</v>
      </c>
      <c r="AF4" s="13"/>
      <c r="AG4" s="4"/>
      <c r="AH4" s="5"/>
      <c r="AI4" s="6"/>
      <c r="AJ4" s="6"/>
      <c r="AK4" s="6"/>
      <c r="AL4" s="7"/>
      <c r="AM4" s="5"/>
      <c r="AN4" s="6"/>
      <c r="AO4" s="6"/>
      <c r="AP4" s="6"/>
      <c r="AQ4" s="7"/>
      <c r="AR4" s="5"/>
      <c r="AS4" s="6"/>
      <c r="AT4" s="6"/>
      <c r="AU4" s="6"/>
      <c r="AV4" s="7"/>
    </row>
    <row r="5" spans="1:258" ht="18" customHeight="1" x14ac:dyDescent="0.3">
      <c r="A5" s="194">
        <v>2</v>
      </c>
      <c r="B5" s="68" t="s">
        <v>25</v>
      </c>
      <c r="C5" s="69" t="s">
        <v>26</v>
      </c>
      <c r="D5" s="63">
        <v>716946200.70000005</v>
      </c>
      <c r="E5" s="87"/>
      <c r="F5" s="64">
        <v>65242746.299999997</v>
      </c>
      <c r="G5" s="64"/>
      <c r="H5" s="64"/>
      <c r="I5" s="64"/>
      <c r="J5" s="65">
        <v>885723279.86000001</v>
      </c>
      <c r="K5" s="177">
        <v>961976.81</v>
      </c>
      <c r="L5" s="65">
        <v>1422821.58</v>
      </c>
      <c r="M5" s="172">
        <v>460844.77</v>
      </c>
      <c r="N5" s="32">
        <v>885723279.86000001</v>
      </c>
      <c r="O5" s="32">
        <v>4068097.28</v>
      </c>
      <c r="P5" s="33">
        <v>903728422.74000001</v>
      </c>
      <c r="Q5" s="34">
        <f t="shared" si="0"/>
        <v>5.7716763555364176E-2</v>
      </c>
      <c r="R5" s="33">
        <v>881655182.58000004</v>
      </c>
      <c r="S5" s="34">
        <f t="shared" si="1"/>
        <v>5.6982674232892126E-2</v>
      </c>
      <c r="T5" s="35">
        <f t="shared" si="2"/>
        <v>-2.4424638646504508E-2</v>
      </c>
      <c r="U5" s="70">
        <f t="shared" si="3"/>
        <v>1.6138073116480495E-3</v>
      </c>
      <c r="V5" s="36">
        <f t="shared" si="4"/>
        <v>5.2270409010858805E-4</v>
      </c>
      <c r="W5" s="37">
        <f t="shared" si="5"/>
        <v>1.7960574934903919</v>
      </c>
      <c r="X5" s="37">
        <f t="shared" si="6"/>
        <v>9.3880659791760663E-4</v>
      </c>
      <c r="Y5" s="64">
        <v>1.77</v>
      </c>
      <c r="Z5" s="64">
        <v>1.81</v>
      </c>
      <c r="AA5" s="176">
        <v>3688</v>
      </c>
      <c r="AB5" s="176">
        <v>490736204</v>
      </c>
      <c r="AC5" s="176">
        <v>302679</v>
      </c>
      <c r="AD5" s="176">
        <v>155275</v>
      </c>
      <c r="AE5" s="170">
        <f t="shared" si="7"/>
        <v>490883608</v>
      </c>
      <c r="AF5" s="3"/>
      <c r="AG5" s="9"/>
      <c r="AH5" s="5"/>
      <c r="AI5" s="6"/>
      <c r="AJ5" s="6"/>
      <c r="AK5" s="6"/>
      <c r="AL5" s="7"/>
      <c r="AM5" s="5"/>
      <c r="AN5" s="6"/>
      <c r="AO5" s="6"/>
      <c r="AP5" s="6"/>
      <c r="AQ5" s="7"/>
      <c r="AR5" s="5"/>
      <c r="AS5" s="6"/>
      <c r="AT5" s="6"/>
      <c r="AU5" s="6"/>
      <c r="AV5" s="7"/>
    </row>
    <row r="6" spans="1:258" ht="18" customHeight="1" x14ac:dyDescent="0.3">
      <c r="A6" s="194">
        <v>3</v>
      </c>
      <c r="B6" s="68" t="s">
        <v>27</v>
      </c>
      <c r="C6" s="69" t="s">
        <v>28</v>
      </c>
      <c r="D6" s="63">
        <v>115149716.09999999</v>
      </c>
      <c r="E6" s="87"/>
      <c r="F6" s="64">
        <v>43129760.200000003</v>
      </c>
      <c r="G6" s="64">
        <v>109690535.91</v>
      </c>
      <c r="H6" s="64"/>
      <c r="I6" s="64"/>
      <c r="J6" s="65">
        <v>267970012.21000001</v>
      </c>
      <c r="K6" s="65">
        <v>819223.2</v>
      </c>
      <c r="L6" s="65">
        <v>662795.72</v>
      </c>
      <c r="M6" s="172">
        <v>540105.56000000006</v>
      </c>
      <c r="N6" s="32">
        <v>775007215.51999998</v>
      </c>
      <c r="O6" s="32">
        <v>22028594.649999999</v>
      </c>
      <c r="P6" s="33">
        <v>260518588.18000001</v>
      </c>
      <c r="Q6" s="34">
        <f t="shared" si="0"/>
        <v>1.6638062251239219E-2</v>
      </c>
      <c r="R6" s="33">
        <v>252978620.87</v>
      </c>
      <c r="S6" s="34">
        <f t="shared" si="1"/>
        <v>1.6350381221304174E-2</v>
      </c>
      <c r="T6" s="35">
        <f t="shared" si="2"/>
        <v>-2.894214713304993E-2</v>
      </c>
      <c r="U6" s="70">
        <f t="shared" si="3"/>
        <v>2.619967322616545E-3</v>
      </c>
      <c r="V6" s="36">
        <f t="shared" si="4"/>
        <v>2.1349849965288099E-3</v>
      </c>
      <c r="W6" s="37">
        <f t="shared" si="5"/>
        <v>127.09836580393245</v>
      </c>
      <c r="X6" s="37">
        <f t="shared" si="6"/>
        <v>0.27135310407472613</v>
      </c>
      <c r="Y6" s="64">
        <v>127.1</v>
      </c>
      <c r="Z6" s="64">
        <v>129.44</v>
      </c>
      <c r="AA6" s="169">
        <v>2470</v>
      </c>
      <c r="AB6" s="169">
        <v>1998739</v>
      </c>
      <c r="AC6" s="169">
        <v>0</v>
      </c>
      <c r="AD6" s="169">
        <v>8323</v>
      </c>
      <c r="AE6" s="170">
        <f t="shared" si="7"/>
        <v>1990416</v>
      </c>
      <c r="AF6" s="10"/>
      <c r="AG6" s="11"/>
      <c r="AH6" s="5"/>
      <c r="AI6" s="6"/>
      <c r="AJ6" s="6"/>
      <c r="AK6" s="6"/>
      <c r="AL6" s="7"/>
      <c r="AM6" s="5"/>
      <c r="AN6" s="6"/>
      <c r="AO6" s="6"/>
      <c r="AP6" s="6"/>
      <c r="AQ6" s="7"/>
      <c r="AR6" s="5"/>
      <c r="AS6" s="6"/>
      <c r="AT6" s="6"/>
      <c r="AU6" s="6"/>
      <c r="AV6" s="7"/>
    </row>
    <row r="7" spans="1:258" s="75" customFormat="1" ht="18" customHeight="1" x14ac:dyDescent="0.3">
      <c r="A7" s="194">
        <v>4</v>
      </c>
      <c r="B7" s="69" t="s">
        <v>29</v>
      </c>
      <c r="C7" s="69" t="s">
        <v>30</v>
      </c>
      <c r="D7" s="63">
        <v>551021187</v>
      </c>
      <c r="E7" s="87"/>
      <c r="F7" s="64">
        <v>74886395.540000007</v>
      </c>
      <c r="G7" s="64">
        <v>10513493.15</v>
      </c>
      <c r="H7" s="64"/>
      <c r="I7" s="64"/>
      <c r="J7" s="65">
        <v>646474958.58000004</v>
      </c>
      <c r="K7" s="65">
        <v>10532816.74</v>
      </c>
      <c r="L7" s="65">
        <v>1815126.24</v>
      </c>
      <c r="M7" s="172">
        <v>8717690.5</v>
      </c>
      <c r="N7" s="32">
        <v>646474958.58000004</v>
      </c>
      <c r="O7" s="32">
        <v>4571524.97</v>
      </c>
      <c r="P7" s="33">
        <v>656409898.49000001</v>
      </c>
      <c r="Q7" s="34">
        <f t="shared" si="0"/>
        <v>4.1921725546356502E-2</v>
      </c>
      <c r="R7" s="33">
        <v>634462490.58000004</v>
      </c>
      <c r="S7" s="34">
        <f t="shared" si="1"/>
        <v>4.1006246124378712E-2</v>
      </c>
      <c r="T7" s="84">
        <f t="shared" si="2"/>
        <v>-3.3435522469249176E-2</v>
      </c>
      <c r="U7" s="70">
        <f t="shared" si="3"/>
        <v>2.860888180073001E-3</v>
      </c>
      <c r="V7" s="85">
        <f t="shared" si="4"/>
        <v>1.3740277210132058E-2</v>
      </c>
      <c r="W7" s="86">
        <f t="shared" si="5"/>
        <v>18.20232006062724</v>
      </c>
      <c r="X7" s="86">
        <f t="shared" si="6"/>
        <v>0.25010492350056607</v>
      </c>
      <c r="Y7" s="64">
        <v>17.84</v>
      </c>
      <c r="Z7" s="64">
        <v>18.190000000000001</v>
      </c>
      <c r="AA7" s="169">
        <v>8761</v>
      </c>
      <c r="AB7" s="169">
        <v>34862034.090000004</v>
      </c>
      <c r="AC7" s="169">
        <v>0</v>
      </c>
      <c r="AD7" s="169">
        <v>5901</v>
      </c>
      <c r="AE7" s="170">
        <f t="shared" si="7"/>
        <v>34856133.090000004</v>
      </c>
      <c r="AF7" s="233"/>
      <c r="AG7" s="151"/>
      <c r="AH7" s="152"/>
      <c r="AI7" s="153"/>
      <c r="AJ7" s="153"/>
      <c r="AK7" s="153"/>
      <c r="AL7" s="154"/>
      <c r="AM7" s="152"/>
      <c r="AN7" s="153"/>
      <c r="AO7" s="153"/>
      <c r="AP7" s="153"/>
      <c r="AQ7" s="154"/>
      <c r="AR7" s="152"/>
      <c r="AS7" s="153"/>
      <c r="AT7" s="153"/>
      <c r="AU7" s="153"/>
      <c r="AV7" s="154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5"/>
      <c r="BO7" s="155"/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4"/>
      <c r="EG7" s="74"/>
      <c r="EH7" s="74"/>
      <c r="EI7" s="74"/>
      <c r="EJ7" s="74"/>
      <c r="EK7" s="74"/>
      <c r="EL7" s="74"/>
      <c r="EM7" s="74"/>
      <c r="EN7" s="74"/>
      <c r="EO7" s="74"/>
      <c r="EP7" s="74"/>
      <c r="EQ7" s="74"/>
      <c r="ER7" s="74"/>
      <c r="ES7" s="74"/>
      <c r="ET7" s="74"/>
      <c r="EU7" s="74"/>
      <c r="EV7" s="74"/>
      <c r="EW7" s="74"/>
      <c r="EX7" s="74"/>
      <c r="EY7" s="74"/>
      <c r="EZ7" s="74"/>
      <c r="FA7" s="74"/>
      <c r="FB7" s="74"/>
      <c r="FC7" s="74"/>
      <c r="FD7" s="74"/>
      <c r="FE7" s="74"/>
      <c r="FF7" s="74"/>
      <c r="FG7" s="74"/>
      <c r="FH7" s="74"/>
      <c r="FI7" s="74"/>
      <c r="FJ7" s="74"/>
      <c r="FK7" s="74"/>
      <c r="FL7" s="74"/>
      <c r="FM7" s="74"/>
      <c r="FN7" s="74"/>
      <c r="FO7" s="74"/>
      <c r="FP7" s="74"/>
      <c r="FQ7" s="74"/>
      <c r="FR7" s="74"/>
      <c r="FS7" s="74"/>
      <c r="FT7" s="74"/>
      <c r="FU7" s="74"/>
      <c r="FV7" s="74"/>
      <c r="FW7" s="74"/>
      <c r="FX7" s="74"/>
      <c r="FY7" s="74"/>
      <c r="FZ7" s="74"/>
      <c r="GA7" s="74"/>
      <c r="GB7" s="74"/>
      <c r="GC7" s="74"/>
      <c r="GD7" s="74"/>
      <c r="GE7" s="74"/>
      <c r="GF7" s="74"/>
      <c r="GG7" s="74"/>
      <c r="GH7" s="74"/>
      <c r="GI7" s="74"/>
      <c r="GJ7" s="74"/>
      <c r="GK7" s="74"/>
      <c r="GL7" s="74"/>
      <c r="GM7" s="74"/>
      <c r="GN7" s="74"/>
      <c r="GO7" s="74"/>
      <c r="GP7" s="74"/>
      <c r="GQ7" s="74"/>
      <c r="GR7" s="74"/>
      <c r="GS7" s="74"/>
      <c r="GT7" s="74"/>
      <c r="GU7" s="74"/>
      <c r="GV7" s="74"/>
      <c r="GW7" s="74"/>
      <c r="GX7" s="74"/>
      <c r="GY7" s="74"/>
      <c r="GZ7" s="74"/>
      <c r="HA7" s="74"/>
      <c r="HB7" s="74"/>
      <c r="HC7" s="74"/>
      <c r="HD7" s="74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4"/>
      <c r="IA7" s="74"/>
      <c r="IB7" s="74"/>
      <c r="IC7" s="74"/>
      <c r="ID7" s="74"/>
      <c r="IE7" s="74"/>
      <c r="IF7" s="74"/>
      <c r="IG7" s="74"/>
      <c r="IH7" s="74"/>
      <c r="II7" s="74"/>
      <c r="IJ7" s="74"/>
      <c r="IK7" s="74"/>
      <c r="IL7" s="74"/>
      <c r="IM7" s="74"/>
      <c r="IN7" s="74"/>
      <c r="IO7" s="74"/>
      <c r="IP7" s="74"/>
      <c r="IQ7" s="74"/>
      <c r="IR7" s="74"/>
      <c r="IS7" s="74"/>
      <c r="IT7" s="74"/>
      <c r="IU7" s="74"/>
      <c r="IV7" s="74"/>
      <c r="IW7" s="74"/>
      <c r="IX7" s="74"/>
    </row>
    <row r="8" spans="1:258" s="75" customFormat="1" ht="16.5" customHeight="1" x14ac:dyDescent="0.3">
      <c r="A8" s="194">
        <v>5</v>
      </c>
      <c r="B8" s="69" t="s">
        <v>31</v>
      </c>
      <c r="C8" s="69" t="s">
        <v>32</v>
      </c>
      <c r="D8" s="63">
        <v>331262666.63999999</v>
      </c>
      <c r="E8" s="87"/>
      <c r="F8" s="64">
        <v>46635418.369999997</v>
      </c>
      <c r="G8" s="64"/>
      <c r="H8" s="64"/>
      <c r="I8" s="64"/>
      <c r="J8" s="65">
        <v>377898085.00999999</v>
      </c>
      <c r="K8" s="65">
        <v>928501.74</v>
      </c>
      <c r="L8" s="65">
        <v>792929.52</v>
      </c>
      <c r="M8" s="172">
        <v>135572.22</v>
      </c>
      <c r="N8" s="32">
        <v>379727530.22000003</v>
      </c>
      <c r="O8" s="32">
        <v>7651181.1699999999</v>
      </c>
      <c r="P8" s="33">
        <v>373718723.50999999</v>
      </c>
      <c r="Q8" s="34">
        <f t="shared" si="0"/>
        <v>2.3867607412016479E-2</v>
      </c>
      <c r="R8" s="33">
        <v>372076349.05000001</v>
      </c>
      <c r="S8" s="34">
        <f t="shared" si="1"/>
        <v>2.4047842973753727E-2</v>
      </c>
      <c r="T8" s="84">
        <f t="shared" si="2"/>
        <v>-4.3946806961520403E-3</v>
      </c>
      <c r="U8" s="70">
        <f t="shared" si="3"/>
        <v>2.1310935834124873E-3</v>
      </c>
      <c r="V8" s="85">
        <f t="shared" si="4"/>
        <v>3.6436666922299237E-4</v>
      </c>
      <c r="W8" s="86">
        <f t="shared" si="5"/>
        <v>176.03047333222159</v>
      </c>
      <c r="X8" s="86">
        <f t="shared" si="6"/>
        <v>6.4139637249808354E-2</v>
      </c>
      <c r="Y8" s="64">
        <v>176.03039999999999</v>
      </c>
      <c r="Z8" s="64">
        <v>179.65020000000001</v>
      </c>
      <c r="AA8" s="169">
        <v>1798</v>
      </c>
      <c r="AB8" s="169">
        <v>2115704.19</v>
      </c>
      <c r="AC8" s="169">
        <v>0</v>
      </c>
      <c r="AD8" s="169">
        <v>2000</v>
      </c>
      <c r="AE8" s="170">
        <f t="shared" si="7"/>
        <v>2113704.19</v>
      </c>
      <c r="AF8" s="156"/>
      <c r="AG8" s="157"/>
      <c r="AH8" s="152"/>
      <c r="AI8" s="153"/>
      <c r="AJ8" s="153"/>
      <c r="AK8" s="153"/>
      <c r="AL8" s="154"/>
      <c r="AM8" s="152"/>
      <c r="AN8" s="153"/>
      <c r="AO8" s="153"/>
      <c r="AP8" s="153"/>
      <c r="AQ8" s="154"/>
      <c r="AR8" s="152"/>
      <c r="AS8" s="153"/>
      <c r="AT8" s="153"/>
      <c r="AU8" s="153"/>
      <c r="AV8" s="154"/>
      <c r="AW8" s="155"/>
      <c r="AX8" s="155"/>
      <c r="AY8" s="155"/>
      <c r="AZ8" s="155"/>
      <c r="BA8" s="155"/>
      <c r="BB8" s="155"/>
      <c r="BC8" s="155"/>
      <c r="BD8" s="155"/>
      <c r="BE8" s="155"/>
      <c r="BF8" s="155"/>
      <c r="BG8" s="155"/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155"/>
      <c r="BS8" s="155"/>
      <c r="BT8" s="155"/>
      <c r="BU8" s="155"/>
      <c r="BV8" s="155"/>
      <c r="BW8" s="155"/>
      <c r="BX8" s="155"/>
      <c r="BY8" s="155"/>
      <c r="BZ8" s="155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74"/>
      <c r="DZ8" s="74"/>
      <c r="EA8" s="74"/>
      <c r="EB8" s="74"/>
      <c r="EC8" s="74"/>
      <c r="ED8" s="74"/>
      <c r="EE8" s="74"/>
      <c r="EF8" s="74"/>
      <c r="EG8" s="74"/>
      <c r="EH8" s="74"/>
      <c r="EI8" s="74"/>
      <c r="EJ8" s="74"/>
      <c r="EK8" s="74"/>
      <c r="EL8" s="74"/>
      <c r="EM8" s="74"/>
      <c r="EN8" s="74"/>
      <c r="EO8" s="74"/>
      <c r="EP8" s="74"/>
      <c r="EQ8" s="74"/>
      <c r="ER8" s="74"/>
      <c r="ES8" s="74"/>
      <c r="ET8" s="74"/>
      <c r="EU8" s="74"/>
      <c r="EV8" s="74"/>
      <c r="EW8" s="74"/>
      <c r="EX8" s="74"/>
      <c r="EY8" s="74"/>
      <c r="EZ8" s="74"/>
      <c r="FA8" s="74"/>
      <c r="FB8" s="74"/>
      <c r="FC8" s="74"/>
      <c r="FD8" s="74"/>
      <c r="FE8" s="74"/>
      <c r="FF8" s="74"/>
      <c r="FG8" s="74"/>
      <c r="FH8" s="74"/>
      <c r="FI8" s="74"/>
      <c r="FJ8" s="74"/>
      <c r="FK8" s="74"/>
      <c r="FL8" s="74"/>
      <c r="FM8" s="74"/>
      <c r="FN8" s="74"/>
      <c r="FO8" s="74"/>
      <c r="FP8" s="74"/>
      <c r="FQ8" s="74"/>
      <c r="FR8" s="74"/>
      <c r="FS8" s="74"/>
      <c r="FT8" s="74"/>
      <c r="FU8" s="74"/>
      <c r="FV8" s="74"/>
      <c r="FW8" s="74"/>
      <c r="FX8" s="74"/>
      <c r="FY8" s="74"/>
      <c r="FZ8" s="74"/>
      <c r="GA8" s="74"/>
      <c r="GB8" s="74"/>
      <c r="GC8" s="74"/>
      <c r="GD8" s="74"/>
      <c r="GE8" s="74"/>
      <c r="GF8" s="74"/>
      <c r="GG8" s="74"/>
      <c r="GH8" s="74"/>
      <c r="GI8" s="74"/>
      <c r="GJ8" s="74"/>
      <c r="GK8" s="74"/>
      <c r="GL8" s="74"/>
      <c r="GM8" s="74"/>
      <c r="GN8" s="74"/>
      <c r="GO8" s="74"/>
      <c r="GP8" s="74"/>
      <c r="GQ8" s="74"/>
      <c r="GR8" s="74"/>
      <c r="GS8" s="74"/>
      <c r="GT8" s="74"/>
      <c r="GU8" s="74"/>
      <c r="GV8" s="74"/>
      <c r="GW8" s="74"/>
      <c r="GX8" s="74"/>
      <c r="GY8" s="74"/>
      <c r="GZ8" s="74"/>
      <c r="HA8" s="74"/>
      <c r="HB8" s="74"/>
      <c r="HC8" s="74"/>
      <c r="HD8" s="74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4"/>
      <c r="IA8" s="74"/>
      <c r="IB8" s="74"/>
      <c r="IC8" s="74"/>
      <c r="ID8" s="74"/>
      <c r="IE8" s="74"/>
      <c r="IF8" s="74"/>
      <c r="IG8" s="74"/>
      <c r="IH8" s="74"/>
      <c r="II8" s="74"/>
      <c r="IJ8" s="74"/>
      <c r="IK8" s="74"/>
      <c r="IL8" s="74"/>
      <c r="IM8" s="74"/>
      <c r="IN8" s="74"/>
      <c r="IO8" s="74"/>
      <c r="IP8" s="74"/>
      <c r="IQ8" s="74"/>
      <c r="IR8" s="74"/>
      <c r="IS8" s="74"/>
      <c r="IT8" s="74"/>
      <c r="IU8" s="74"/>
      <c r="IV8" s="74"/>
      <c r="IW8" s="74"/>
      <c r="IX8" s="74"/>
    </row>
    <row r="9" spans="1:258" ht="18" customHeight="1" x14ac:dyDescent="0.3">
      <c r="A9" s="195">
        <v>6</v>
      </c>
      <c r="B9" s="208" t="s">
        <v>33</v>
      </c>
      <c r="C9" s="208" t="s">
        <v>34</v>
      </c>
      <c r="D9" s="205">
        <v>1425185298</v>
      </c>
      <c r="E9" s="87"/>
      <c r="F9" s="64"/>
      <c r="G9" s="64"/>
      <c r="H9" s="64"/>
      <c r="I9" s="64"/>
      <c r="J9" s="205">
        <v>1425185299</v>
      </c>
      <c r="K9" s="87">
        <v>-5181891</v>
      </c>
      <c r="L9" s="205">
        <v>3261151</v>
      </c>
      <c r="M9" s="172">
        <v>9931738</v>
      </c>
      <c r="N9" s="205">
        <v>1851393572</v>
      </c>
      <c r="O9" s="206">
        <v>48268142.619999997</v>
      </c>
      <c r="P9" s="33">
        <v>1830009619</v>
      </c>
      <c r="Q9" s="34">
        <f t="shared" si="0"/>
        <v>0.11687386368089507</v>
      </c>
      <c r="R9" s="33">
        <v>1803125429</v>
      </c>
      <c r="S9" s="34">
        <f t="shared" si="1"/>
        <v>0.11653865473923845</v>
      </c>
      <c r="T9" s="35">
        <f t="shared" si="2"/>
        <v>-1.4690736988962241E-2</v>
      </c>
      <c r="U9" s="70">
        <f t="shared" si="3"/>
        <v>1.8086101762807539E-3</v>
      </c>
      <c r="V9" s="36">
        <f t="shared" si="4"/>
        <v>5.5080682909053463E-3</v>
      </c>
      <c r="W9" s="37">
        <f t="shared" si="5"/>
        <v>0.97230289558039729</v>
      </c>
      <c r="X9" s="37">
        <f t="shared" si="6"/>
        <v>5.3555107483018389E-3</v>
      </c>
      <c r="Y9" s="64">
        <v>0.97</v>
      </c>
      <c r="Z9" s="64">
        <v>1</v>
      </c>
      <c r="AA9" s="169">
        <v>2722</v>
      </c>
      <c r="AB9" s="169">
        <v>1858718035</v>
      </c>
      <c r="AC9" s="169">
        <v>11862323</v>
      </c>
      <c r="AD9" s="169">
        <v>16090942</v>
      </c>
      <c r="AE9" s="170">
        <f t="shared" si="7"/>
        <v>1854489416</v>
      </c>
      <c r="AF9" s="13"/>
      <c r="AG9" s="4"/>
      <c r="AH9" s="5"/>
      <c r="AI9" s="6"/>
      <c r="AJ9" s="6"/>
      <c r="AK9" s="6"/>
      <c r="AL9" s="7"/>
      <c r="AM9" s="5"/>
      <c r="AN9" s="6"/>
      <c r="AO9" s="6"/>
      <c r="AP9" s="6"/>
      <c r="AQ9" s="7"/>
      <c r="AR9" s="5"/>
      <c r="AS9" s="6"/>
      <c r="AT9" s="6"/>
      <c r="AU9" s="6"/>
      <c r="AV9" s="7"/>
    </row>
    <row r="10" spans="1:258" ht="18" customHeight="1" x14ac:dyDescent="0.3">
      <c r="A10" s="194">
        <v>7</v>
      </c>
      <c r="B10" s="68" t="s">
        <v>35</v>
      </c>
      <c r="C10" s="69" t="s">
        <v>36</v>
      </c>
      <c r="D10" s="63">
        <v>1971263747.6600001</v>
      </c>
      <c r="E10" s="87"/>
      <c r="F10" s="64">
        <v>1284847.2</v>
      </c>
      <c r="G10" s="64">
        <v>86681065.560000002</v>
      </c>
      <c r="H10" s="64"/>
      <c r="I10" s="64"/>
      <c r="J10" s="65">
        <v>2059229660.4200001</v>
      </c>
      <c r="K10" s="65">
        <v>36955549.920000002</v>
      </c>
      <c r="L10" s="65">
        <v>9504257.0600000005</v>
      </c>
      <c r="M10" s="172">
        <v>-23377239.09</v>
      </c>
      <c r="N10" s="32">
        <v>2323487172</v>
      </c>
      <c r="O10" s="32">
        <v>1444870</v>
      </c>
      <c r="P10" s="33">
        <v>2349421783</v>
      </c>
      <c r="Q10" s="34">
        <f t="shared" si="0"/>
        <v>0.15004620650317327</v>
      </c>
      <c r="R10" s="33">
        <v>2322042302</v>
      </c>
      <c r="S10" s="34">
        <f t="shared" si="1"/>
        <v>0.1500770172559551</v>
      </c>
      <c r="T10" s="35">
        <f t="shared" si="2"/>
        <v>-1.1653710371680844E-2</v>
      </c>
      <c r="U10" s="70">
        <f t="shared" si="3"/>
        <v>4.0930593950910723E-3</v>
      </c>
      <c r="V10" s="36">
        <f t="shared" si="4"/>
        <v>-1.0067533683544409E-2</v>
      </c>
      <c r="W10" s="37">
        <f t="shared" si="5"/>
        <v>21.674733811441371</v>
      </c>
      <c r="X10" s="37">
        <f t="shared" si="6"/>
        <v>-0.2182111127285449</v>
      </c>
      <c r="Y10" s="64">
        <v>20.97</v>
      </c>
      <c r="Z10" s="64">
        <v>21.61</v>
      </c>
      <c r="AA10" s="169">
        <v>12311</v>
      </c>
      <c r="AB10" s="169">
        <v>107652012</v>
      </c>
      <c r="AC10" s="169">
        <v>291310</v>
      </c>
      <c r="AD10" s="169">
        <v>812027</v>
      </c>
      <c r="AE10" s="170">
        <f t="shared" si="7"/>
        <v>107131295</v>
      </c>
      <c r="AF10" s="13"/>
      <c r="AG10" s="4"/>
      <c r="AH10" s="5"/>
      <c r="AI10" s="6"/>
      <c r="AJ10" s="6"/>
      <c r="AK10" s="6"/>
      <c r="AL10" s="7"/>
      <c r="AM10" s="5"/>
      <c r="AN10" s="6"/>
      <c r="AO10" s="6"/>
      <c r="AP10" s="6"/>
      <c r="AQ10" s="7"/>
      <c r="AR10" s="5"/>
      <c r="AS10" s="6"/>
      <c r="AT10" s="6"/>
      <c r="AU10" s="6"/>
      <c r="AV10" s="7"/>
    </row>
    <row r="11" spans="1:258" ht="15" customHeight="1" x14ac:dyDescent="0.3">
      <c r="A11" s="194">
        <v>8</v>
      </c>
      <c r="B11" s="69" t="s">
        <v>37</v>
      </c>
      <c r="C11" s="69" t="s">
        <v>38</v>
      </c>
      <c r="D11" s="63">
        <v>289718959.76999998</v>
      </c>
      <c r="E11" s="63"/>
      <c r="F11" s="64">
        <v>87844389.140000001</v>
      </c>
      <c r="G11" s="64"/>
      <c r="H11" s="64"/>
      <c r="I11" s="64"/>
      <c r="J11" s="65">
        <v>372413975.16000003</v>
      </c>
      <c r="K11" s="65">
        <v>481112.81</v>
      </c>
      <c r="L11" s="65">
        <v>872320.93</v>
      </c>
      <c r="M11" s="172">
        <v>-5966199.9400000004</v>
      </c>
      <c r="N11" s="32">
        <v>381708217.48000002</v>
      </c>
      <c r="O11" s="32">
        <v>9294242.3300000001</v>
      </c>
      <c r="P11" s="33">
        <v>376408381.07999998</v>
      </c>
      <c r="Q11" s="34">
        <f t="shared" si="0"/>
        <v>2.4039382832714128E-2</v>
      </c>
      <c r="R11" s="33">
        <v>372413975.16000003</v>
      </c>
      <c r="S11" s="34">
        <f t="shared" si="1"/>
        <v>2.4069664246989312E-2</v>
      </c>
      <c r="T11" s="35">
        <f t="shared" si="2"/>
        <v>-1.0611894210588807E-2</v>
      </c>
      <c r="U11" s="70">
        <f t="shared" si="3"/>
        <v>2.342342092896018E-3</v>
      </c>
      <c r="V11" s="36">
        <f t="shared" si="4"/>
        <v>-1.6020343859106643E-2</v>
      </c>
      <c r="W11" s="37">
        <f t="shared" si="5"/>
        <v>153.0418914511805</v>
      </c>
      <c r="X11" s="37">
        <f t="shared" si="6"/>
        <v>-2.4517837258959849</v>
      </c>
      <c r="Y11" s="64">
        <v>153.04</v>
      </c>
      <c r="Z11" s="64">
        <v>155.13999999999999</v>
      </c>
      <c r="AA11" s="169">
        <v>1444</v>
      </c>
      <c r="AB11" s="169">
        <v>2422180</v>
      </c>
      <c r="AC11" s="169">
        <v>22618</v>
      </c>
      <c r="AD11" s="169">
        <v>11386</v>
      </c>
      <c r="AE11" s="170">
        <f t="shared" si="7"/>
        <v>2433412</v>
      </c>
      <c r="AF11" s="13"/>
      <c r="AG11" s="4"/>
      <c r="AH11" s="5"/>
      <c r="AI11" s="6"/>
      <c r="AJ11" s="6"/>
      <c r="AK11" s="6"/>
      <c r="AL11" s="7"/>
      <c r="AM11" s="5"/>
      <c r="AN11" s="6"/>
      <c r="AO11" s="6"/>
      <c r="AP11" s="6"/>
      <c r="AQ11" s="7"/>
      <c r="AR11" s="5"/>
      <c r="AS11" s="6"/>
      <c r="AT11" s="6"/>
      <c r="AU11" s="6"/>
      <c r="AV11" s="7"/>
    </row>
    <row r="12" spans="1:258" ht="16.5" customHeight="1" x14ac:dyDescent="0.3">
      <c r="A12" s="195">
        <v>9</v>
      </c>
      <c r="B12" s="69" t="s">
        <v>39</v>
      </c>
      <c r="C12" s="220" t="s">
        <v>40</v>
      </c>
      <c r="D12" s="207">
        <v>204639319.94999999</v>
      </c>
      <c r="E12" s="63"/>
      <c r="F12" s="64">
        <v>43779949.700000003</v>
      </c>
      <c r="G12" s="64"/>
      <c r="H12" s="64">
        <v>0</v>
      </c>
      <c r="I12" s="64">
        <v>0</v>
      </c>
      <c r="J12" s="65">
        <v>248419269.65000001</v>
      </c>
      <c r="K12" s="65">
        <v>148893.19</v>
      </c>
      <c r="L12" s="65">
        <v>496117.35</v>
      </c>
      <c r="M12" s="172">
        <v>-6587587.5</v>
      </c>
      <c r="N12" s="32">
        <v>252886858.77000001</v>
      </c>
      <c r="O12" s="32">
        <v>2420324.7200000002</v>
      </c>
      <c r="P12" s="33">
        <v>259308324.88999999</v>
      </c>
      <c r="Q12" s="34">
        <f t="shared" si="0"/>
        <v>1.6560768588241563E-2</v>
      </c>
      <c r="R12" s="33">
        <v>250466534.05000001</v>
      </c>
      <c r="S12" s="34">
        <f t="shared" si="1"/>
        <v>1.6188021346676188E-2</v>
      </c>
      <c r="T12" s="35">
        <f t="shared" si="2"/>
        <v>-3.4097597305257014E-2</v>
      </c>
      <c r="U12" s="70">
        <f t="shared" si="3"/>
        <v>1.980773007786187E-3</v>
      </c>
      <c r="V12" s="36">
        <f t="shared" si="4"/>
        <v>-2.6301268251210503E-2</v>
      </c>
      <c r="W12" s="37">
        <f t="shared" si="5"/>
        <v>12.178258885071422</v>
      </c>
      <c r="X12" s="37">
        <f t="shared" si="6"/>
        <v>-0.32030365376895126</v>
      </c>
      <c r="Y12" s="64">
        <v>12.22</v>
      </c>
      <c r="Z12" s="64">
        <v>12.33</v>
      </c>
      <c r="AA12" s="38">
        <v>152</v>
      </c>
      <c r="AB12" s="38">
        <v>20727044.510000002</v>
      </c>
      <c r="AC12" s="38">
        <v>118674.2</v>
      </c>
      <c r="AD12" s="38">
        <v>279023.88</v>
      </c>
      <c r="AE12" s="170">
        <f t="shared" si="7"/>
        <v>20566694.830000002</v>
      </c>
      <c r="AF12" s="13"/>
      <c r="AG12" s="4"/>
      <c r="AH12" s="5"/>
      <c r="AI12" s="6"/>
      <c r="AJ12" s="6"/>
      <c r="AK12" s="6"/>
      <c r="AL12" s="7"/>
      <c r="AM12" s="5"/>
      <c r="AN12" s="6"/>
      <c r="AO12" s="6"/>
      <c r="AP12" s="6"/>
      <c r="AQ12" s="7"/>
      <c r="AR12" s="5"/>
      <c r="AS12" s="6"/>
      <c r="AT12" s="6"/>
      <c r="AU12" s="6"/>
      <c r="AV12" s="7"/>
    </row>
    <row r="13" spans="1:258" ht="16.5" customHeight="1" x14ac:dyDescent="0.3">
      <c r="A13" s="194">
        <v>10</v>
      </c>
      <c r="B13" s="69" t="s">
        <v>23</v>
      </c>
      <c r="C13" s="68" t="s">
        <v>41</v>
      </c>
      <c r="D13" s="63">
        <v>261046768.56</v>
      </c>
      <c r="E13" s="63"/>
      <c r="F13" s="64">
        <v>80967415.010000005</v>
      </c>
      <c r="G13" s="64"/>
      <c r="H13" s="64"/>
      <c r="I13" s="64"/>
      <c r="J13" s="65">
        <v>342014183.56999999</v>
      </c>
      <c r="K13" s="87">
        <v>3343551.1</v>
      </c>
      <c r="L13" s="65">
        <v>349429.95</v>
      </c>
      <c r="M13" s="172">
        <v>1723911.51</v>
      </c>
      <c r="N13" s="32">
        <v>350139223.66000003</v>
      </c>
      <c r="O13" s="32">
        <v>5847212.7000000002</v>
      </c>
      <c r="P13" s="33">
        <v>347772290.42000002</v>
      </c>
      <c r="Q13" s="34">
        <f t="shared" si="0"/>
        <v>2.2210534218257427E-2</v>
      </c>
      <c r="R13" s="33">
        <v>344292010.95999998</v>
      </c>
      <c r="S13" s="34">
        <f t="shared" si="1"/>
        <v>2.2252100241854852E-2</v>
      </c>
      <c r="T13" s="35">
        <f t="shared" si="2"/>
        <v>-1.0007351234904168E-2</v>
      </c>
      <c r="U13" s="70">
        <f t="shared" si="3"/>
        <v>1.0149232014581859E-3</v>
      </c>
      <c r="V13" s="36">
        <f t="shared" si="4"/>
        <v>5.0071202790711424E-3</v>
      </c>
      <c r="W13" s="37">
        <f t="shared" si="5"/>
        <v>3043.9307930406148</v>
      </c>
      <c r="X13" s="37">
        <f t="shared" si="6"/>
        <v>15.241327601922768</v>
      </c>
      <c r="Y13" s="64">
        <v>3014.98</v>
      </c>
      <c r="Z13" s="64">
        <v>3059.94</v>
      </c>
      <c r="AA13" s="169">
        <v>21</v>
      </c>
      <c r="AB13" s="169">
        <v>114435.38</v>
      </c>
      <c r="AC13" s="169">
        <v>0</v>
      </c>
      <c r="AD13" s="169">
        <v>1327.68</v>
      </c>
      <c r="AE13" s="170">
        <f t="shared" si="7"/>
        <v>113107.70000000001</v>
      </c>
      <c r="AF13" s="13"/>
      <c r="AG13" s="4"/>
      <c r="AH13" s="5"/>
      <c r="AI13" s="6"/>
      <c r="AJ13" s="6"/>
      <c r="AK13" s="6"/>
      <c r="AL13" s="7"/>
      <c r="AM13" s="5"/>
      <c r="AN13" s="6"/>
      <c r="AO13" s="6"/>
      <c r="AP13" s="6"/>
      <c r="AQ13" s="7"/>
      <c r="AR13" s="5"/>
      <c r="AS13" s="6"/>
      <c r="AT13" s="6"/>
      <c r="AU13" s="6"/>
      <c r="AV13" s="7"/>
    </row>
    <row r="14" spans="1:258" ht="16.5" customHeight="1" x14ac:dyDescent="0.3">
      <c r="A14" s="194">
        <v>11</v>
      </c>
      <c r="B14" s="71" t="s">
        <v>42</v>
      </c>
      <c r="C14" s="71" t="s">
        <v>43</v>
      </c>
      <c r="D14" s="63">
        <v>215959127.19999999</v>
      </c>
      <c r="E14" s="87"/>
      <c r="F14" s="64"/>
      <c r="G14" s="64"/>
      <c r="H14" s="64"/>
      <c r="I14" s="64"/>
      <c r="J14" s="65">
        <v>215959127.19999999</v>
      </c>
      <c r="K14" s="65">
        <v>6906469.4100000001</v>
      </c>
      <c r="L14" s="65">
        <v>629364.37</v>
      </c>
      <c r="M14" s="172">
        <v>6277105.04</v>
      </c>
      <c r="N14" s="32">
        <v>247167525.19</v>
      </c>
      <c r="O14" s="32">
        <v>8588729.1400000006</v>
      </c>
      <c r="P14" s="33">
        <v>241774181.06</v>
      </c>
      <c r="Q14" s="34">
        <f t="shared" si="0"/>
        <v>1.5440947624202889E-2</v>
      </c>
      <c r="R14" s="33">
        <v>243081088.03999999</v>
      </c>
      <c r="S14" s="34">
        <f t="shared" si="1"/>
        <v>1.5710689083034381E-2</v>
      </c>
      <c r="T14" s="35">
        <f t="shared" si="2"/>
        <v>5.4054861204375672E-3</v>
      </c>
      <c r="U14" s="70">
        <f t="shared" si="3"/>
        <v>2.5891128556098757E-3</v>
      </c>
      <c r="V14" s="36">
        <f t="shared" si="4"/>
        <v>2.5823090930739444E-2</v>
      </c>
      <c r="W14" s="37">
        <f t="shared" si="5"/>
        <v>143.09750484232302</v>
      </c>
      <c r="X14" s="37">
        <f t="shared" si="6"/>
        <v>3.6952198795052347</v>
      </c>
      <c r="Y14" s="64">
        <v>142.38</v>
      </c>
      <c r="Z14" s="64">
        <v>143.1</v>
      </c>
      <c r="AA14" s="169">
        <v>582</v>
      </c>
      <c r="AB14" s="169">
        <v>1689299.03</v>
      </c>
      <c r="AC14" s="169">
        <v>52702.64</v>
      </c>
      <c r="AD14" s="169">
        <v>43292.19</v>
      </c>
      <c r="AE14" s="170">
        <f t="shared" si="7"/>
        <v>1698709.48</v>
      </c>
      <c r="AF14" s="13"/>
      <c r="AG14" s="4"/>
      <c r="AH14" s="5"/>
      <c r="AI14" s="6"/>
      <c r="AJ14" s="6"/>
      <c r="AK14" s="6"/>
      <c r="AL14" s="7"/>
      <c r="AM14" s="5"/>
      <c r="AN14" s="6"/>
      <c r="AO14" s="6"/>
      <c r="AP14" s="6"/>
      <c r="AQ14" s="7"/>
      <c r="AR14" s="5"/>
      <c r="AS14" s="6"/>
      <c r="AT14" s="6"/>
      <c r="AU14" s="6"/>
      <c r="AV14" s="7"/>
    </row>
    <row r="15" spans="1:258" ht="16.5" customHeight="1" x14ac:dyDescent="0.3">
      <c r="A15" s="194">
        <v>12</v>
      </c>
      <c r="B15" s="69" t="s">
        <v>44</v>
      </c>
      <c r="C15" s="68" t="s">
        <v>45</v>
      </c>
      <c r="D15" s="63">
        <v>256821572.80000001</v>
      </c>
      <c r="E15" s="87"/>
      <c r="F15" s="64">
        <v>52701826.109999999</v>
      </c>
      <c r="G15" s="64"/>
      <c r="H15" s="64"/>
      <c r="I15" s="64"/>
      <c r="J15" s="65">
        <v>309523398.91000003</v>
      </c>
      <c r="K15" s="65">
        <v>414952.09</v>
      </c>
      <c r="L15" s="65">
        <v>666340.69999999995</v>
      </c>
      <c r="M15" s="172">
        <v>-15278253.4</v>
      </c>
      <c r="N15" s="32">
        <v>313230480.81</v>
      </c>
      <c r="O15" s="32">
        <v>4499129.5599999996</v>
      </c>
      <c r="P15" s="33">
        <v>328949045.16000003</v>
      </c>
      <c r="Q15" s="34">
        <f t="shared" si="0"/>
        <v>2.1008384580513201E-2</v>
      </c>
      <c r="R15" s="33">
        <v>308731351.25</v>
      </c>
      <c r="S15" s="34">
        <f t="shared" si="1"/>
        <v>1.9953762379390359E-2</v>
      </c>
      <c r="T15" s="35">
        <f t="shared" si="2"/>
        <v>-6.1461476199653316E-2</v>
      </c>
      <c r="U15" s="70">
        <f t="shared" si="3"/>
        <v>2.1583188662314384E-3</v>
      </c>
      <c r="V15" s="36">
        <f t="shared" si="4"/>
        <v>-4.948721060605276E-2</v>
      </c>
      <c r="W15" s="37">
        <f t="shared" si="5"/>
        <v>1.2200065535906104</v>
      </c>
      <c r="X15" s="37">
        <f t="shared" si="6"/>
        <v>-6.0374721258303135E-2</v>
      </c>
      <c r="Y15" s="64">
        <v>1.26</v>
      </c>
      <c r="Z15" s="64">
        <v>1.3</v>
      </c>
      <c r="AA15" s="169">
        <v>96</v>
      </c>
      <c r="AB15" s="169">
        <v>250971013</v>
      </c>
      <c r="AC15" s="169">
        <v>2150000</v>
      </c>
      <c r="AD15" s="169">
        <v>63887.74</v>
      </c>
      <c r="AE15" s="170">
        <f t="shared" si="7"/>
        <v>253057125.25999999</v>
      </c>
      <c r="AF15" s="13"/>
      <c r="AG15" s="4"/>
      <c r="AH15" s="5"/>
      <c r="AI15" s="6"/>
      <c r="AJ15" s="6"/>
      <c r="AK15" s="6"/>
      <c r="AL15" s="7"/>
      <c r="AM15" s="5"/>
      <c r="AN15" s="6"/>
      <c r="AO15" s="6"/>
      <c r="AP15" s="6"/>
      <c r="AQ15" s="7"/>
      <c r="AR15" s="5"/>
      <c r="AS15" s="6"/>
      <c r="AT15" s="6"/>
      <c r="AU15" s="6"/>
      <c r="AV15" s="7"/>
    </row>
    <row r="16" spans="1:258" ht="16.5" customHeight="1" x14ac:dyDescent="0.3">
      <c r="A16" s="194">
        <v>13</v>
      </c>
      <c r="B16" s="71" t="s">
        <v>46</v>
      </c>
      <c r="C16" s="71" t="s">
        <v>47</v>
      </c>
      <c r="D16" s="63">
        <v>209904063.05000001</v>
      </c>
      <c r="E16" s="87"/>
      <c r="F16" s="64">
        <v>58234241.869999997</v>
      </c>
      <c r="G16" s="64">
        <v>5858787.46</v>
      </c>
      <c r="H16" s="64"/>
      <c r="I16" s="64"/>
      <c r="J16" s="65">
        <v>273997092.37</v>
      </c>
      <c r="K16" s="65">
        <v>2249435.77</v>
      </c>
      <c r="L16" s="65">
        <v>519197.2</v>
      </c>
      <c r="M16" s="172">
        <v>1730238.57</v>
      </c>
      <c r="N16" s="32">
        <v>279770934.24000001</v>
      </c>
      <c r="O16" s="32">
        <v>2125836.2999999998</v>
      </c>
      <c r="P16" s="33">
        <v>300714287.18000001</v>
      </c>
      <c r="Q16" s="34">
        <f t="shared" si="0"/>
        <v>1.9205167143316996E-2</v>
      </c>
      <c r="R16" s="33">
        <v>277645097.94</v>
      </c>
      <c r="S16" s="34">
        <f t="shared" si="1"/>
        <v>1.794461199896466E-2</v>
      </c>
      <c r="T16" s="35">
        <f t="shared" si="2"/>
        <v>-7.6714643179528655E-2</v>
      </c>
      <c r="U16" s="70">
        <f t="shared" si="3"/>
        <v>1.8700031221592114E-3</v>
      </c>
      <c r="V16" s="36">
        <f t="shared" si="4"/>
        <v>6.231835472110191E-3</v>
      </c>
      <c r="W16" s="37">
        <f t="shared" si="5"/>
        <v>1.4119190802759964</v>
      </c>
      <c r="X16" s="37">
        <f t="shared" si="6"/>
        <v>8.798847408213151E-3</v>
      </c>
      <c r="Y16" s="64">
        <v>1.413</v>
      </c>
      <c r="Z16" s="64">
        <v>1.4238</v>
      </c>
      <c r="AA16" s="169">
        <v>11</v>
      </c>
      <c r="AB16" s="169">
        <v>198299180</v>
      </c>
      <c r="AC16" s="169">
        <v>0</v>
      </c>
      <c r="AD16" s="169">
        <v>1655405</v>
      </c>
      <c r="AE16" s="170">
        <f t="shared" si="7"/>
        <v>196643775</v>
      </c>
      <c r="AF16" s="13"/>
      <c r="AG16" s="4"/>
      <c r="AH16" s="5"/>
      <c r="AI16" s="6"/>
      <c r="AJ16" s="6"/>
      <c r="AK16" s="6"/>
      <c r="AL16" s="7"/>
      <c r="AM16" s="5"/>
      <c r="AN16" s="6"/>
      <c r="AO16" s="6"/>
      <c r="AP16" s="6"/>
      <c r="AQ16" s="7"/>
      <c r="AR16" s="5"/>
      <c r="AS16" s="6"/>
      <c r="AT16" s="6"/>
      <c r="AU16" s="6"/>
      <c r="AV16" s="7"/>
    </row>
    <row r="17" spans="1:258" ht="15.95" customHeight="1" x14ac:dyDescent="0.3">
      <c r="A17" s="194">
        <v>14</v>
      </c>
      <c r="B17" s="89" t="s">
        <v>48</v>
      </c>
      <c r="C17" s="89" t="s">
        <v>49</v>
      </c>
      <c r="D17" s="178">
        <v>3621932.74</v>
      </c>
      <c r="E17" s="178"/>
      <c r="F17" s="31"/>
      <c r="G17" s="178"/>
      <c r="H17" s="178"/>
      <c r="I17" s="178">
        <v>1882545.57</v>
      </c>
      <c r="J17" s="178">
        <v>3621932.74</v>
      </c>
      <c r="K17" s="178">
        <v>0</v>
      </c>
      <c r="L17" s="178">
        <v>0</v>
      </c>
      <c r="M17" s="204">
        <v>0</v>
      </c>
      <c r="N17" s="178">
        <v>5504478.3099999996</v>
      </c>
      <c r="O17" s="178">
        <v>0</v>
      </c>
      <c r="P17" s="33">
        <v>5504478.3099999996</v>
      </c>
      <c r="Q17" s="34">
        <f t="shared" si="0"/>
        <v>3.5154440772225453E-4</v>
      </c>
      <c r="R17" s="41">
        <v>5504478.3099999996</v>
      </c>
      <c r="S17" s="34">
        <f t="shared" si="1"/>
        <v>3.557625481686425E-4</v>
      </c>
      <c r="T17" s="35">
        <f t="shared" si="2"/>
        <v>0</v>
      </c>
      <c r="U17" s="70">
        <f>(L17/R17)</f>
        <v>0</v>
      </c>
      <c r="V17" s="43">
        <f t="shared" si="4"/>
        <v>0</v>
      </c>
      <c r="W17" s="44">
        <f t="shared" ref="W17" si="8">R17/AB17</f>
        <v>1.3927630965032134</v>
      </c>
      <c r="X17" s="44">
        <f t="shared" ref="X17" si="9">M17/AB17</f>
        <v>0</v>
      </c>
      <c r="Y17" s="178">
        <v>1.39</v>
      </c>
      <c r="Z17" s="178">
        <v>1.45</v>
      </c>
      <c r="AA17" s="179">
        <v>2420</v>
      </c>
      <c r="AB17" s="178">
        <v>3952200</v>
      </c>
      <c r="AC17" s="179">
        <v>0</v>
      </c>
      <c r="AD17" s="179">
        <v>0</v>
      </c>
      <c r="AE17" s="180">
        <v>3952200</v>
      </c>
      <c r="AF17" s="13"/>
      <c r="AG17" s="4"/>
      <c r="AH17" s="5"/>
      <c r="AI17" s="6"/>
      <c r="AJ17" s="6"/>
      <c r="AK17" s="6"/>
      <c r="AL17" s="7"/>
      <c r="AM17" s="5"/>
      <c r="AN17" s="6"/>
      <c r="AO17" s="6"/>
      <c r="AP17" s="6"/>
      <c r="AQ17" s="7"/>
      <c r="AR17" s="5"/>
      <c r="AS17" s="6"/>
      <c r="AT17" s="6"/>
      <c r="AU17" s="6"/>
      <c r="AV17" s="7"/>
    </row>
    <row r="18" spans="1:258" ht="16.5" customHeight="1" x14ac:dyDescent="0.3">
      <c r="A18" s="194">
        <v>15</v>
      </c>
      <c r="B18" s="69" t="s">
        <v>50</v>
      </c>
      <c r="C18" s="69" t="s">
        <v>51</v>
      </c>
      <c r="D18" s="63">
        <v>328969793.05000001</v>
      </c>
      <c r="E18" s="87"/>
      <c r="F18" s="64">
        <v>41005131.32</v>
      </c>
      <c r="G18" s="64">
        <v>50588904.100000001</v>
      </c>
      <c r="H18" s="64"/>
      <c r="I18" s="64"/>
      <c r="J18" s="65">
        <v>420563828.47000003</v>
      </c>
      <c r="K18" s="65">
        <v>3677241.47</v>
      </c>
      <c r="L18" s="65">
        <v>3615650.1</v>
      </c>
      <c r="M18" s="172">
        <v>61591.37</v>
      </c>
      <c r="N18" s="32">
        <v>427324113.67000002</v>
      </c>
      <c r="O18" s="32">
        <v>3615650.1</v>
      </c>
      <c r="P18" s="33">
        <v>450905476.32999998</v>
      </c>
      <c r="Q18" s="34">
        <f t="shared" si="0"/>
        <v>2.8797152007517115E-2</v>
      </c>
      <c r="R18" s="33">
        <v>423708463.56999999</v>
      </c>
      <c r="S18" s="34">
        <f t="shared" si="1"/>
        <v>2.7384902653978055E-2</v>
      </c>
      <c r="T18" s="35">
        <f>((R18-P18)/P18)</f>
        <v>-6.0316439226600932E-2</v>
      </c>
      <c r="U18" s="70">
        <f>(L18/R18)</f>
        <v>8.5333440581666972E-3</v>
      </c>
      <c r="V18" s="36">
        <f t="shared" si="4"/>
        <v>1.4536261438125513E-4</v>
      </c>
      <c r="W18" s="37">
        <f t="shared" si="5"/>
        <v>138.26333654993934</v>
      </c>
      <c r="X18" s="37">
        <f t="shared" si="6"/>
        <v>2.0098320073974531E-2</v>
      </c>
      <c r="Y18" s="64">
        <v>137.50399999999999</v>
      </c>
      <c r="Z18" s="64">
        <v>139.09559999999999</v>
      </c>
      <c r="AA18" s="169">
        <v>143</v>
      </c>
      <c r="AB18" s="169">
        <v>3064684.57</v>
      </c>
      <c r="AC18" s="169">
        <v>35.24</v>
      </c>
      <c r="AD18" s="169">
        <v>216.42</v>
      </c>
      <c r="AE18" s="170">
        <f t="shared" si="7"/>
        <v>3064503.39</v>
      </c>
      <c r="AF18" s="13"/>
      <c r="AG18" s="4"/>
      <c r="AH18" s="5"/>
      <c r="AI18" s="6"/>
      <c r="AJ18" s="6"/>
      <c r="AK18" s="6"/>
      <c r="AL18" s="7"/>
      <c r="AM18" s="5"/>
      <c r="AN18" s="6"/>
      <c r="AO18" s="6"/>
      <c r="AP18" s="6"/>
      <c r="AQ18" s="7"/>
      <c r="AR18" s="5"/>
      <c r="AS18" s="6"/>
      <c r="AT18" s="6"/>
      <c r="AU18" s="6"/>
      <c r="AV18" s="7"/>
    </row>
    <row r="19" spans="1:258" ht="16.5" customHeight="1" x14ac:dyDescent="0.3">
      <c r="A19" s="196">
        <v>16</v>
      </c>
      <c r="B19" s="197" t="s">
        <v>171</v>
      </c>
      <c r="C19" s="197" t="s">
        <v>172</v>
      </c>
      <c r="D19" s="63">
        <v>17460313.199999999</v>
      </c>
      <c r="E19" s="87"/>
      <c r="F19" s="64">
        <v>5591136.2000000002</v>
      </c>
      <c r="G19" s="64"/>
      <c r="H19" s="64"/>
      <c r="I19" s="64"/>
      <c r="J19" s="65">
        <v>23051449.399999999</v>
      </c>
      <c r="K19" s="65">
        <v>30047.45</v>
      </c>
      <c r="L19" s="65">
        <v>27008.19</v>
      </c>
      <c r="M19" s="172">
        <v>3039.26</v>
      </c>
      <c r="N19" s="32">
        <v>23982241.789999999</v>
      </c>
      <c r="O19" s="32">
        <v>438834.7</v>
      </c>
      <c r="P19" s="33">
        <v>25667735.960000001</v>
      </c>
      <c r="Q19" s="34">
        <f t="shared" si="0"/>
        <v>1.6392741559607335E-3</v>
      </c>
      <c r="R19" s="33">
        <v>23543407.09</v>
      </c>
      <c r="S19" s="34">
        <f t="shared" si="1"/>
        <v>1.5216451091638664E-3</v>
      </c>
      <c r="T19" s="35">
        <f>((R19-P19)/P19)</f>
        <v>-8.2762611915227172E-2</v>
      </c>
      <c r="U19" s="119">
        <f>(L18/R19)</f>
        <v>0.15357378336017211</v>
      </c>
      <c r="V19" s="120" t="e">
        <v>#DIV/0!</v>
      </c>
      <c r="W19" s="121" t="e">
        <v>#DIV/0!</v>
      </c>
      <c r="X19" s="121" t="e">
        <v>#DIV/0!</v>
      </c>
      <c r="Y19" s="64">
        <v>99.77</v>
      </c>
      <c r="Z19" s="64">
        <v>102.89</v>
      </c>
      <c r="AA19" s="169">
        <v>3</v>
      </c>
      <c r="AB19" s="169">
        <v>253000</v>
      </c>
      <c r="AC19" s="169">
        <v>0</v>
      </c>
      <c r="AD19" s="169">
        <v>0</v>
      </c>
      <c r="AE19" s="170">
        <f t="shared" si="7"/>
        <v>253000</v>
      </c>
      <c r="AF19" s="95"/>
      <c r="AG19" s="95"/>
      <c r="AH19" s="96"/>
      <c r="AI19" s="96"/>
      <c r="AJ19" s="96"/>
      <c r="AK19" s="96"/>
      <c r="AL19" s="97"/>
      <c r="AM19" s="96"/>
      <c r="AN19" s="96"/>
      <c r="AO19" s="96"/>
      <c r="AP19" s="96"/>
      <c r="AQ19" s="97"/>
      <c r="AR19" s="96"/>
      <c r="AS19" s="96"/>
      <c r="AT19" s="96"/>
      <c r="AU19" s="96"/>
      <c r="AV19" s="97"/>
      <c r="AW19" s="98"/>
      <c r="AX19" s="98"/>
      <c r="AY19" s="98"/>
      <c r="AZ19" s="98"/>
      <c r="BA19" s="98"/>
      <c r="BB19" s="98"/>
      <c r="BC19" s="98"/>
      <c r="BD19" s="98"/>
      <c r="BE19" s="98"/>
      <c r="BF19" s="98"/>
      <c r="BG19" s="98"/>
      <c r="BH19" s="98"/>
      <c r="BI19" s="98"/>
      <c r="BJ19" s="98"/>
      <c r="BK19" s="98"/>
      <c r="BL19" s="98"/>
      <c r="BM19" s="98"/>
      <c r="BN19" s="98"/>
      <c r="BO19" s="98"/>
      <c r="BP19" s="98"/>
      <c r="BQ19" s="98"/>
      <c r="BR19" s="98"/>
      <c r="BS19" s="98"/>
      <c r="BT19" s="98"/>
      <c r="BU19" s="98"/>
      <c r="BV19" s="98"/>
      <c r="BW19" s="98"/>
      <c r="BX19" s="98"/>
      <c r="BY19" s="98"/>
      <c r="BZ19" s="98"/>
      <c r="CA19" s="98"/>
      <c r="CB19" s="98"/>
      <c r="CC19" s="98"/>
      <c r="CD19" s="98"/>
      <c r="CE19" s="98"/>
      <c r="CF19" s="98"/>
      <c r="CG19" s="98"/>
      <c r="CH19" s="98"/>
      <c r="CI19" s="98"/>
      <c r="CJ19" s="98"/>
      <c r="CK19" s="98"/>
      <c r="CL19" s="98"/>
      <c r="CM19" s="98"/>
      <c r="CN19" s="98"/>
      <c r="CO19" s="98"/>
      <c r="CP19" s="98"/>
      <c r="CQ19" s="98"/>
      <c r="CR19" s="98"/>
      <c r="CS19" s="98"/>
      <c r="CT19" s="98"/>
      <c r="CU19" s="98"/>
      <c r="CV19" s="98"/>
      <c r="CW19" s="98"/>
      <c r="CX19" s="98"/>
      <c r="CY19" s="98"/>
      <c r="CZ19" s="98"/>
      <c r="DA19" s="98"/>
      <c r="DB19" s="98"/>
      <c r="DC19" s="98"/>
      <c r="DD19" s="98"/>
      <c r="DE19" s="98"/>
      <c r="DF19" s="98"/>
      <c r="DG19" s="98"/>
      <c r="DH19" s="98"/>
      <c r="DI19" s="98"/>
      <c r="DJ19" s="98"/>
      <c r="DK19" s="98"/>
      <c r="DL19" s="98"/>
      <c r="DM19" s="98"/>
      <c r="DN19" s="98"/>
      <c r="DO19" s="98"/>
      <c r="DP19" s="98"/>
      <c r="DQ19" s="98"/>
      <c r="DR19" s="98"/>
      <c r="DS19" s="98"/>
      <c r="DT19" s="98"/>
      <c r="DU19" s="98"/>
      <c r="DV19" s="98"/>
      <c r="DW19" s="98"/>
      <c r="DX19" s="98"/>
      <c r="DY19" s="98"/>
      <c r="DZ19" s="98"/>
      <c r="EA19" s="98"/>
      <c r="EB19" s="98"/>
      <c r="EC19" s="98"/>
      <c r="ED19" s="98"/>
      <c r="EE19" s="98"/>
      <c r="EF19" s="98"/>
      <c r="EG19" s="98"/>
      <c r="EH19" s="98"/>
      <c r="EI19" s="98"/>
      <c r="EJ19" s="98"/>
      <c r="EK19" s="98"/>
      <c r="EL19" s="98"/>
      <c r="EM19" s="98"/>
      <c r="EN19" s="98"/>
      <c r="EO19" s="98"/>
      <c r="EP19" s="98"/>
      <c r="EQ19" s="98"/>
      <c r="ER19" s="98"/>
      <c r="ES19" s="98"/>
      <c r="ET19" s="98"/>
      <c r="EU19" s="98"/>
      <c r="EV19" s="98"/>
      <c r="EW19" s="98"/>
      <c r="EX19" s="98"/>
      <c r="EY19" s="98"/>
      <c r="EZ19" s="98"/>
      <c r="FA19" s="98"/>
      <c r="FB19" s="98"/>
      <c r="FC19" s="98"/>
      <c r="FD19" s="98"/>
      <c r="FE19" s="98"/>
      <c r="FF19" s="98"/>
      <c r="FG19" s="98"/>
      <c r="FH19" s="98"/>
      <c r="FI19" s="98"/>
      <c r="FJ19" s="98"/>
      <c r="FK19" s="98"/>
      <c r="FL19" s="98"/>
      <c r="FM19" s="98"/>
      <c r="FN19" s="98"/>
      <c r="FO19" s="98"/>
      <c r="FP19" s="98"/>
      <c r="FQ19" s="98"/>
      <c r="FR19" s="98"/>
      <c r="FS19" s="98"/>
      <c r="FT19" s="98"/>
      <c r="FU19" s="98"/>
      <c r="FV19" s="98"/>
      <c r="FW19" s="98"/>
      <c r="FX19" s="98"/>
      <c r="FY19" s="98"/>
      <c r="FZ19" s="98"/>
      <c r="GA19" s="98"/>
      <c r="GB19" s="98"/>
      <c r="GC19" s="98"/>
      <c r="GD19" s="98"/>
      <c r="GE19" s="98"/>
      <c r="GF19" s="98"/>
      <c r="GG19" s="98"/>
      <c r="GH19" s="98"/>
      <c r="GI19" s="98"/>
      <c r="GJ19" s="98"/>
      <c r="GK19" s="98"/>
      <c r="GL19" s="98"/>
      <c r="GM19" s="98"/>
      <c r="GN19" s="98"/>
      <c r="GO19" s="98"/>
      <c r="GP19" s="98"/>
      <c r="GQ19" s="98"/>
      <c r="GR19" s="98"/>
      <c r="GS19" s="98"/>
      <c r="GT19" s="98"/>
      <c r="GU19" s="98"/>
      <c r="GV19" s="98"/>
      <c r="GW19" s="98"/>
      <c r="GX19" s="98"/>
      <c r="GY19" s="98"/>
      <c r="GZ19" s="98"/>
      <c r="HA19" s="98"/>
      <c r="HB19" s="98"/>
      <c r="HC19" s="98"/>
      <c r="HD19" s="98"/>
      <c r="HE19" s="98"/>
      <c r="HF19" s="98"/>
      <c r="HG19" s="98"/>
      <c r="HH19" s="98"/>
      <c r="HI19" s="98"/>
      <c r="HJ19" s="98"/>
      <c r="HK19" s="98"/>
      <c r="HL19" s="98"/>
      <c r="HM19" s="98"/>
      <c r="HN19" s="98"/>
      <c r="HO19" s="98"/>
      <c r="HP19" s="98"/>
      <c r="HQ19" s="98"/>
      <c r="HR19" s="98"/>
      <c r="HS19" s="98"/>
      <c r="HT19" s="98"/>
      <c r="HU19" s="98"/>
      <c r="HV19" s="98"/>
      <c r="HW19" s="98"/>
      <c r="HX19" s="98"/>
      <c r="HY19" s="98"/>
      <c r="HZ19" s="98"/>
      <c r="IA19" s="98"/>
      <c r="IB19" s="98"/>
      <c r="IC19" s="98"/>
      <c r="ID19" s="98"/>
      <c r="IE19" s="98"/>
      <c r="IF19" s="98"/>
      <c r="IG19" s="98"/>
      <c r="IH19" s="98"/>
      <c r="II19" s="98"/>
      <c r="IJ19" s="98"/>
      <c r="IK19" s="98"/>
      <c r="IL19" s="98"/>
      <c r="IM19" s="98"/>
      <c r="IN19" s="98"/>
      <c r="IO19" s="98"/>
      <c r="IP19" s="98"/>
      <c r="IQ19" s="98"/>
      <c r="IR19" s="98"/>
      <c r="IS19" s="98"/>
      <c r="IT19" s="98"/>
      <c r="IU19" s="98"/>
      <c r="IV19" s="98"/>
      <c r="IW19" s="98"/>
      <c r="IX19" s="98"/>
    </row>
    <row r="20" spans="1:258" ht="16.5" customHeight="1" x14ac:dyDescent="0.3">
      <c r="A20" s="129"/>
      <c r="B20" s="45"/>
      <c r="C20" s="46" t="s">
        <v>52</v>
      </c>
      <c r="D20" s="47">
        <f>SUM(D4:D19)</f>
        <v>11875752413.67</v>
      </c>
      <c r="E20" s="47"/>
      <c r="F20" s="47">
        <f t="shared" ref="F20:H20" si="10">SUM(F4:F19)</f>
        <v>2469540293.6100001</v>
      </c>
      <c r="G20" s="47">
        <f t="shared" si="10"/>
        <v>324765283.49000001</v>
      </c>
      <c r="H20" s="47">
        <f t="shared" si="10"/>
        <v>0</v>
      </c>
      <c r="I20" s="47"/>
      <c r="J20" s="47">
        <f t="shared" ref="J20" si="11">SUM(J4:J19)</f>
        <v>14817155419.99</v>
      </c>
      <c r="K20" s="47">
        <f t="shared" ref="K20" si="12">SUM(K4:K19)</f>
        <v>114209306.62</v>
      </c>
      <c r="L20" s="47">
        <f t="shared" ref="L20" si="13">SUM(L4:L19)</f>
        <v>43439746.050000004</v>
      </c>
      <c r="M20" s="47">
        <f t="shared" ref="M20" si="14">SUM(M4:M19)</f>
        <v>62752672.100000009</v>
      </c>
      <c r="N20" s="47">
        <f t="shared" ref="N20:O20" si="15">SUM(N4:N19)</f>
        <v>16162497488.32</v>
      </c>
      <c r="O20" s="47">
        <f t="shared" si="15"/>
        <v>187221070.22999999</v>
      </c>
      <c r="P20" s="182">
        <f>SUM(P4:P19)</f>
        <v>15657988547.349998</v>
      </c>
      <c r="Q20" s="102">
        <f>(P20/$P$150)</f>
        <v>1.1302711309210513E-2</v>
      </c>
      <c r="R20" s="182">
        <f>SUM(R4:R19)</f>
        <v>15472337766.679998</v>
      </c>
      <c r="S20" s="102">
        <f>(R20/$R$150)</f>
        <v>1.095206341272713E-2</v>
      </c>
      <c r="T20" s="49">
        <f>((R20-P20)/P20)</f>
        <v>-1.1856617477308101E-2</v>
      </c>
      <c r="U20" s="62"/>
      <c r="V20" s="50"/>
      <c r="W20" s="51"/>
      <c r="X20" s="51"/>
      <c r="Y20" s="47"/>
      <c r="Z20" s="47"/>
      <c r="AA20" s="52">
        <f>SUM(AA4:AA19)</f>
        <v>53783</v>
      </c>
      <c r="AB20" s="52"/>
      <c r="AC20" s="52"/>
      <c r="AD20" s="52"/>
      <c r="AE20" s="130"/>
      <c r="AF20" s="13"/>
      <c r="AG20" s="4"/>
      <c r="AH20" s="5"/>
      <c r="AI20" s="6"/>
      <c r="AJ20" s="6"/>
      <c r="AK20" s="6"/>
      <c r="AL20" s="7"/>
      <c r="AM20" s="5"/>
      <c r="AN20" s="6"/>
      <c r="AO20" s="6"/>
      <c r="AP20" s="6"/>
      <c r="AQ20" s="7"/>
      <c r="AR20" s="5"/>
      <c r="AS20" s="6"/>
      <c r="AT20" s="6"/>
      <c r="AU20" s="6"/>
      <c r="AV20" s="7"/>
    </row>
    <row r="21" spans="1:258" ht="15.75" customHeight="1" x14ac:dyDescent="0.3">
      <c r="A21" s="225" t="s">
        <v>53</v>
      </c>
      <c r="B21" s="223"/>
      <c r="C21" s="223"/>
      <c r="D21" s="53"/>
      <c r="E21" s="53"/>
      <c r="F21" s="53"/>
      <c r="G21" s="53"/>
      <c r="H21" s="53"/>
      <c r="I21" s="53"/>
      <c r="J21" s="53"/>
      <c r="K21" s="53"/>
      <c r="L21" s="53"/>
      <c r="M21" s="187"/>
      <c r="N21" s="53"/>
      <c r="O21" s="53"/>
      <c r="P21" s="53"/>
      <c r="Q21" s="53"/>
      <c r="R21" s="53"/>
      <c r="S21" s="53"/>
      <c r="T21" s="35"/>
      <c r="U21" s="35"/>
      <c r="V21" s="53"/>
      <c r="W21" s="53"/>
      <c r="X21" s="53"/>
      <c r="Y21" s="53"/>
      <c r="Z21" s="53"/>
      <c r="AA21" s="53"/>
      <c r="AB21" s="53"/>
      <c r="AC21" s="53"/>
      <c r="AD21" s="53"/>
      <c r="AE21" s="131"/>
      <c r="AF21" s="13"/>
      <c r="AG21" s="4"/>
      <c r="AH21" s="5"/>
      <c r="AI21" s="6"/>
      <c r="AJ21" s="6"/>
      <c r="AK21" s="6"/>
      <c r="AL21" s="7"/>
      <c r="AM21" s="5"/>
      <c r="AN21" s="6"/>
      <c r="AO21" s="6"/>
      <c r="AP21" s="6"/>
      <c r="AQ21" s="7"/>
      <c r="AR21" s="5"/>
      <c r="AS21" s="6"/>
      <c r="AT21" s="6"/>
      <c r="AU21" s="6"/>
      <c r="AV21" s="7"/>
    </row>
    <row r="22" spans="1:258" ht="18" customHeight="1" x14ac:dyDescent="0.3">
      <c r="A22" s="194">
        <v>17</v>
      </c>
      <c r="B22" s="69" t="s">
        <v>23</v>
      </c>
      <c r="C22" s="69" t="s">
        <v>54</v>
      </c>
      <c r="D22" s="64"/>
      <c r="E22" s="64"/>
      <c r="F22" s="64">
        <v>231276919437.04001</v>
      </c>
      <c r="G22" s="64"/>
      <c r="H22" s="64"/>
      <c r="I22" s="64"/>
      <c r="J22" s="64">
        <v>231276919437.04001</v>
      </c>
      <c r="K22" s="64">
        <v>1299666316.9400001</v>
      </c>
      <c r="L22" s="64">
        <v>409794040.74000001</v>
      </c>
      <c r="M22" s="172">
        <v>889872276.20000005</v>
      </c>
      <c r="N22" s="31">
        <v>243395030047.16</v>
      </c>
      <c r="O22" s="31">
        <v>1207334478.0699999</v>
      </c>
      <c r="P22" s="41">
        <v>233437183006.12</v>
      </c>
      <c r="Q22" s="34">
        <f t="shared" ref="Q22:Q50" si="16">(P22/$P$51)</f>
        <v>0.39262821236735324</v>
      </c>
      <c r="R22" s="41">
        <v>242187695569.09</v>
      </c>
      <c r="S22" s="34">
        <f t="shared" ref="S22:S50" si="17">(R22/$R$51)</f>
        <v>0.39085902968163849</v>
      </c>
      <c r="T22" s="35">
        <f t="shared" ref="T22:T51" si="18">((R22-P22)/P22)</f>
        <v>3.748551302017978E-2</v>
      </c>
      <c r="U22" s="70">
        <f t="shared" ref="U22:U50" si="19">(L22/R22)</f>
        <v>1.6920514470277709E-3</v>
      </c>
      <c r="V22" s="36">
        <f t="shared" ref="V22:V50" si="20">M22/R22</f>
        <v>3.6743083669423748E-3</v>
      </c>
      <c r="W22" s="37">
        <f t="shared" ref="W22:W50" si="21">R22/AE22</f>
        <v>100.00000000003716</v>
      </c>
      <c r="X22" s="37">
        <f t="shared" ref="X22:X50" si="22">M22/AE22</f>
        <v>0.36743083669437399</v>
      </c>
      <c r="Y22" s="31">
        <v>100</v>
      </c>
      <c r="Z22" s="31">
        <v>100</v>
      </c>
      <c r="AA22" s="169">
        <v>492590</v>
      </c>
      <c r="AB22" s="169">
        <v>2334371830.0599999</v>
      </c>
      <c r="AC22" s="169">
        <v>281751368.14999998</v>
      </c>
      <c r="AD22" s="169">
        <v>194246242.52000001</v>
      </c>
      <c r="AE22" s="170">
        <f t="shared" ref="AE22:AE41" si="23">(AB22+AC22)-AD22</f>
        <v>2421876955.6900001</v>
      </c>
      <c r="AF22" s="13"/>
      <c r="AG22" s="4"/>
      <c r="AH22" s="5"/>
      <c r="AI22" s="6"/>
      <c r="AJ22" s="6"/>
      <c r="AK22" s="6"/>
      <c r="AL22" s="7"/>
      <c r="AM22" s="5"/>
      <c r="AN22" s="6"/>
      <c r="AO22" s="6"/>
      <c r="AP22" s="6"/>
      <c r="AQ22" s="7"/>
      <c r="AR22" s="5"/>
      <c r="AS22" s="6"/>
      <c r="AT22" s="6"/>
      <c r="AU22" s="6"/>
      <c r="AV22" s="7"/>
    </row>
    <row r="23" spans="1:258" ht="18" customHeight="1" x14ac:dyDescent="0.3">
      <c r="A23" s="194">
        <v>18</v>
      </c>
      <c r="B23" s="69" t="s">
        <v>55</v>
      </c>
      <c r="C23" s="69" t="s">
        <v>56</v>
      </c>
      <c r="D23" s="64"/>
      <c r="E23" s="64"/>
      <c r="F23" s="64">
        <v>178411623912.62</v>
      </c>
      <c r="G23" s="64"/>
      <c r="H23" s="64"/>
      <c r="I23" s="64"/>
      <c r="J23" s="64">
        <v>174720462887.45999</v>
      </c>
      <c r="K23" s="64">
        <v>1314674584.6700001</v>
      </c>
      <c r="L23" s="64">
        <v>244824141.97999999</v>
      </c>
      <c r="M23" s="172">
        <v>1069850442.6799999</v>
      </c>
      <c r="N23" s="31">
        <v>178598191480.32001</v>
      </c>
      <c r="O23" s="31">
        <v>3877728592.8600001</v>
      </c>
      <c r="P23" s="41">
        <v>171618157793.17001</v>
      </c>
      <c r="Q23" s="34">
        <f t="shared" si="16"/>
        <v>0.28865208891054922</v>
      </c>
      <c r="R23" s="41">
        <v>174720462887.45999</v>
      </c>
      <c r="S23" s="34">
        <f t="shared" si="17"/>
        <v>0.28197580570412439</v>
      </c>
      <c r="T23" s="35">
        <f t="shared" si="18"/>
        <v>1.8076788226737639E-2</v>
      </c>
      <c r="U23" s="70">
        <f t="shared" si="19"/>
        <v>1.4012333640490342E-3</v>
      </c>
      <c r="V23" s="36">
        <f t="shared" si="20"/>
        <v>6.1232120439670898E-3</v>
      </c>
      <c r="W23" s="37">
        <f t="shared" si="21"/>
        <v>100.02903495777421</v>
      </c>
      <c r="X23" s="37">
        <f t="shared" si="22"/>
        <v>0.61249899159984811</v>
      </c>
      <c r="Y23" s="31">
        <v>100</v>
      </c>
      <c r="Z23" s="31">
        <v>100</v>
      </c>
      <c r="AA23" s="169">
        <v>23231</v>
      </c>
      <c r="AB23" s="169">
        <v>1715781560</v>
      </c>
      <c r="AC23" s="169">
        <v>176102608</v>
      </c>
      <c r="AD23" s="169">
        <v>145186692</v>
      </c>
      <c r="AE23" s="170">
        <f t="shared" si="23"/>
        <v>1746697476</v>
      </c>
      <c r="AF23" s="13"/>
      <c r="AG23" s="4"/>
      <c r="AH23" s="5"/>
      <c r="AI23" s="6"/>
      <c r="AJ23" s="6"/>
      <c r="AK23" s="6"/>
      <c r="AL23" s="7"/>
      <c r="AM23" s="5"/>
      <c r="AN23" s="6"/>
      <c r="AO23" s="6"/>
      <c r="AP23" s="6"/>
      <c r="AQ23" s="7"/>
      <c r="AR23" s="5"/>
      <c r="AS23" s="6"/>
      <c r="AT23" s="6"/>
      <c r="AU23" s="6"/>
      <c r="AV23" s="7"/>
    </row>
    <row r="24" spans="1:258" ht="18" customHeight="1" x14ac:dyDescent="0.3">
      <c r="A24" s="194">
        <v>19</v>
      </c>
      <c r="B24" s="69" t="s">
        <v>33</v>
      </c>
      <c r="C24" s="69" t="s">
        <v>57</v>
      </c>
      <c r="D24" s="64"/>
      <c r="E24" s="64"/>
      <c r="F24" s="64">
        <v>9086763167</v>
      </c>
      <c r="G24" s="64"/>
      <c r="H24" s="64"/>
      <c r="I24" s="64"/>
      <c r="J24" s="64">
        <v>9086763167</v>
      </c>
      <c r="K24" s="64">
        <v>144145849</v>
      </c>
      <c r="L24" s="64">
        <v>26655815</v>
      </c>
      <c r="M24" s="172">
        <v>117490034</v>
      </c>
      <c r="N24" s="31">
        <v>21722421958.09</v>
      </c>
      <c r="O24" s="31">
        <v>441990164.87</v>
      </c>
      <c r="P24" s="41">
        <v>21691694425</v>
      </c>
      <c r="Q24" s="34">
        <f t="shared" si="16"/>
        <v>3.6484209994443552E-2</v>
      </c>
      <c r="R24" s="41">
        <v>21280431793</v>
      </c>
      <c r="S24" s="34">
        <f t="shared" si="17"/>
        <v>3.434381297643363E-2</v>
      </c>
      <c r="T24" s="35">
        <f t="shared" si="18"/>
        <v>-1.8959451665795813E-2</v>
      </c>
      <c r="U24" s="70">
        <f t="shared" si="19"/>
        <v>1.2525974688524968E-3</v>
      </c>
      <c r="V24" s="36">
        <f t="shared" si="20"/>
        <v>5.5210361868055354E-3</v>
      </c>
      <c r="W24" s="37">
        <f t="shared" si="21"/>
        <v>1.0283062567851853</v>
      </c>
      <c r="X24" s="37">
        <f t="shared" si="22"/>
        <v>5.6773160548295532E-3</v>
      </c>
      <c r="Y24" s="31">
        <v>1</v>
      </c>
      <c r="Z24" s="31">
        <v>1</v>
      </c>
      <c r="AA24" s="169">
        <v>3676</v>
      </c>
      <c r="AB24" s="169">
        <v>21172225171</v>
      </c>
      <c r="AC24" s="169">
        <v>1741738700</v>
      </c>
      <c r="AD24" s="169">
        <v>2219319982</v>
      </c>
      <c r="AE24" s="170">
        <f t="shared" si="23"/>
        <v>20694643889</v>
      </c>
      <c r="AF24" s="13"/>
      <c r="AG24" s="4"/>
      <c r="AH24" s="5"/>
      <c r="AI24" s="6"/>
      <c r="AJ24" s="6"/>
      <c r="AK24" s="6"/>
      <c r="AL24" s="7"/>
      <c r="AM24" s="5"/>
      <c r="AN24" s="6"/>
      <c r="AO24" s="6"/>
      <c r="AP24" s="6"/>
      <c r="AQ24" s="7"/>
      <c r="AR24" s="5"/>
      <c r="AS24" s="6"/>
      <c r="AT24" s="6"/>
      <c r="AU24" s="6"/>
      <c r="AV24" s="7"/>
    </row>
    <row r="25" spans="1:258" ht="18" customHeight="1" x14ac:dyDescent="0.3">
      <c r="A25" s="194">
        <v>20</v>
      </c>
      <c r="B25" s="69" t="s">
        <v>58</v>
      </c>
      <c r="C25" s="69" t="s">
        <v>59</v>
      </c>
      <c r="D25" s="64"/>
      <c r="E25" s="64"/>
      <c r="F25" s="64">
        <v>976833016.75999999</v>
      </c>
      <c r="G25" s="64"/>
      <c r="H25" s="64"/>
      <c r="I25" s="64"/>
      <c r="J25" s="64">
        <v>986808035.63</v>
      </c>
      <c r="K25" s="64">
        <v>8062127.5099999998</v>
      </c>
      <c r="L25" s="64">
        <v>1870203.83</v>
      </c>
      <c r="M25" s="172">
        <v>6191923.6799999997</v>
      </c>
      <c r="N25" s="31">
        <v>986808035.63</v>
      </c>
      <c r="O25" s="31">
        <v>27090912.940000001</v>
      </c>
      <c r="P25" s="41">
        <v>920216839.53999996</v>
      </c>
      <c r="Q25" s="34">
        <f t="shared" si="16"/>
        <v>1.5477529673987433E-3</v>
      </c>
      <c r="R25" s="41">
        <v>959717122.69000006</v>
      </c>
      <c r="S25" s="34">
        <f t="shared" si="17"/>
        <v>1.5488569824409471E-3</v>
      </c>
      <c r="T25" s="35">
        <f t="shared" si="18"/>
        <v>4.2924973172350972E-2</v>
      </c>
      <c r="U25" s="70">
        <f t="shared" si="19"/>
        <v>1.9487032019997604E-3</v>
      </c>
      <c r="V25" s="36">
        <f t="shared" si="20"/>
        <v>6.4518216186917653E-3</v>
      </c>
      <c r="W25" s="37">
        <f t="shared" si="21"/>
        <v>102.52333200802454</v>
      </c>
      <c r="X25" s="37">
        <f t="shared" si="22"/>
        <v>0.66146224986968616</v>
      </c>
      <c r="Y25" s="31">
        <v>100</v>
      </c>
      <c r="Z25" s="31">
        <v>100</v>
      </c>
      <c r="AA25" s="169">
        <v>771</v>
      </c>
      <c r="AB25" s="169">
        <v>8913625.4700000007</v>
      </c>
      <c r="AC25" s="169">
        <v>690893.5</v>
      </c>
      <c r="AD25" s="169">
        <v>243555.92</v>
      </c>
      <c r="AE25" s="170">
        <f t="shared" si="23"/>
        <v>9360963.0500000007</v>
      </c>
      <c r="AF25" s="13"/>
      <c r="AG25" s="4"/>
      <c r="AH25" s="5"/>
      <c r="AI25" s="6"/>
      <c r="AJ25" s="6"/>
      <c r="AK25" s="6"/>
      <c r="AL25" s="7"/>
      <c r="AM25" s="5"/>
      <c r="AN25" s="6"/>
      <c r="AO25" s="6"/>
      <c r="AP25" s="6"/>
      <c r="AQ25" s="7"/>
      <c r="AR25" s="5"/>
      <c r="AS25" s="6"/>
      <c r="AT25" s="6"/>
      <c r="AU25" s="6"/>
      <c r="AV25" s="7"/>
    </row>
    <row r="26" spans="1:258" ht="18" customHeight="1" x14ac:dyDescent="0.3">
      <c r="A26" s="194">
        <v>21</v>
      </c>
      <c r="B26" s="68" t="s">
        <v>35</v>
      </c>
      <c r="C26" s="69" t="s">
        <v>60</v>
      </c>
      <c r="D26" s="64"/>
      <c r="E26" s="64"/>
      <c r="F26" s="64">
        <v>23087691568.509998</v>
      </c>
      <c r="G26" s="64"/>
      <c r="H26" s="64"/>
      <c r="I26" s="158"/>
      <c r="J26" s="64">
        <v>23087691568.509998</v>
      </c>
      <c r="K26" s="64">
        <v>537477273.40999997</v>
      </c>
      <c r="L26" s="64">
        <v>129692007.29000001</v>
      </c>
      <c r="M26" s="172">
        <v>407785266.12</v>
      </c>
      <c r="N26" s="31">
        <v>70311910174</v>
      </c>
      <c r="O26" s="31">
        <v>38211058</v>
      </c>
      <c r="P26" s="41">
        <v>68535379121</v>
      </c>
      <c r="Q26" s="34">
        <f t="shared" si="16"/>
        <v>0.11527265297530423</v>
      </c>
      <c r="R26" s="41">
        <v>70273699115</v>
      </c>
      <c r="S26" s="34">
        <f t="shared" si="17"/>
        <v>0.11341249101729303</v>
      </c>
      <c r="T26" s="35">
        <f t="shared" si="18"/>
        <v>2.5363834216645627E-2</v>
      </c>
      <c r="U26" s="70">
        <f t="shared" si="19"/>
        <v>1.8455269741495235E-3</v>
      </c>
      <c r="V26" s="36">
        <f t="shared" si="20"/>
        <v>5.8028148689408861E-3</v>
      </c>
      <c r="W26" s="37">
        <f t="shared" si="21"/>
        <v>0.99999674735698563</v>
      </c>
      <c r="X26" s="37">
        <f t="shared" si="22"/>
        <v>5.8027959944556388E-3</v>
      </c>
      <c r="Y26" s="31">
        <v>1</v>
      </c>
      <c r="Z26" s="31">
        <v>1</v>
      </c>
      <c r="AA26" s="169">
        <v>79785</v>
      </c>
      <c r="AB26" s="169">
        <v>68535379121</v>
      </c>
      <c r="AC26" s="169">
        <v>7314361767</v>
      </c>
      <c r="AD26" s="169">
        <v>5575813197</v>
      </c>
      <c r="AE26" s="170">
        <f t="shared" si="23"/>
        <v>70273927691</v>
      </c>
      <c r="AF26" s="13"/>
      <c r="AG26" s="4"/>
      <c r="AH26" s="5"/>
      <c r="AI26" s="6"/>
      <c r="AJ26" s="6"/>
      <c r="AK26" s="6"/>
      <c r="AL26" s="7"/>
      <c r="AM26" s="5"/>
      <c r="AN26" s="6"/>
      <c r="AO26" s="6"/>
      <c r="AP26" s="6"/>
      <c r="AQ26" s="7"/>
      <c r="AR26" s="5"/>
      <c r="AS26" s="6"/>
      <c r="AT26" s="6"/>
      <c r="AU26" s="6"/>
      <c r="AV26" s="7"/>
    </row>
    <row r="27" spans="1:258" ht="18" customHeight="1" x14ac:dyDescent="0.3">
      <c r="A27" s="194">
        <v>22</v>
      </c>
      <c r="B27" s="69" t="s">
        <v>39</v>
      </c>
      <c r="C27" s="220" t="s">
        <v>61</v>
      </c>
      <c r="D27" s="64"/>
      <c r="E27" s="64"/>
      <c r="F27" s="219">
        <v>1581556959.1199999</v>
      </c>
      <c r="G27" s="64"/>
      <c r="H27" s="64"/>
      <c r="I27" s="64">
        <v>409748294</v>
      </c>
      <c r="J27" s="64">
        <v>1991305253.1199999</v>
      </c>
      <c r="K27" s="64">
        <v>14641599.83</v>
      </c>
      <c r="L27" s="64">
        <v>3225734.99</v>
      </c>
      <c r="M27" s="172">
        <v>11415864.84</v>
      </c>
      <c r="N27" s="31">
        <v>2031391091.8599999</v>
      </c>
      <c r="O27" s="31">
        <v>9924328.6400000006</v>
      </c>
      <c r="P27" s="41">
        <v>2038616902.49</v>
      </c>
      <c r="Q27" s="34">
        <f t="shared" si="16"/>
        <v>3.4288389699490807E-3</v>
      </c>
      <c r="R27" s="41">
        <v>2021466763.22</v>
      </c>
      <c r="S27" s="34">
        <f t="shared" si="17"/>
        <v>3.2623810047379301E-3</v>
      </c>
      <c r="T27" s="35">
        <f t="shared" si="18"/>
        <v>-8.4126346882793523E-3</v>
      </c>
      <c r="U27" s="70">
        <f t="shared" si="19"/>
        <v>1.5957398106618969E-3</v>
      </c>
      <c r="V27" s="36">
        <f t="shared" si="20"/>
        <v>5.6473176050718917E-3</v>
      </c>
      <c r="W27" s="37">
        <f t="shared" si="21"/>
        <v>10.000000000098938</v>
      </c>
      <c r="X27" s="37">
        <f t="shared" si="22"/>
        <v>5.6473176051277656E-2</v>
      </c>
      <c r="Y27" s="31">
        <v>10</v>
      </c>
      <c r="Z27" s="31">
        <v>10</v>
      </c>
      <c r="AA27" s="169">
        <v>1381</v>
      </c>
      <c r="AB27" s="169">
        <v>203528851.38999999</v>
      </c>
      <c r="AC27" s="169">
        <v>19102210.510000002</v>
      </c>
      <c r="AD27" s="169">
        <v>20484385.579999998</v>
      </c>
      <c r="AE27" s="170">
        <f t="shared" si="23"/>
        <v>202146676.31999999</v>
      </c>
      <c r="AF27" s="3"/>
      <c r="AG27" s="9"/>
      <c r="AH27" s="5"/>
      <c r="AI27" s="6"/>
      <c r="AJ27" s="6"/>
      <c r="AK27" s="6"/>
      <c r="AL27" s="7"/>
      <c r="AM27" s="5"/>
      <c r="AN27" s="6"/>
      <c r="AO27" s="6"/>
      <c r="AP27" s="6"/>
      <c r="AQ27" s="7"/>
      <c r="AR27" s="5"/>
      <c r="AS27" s="6"/>
      <c r="AT27" s="6"/>
      <c r="AU27" s="6"/>
      <c r="AV27" s="7"/>
    </row>
    <row r="28" spans="1:258" ht="18" customHeight="1" x14ac:dyDescent="0.3">
      <c r="A28" s="194">
        <v>23</v>
      </c>
      <c r="B28" s="69" t="s">
        <v>201</v>
      </c>
      <c r="C28" s="69" t="s">
        <v>62</v>
      </c>
      <c r="D28" s="64"/>
      <c r="E28" s="64"/>
      <c r="F28" s="64">
        <v>11079072322.92</v>
      </c>
      <c r="G28" s="64"/>
      <c r="H28" s="64"/>
      <c r="I28" s="64"/>
      <c r="J28" s="64">
        <v>11079072322.92</v>
      </c>
      <c r="K28" s="64">
        <v>239477337.16999999</v>
      </c>
      <c r="L28" s="64">
        <v>40499633.609999999</v>
      </c>
      <c r="M28" s="172">
        <v>198977703.56</v>
      </c>
      <c r="N28" s="31">
        <v>32550200976.16</v>
      </c>
      <c r="O28" s="31">
        <v>210480867.91</v>
      </c>
      <c r="P28" s="41">
        <v>30561292723.709999</v>
      </c>
      <c r="Q28" s="34">
        <f t="shared" si="16"/>
        <v>5.1402375470882347E-2</v>
      </c>
      <c r="R28" s="41">
        <v>32339720108.25</v>
      </c>
      <c r="S28" s="34">
        <f t="shared" si="17"/>
        <v>5.2192047130984076E-2</v>
      </c>
      <c r="T28" s="35">
        <f t="shared" si="18"/>
        <v>5.8192151772436806E-2</v>
      </c>
      <c r="U28" s="70">
        <f>(L28/R28)</f>
        <v>1.2523186185420439E-3</v>
      </c>
      <c r="V28" s="36">
        <f t="shared" si="20"/>
        <v>6.1527342504501129E-3</v>
      </c>
      <c r="W28" s="37">
        <f t="shared" si="21"/>
        <v>1.017375608939606</v>
      </c>
      <c r="X28" s="37">
        <f t="shared" si="22"/>
        <v>6.259641754695254E-3</v>
      </c>
      <c r="Y28" s="31">
        <v>1</v>
      </c>
      <c r="Z28" s="31">
        <v>1</v>
      </c>
      <c r="AA28" s="38">
        <v>20082</v>
      </c>
      <c r="AB28" s="31">
        <v>30197640226.740002</v>
      </c>
      <c r="AC28" s="31">
        <v>8594734031.5400009</v>
      </c>
      <c r="AD28" s="31">
        <v>7004979490.7200003</v>
      </c>
      <c r="AE28" s="170">
        <f t="shared" si="23"/>
        <v>31787394767.559998</v>
      </c>
      <c r="AF28" s="10"/>
      <c r="AG28" s="11"/>
      <c r="AH28" s="5"/>
      <c r="AI28" s="6"/>
      <c r="AJ28" s="6"/>
      <c r="AK28" s="6"/>
      <c r="AL28" s="7"/>
      <c r="AM28" s="5"/>
      <c r="AN28" s="6"/>
      <c r="AO28" s="6"/>
      <c r="AP28" s="6"/>
      <c r="AQ28" s="7"/>
      <c r="AR28" s="5"/>
      <c r="AS28" s="6"/>
      <c r="AT28" s="6"/>
      <c r="AU28" s="6"/>
      <c r="AV28" s="7"/>
    </row>
    <row r="29" spans="1:258" ht="16.5" customHeight="1" x14ac:dyDescent="0.3">
      <c r="A29" s="194">
        <v>24</v>
      </c>
      <c r="B29" s="69" t="s">
        <v>63</v>
      </c>
      <c r="C29" s="69" t="s">
        <v>64</v>
      </c>
      <c r="D29" s="64"/>
      <c r="E29" s="64"/>
      <c r="F29" s="64">
        <v>1008724369.14</v>
      </c>
      <c r="G29" s="64"/>
      <c r="H29" s="64"/>
      <c r="I29" s="64"/>
      <c r="J29" s="64">
        <v>1008724369.14</v>
      </c>
      <c r="K29" s="64">
        <v>13615582.26</v>
      </c>
      <c r="L29" s="64">
        <v>3857586.17</v>
      </c>
      <c r="M29" s="172">
        <v>9757996.0899999999</v>
      </c>
      <c r="N29" s="31">
        <v>2321097890.6399999</v>
      </c>
      <c r="O29" s="31">
        <v>10705159.869999999</v>
      </c>
      <c r="P29" s="41">
        <v>2239287715.5500002</v>
      </c>
      <c r="Q29" s="34">
        <f t="shared" si="16"/>
        <v>3.7663559909798974E-3</v>
      </c>
      <c r="R29" s="41">
        <v>2320971090.79</v>
      </c>
      <c r="S29" s="34">
        <f t="shared" si="17"/>
        <v>3.7457415263547947E-3</v>
      </c>
      <c r="T29" s="35">
        <f t="shared" si="18"/>
        <v>3.6477391749517633E-2</v>
      </c>
      <c r="U29" s="70">
        <f t="shared" si="19"/>
        <v>1.6620569662877511E-3</v>
      </c>
      <c r="V29" s="36">
        <f t="shared" si="20"/>
        <v>4.2042729996600798E-3</v>
      </c>
      <c r="W29" s="37">
        <f t="shared" si="21"/>
        <v>99.99999960318334</v>
      </c>
      <c r="X29" s="37">
        <f t="shared" si="22"/>
        <v>0.42042729829768238</v>
      </c>
      <c r="Y29" s="31">
        <v>100</v>
      </c>
      <c r="Z29" s="31">
        <v>100</v>
      </c>
      <c r="AA29" s="169">
        <v>539</v>
      </c>
      <c r="AB29" s="169">
        <v>22392877</v>
      </c>
      <c r="AC29" s="169">
        <v>1413801</v>
      </c>
      <c r="AD29" s="169">
        <v>596967</v>
      </c>
      <c r="AE29" s="170">
        <f t="shared" si="23"/>
        <v>23209711</v>
      </c>
      <c r="AF29" s="30"/>
      <c r="AG29" s="14"/>
      <c r="AH29" s="5"/>
      <c r="AI29" s="6"/>
      <c r="AJ29" s="6"/>
      <c r="AK29" s="6"/>
      <c r="AL29" s="7"/>
      <c r="AM29" s="5"/>
      <c r="AN29" s="6"/>
      <c r="AO29" s="6"/>
      <c r="AP29" s="6"/>
      <c r="AQ29" s="7"/>
      <c r="AR29" s="5"/>
      <c r="AS29" s="6"/>
      <c r="AT29" s="6"/>
      <c r="AU29" s="6"/>
      <c r="AV29" s="7"/>
    </row>
    <row r="30" spans="1:258" ht="18" customHeight="1" x14ac:dyDescent="0.3">
      <c r="A30" s="194">
        <v>25</v>
      </c>
      <c r="B30" s="69" t="s">
        <v>65</v>
      </c>
      <c r="C30" s="69" t="s">
        <v>66</v>
      </c>
      <c r="D30" s="64"/>
      <c r="E30" s="64"/>
      <c r="F30" s="64">
        <v>3093415670.3400002</v>
      </c>
      <c r="G30" s="64"/>
      <c r="H30" s="64"/>
      <c r="I30" s="64"/>
      <c r="J30" s="64">
        <v>3093415670.3400002</v>
      </c>
      <c r="K30" s="64">
        <v>38516525</v>
      </c>
      <c r="L30" s="64">
        <v>3222581.38</v>
      </c>
      <c r="M30" s="172">
        <v>35293943.619999997</v>
      </c>
      <c r="N30" s="31">
        <v>5241613201.4700003</v>
      </c>
      <c r="O30" s="31">
        <v>137495701.47</v>
      </c>
      <c r="P30" s="41">
        <v>5388545535.3999996</v>
      </c>
      <c r="Q30" s="34">
        <f t="shared" si="16"/>
        <v>9.0632305170025851E-3</v>
      </c>
      <c r="R30" s="41">
        <v>5104117500</v>
      </c>
      <c r="S30" s="34">
        <f t="shared" si="17"/>
        <v>8.2373731198162811E-3</v>
      </c>
      <c r="T30" s="35">
        <f t="shared" si="18"/>
        <v>-5.2783823302865733E-2</v>
      </c>
      <c r="U30" s="70">
        <f t="shared" si="19"/>
        <v>6.3136896437043224E-4</v>
      </c>
      <c r="V30" s="36">
        <f t="shared" si="20"/>
        <v>6.9147984191194655E-3</v>
      </c>
      <c r="W30" s="37">
        <f t="shared" si="21"/>
        <v>100</v>
      </c>
      <c r="X30" s="37">
        <f t="shared" si="22"/>
        <v>0.69147984191194656</v>
      </c>
      <c r="Y30" s="31">
        <v>100</v>
      </c>
      <c r="Z30" s="31">
        <v>100</v>
      </c>
      <c r="AA30" s="169">
        <f>SUM(5355,217,110)</f>
        <v>5682</v>
      </c>
      <c r="AB30" s="169">
        <v>53885455</v>
      </c>
      <c r="AC30" s="169">
        <v>13844620</v>
      </c>
      <c r="AD30" s="169">
        <v>16688900</v>
      </c>
      <c r="AE30" s="170">
        <f t="shared" si="23"/>
        <v>51041175</v>
      </c>
      <c r="AF30" s="13"/>
      <c r="AG30" s="4"/>
      <c r="AH30" s="5"/>
      <c r="AI30" s="6"/>
      <c r="AJ30" s="6"/>
      <c r="AK30" s="6"/>
      <c r="AL30" s="7"/>
      <c r="AM30" s="5"/>
      <c r="AN30" s="6"/>
      <c r="AO30" s="6"/>
      <c r="AP30" s="6"/>
      <c r="AQ30" s="7"/>
      <c r="AR30" s="5"/>
      <c r="AS30" s="6"/>
      <c r="AT30" s="6"/>
      <c r="AU30" s="6"/>
      <c r="AV30" s="7"/>
    </row>
    <row r="31" spans="1:258" ht="18" customHeight="1" x14ac:dyDescent="0.3">
      <c r="A31" s="194">
        <v>26</v>
      </c>
      <c r="B31" s="68" t="s">
        <v>46</v>
      </c>
      <c r="C31" s="68" t="s">
        <v>67</v>
      </c>
      <c r="D31" s="64"/>
      <c r="E31" s="64"/>
      <c r="F31" s="64">
        <v>789553523.57000005</v>
      </c>
      <c r="G31" s="64"/>
      <c r="H31" s="64"/>
      <c r="I31" s="64"/>
      <c r="J31" s="64">
        <v>789553523.57000005</v>
      </c>
      <c r="K31" s="64">
        <v>6222301.8899999997</v>
      </c>
      <c r="L31" s="64">
        <v>1155335.8500000001</v>
      </c>
      <c r="M31" s="172">
        <v>5066966.04</v>
      </c>
      <c r="N31" s="31">
        <v>810822287.75</v>
      </c>
      <c r="O31" s="31">
        <v>1500320.61</v>
      </c>
      <c r="P31" s="41">
        <v>758362436.92999995</v>
      </c>
      <c r="Q31" s="34">
        <f t="shared" si="16"/>
        <v>1.275522965553304E-3</v>
      </c>
      <c r="R31" s="41">
        <v>809321967.14999998</v>
      </c>
      <c r="S31" s="34">
        <f t="shared" si="17"/>
        <v>1.3061390176613773E-3</v>
      </c>
      <c r="T31" s="35">
        <f t="shared" si="18"/>
        <v>6.7196801606226986E-2</v>
      </c>
      <c r="U31" s="70">
        <f t="shared" si="19"/>
        <v>1.4275355135465757E-3</v>
      </c>
      <c r="V31" s="36">
        <f t="shared" si="20"/>
        <v>6.2607543668228233E-3</v>
      </c>
      <c r="W31" s="37">
        <f t="shared" si="21"/>
        <v>10.022627106199216</v>
      </c>
      <c r="X31" s="37">
        <f t="shared" si="22"/>
        <v>6.2749206422173548E-2</v>
      </c>
      <c r="Y31" s="31">
        <v>10</v>
      </c>
      <c r="Z31" s="31">
        <v>10</v>
      </c>
      <c r="AA31" s="169">
        <v>485</v>
      </c>
      <c r="AB31" s="169">
        <v>75130300</v>
      </c>
      <c r="AC31" s="169">
        <v>11755699</v>
      </c>
      <c r="AD31" s="169">
        <v>6136515</v>
      </c>
      <c r="AE31" s="170">
        <f t="shared" si="23"/>
        <v>80749484</v>
      </c>
      <c r="AF31" s="13"/>
      <c r="AG31" s="4"/>
      <c r="AH31" s="5"/>
      <c r="AI31" s="6"/>
      <c r="AJ31" s="6"/>
      <c r="AK31" s="6"/>
      <c r="AL31" s="7"/>
      <c r="AM31" s="5"/>
      <c r="AN31" s="6"/>
      <c r="AO31" s="6"/>
      <c r="AP31" s="6"/>
      <c r="AQ31" s="7"/>
      <c r="AR31" s="5"/>
      <c r="AS31" s="6"/>
      <c r="AT31" s="6"/>
      <c r="AU31" s="6"/>
      <c r="AV31" s="7"/>
    </row>
    <row r="32" spans="1:258" ht="18" customHeight="1" x14ac:dyDescent="0.3">
      <c r="A32" s="194">
        <v>27</v>
      </c>
      <c r="B32" s="68" t="s">
        <v>29</v>
      </c>
      <c r="C32" s="68" t="s">
        <v>68</v>
      </c>
      <c r="D32" s="64"/>
      <c r="E32" s="64"/>
      <c r="F32" s="64">
        <v>1790017711.1500001</v>
      </c>
      <c r="G32" s="64"/>
      <c r="H32" s="64"/>
      <c r="I32" s="64"/>
      <c r="J32" s="64">
        <v>1814868308.9100001</v>
      </c>
      <c r="K32" s="64">
        <v>11298752.949999999</v>
      </c>
      <c r="L32" s="64">
        <v>3732992.81</v>
      </c>
      <c r="M32" s="172">
        <v>7565760.1399999997</v>
      </c>
      <c r="N32" s="31">
        <v>1779052654.79</v>
      </c>
      <c r="O32" s="31">
        <v>24876894.84</v>
      </c>
      <c r="P32" s="41">
        <v>1813614552.52</v>
      </c>
      <c r="Q32" s="34">
        <f t="shared" si="16"/>
        <v>3.0503976723394422E-3</v>
      </c>
      <c r="R32" s="41">
        <v>1779052654.79</v>
      </c>
      <c r="S32" s="34">
        <f t="shared" si="17"/>
        <v>2.8711565745312365E-3</v>
      </c>
      <c r="T32" s="35">
        <f t="shared" si="18"/>
        <v>-1.9056914647038202E-2</v>
      </c>
      <c r="U32" s="70">
        <f t="shared" si="19"/>
        <v>2.0983037235852045E-3</v>
      </c>
      <c r="V32" s="36">
        <f t="shared" si="20"/>
        <v>4.2526903965599966E-3</v>
      </c>
      <c r="W32" s="37">
        <f t="shared" si="21"/>
        <v>99.999999988195952</v>
      </c>
      <c r="X32" s="37">
        <f t="shared" si="22"/>
        <v>0.4252690396058007</v>
      </c>
      <c r="Y32" s="31">
        <v>100</v>
      </c>
      <c r="Z32" s="31">
        <v>100</v>
      </c>
      <c r="AA32" s="169">
        <v>1353</v>
      </c>
      <c r="AB32" s="169">
        <v>18136145.530000001</v>
      </c>
      <c r="AC32" s="169">
        <v>975595.33</v>
      </c>
      <c r="AD32" s="169">
        <v>1321214.31</v>
      </c>
      <c r="AE32" s="170">
        <f t="shared" si="23"/>
        <v>17790526.550000001</v>
      </c>
      <c r="AF32" s="13"/>
      <c r="AG32" s="4"/>
      <c r="AH32" s="5"/>
      <c r="AI32" s="6"/>
      <c r="AJ32" s="6"/>
      <c r="AK32" s="6"/>
      <c r="AL32" s="7"/>
      <c r="AM32" s="5"/>
      <c r="AN32" s="6"/>
      <c r="AO32" s="6"/>
      <c r="AP32" s="6"/>
      <c r="AQ32" s="7"/>
      <c r="AR32" s="5"/>
      <c r="AS32" s="6"/>
      <c r="AT32" s="6"/>
      <c r="AU32" s="6"/>
      <c r="AV32" s="7"/>
    </row>
    <row r="33" spans="1:258" ht="16.5" customHeight="1" x14ac:dyDescent="0.3">
      <c r="A33" s="194">
        <v>28</v>
      </c>
      <c r="B33" s="69" t="s">
        <v>44</v>
      </c>
      <c r="C33" s="220" t="s">
        <v>69</v>
      </c>
      <c r="D33" s="64"/>
      <c r="E33" s="64"/>
      <c r="F33" s="64">
        <v>17578475563.400002</v>
      </c>
      <c r="G33" s="64"/>
      <c r="H33" s="64"/>
      <c r="I33" s="64"/>
      <c r="J33" s="64">
        <v>17578475563.400002</v>
      </c>
      <c r="K33" s="64">
        <v>72163297.109999999</v>
      </c>
      <c r="L33" s="64">
        <v>20685456.219999999</v>
      </c>
      <c r="M33" s="172">
        <v>51477840.890000001</v>
      </c>
      <c r="N33" s="31">
        <v>17606861335.290001</v>
      </c>
      <c r="O33" s="31">
        <v>221052154.03999999</v>
      </c>
      <c r="P33" s="41">
        <v>8895642153.4599991</v>
      </c>
      <c r="Q33" s="34">
        <f t="shared" si="16"/>
        <v>1.4961969775316834E-2</v>
      </c>
      <c r="R33" s="41">
        <v>17385809181.25</v>
      </c>
      <c r="S33" s="34">
        <f t="shared" si="17"/>
        <v>2.8058405241627737E-2</v>
      </c>
      <c r="T33" s="35">
        <f t="shared" si="18"/>
        <v>0.95441867841859096</v>
      </c>
      <c r="U33" s="70">
        <f t="shared" si="19"/>
        <v>1.1897896729654986E-3</v>
      </c>
      <c r="V33" s="36">
        <f t="shared" si="20"/>
        <v>2.9609114165084181E-3</v>
      </c>
      <c r="W33" s="37">
        <f t="shared" si="21"/>
        <v>100.00410892351485</v>
      </c>
      <c r="X33" s="37">
        <f t="shared" si="22"/>
        <v>0.29610330780938648</v>
      </c>
      <c r="Y33" s="31">
        <v>100</v>
      </c>
      <c r="Z33" s="31">
        <v>100</v>
      </c>
      <c r="AA33" s="169">
        <v>5606</v>
      </c>
      <c r="AB33" s="169">
        <v>88954507.510000005</v>
      </c>
      <c r="AC33" s="169">
        <v>93960037.180000007</v>
      </c>
      <c r="AD33" s="169">
        <v>9063596.2799999993</v>
      </c>
      <c r="AE33" s="170">
        <f t="shared" si="23"/>
        <v>173850948.41</v>
      </c>
      <c r="AF33" s="13"/>
      <c r="AG33" s="4"/>
      <c r="AH33" s="5"/>
      <c r="AI33" s="6"/>
      <c r="AJ33" s="6"/>
      <c r="AK33" s="6"/>
      <c r="AL33" s="7"/>
      <c r="AM33" s="5"/>
      <c r="AN33" s="6"/>
      <c r="AO33" s="6"/>
      <c r="AP33" s="6"/>
      <c r="AQ33" s="7"/>
      <c r="AR33" s="5"/>
      <c r="AS33" s="6"/>
      <c r="AT33" s="6"/>
      <c r="AU33" s="6"/>
      <c r="AV33" s="7"/>
    </row>
    <row r="34" spans="1:258" ht="16.5" customHeight="1" x14ac:dyDescent="0.3">
      <c r="A34" s="194">
        <v>29</v>
      </c>
      <c r="B34" s="69" t="s">
        <v>70</v>
      </c>
      <c r="C34" s="69" t="s">
        <v>169</v>
      </c>
      <c r="D34" s="64"/>
      <c r="E34" s="64"/>
      <c r="F34" s="64">
        <v>4732069312.2200003</v>
      </c>
      <c r="G34" s="64"/>
      <c r="H34" s="64"/>
      <c r="I34" s="64"/>
      <c r="J34" s="64">
        <v>11329224239.950001</v>
      </c>
      <c r="K34" s="64">
        <v>65078910.020000003</v>
      </c>
      <c r="L34" s="64">
        <v>17771492.710000001</v>
      </c>
      <c r="M34" s="172">
        <v>47307417.310000002</v>
      </c>
      <c r="N34" s="31">
        <v>11329244239.950001</v>
      </c>
      <c r="O34" s="31">
        <v>48661956.759999998</v>
      </c>
      <c r="P34" s="41">
        <v>10990554488.77</v>
      </c>
      <c r="Q34" s="34">
        <f t="shared" si="16"/>
        <v>1.8485494496986901E-2</v>
      </c>
      <c r="R34" s="41">
        <v>11280582283.190001</v>
      </c>
      <c r="S34" s="34">
        <f t="shared" si="17"/>
        <v>1.8205373460823557E-2</v>
      </c>
      <c r="T34" s="35">
        <f t="shared" si="18"/>
        <v>2.6388822758337312E-2</v>
      </c>
      <c r="U34" s="70">
        <f t="shared" si="19"/>
        <v>1.5754056185984804E-3</v>
      </c>
      <c r="V34" s="36">
        <f>M34/R34</f>
        <v>4.1937034917511442E-3</v>
      </c>
      <c r="W34" s="37">
        <f t="shared" si="21"/>
        <v>100.69445678539741</v>
      </c>
      <c r="X34" s="37">
        <f t="shared" si="22"/>
        <v>0.42228269502090582</v>
      </c>
      <c r="Y34" s="31">
        <v>100</v>
      </c>
      <c r="Z34" s="31">
        <v>100</v>
      </c>
      <c r="AA34" s="169">
        <v>1908</v>
      </c>
      <c r="AB34" s="169">
        <v>109127560</v>
      </c>
      <c r="AC34" s="169">
        <v>9675600</v>
      </c>
      <c r="AD34" s="169">
        <v>6775322.0899999999</v>
      </c>
      <c r="AE34" s="170">
        <f t="shared" si="23"/>
        <v>112027837.91</v>
      </c>
      <c r="AF34" s="13"/>
      <c r="AG34" s="4"/>
      <c r="AH34" s="5"/>
      <c r="AI34" s="6"/>
      <c r="AJ34" s="6"/>
      <c r="AK34" s="6"/>
      <c r="AL34" s="7"/>
      <c r="AM34" s="5"/>
      <c r="AN34" s="6"/>
      <c r="AO34" s="6"/>
      <c r="AP34" s="6"/>
      <c r="AQ34" s="7"/>
      <c r="AR34" s="5"/>
      <c r="AS34" s="6"/>
      <c r="AT34" s="6"/>
      <c r="AU34" s="6"/>
      <c r="AV34" s="7"/>
    </row>
    <row r="35" spans="1:258" ht="16.5" customHeight="1" x14ac:dyDescent="0.3">
      <c r="A35" s="194">
        <v>30</v>
      </c>
      <c r="B35" s="69" t="s">
        <v>70</v>
      </c>
      <c r="C35" s="69" t="s">
        <v>71</v>
      </c>
      <c r="D35" s="64"/>
      <c r="E35" s="64"/>
      <c r="F35" s="64">
        <v>189273041.55000001</v>
      </c>
      <c r="G35" s="64"/>
      <c r="H35" s="64"/>
      <c r="I35" s="64"/>
      <c r="J35" s="64">
        <v>413395353.52999997</v>
      </c>
      <c r="K35" s="64">
        <v>2530430.31</v>
      </c>
      <c r="L35" s="64">
        <v>392034.6</v>
      </c>
      <c r="M35" s="172">
        <v>2138395.71</v>
      </c>
      <c r="N35" s="31">
        <v>413395353.52999997</v>
      </c>
      <c r="O35" s="31">
        <v>1077941.27</v>
      </c>
      <c r="P35" s="41">
        <v>408761652.35000002</v>
      </c>
      <c r="Q35" s="34">
        <f t="shared" si="16"/>
        <v>6.8751410884828246E-4</v>
      </c>
      <c r="R35" s="41">
        <v>412317412.24000001</v>
      </c>
      <c r="S35" s="34">
        <f t="shared" si="17"/>
        <v>6.6542597587496458E-4</v>
      </c>
      <c r="T35" s="35">
        <f t="shared" si="18"/>
        <v>8.6988587837378267E-3</v>
      </c>
      <c r="U35" s="70">
        <f t="shared" si="19"/>
        <v>9.5080777178482606E-4</v>
      </c>
      <c r="V35" s="36">
        <f>M35/R35</f>
        <v>5.1862852417091021E-3</v>
      </c>
      <c r="W35" s="37">
        <f t="shared" si="21"/>
        <v>1000770.4180582524</v>
      </c>
      <c r="X35" s="37">
        <f>M35/AE35</f>
        <v>5190.2808495145628</v>
      </c>
      <c r="Y35" s="31">
        <v>1000000</v>
      </c>
      <c r="Z35" s="31">
        <v>1000000</v>
      </c>
      <c r="AA35" s="169">
        <v>6</v>
      </c>
      <c r="AB35" s="169">
        <v>409</v>
      </c>
      <c r="AC35" s="169">
        <v>46</v>
      </c>
      <c r="AD35" s="169">
        <v>43</v>
      </c>
      <c r="AE35" s="170">
        <f t="shared" si="23"/>
        <v>412</v>
      </c>
      <c r="AF35" s="13"/>
      <c r="AG35" s="4"/>
      <c r="AH35" s="5"/>
      <c r="AI35" s="6"/>
      <c r="AJ35" s="6"/>
      <c r="AK35" s="6"/>
      <c r="AL35" s="7"/>
      <c r="AM35" s="5"/>
      <c r="AN35" s="6"/>
      <c r="AO35" s="6"/>
      <c r="AP35" s="6"/>
      <c r="AQ35" s="7"/>
      <c r="AR35" s="5"/>
      <c r="AS35" s="6"/>
      <c r="AT35" s="6"/>
      <c r="AU35" s="6"/>
      <c r="AV35" s="7"/>
    </row>
    <row r="36" spans="1:258" ht="16.5" customHeight="1" x14ac:dyDescent="0.3">
      <c r="A36" s="194">
        <v>31</v>
      </c>
      <c r="B36" s="69" t="s">
        <v>72</v>
      </c>
      <c r="C36" s="69" t="s">
        <v>73</v>
      </c>
      <c r="D36" s="64"/>
      <c r="E36" s="64"/>
      <c r="F36" s="64">
        <v>2305924628.27</v>
      </c>
      <c r="G36" s="64"/>
      <c r="H36" s="64"/>
      <c r="I36" s="64"/>
      <c r="J36" s="64">
        <v>2305924628.27</v>
      </c>
      <c r="K36" s="64">
        <v>33398394.460000001</v>
      </c>
      <c r="L36" s="64">
        <v>7006737.2000000002</v>
      </c>
      <c r="M36" s="172">
        <v>26391657.260000002</v>
      </c>
      <c r="N36" s="31">
        <v>5472837105.4700003</v>
      </c>
      <c r="O36" s="31">
        <v>29989297.329999998</v>
      </c>
      <c r="P36" s="41">
        <v>4794279560.8100004</v>
      </c>
      <c r="Q36" s="34">
        <f t="shared" si="16"/>
        <v>8.0637085716580969E-3</v>
      </c>
      <c r="R36" s="41">
        <v>5442847808.1400003</v>
      </c>
      <c r="S36" s="34">
        <f t="shared" si="17"/>
        <v>8.7840392056067283E-3</v>
      </c>
      <c r="T36" s="35">
        <f t="shared" si="18"/>
        <v>0.13527960543469505</v>
      </c>
      <c r="U36" s="70">
        <f t="shared" si="19"/>
        <v>1.2873292524404486E-3</v>
      </c>
      <c r="V36" s="36">
        <f t="shared" si="20"/>
        <v>4.8488692299149365E-3</v>
      </c>
      <c r="W36" s="37">
        <f t="shared" ca="1" si="21"/>
        <v>1.0170197836923274</v>
      </c>
      <c r="X36" s="37">
        <f t="shared" ca="1" si="22"/>
        <v>4.9313959353604704E-3</v>
      </c>
      <c r="Y36" s="31">
        <v>1</v>
      </c>
      <c r="Z36" s="31">
        <v>1</v>
      </c>
      <c r="AA36" s="169">
        <v>1508</v>
      </c>
      <c r="AB36" s="169">
        <v>4729203793.5500002</v>
      </c>
      <c r="AC36" s="169">
        <v>2255893439.6300001</v>
      </c>
      <c r="AD36" s="169">
        <f ca="1">(AB36+AC36)-AE36</f>
        <v>1633335256.2600002</v>
      </c>
      <c r="AE36" s="170">
        <f t="shared" ca="1" si="23"/>
        <v>2421876955.6900001</v>
      </c>
      <c r="AF36" s="13"/>
      <c r="AG36" s="4"/>
      <c r="AH36" s="5"/>
      <c r="AI36" s="6"/>
      <c r="AJ36" s="6"/>
      <c r="AK36" s="6"/>
      <c r="AL36" s="7"/>
      <c r="AM36" s="5"/>
      <c r="AN36" s="6"/>
      <c r="AO36" s="6"/>
      <c r="AP36" s="6"/>
      <c r="AQ36" s="7"/>
      <c r="AR36" s="5"/>
      <c r="AS36" s="6"/>
      <c r="AT36" s="6"/>
      <c r="AU36" s="6"/>
      <c r="AV36" s="7"/>
    </row>
    <row r="37" spans="1:258" ht="16.5" customHeight="1" x14ac:dyDescent="0.3">
      <c r="A37" s="194">
        <v>32</v>
      </c>
      <c r="B37" s="69" t="s">
        <v>74</v>
      </c>
      <c r="C37" s="69" t="s">
        <v>75</v>
      </c>
      <c r="D37" s="64"/>
      <c r="E37" s="64"/>
      <c r="F37" s="64">
        <v>14836506965.5</v>
      </c>
      <c r="G37" s="64"/>
      <c r="H37" s="64"/>
      <c r="I37" s="64"/>
      <c r="J37" s="64">
        <v>14836506965.5</v>
      </c>
      <c r="K37" s="206">
        <v>87771328.340000004</v>
      </c>
      <c r="L37" s="206">
        <v>17442034.07</v>
      </c>
      <c r="M37" s="172">
        <v>70329294.269999996</v>
      </c>
      <c r="N37" s="206">
        <v>14986638264.209999</v>
      </c>
      <c r="O37" s="206">
        <v>17442034.07</v>
      </c>
      <c r="P37" s="41">
        <v>14401680049.870001</v>
      </c>
      <c r="Q37" s="34">
        <f t="shared" si="16"/>
        <v>2.4222815835293853E-2</v>
      </c>
      <c r="R37" s="41">
        <v>14942348746.6</v>
      </c>
      <c r="S37" s="34">
        <f t="shared" si="17"/>
        <v>2.4114982053638722E-2</v>
      </c>
      <c r="T37" s="35">
        <f t="shared" si="18"/>
        <v>3.7542057236223628E-2</v>
      </c>
      <c r="U37" s="70">
        <f t="shared" si="19"/>
        <v>1.1672886482433883E-3</v>
      </c>
      <c r="V37" s="36">
        <f t="shared" si="20"/>
        <v>4.7067094646685188E-3</v>
      </c>
      <c r="W37" s="37">
        <f t="shared" si="21"/>
        <v>1.0148078170299129</v>
      </c>
      <c r="X37" s="37">
        <f t="shared" si="22"/>
        <v>4.7764055572342892E-3</v>
      </c>
      <c r="Y37" s="31">
        <v>1</v>
      </c>
      <c r="Z37" s="31">
        <v>1</v>
      </c>
      <c r="AA37" s="169">
        <v>2551</v>
      </c>
      <c r="AB37" s="206">
        <v>14250362199.950001</v>
      </c>
      <c r="AC37" s="206">
        <v>1463387635.3099999</v>
      </c>
      <c r="AD37" s="206">
        <v>989436033.33000004</v>
      </c>
      <c r="AE37" s="170">
        <f t="shared" si="23"/>
        <v>14724313801.93</v>
      </c>
      <c r="AF37" s="29"/>
      <c r="AG37" s="15"/>
      <c r="AH37" s="5"/>
      <c r="AI37" s="6"/>
      <c r="AJ37" s="6"/>
      <c r="AK37" s="6"/>
      <c r="AL37" s="7"/>
      <c r="AM37" s="5"/>
      <c r="AN37" s="6"/>
      <c r="AO37" s="6"/>
      <c r="AP37" s="6"/>
      <c r="AQ37" s="7"/>
      <c r="AR37" s="5"/>
      <c r="AS37" s="6"/>
      <c r="AT37" s="6"/>
      <c r="AU37" s="6"/>
      <c r="AV37" s="7"/>
    </row>
    <row r="38" spans="1:258" ht="16.5" customHeight="1" x14ac:dyDescent="0.3">
      <c r="A38" s="194">
        <v>33</v>
      </c>
      <c r="B38" s="69" t="s">
        <v>31</v>
      </c>
      <c r="C38" s="69" t="s">
        <v>76</v>
      </c>
      <c r="D38" s="64"/>
      <c r="E38" s="64"/>
      <c r="F38" s="64">
        <v>589114346.10000002</v>
      </c>
      <c r="G38" s="64"/>
      <c r="H38" s="64"/>
      <c r="I38" s="64"/>
      <c r="J38" s="64">
        <v>589114346.10000002</v>
      </c>
      <c r="K38" s="64">
        <v>3827698.43</v>
      </c>
      <c r="L38" s="64">
        <v>1291095.52</v>
      </c>
      <c r="M38" s="172">
        <v>2536602.91</v>
      </c>
      <c r="N38" s="31">
        <v>597395635.78999996</v>
      </c>
      <c r="O38" s="31">
        <v>13362811.279999999</v>
      </c>
      <c r="P38" s="41">
        <v>565993037.07000005</v>
      </c>
      <c r="Q38" s="34">
        <f t="shared" si="16"/>
        <v>9.5196845461991873E-4</v>
      </c>
      <c r="R38" s="41">
        <v>584032824.50999999</v>
      </c>
      <c r="S38" s="34">
        <f t="shared" si="17"/>
        <v>9.4255202583190003E-4</v>
      </c>
      <c r="T38" s="35">
        <f t="shared" si="18"/>
        <v>3.1872808070903598E-2</v>
      </c>
      <c r="U38" s="70">
        <f t="shared" si="19"/>
        <v>2.2106557471032922E-3</v>
      </c>
      <c r="V38" s="36">
        <f t="shared" si="20"/>
        <v>4.3432540150944339E-3</v>
      </c>
      <c r="W38" s="37">
        <f t="shared" si="21"/>
        <v>102.74815178250986</v>
      </c>
      <c r="X38" s="37">
        <f t="shared" si="22"/>
        <v>0.44626132277291825</v>
      </c>
      <c r="Y38" s="31">
        <v>100</v>
      </c>
      <c r="Z38" s="31">
        <v>100</v>
      </c>
      <c r="AA38" s="169">
        <v>604</v>
      </c>
      <c r="AB38" s="169">
        <v>5530895</v>
      </c>
      <c r="AC38" s="169">
        <v>176625</v>
      </c>
      <c r="AD38" s="169">
        <v>23400</v>
      </c>
      <c r="AE38" s="170">
        <f t="shared" si="23"/>
        <v>5684120</v>
      </c>
      <c r="AF38" s="13"/>
      <c r="AG38" s="4"/>
      <c r="AH38" s="5"/>
      <c r="AI38" s="6"/>
      <c r="AJ38" s="6"/>
      <c r="AK38" s="6"/>
      <c r="AL38" s="7"/>
      <c r="AM38" s="5"/>
      <c r="AN38" s="6"/>
      <c r="AO38" s="6"/>
      <c r="AP38" s="6"/>
      <c r="AQ38" s="7"/>
      <c r="AR38" s="5"/>
      <c r="AS38" s="6"/>
      <c r="AT38" s="6"/>
      <c r="AU38" s="6"/>
      <c r="AV38" s="7"/>
    </row>
    <row r="39" spans="1:258" ht="16.5" customHeight="1" x14ac:dyDescent="0.3">
      <c r="A39" s="194">
        <v>34</v>
      </c>
      <c r="B39" s="69" t="s">
        <v>25</v>
      </c>
      <c r="C39" s="69" t="s">
        <v>77</v>
      </c>
      <c r="D39" s="64"/>
      <c r="E39" s="64"/>
      <c r="F39" s="64">
        <v>4618045401.3800001</v>
      </c>
      <c r="G39" s="64"/>
      <c r="H39" s="64"/>
      <c r="I39" s="64"/>
      <c r="J39" s="64">
        <v>4571460034.54</v>
      </c>
      <c r="K39" s="174">
        <v>25976293.329999998</v>
      </c>
      <c r="L39" s="64">
        <v>5331052.3099999996</v>
      </c>
      <c r="M39" s="172">
        <v>20645241.02</v>
      </c>
      <c r="N39" s="31">
        <v>4571460034.54</v>
      </c>
      <c r="O39" s="31">
        <v>15332915.439999999</v>
      </c>
      <c r="P39" s="41">
        <v>4611330679.1999998</v>
      </c>
      <c r="Q39" s="34">
        <f t="shared" si="16"/>
        <v>7.7559988425732586E-3</v>
      </c>
      <c r="R39" s="41">
        <v>4556127119.1000004</v>
      </c>
      <c r="S39" s="34">
        <f t="shared" si="17"/>
        <v>7.352988848971509E-3</v>
      </c>
      <c r="T39" s="35">
        <f t="shared" si="18"/>
        <v>-1.1971286368379996E-2</v>
      </c>
      <c r="U39" s="70">
        <f t="shared" si="19"/>
        <v>1.1700841900682251E-3</v>
      </c>
      <c r="V39" s="36">
        <f t="shared" si="20"/>
        <v>4.5313136530918787E-3</v>
      </c>
      <c r="W39" s="37">
        <f t="shared" si="21"/>
        <v>0.99011449870952795</v>
      </c>
      <c r="X39" s="37">
        <f t="shared" si="22"/>
        <v>4.486519346126705E-3</v>
      </c>
      <c r="Y39" s="31">
        <v>0.99</v>
      </c>
      <c r="Z39" s="31">
        <v>0.99</v>
      </c>
      <c r="AA39" s="176">
        <v>830</v>
      </c>
      <c r="AB39" s="176">
        <v>4654265783</v>
      </c>
      <c r="AC39" s="176">
        <v>273031700</v>
      </c>
      <c r="AD39" s="176">
        <v>325681079</v>
      </c>
      <c r="AE39" s="170">
        <f t="shared" si="23"/>
        <v>4601616404</v>
      </c>
      <c r="AF39" s="13"/>
      <c r="AG39" s="4"/>
      <c r="AH39" s="5"/>
      <c r="AI39" s="6"/>
      <c r="AJ39" s="6"/>
      <c r="AK39" s="6"/>
      <c r="AL39" s="7"/>
      <c r="AM39" s="5"/>
      <c r="AN39" s="6"/>
      <c r="AO39" s="6"/>
      <c r="AP39" s="6"/>
      <c r="AQ39" s="7"/>
      <c r="AR39" s="5"/>
      <c r="AS39" s="6"/>
      <c r="AT39" s="6"/>
      <c r="AU39" s="6"/>
      <c r="AV39" s="7"/>
    </row>
    <row r="40" spans="1:258" ht="16.5" customHeight="1" x14ac:dyDescent="0.3">
      <c r="A40" s="194">
        <v>35</v>
      </c>
      <c r="B40" s="69" t="s">
        <v>78</v>
      </c>
      <c r="C40" s="69" t="s">
        <v>79</v>
      </c>
      <c r="D40" s="64"/>
      <c r="E40" s="64"/>
      <c r="F40" s="64">
        <v>246789632.87</v>
      </c>
      <c r="G40" s="64"/>
      <c r="H40" s="64"/>
      <c r="I40" s="64"/>
      <c r="J40" s="64">
        <v>665262572.36000001</v>
      </c>
      <c r="K40" s="64">
        <v>3841729.3</v>
      </c>
      <c r="L40" s="64">
        <v>1315606.92</v>
      </c>
      <c r="M40" s="172">
        <v>2526122.38</v>
      </c>
      <c r="N40" s="31">
        <v>670979705.54999995</v>
      </c>
      <c r="O40" s="31">
        <v>12962897.210000001</v>
      </c>
      <c r="P40" s="41">
        <v>625486922.60000002</v>
      </c>
      <c r="Q40" s="34">
        <f t="shared" si="16"/>
        <v>1.052033823905237E-3</v>
      </c>
      <c r="R40" s="41">
        <v>658016808.34000003</v>
      </c>
      <c r="S40" s="34">
        <f t="shared" si="17"/>
        <v>1.0619524275072465E-3</v>
      </c>
      <c r="T40" s="35">
        <f t="shared" si="18"/>
        <v>5.2007299536784922E-2</v>
      </c>
      <c r="U40" s="70">
        <f t="shared" si="19"/>
        <v>1.9993515413670409E-3</v>
      </c>
      <c r="V40" s="36">
        <f t="shared" si="20"/>
        <v>3.8389936973992037E-3</v>
      </c>
      <c r="W40" s="37">
        <f t="shared" si="21"/>
        <v>9.9952977478328879</v>
      </c>
      <c r="X40" s="37">
        <f t="shared" si="22"/>
        <v>3.837188505755891E-2</v>
      </c>
      <c r="Y40" s="31">
        <v>10</v>
      </c>
      <c r="Z40" s="31">
        <v>10</v>
      </c>
      <c r="AA40" s="169">
        <v>281</v>
      </c>
      <c r="AB40" s="169">
        <v>62546302</v>
      </c>
      <c r="AC40" s="169">
        <v>4194000</v>
      </c>
      <c r="AD40" s="169">
        <v>907665</v>
      </c>
      <c r="AE40" s="170">
        <f t="shared" si="23"/>
        <v>65832637</v>
      </c>
      <c r="AF40" s="13"/>
      <c r="AG40" s="4"/>
      <c r="AH40" s="5"/>
      <c r="AI40" s="6"/>
      <c r="AJ40" s="6"/>
      <c r="AK40" s="6"/>
      <c r="AL40" s="7"/>
      <c r="AM40" s="5"/>
      <c r="AN40" s="6"/>
      <c r="AO40" s="6"/>
      <c r="AP40" s="6"/>
      <c r="AQ40" s="7"/>
      <c r="AR40" s="5"/>
      <c r="AS40" s="6"/>
      <c r="AT40" s="6"/>
      <c r="AU40" s="6"/>
      <c r="AV40" s="7"/>
    </row>
    <row r="41" spans="1:258" ht="16.5" customHeight="1" x14ac:dyDescent="0.3">
      <c r="A41" s="194">
        <v>36</v>
      </c>
      <c r="B41" s="69" t="s">
        <v>80</v>
      </c>
      <c r="C41" s="69" t="s">
        <v>81</v>
      </c>
      <c r="D41" s="64"/>
      <c r="E41" s="64"/>
      <c r="F41" s="64">
        <v>413023957.43000001</v>
      </c>
      <c r="G41" s="64"/>
      <c r="H41" s="64"/>
      <c r="I41" s="64"/>
      <c r="J41" s="64">
        <v>465158968.47000003</v>
      </c>
      <c r="K41" s="64">
        <v>4640764.38</v>
      </c>
      <c r="L41" s="64">
        <v>1037247.57</v>
      </c>
      <c r="M41" s="172">
        <v>3603516.81</v>
      </c>
      <c r="N41" s="31">
        <v>619590239.87</v>
      </c>
      <c r="O41" s="31">
        <v>3507504.83</v>
      </c>
      <c r="P41" s="41">
        <v>634481734.53999996</v>
      </c>
      <c r="Q41" s="34">
        <f t="shared" si="16"/>
        <v>1.0671625916838052E-3</v>
      </c>
      <c r="R41" s="41">
        <v>615362735.03999996</v>
      </c>
      <c r="S41" s="34">
        <f t="shared" si="17"/>
        <v>9.9311437335741662E-4</v>
      </c>
      <c r="T41" s="35">
        <f t="shared" si="18"/>
        <v>-3.0133254369980086E-2</v>
      </c>
      <c r="U41" s="70">
        <f t="shared" si="19"/>
        <v>1.685587233248007E-3</v>
      </c>
      <c r="V41" s="36">
        <f t="shared" si="20"/>
        <v>5.8559230268725379E-3</v>
      </c>
      <c r="W41" s="37">
        <f t="shared" si="21"/>
        <v>1.0177393370905319</v>
      </c>
      <c r="X41" s="37">
        <f t="shared" si="22"/>
        <v>5.9598032194224373E-3</v>
      </c>
      <c r="Y41" s="31">
        <v>1</v>
      </c>
      <c r="Z41" s="31">
        <v>1</v>
      </c>
      <c r="AA41" s="169">
        <v>147</v>
      </c>
      <c r="AB41" s="169">
        <v>627113627.13</v>
      </c>
      <c r="AC41" s="169">
        <v>950000</v>
      </c>
      <c r="AD41" s="169">
        <v>23426749.48</v>
      </c>
      <c r="AE41" s="170">
        <f t="shared" si="23"/>
        <v>604636877.64999998</v>
      </c>
      <c r="AF41" s="13"/>
      <c r="AG41" s="4"/>
      <c r="AH41" s="5"/>
      <c r="AI41" s="6"/>
      <c r="AJ41" s="6"/>
      <c r="AK41" s="6"/>
      <c r="AL41" s="7"/>
      <c r="AM41" s="5"/>
      <c r="AN41" s="6"/>
      <c r="AO41" s="6"/>
      <c r="AP41" s="6"/>
      <c r="AQ41" s="7"/>
      <c r="AR41" s="5"/>
      <c r="AS41" s="6"/>
      <c r="AT41" s="6"/>
      <c r="AU41" s="6"/>
      <c r="AV41" s="7"/>
    </row>
    <row r="42" spans="1:258" ht="16.5" customHeight="1" x14ac:dyDescent="0.3">
      <c r="A42" s="194">
        <v>37</v>
      </c>
      <c r="B42" s="69" t="s">
        <v>82</v>
      </c>
      <c r="C42" s="69" t="s">
        <v>151</v>
      </c>
      <c r="D42" s="64"/>
      <c r="E42" s="64"/>
      <c r="F42" s="64">
        <v>5810946020.9700003</v>
      </c>
      <c r="G42" s="64"/>
      <c r="H42" s="64"/>
      <c r="I42" s="64"/>
      <c r="J42" s="64">
        <v>5810946020.9700003</v>
      </c>
      <c r="K42" s="64">
        <v>39733716.490000002</v>
      </c>
      <c r="L42" s="64">
        <v>10153056.369999999</v>
      </c>
      <c r="M42" s="172">
        <v>30596298.460000001</v>
      </c>
      <c r="N42" s="31">
        <v>5854916204.79</v>
      </c>
      <c r="O42" s="31">
        <v>161285632.75999999</v>
      </c>
      <c r="P42" s="41">
        <v>5667299867</v>
      </c>
      <c r="Q42" s="34">
        <f t="shared" si="16"/>
        <v>9.5320796244855836E-3</v>
      </c>
      <c r="R42" s="41">
        <v>5693630572.0299997</v>
      </c>
      <c r="S42" s="34">
        <f t="shared" si="17"/>
        <v>9.1887695430608943E-3</v>
      </c>
      <c r="T42" s="35">
        <f>((R42-P42)/P42)</f>
        <v>4.6460758470396523E-3</v>
      </c>
      <c r="U42" s="70">
        <f t="shared" si="19"/>
        <v>1.783230619119716E-3</v>
      </c>
      <c r="V42" s="36">
        <f>M42/R42</f>
        <v>5.3737765513457323E-3</v>
      </c>
      <c r="W42" s="37">
        <f t="shared" si="21"/>
        <v>100.0000000005269</v>
      </c>
      <c r="X42" s="37">
        <f t="shared" si="22"/>
        <v>0.53737765513740465</v>
      </c>
      <c r="Y42" s="31">
        <v>100</v>
      </c>
      <c r="Z42" s="31">
        <v>100</v>
      </c>
      <c r="AA42" s="169">
        <v>1206</v>
      </c>
      <c r="AB42" s="169">
        <v>56672998.670000002</v>
      </c>
      <c r="AC42" s="169">
        <v>4905941.95</v>
      </c>
      <c r="AD42" s="169">
        <v>4642634.9000000004</v>
      </c>
      <c r="AE42" s="170">
        <f t="shared" ref="AE42" si="24">(AB42+AC42)-AD42</f>
        <v>56936305.720000006</v>
      </c>
      <c r="AF42" s="3"/>
      <c r="AG42" s="9"/>
      <c r="AH42" s="5"/>
      <c r="AI42" s="6"/>
      <c r="AJ42" s="6"/>
      <c r="AK42" s="6"/>
      <c r="AL42" s="7"/>
      <c r="AM42" s="5"/>
      <c r="AN42" s="6"/>
      <c r="AO42" s="6"/>
      <c r="AP42" s="6"/>
      <c r="AQ42" s="7"/>
      <c r="AR42" s="5"/>
      <c r="AS42" s="6"/>
      <c r="AT42" s="6"/>
      <c r="AU42" s="6"/>
      <c r="AV42" s="7"/>
    </row>
    <row r="43" spans="1:258" ht="16.5" customHeight="1" x14ac:dyDescent="0.3">
      <c r="A43" s="194">
        <v>38</v>
      </c>
      <c r="B43" s="69" t="s">
        <v>173</v>
      </c>
      <c r="C43" s="69" t="s">
        <v>83</v>
      </c>
      <c r="D43" s="64"/>
      <c r="E43" s="64"/>
      <c r="F43" s="64">
        <v>182134079.90000001</v>
      </c>
      <c r="G43" s="64"/>
      <c r="H43" s="64"/>
      <c r="I43" s="64"/>
      <c r="J43" s="64">
        <v>182134079.90000001</v>
      </c>
      <c r="K43" s="64">
        <v>2597670.65</v>
      </c>
      <c r="L43" s="64">
        <v>455241.1</v>
      </c>
      <c r="M43" s="172">
        <v>2142429.5499999998</v>
      </c>
      <c r="N43" s="31">
        <v>306919564.77999997</v>
      </c>
      <c r="O43" s="31">
        <v>5729773.4000000004</v>
      </c>
      <c r="P43" s="41">
        <v>370966022.87</v>
      </c>
      <c r="Q43" s="34">
        <f t="shared" si="16"/>
        <v>6.2394398584160536E-4</v>
      </c>
      <c r="R43" s="41">
        <v>301189791.32999998</v>
      </c>
      <c r="S43" s="34">
        <f t="shared" si="17"/>
        <v>4.8608063804659994E-4</v>
      </c>
      <c r="T43" s="35">
        <f t="shared" si="18"/>
        <v>-0.18809332186320513</v>
      </c>
      <c r="U43" s="70">
        <f t="shared" si="19"/>
        <v>1.5114758637393953E-3</v>
      </c>
      <c r="V43" s="36">
        <f t="shared" si="20"/>
        <v>7.1132210044019617E-3</v>
      </c>
      <c r="W43" s="37">
        <f t="shared" si="21"/>
        <v>1.0092447889630287</v>
      </c>
      <c r="X43" s="37">
        <f t="shared" si="22"/>
        <v>7.1789812314350422E-3</v>
      </c>
      <c r="Y43" s="31">
        <v>1</v>
      </c>
      <c r="Z43" s="31">
        <v>1</v>
      </c>
      <c r="AA43" s="169">
        <v>264</v>
      </c>
      <c r="AB43" s="169">
        <v>372427578</v>
      </c>
      <c r="AC43" s="169">
        <v>10025000</v>
      </c>
      <c r="AD43" s="169">
        <v>84021717</v>
      </c>
      <c r="AE43" s="170">
        <f>(AB43+AC43)-AD43</f>
        <v>298430861</v>
      </c>
      <c r="AF43" s="10"/>
      <c r="AG43" s="11"/>
      <c r="AH43" s="5"/>
      <c r="AI43" s="6"/>
      <c r="AJ43" s="6"/>
      <c r="AK43" s="6"/>
      <c r="AL43" s="7"/>
      <c r="AM43" s="5"/>
      <c r="AN43" s="6"/>
      <c r="AO43" s="6"/>
      <c r="AP43" s="6"/>
      <c r="AQ43" s="7"/>
      <c r="AR43" s="5"/>
      <c r="AS43" s="6"/>
      <c r="AT43" s="6"/>
      <c r="AU43" s="6"/>
      <c r="AV43" s="7"/>
    </row>
    <row r="44" spans="1:258" ht="16.5" customHeight="1" x14ac:dyDescent="0.3">
      <c r="A44" s="194">
        <v>39</v>
      </c>
      <c r="B44" s="69" t="s">
        <v>50</v>
      </c>
      <c r="C44" s="69" t="s">
        <v>84</v>
      </c>
      <c r="D44" s="64"/>
      <c r="E44" s="64"/>
      <c r="F44" s="64">
        <v>340763189.25999999</v>
      </c>
      <c r="G44" s="64"/>
      <c r="H44" s="64"/>
      <c r="I44" s="64"/>
      <c r="J44" s="64">
        <v>340763189.25999999</v>
      </c>
      <c r="K44" s="64">
        <v>2269049.2400000002</v>
      </c>
      <c r="L44" s="64">
        <v>486633.67</v>
      </c>
      <c r="M44" s="172">
        <v>1782415.57</v>
      </c>
      <c r="N44" s="31">
        <v>356804325.70999998</v>
      </c>
      <c r="O44" s="31">
        <v>486633.67</v>
      </c>
      <c r="P44" s="41">
        <v>267536468.49000001</v>
      </c>
      <c r="Q44" s="34">
        <f t="shared" si="16"/>
        <v>4.4998129266985522E-4</v>
      </c>
      <c r="R44" s="41">
        <v>356317692.04000002</v>
      </c>
      <c r="S44" s="34">
        <f t="shared" si="17"/>
        <v>5.7504980606838923E-4</v>
      </c>
      <c r="T44" s="35">
        <f t="shared" si="18"/>
        <v>0.33184718349273745</v>
      </c>
      <c r="U44" s="70">
        <f>(L44/R44)</f>
        <v>1.365729743066956E-3</v>
      </c>
      <c r="V44" s="36">
        <f t="shared" si="20"/>
        <v>5.0023212706482934E-3</v>
      </c>
      <c r="W44" s="37">
        <f t="shared" si="21"/>
        <v>102.00462137289378</v>
      </c>
      <c r="X44" s="37">
        <f t="shared" si="22"/>
        <v>0.51025988719805204</v>
      </c>
      <c r="Y44" s="31">
        <v>100</v>
      </c>
      <c r="Z44" s="31">
        <v>100</v>
      </c>
      <c r="AA44" s="169">
        <v>746</v>
      </c>
      <c r="AB44" s="169">
        <v>2636255.0699999998</v>
      </c>
      <c r="AC44" s="169">
        <v>1021761.36</v>
      </c>
      <c r="AD44" s="169">
        <v>164863.99</v>
      </c>
      <c r="AE44" s="170">
        <f t="shared" ref="AE44:AE50" si="25">(AB44+AC44)-AD44</f>
        <v>3493152.4399999995</v>
      </c>
      <c r="AF44" s="30"/>
      <c r="AG44" s="14"/>
      <c r="AH44" s="5"/>
      <c r="AI44" s="6"/>
      <c r="AJ44" s="6"/>
      <c r="AK44" s="6"/>
      <c r="AL44" s="7"/>
      <c r="AM44" s="5"/>
      <c r="AN44" s="6"/>
      <c r="AO44" s="6"/>
      <c r="AP44" s="6"/>
      <c r="AQ44" s="7"/>
      <c r="AR44" s="5"/>
      <c r="AS44" s="6"/>
      <c r="AT44" s="6"/>
      <c r="AU44" s="6"/>
      <c r="AV44" s="7"/>
    </row>
    <row r="45" spans="1:258" ht="16.5" customHeight="1" x14ac:dyDescent="0.3">
      <c r="A45" s="194">
        <v>40</v>
      </c>
      <c r="B45" s="69" t="s">
        <v>85</v>
      </c>
      <c r="C45" s="69" t="s">
        <v>86</v>
      </c>
      <c r="D45" s="64"/>
      <c r="E45" s="64"/>
      <c r="F45" s="64">
        <v>78123131.700000003</v>
      </c>
      <c r="G45" s="64"/>
      <c r="H45" s="64"/>
      <c r="I45" s="64"/>
      <c r="J45" s="64">
        <v>78123131.700000003</v>
      </c>
      <c r="K45" s="64">
        <v>834503.38</v>
      </c>
      <c r="L45" s="64">
        <v>146948.63</v>
      </c>
      <c r="M45" s="172">
        <v>687554.75</v>
      </c>
      <c r="N45" s="31">
        <v>114441345.31</v>
      </c>
      <c r="O45" s="31">
        <v>114020110.29000001</v>
      </c>
      <c r="P45" s="41">
        <v>110036399.31</v>
      </c>
      <c r="Q45" s="34">
        <f t="shared" si="16"/>
        <v>1.8507503474839696E-4</v>
      </c>
      <c r="R45" s="41">
        <v>111604611.14</v>
      </c>
      <c r="S45" s="34">
        <f t="shared" si="17"/>
        <v>1.801151372107293E-4</v>
      </c>
      <c r="T45" s="35">
        <f>((R45-P45)/P45)</f>
        <v>1.4251755235846587E-2</v>
      </c>
      <c r="U45" s="115">
        <f>(L45/R45)</f>
        <v>1.3166895928311015E-3</v>
      </c>
      <c r="V45" s="36">
        <f t="shared" si="20"/>
        <v>6.16063030888134E-3</v>
      </c>
      <c r="W45" s="37">
        <f t="shared" si="21"/>
        <v>0.98367162875702907</v>
      </c>
      <c r="X45" s="37">
        <f t="shared" si="22"/>
        <v>6.0600372501072265E-3</v>
      </c>
      <c r="Y45" s="31">
        <v>1</v>
      </c>
      <c r="Z45" s="31">
        <v>1</v>
      </c>
      <c r="AA45" s="169">
        <v>38</v>
      </c>
      <c r="AB45" s="169">
        <v>113221824.54000001</v>
      </c>
      <c r="AC45" s="169">
        <v>1112000</v>
      </c>
      <c r="AD45" s="169">
        <v>876642.41</v>
      </c>
      <c r="AE45" s="170">
        <f t="shared" si="25"/>
        <v>113457182.13000001</v>
      </c>
      <c r="AF45" s="29"/>
      <c r="AG45" s="15"/>
      <c r="AH45" s="5"/>
      <c r="AI45" s="6"/>
      <c r="AJ45" s="6"/>
      <c r="AK45" s="6"/>
      <c r="AL45" s="7"/>
      <c r="AM45" s="5"/>
      <c r="AN45" s="6"/>
      <c r="AO45" s="6"/>
      <c r="AP45" s="6"/>
      <c r="AQ45" s="7"/>
      <c r="AR45" s="5"/>
      <c r="AS45" s="6"/>
      <c r="AT45" s="6"/>
      <c r="AU45" s="6"/>
      <c r="AV45" s="7"/>
    </row>
    <row r="46" spans="1:258" ht="16.5" customHeight="1" x14ac:dyDescent="0.3">
      <c r="A46" s="194">
        <v>41</v>
      </c>
      <c r="B46" s="69" t="s">
        <v>87</v>
      </c>
      <c r="C46" s="72" t="s">
        <v>88</v>
      </c>
      <c r="D46" s="64"/>
      <c r="E46" s="64"/>
      <c r="F46" s="64">
        <v>615320165.01999998</v>
      </c>
      <c r="G46" s="64"/>
      <c r="H46" s="64"/>
      <c r="I46" s="64"/>
      <c r="J46" s="64">
        <v>845752051.67999995</v>
      </c>
      <c r="K46" s="64">
        <v>8080889.9000000004</v>
      </c>
      <c r="L46" s="64">
        <v>1684349.35</v>
      </c>
      <c r="M46" s="172">
        <v>6396540.5499999998</v>
      </c>
      <c r="N46" s="31">
        <v>1442338156.9000001</v>
      </c>
      <c r="O46" s="31">
        <v>7983386.8600000003</v>
      </c>
      <c r="P46" s="41">
        <v>1370930516.47</v>
      </c>
      <c r="Q46" s="34">
        <f t="shared" si="16"/>
        <v>2.3058280220394742E-3</v>
      </c>
      <c r="R46" s="41">
        <v>1434354770.03</v>
      </c>
      <c r="S46" s="34">
        <f t="shared" si="17"/>
        <v>2.3148596063717942E-3</v>
      </c>
      <c r="T46" s="35">
        <f t="shared" si="18"/>
        <v>4.6263652897092576E-2</v>
      </c>
      <c r="U46" s="70">
        <f t="shared" si="19"/>
        <v>1.1742906184672647E-3</v>
      </c>
      <c r="V46" s="36">
        <f t="shared" si="20"/>
        <v>4.45952471707276E-3</v>
      </c>
      <c r="W46" s="37">
        <f t="shared" si="21"/>
        <v>1.013371966501224</v>
      </c>
      <c r="X46" s="37">
        <f t="shared" si="22"/>
        <v>4.5191573322008382E-3</v>
      </c>
      <c r="Y46" s="31">
        <v>1</v>
      </c>
      <c r="Z46" s="31">
        <v>1.02</v>
      </c>
      <c r="AA46" s="169">
        <v>34</v>
      </c>
      <c r="AB46" s="169">
        <v>1358400005</v>
      </c>
      <c r="AC46" s="169">
        <v>60027713</v>
      </c>
      <c r="AD46" s="169">
        <v>3000000</v>
      </c>
      <c r="AE46" s="170">
        <f t="shared" si="25"/>
        <v>1415427718</v>
      </c>
      <c r="AF46" s="29"/>
      <c r="AG46" s="15"/>
      <c r="AH46" s="5"/>
      <c r="AI46" s="6"/>
      <c r="AJ46" s="6"/>
      <c r="AK46" s="6"/>
      <c r="AL46" s="7"/>
      <c r="AM46" s="5"/>
      <c r="AN46" s="6"/>
      <c r="AO46" s="6"/>
      <c r="AP46" s="6"/>
      <c r="AQ46" s="7"/>
      <c r="AR46" s="5"/>
      <c r="AS46" s="6"/>
      <c r="AT46" s="6"/>
      <c r="AU46" s="6"/>
      <c r="AV46" s="7"/>
    </row>
    <row r="47" spans="1:258" ht="16.5" customHeight="1" x14ac:dyDescent="0.3">
      <c r="A47" s="194">
        <v>42</v>
      </c>
      <c r="B47" s="68" t="s">
        <v>89</v>
      </c>
      <c r="C47" s="69" t="s">
        <v>90</v>
      </c>
      <c r="D47" s="64"/>
      <c r="E47" s="64"/>
      <c r="F47" s="64">
        <v>113971362.89</v>
      </c>
      <c r="G47" s="64"/>
      <c r="H47" s="64"/>
      <c r="I47" s="64">
        <v>8211412.6299999999</v>
      </c>
      <c r="J47" s="64">
        <f>SUM(F47:I47)</f>
        <v>122182775.52</v>
      </c>
      <c r="K47" s="64">
        <v>1097081.67</v>
      </c>
      <c r="L47" s="64">
        <v>60318.25</v>
      </c>
      <c r="M47" s="172">
        <v>1036763.42</v>
      </c>
      <c r="N47" s="31">
        <v>163977123.72999999</v>
      </c>
      <c r="O47" s="31">
        <v>4653872.91</v>
      </c>
      <c r="P47" s="41">
        <v>157820514</v>
      </c>
      <c r="Q47" s="34">
        <f t="shared" si="16"/>
        <v>2.6544522808558872E-4</v>
      </c>
      <c r="R47" s="41">
        <v>157728141.75</v>
      </c>
      <c r="S47" s="34">
        <f t="shared" si="17"/>
        <v>2.5455243831867548E-4</v>
      </c>
      <c r="T47" s="35">
        <f>((R47-P47)/P47)</f>
        <v>-5.8529938636494368E-4</v>
      </c>
      <c r="U47" s="70">
        <f>(L47/R47)</f>
        <v>3.8241907455934383E-4</v>
      </c>
      <c r="V47" s="36">
        <f>M47/R47</f>
        <v>6.5731036230888716E-3</v>
      </c>
      <c r="W47" s="37">
        <f>R47/AE47</f>
        <v>1</v>
      </c>
      <c r="X47" s="37">
        <f>M47/AE47</f>
        <v>6.5731036230888716E-3</v>
      </c>
      <c r="Y47" s="31">
        <v>1</v>
      </c>
      <c r="Z47" s="31">
        <v>1</v>
      </c>
      <c r="AA47" s="169">
        <v>38</v>
      </c>
      <c r="AB47" s="169">
        <v>158366514</v>
      </c>
      <c r="AC47" s="169">
        <v>295000</v>
      </c>
      <c r="AD47" s="169">
        <v>933372.25</v>
      </c>
      <c r="AE47" s="170">
        <f t="shared" si="25"/>
        <v>157728141.75</v>
      </c>
      <c r="AF47" s="29"/>
      <c r="AG47" s="15"/>
      <c r="AH47" s="5"/>
      <c r="AI47" s="6"/>
      <c r="AJ47" s="6"/>
      <c r="AK47" s="6"/>
      <c r="AL47" s="7"/>
      <c r="AM47" s="5"/>
      <c r="AN47" s="6"/>
      <c r="AO47" s="6"/>
      <c r="AP47" s="6"/>
      <c r="AQ47" s="7"/>
      <c r="AR47" s="5"/>
      <c r="AS47" s="6"/>
      <c r="AT47" s="6"/>
      <c r="AU47" s="6"/>
      <c r="AV47" s="7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  <c r="GN47" s="26"/>
      <c r="GO47" s="26"/>
      <c r="GP47" s="26"/>
      <c r="GQ47" s="26"/>
      <c r="GR47" s="26"/>
      <c r="GS47" s="26"/>
      <c r="GT47" s="26"/>
      <c r="GU47" s="26"/>
      <c r="GV47" s="26"/>
      <c r="GW47" s="26"/>
      <c r="GX47" s="26"/>
      <c r="GY47" s="26"/>
      <c r="GZ47" s="26"/>
      <c r="HA47" s="26"/>
      <c r="HB47" s="26"/>
      <c r="HC47" s="26"/>
      <c r="HD47" s="26"/>
      <c r="HE47" s="26"/>
      <c r="HF47" s="26"/>
      <c r="HG47" s="26"/>
      <c r="HH47" s="26"/>
      <c r="HI47" s="26"/>
      <c r="HJ47" s="26"/>
      <c r="HK47" s="26"/>
      <c r="HL47" s="26"/>
      <c r="HM47" s="26"/>
      <c r="HN47" s="26"/>
      <c r="HO47" s="26"/>
      <c r="HP47" s="26"/>
      <c r="HQ47" s="26"/>
      <c r="HR47" s="26"/>
      <c r="HS47" s="26"/>
      <c r="HT47" s="26"/>
      <c r="HU47" s="26"/>
      <c r="HV47" s="26"/>
      <c r="HW47" s="26"/>
      <c r="HX47" s="26"/>
      <c r="HY47" s="26"/>
      <c r="HZ47" s="26"/>
      <c r="IA47" s="26"/>
      <c r="IB47" s="26"/>
      <c r="IC47" s="26"/>
      <c r="ID47" s="26"/>
      <c r="IE47" s="26"/>
      <c r="IF47" s="26"/>
      <c r="IG47" s="26"/>
      <c r="IH47" s="26"/>
      <c r="II47" s="26"/>
      <c r="IJ47" s="26"/>
      <c r="IK47" s="26"/>
      <c r="IL47" s="26"/>
      <c r="IM47" s="26"/>
      <c r="IN47" s="26"/>
      <c r="IO47" s="26"/>
      <c r="IP47" s="26"/>
      <c r="IQ47" s="26"/>
      <c r="IR47" s="26"/>
      <c r="IS47" s="26"/>
      <c r="IT47" s="26"/>
      <c r="IU47" s="26"/>
      <c r="IV47" s="26"/>
      <c r="IW47" s="26"/>
      <c r="IX47" s="26"/>
    </row>
    <row r="48" spans="1:258" ht="16.5" customHeight="1" x14ac:dyDescent="0.3">
      <c r="A48" s="194">
        <v>43</v>
      </c>
      <c r="B48" s="68" t="s">
        <v>159</v>
      </c>
      <c r="C48" s="68" t="s">
        <v>160</v>
      </c>
      <c r="D48" s="64"/>
      <c r="E48" s="64"/>
      <c r="F48" s="64">
        <v>351153157.82999998</v>
      </c>
      <c r="G48" s="64"/>
      <c r="H48" s="64"/>
      <c r="I48" s="64">
        <v>1313189.6499999999</v>
      </c>
      <c r="J48" s="64">
        <v>352466347.48000002</v>
      </c>
      <c r="K48" s="64">
        <v>21194269.66</v>
      </c>
      <c r="L48" s="64">
        <v>4137632.31</v>
      </c>
      <c r="M48" s="172">
        <v>17056637.350000001</v>
      </c>
      <c r="N48" s="31">
        <v>885032363.16999996</v>
      </c>
      <c r="O48" s="31">
        <v>861179751.04999995</v>
      </c>
      <c r="P48" s="41">
        <v>805416315.55999994</v>
      </c>
      <c r="Q48" s="34">
        <f t="shared" si="16"/>
        <v>1.3546649429089978E-3</v>
      </c>
      <c r="R48" s="41">
        <v>862131775.38999999</v>
      </c>
      <c r="S48" s="34">
        <f t="shared" si="17"/>
        <v>1.3913670898714761E-3</v>
      </c>
      <c r="T48" s="35">
        <f>((R48-P48)/P48)</f>
        <v>7.0417570061970011E-2</v>
      </c>
      <c r="U48" s="70">
        <f>(L48/R48)</f>
        <v>4.7993038049528704E-3</v>
      </c>
      <c r="V48" s="36">
        <f>M48/R48</f>
        <v>1.9784257855806488E-2</v>
      </c>
      <c r="W48" s="37">
        <f>R48/AE48</f>
        <v>1.0011054885334207</v>
      </c>
      <c r="X48" s="37">
        <f>M48/AE48</f>
        <v>1.9806129126008321E-2</v>
      </c>
      <c r="Y48" s="31">
        <v>1</v>
      </c>
      <c r="Z48" s="31">
        <v>1</v>
      </c>
      <c r="AA48" s="169">
        <v>231</v>
      </c>
      <c r="AB48" s="169">
        <v>805287613.51999998</v>
      </c>
      <c r="AC48" s="169">
        <v>71797707.090000004</v>
      </c>
      <c r="AD48" s="169">
        <v>15905569.560000001</v>
      </c>
      <c r="AE48" s="170">
        <f>(AB48+AC48)-AD48</f>
        <v>861179751.05000007</v>
      </c>
      <c r="AF48" s="29"/>
      <c r="AG48" s="15"/>
      <c r="AH48" s="5"/>
      <c r="AI48" s="6"/>
      <c r="AJ48" s="6"/>
      <c r="AK48" s="6"/>
      <c r="AL48" s="7"/>
      <c r="AM48" s="5"/>
      <c r="AN48" s="6"/>
      <c r="AO48" s="6"/>
      <c r="AP48" s="6"/>
      <c r="AQ48" s="7"/>
      <c r="AR48" s="5"/>
      <c r="AS48" s="6"/>
      <c r="AT48" s="6"/>
      <c r="AU48" s="6"/>
      <c r="AV48" s="7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  <c r="GN48" s="26"/>
      <c r="GO48" s="26"/>
      <c r="GP48" s="26"/>
      <c r="GQ48" s="26"/>
      <c r="GR48" s="26"/>
      <c r="GS48" s="26"/>
      <c r="GT48" s="26"/>
      <c r="GU48" s="26"/>
      <c r="GV48" s="26"/>
      <c r="GW48" s="26"/>
      <c r="GX48" s="26"/>
      <c r="GY48" s="26"/>
      <c r="GZ48" s="26"/>
      <c r="HA48" s="26"/>
      <c r="HB48" s="26"/>
      <c r="HC48" s="26"/>
      <c r="HD48" s="26"/>
      <c r="HE48" s="26"/>
      <c r="HF48" s="26"/>
      <c r="HG48" s="26"/>
      <c r="HH48" s="26"/>
      <c r="HI48" s="26"/>
      <c r="HJ48" s="26"/>
      <c r="HK48" s="26"/>
      <c r="HL48" s="26"/>
      <c r="HM48" s="26"/>
      <c r="HN48" s="26"/>
      <c r="HO48" s="26"/>
      <c r="HP48" s="26"/>
      <c r="HQ48" s="26"/>
      <c r="HR48" s="26"/>
      <c r="HS48" s="26"/>
      <c r="HT48" s="26"/>
      <c r="HU48" s="26"/>
      <c r="HV48" s="26"/>
      <c r="HW48" s="26"/>
      <c r="HX48" s="26"/>
      <c r="HY48" s="26"/>
      <c r="HZ48" s="26"/>
      <c r="IA48" s="26"/>
      <c r="IB48" s="26"/>
      <c r="IC48" s="26"/>
      <c r="ID48" s="26"/>
      <c r="IE48" s="26"/>
      <c r="IF48" s="26"/>
      <c r="IG48" s="26"/>
      <c r="IH48" s="26"/>
      <c r="II48" s="26"/>
      <c r="IJ48" s="26"/>
      <c r="IK48" s="26"/>
      <c r="IL48" s="26"/>
      <c r="IM48" s="26"/>
      <c r="IN48" s="26"/>
      <c r="IO48" s="26"/>
      <c r="IP48" s="26"/>
      <c r="IQ48" s="26"/>
      <c r="IR48" s="26"/>
      <c r="IS48" s="26"/>
      <c r="IT48" s="26"/>
      <c r="IU48" s="26"/>
      <c r="IV48" s="26"/>
      <c r="IW48" s="26"/>
      <c r="IX48" s="26"/>
    </row>
    <row r="49" spans="1:258" ht="16.5" customHeight="1" x14ac:dyDescent="0.3">
      <c r="A49" s="194">
        <v>44</v>
      </c>
      <c r="B49" s="68" t="s">
        <v>155</v>
      </c>
      <c r="C49" s="69" t="s">
        <v>156</v>
      </c>
      <c r="D49" s="64"/>
      <c r="E49" s="64"/>
      <c r="F49" s="64">
        <v>6744153.8700000001</v>
      </c>
      <c r="G49" s="64"/>
      <c r="H49" s="64"/>
      <c r="I49" s="64"/>
      <c r="J49" s="64">
        <v>6744153.8700000001</v>
      </c>
      <c r="K49" s="64">
        <v>13269.37</v>
      </c>
      <c r="L49" s="64">
        <v>9907.5400000000009</v>
      </c>
      <c r="M49" s="172">
        <v>3361.83</v>
      </c>
      <c r="N49" s="31">
        <v>7058338.4699999997</v>
      </c>
      <c r="O49" s="31">
        <v>233251.43</v>
      </c>
      <c r="P49" s="41">
        <v>6841860</v>
      </c>
      <c r="Q49" s="34">
        <f t="shared" si="16"/>
        <v>1.1507623706191112E-5</v>
      </c>
      <c r="R49" s="41">
        <v>6825087.04</v>
      </c>
      <c r="S49" s="34">
        <f t="shared" si="17"/>
        <v>1.1014791200183473E-5</v>
      </c>
      <c r="T49" s="35">
        <f>((R49-P49)/P49)</f>
        <v>-2.4515204929653578E-3</v>
      </c>
      <c r="U49" s="70">
        <f>(L49/R49)</f>
        <v>1.4516356995792981E-3</v>
      </c>
      <c r="V49" s="36">
        <f>M49/R49</f>
        <v>4.9256954238051734E-4</v>
      </c>
      <c r="W49" s="37">
        <f>R49/AE49</f>
        <v>102.90368699585375</v>
      </c>
      <c r="X49" s="37">
        <f>M49/AE49</f>
        <v>5.0687222012815676E-2</v>
      </c>
      <c r="Y49" s="31">
        <v>100</v>
      </c>
      <c r="Z49" s="31">
        <v>100</v>
      </c>
      <c r="AA49" s="169">
        <v>71</v>
      </c>
      <c r="AB49" s="169">
        <v>66525</v>
      </c>
      <c r="AC49" s="169"/>
      <c r="AD49" s="169">
        <v>200</v>
      </c>
      <c r="AE49" s="170">
        <f t="shared" si="25"/>
        <v>66325</v>
      </c>
      <c r="AF49" s="29"/>
      <c r="AG49" s="15"/>
      <c r="AH49" s="5"/>
      <c r="AI49" s="6"/>
      <c r="AJ49" s="6"/>
      <c r="AK49" s="6"/>
      <c r="AL49" s="7"/>
      <c r="AM49" s="5"/>
      <c r="AN49" s="6"/>
      <c r="AO49" s="6"/>
      <c r="AP49" s="6"/>
      <c r="AQ49" s="7"/>
      <c r="AR49" s="5"/>
      <c r="AS49" s="6"/>
      <c r="AT49" s="6"/>
      <c r="AU49" s="6"/>
      <c r="AV49" s="7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  <c r="GN49" s="26"/>
      <c r="GO49" s="26"/>
      <c r="GP49" s="26"/>
      <c r="GQ49" s="26"/>
      <c r="GR49" s="26"/>
      <c r="GS49" s="26"/>
      <c r="GT49" s="26"/>
      <c r="GU49" s="26"/>
      <c r="GV49" s="26"/>
      <c r="GW49" s="26"/>
      <c r="GX49" s="26"/>
      <c r="GY49" s="26"/>
      <c r="GZ49" s="26"/>
      <c r="HA49" s="26"/>
      <c r="HB49" s="26"/>
      <c r="HC49" s="26"/>
      <c r="HD49" s="26"/>
      <c r="HE49" s="26"/>
      <c r="HF49" s="26"/>
      <c r="HG49" s="26"/>
      <c r="HH49" s="26"/>
      <c r="HI49" s="26"/>
      <c r="HJ49" s="26"/>
      <c r="HK49" s="26"/>
      <c r="HL49" s="26"/>
      <c r="HM49" s="26"/>
      <c r="HN49" s="26"/>
      <c r="HO49" s="26"/>
      <c r="HP49" s="26"/>
      <c r="HQ49" s="26"/>
      <c r="HR49" s="26"/>
      <c r="HS49" s="26"/>
      <c r="HT49" s="26"/>
      <c r="HU49" s="26"/>
      <c r="HV49" s="26"/>
      <c r="HW49" s="26"/>
      <c r="HX49" s="26"/>
      <c r="HY49" s="26"/>
      <c r="HZ49" s="26"/>
      <c r="IA49" s="26"/>
      <c r="IB49" s="26"/>
      <c r="IC49" s="26"/>
      <c r="ID49" s="26"/>
      <c r="IE49" s="26"/>
      <c r="IF49" s="26"/>
      <c r="IG49" s="26"/>
      <c r="IH49" s="26"/>
      <c r="II49" s="26"/>
      <c r="IJ49" s="26"/>
      <c r="IK49" s="26"/>
      <c r="IL49" s="26"/>
      <c r="IM49" s="26"/>
      <c r="IN49" s="26"/>
      <c r="IO49" s="26"/>
      <c r="IP49" s="26"/>
      <c r="IQ49" s="26"/>
      <c r="IR49" s="26"/>
      <c r="IS49" s="26"/>
      <c r="IT49" s="26"/>
      <c r="IU49" s="26"/>
      <c r="IV49" s="26"/>
      <c r="IW49" s="26"/>
      <c r="IX49" s="26"/>
    </row>
    <row r="50" spans="1:258" ht="16.5" customHeight="1" x14ac:dyDescent="0.3">
      <c r="A50" s="198">
        <v>45</v>
      </c>
      <c r="B50" s="199" t="s">
        <v>153</v>
      </c>
      <c r="C50" s="69" t="s">
        <v>170</v>
      </c>
      <c r="D50" s="64"/>
      <c r="E50" s="64"/>
      <c r="F50" s="64">
        <v>705305690.85000002</v>
      </c>
      <c r="G50" s="64"/>
      <c r="H50" s="64"/>
      <c r="I50" s="64"/>
      <c r="J50" s="64">
        <v>705305690.85000002</v>
      </c>
      <c r="K50" s="64">
        <v>10893810.82</v>
      </c>
      <c r="L50" s="64">
        <v>1418445.81</v>
      </c>
      <c r="M50" s="172">
        <v>9475365.0099999998</v>
      </c>
      <c r="N50" s="31">
        <v>1058889806.4</v>
      </c>
      <c r="O50" s="31">
        <v>27502881.07</v>
      </c>
      <c r="P50" s="41">
        <v>862792788.24000001</v>
      </c>
      <c r="Q50" s="34">
        <f t="shared" si="16"/>
        <v>1.4511689428724575E-3</v>
      </c>
      <c r="R50" s="41">
        <v>1031386925.33</v>
      </c>
      <c r="S50" s="34">
        <f t="shared" si="17"/>
        <v>1.6645226005951674E-3</v>
      </c>
      <c r="T50" s="35">
        <f>((R50-P50)/P50)</f>
        <v>0.19540513016330729</v>
      </c>
      <c r="U50" s="70">
        <f t="shared" si="19"/>
        <v>1.3752799993524813E-3</v>
      </c>
      <c r="V50" s="36">
        <f t="shared" si="20"/>
        <v>9.1870129214293508E-3</v>
      </c>
      <c r="W50" s="37">
        <f t="shared" si="21"/>
        <v>99.818518973065991</v>
      </c>
      <c r="X50" s="37">
        <f t="shared" si="22"/>
        <v>0.91703402360349806</v>
      </c>
      <c r="Y50" s="31">
        <v>100</v>
      </c>
      <c r="Z50" s="31">
        <v>100</v>
      </c>
      <c r="AA50" s="169">
        <v>542</v>
      </c>
      <c r="AB50" s="169">
        <v>8603882</v>
      </c>
      <c r="AC50" s="169">
        <v>3737901</v>
      </c>
      <c r="AD50" s="169">
        <v>2009162</v>
      </c>
      <c r="AE50" s="170">
        <f t="shared" si="25"/>
        <v>10332621</v>
      </c>
      <c r="AF50" s="29"/>
      <c r="AG50" s="15"/>
      <c r="AH50" s="5"/>
      <c r="AI50" s="6"/>
      <c r="AJ50" s="6"/>
      <c r="AK50" s="6"/>
      <c r="AL50" s="7"/>
      <c r="AM50" s="5"/>
      <c r="AN50" s="6"/>
      <c r="AO50" s="6"/>
      <c r="AP50" s="6"/>
      <c r="AQ50" s="7"/>
      <c r="AR50" s="5"/>
      <c r="AS50" s="6"/>
      <c r="AT50" s="6"/>
      <c r="AU50" s="6"/>
      <c r="AV50" s="7"/>
    </row>
    <row r="51" spans="1:258" ht="16.5" customHeight="1" x14ac:dyDescent="0.3">
      <c r="A51" s="132" t="s">
        <v>91</v>
      </c>
      <c r="B51" s="103"/>
      <c r="C51" s="46" t="s">
        <v>52</v>
      </c>
      <c r="D51" s="47"/>
      <c r="E51" s="47"/>
      <c r="F51" s="47">
        <f t="shared" ref="F51" si="26">SUM(F22:F50)</f>
        <v>515895855459.18011</v>
      </c>
      <c r="G51" s="47"/>
      <c r="H51" s="47"/>
      <c r="I51" s="47">
        <f t="shared" ref="I51" si="27">SUM(I22:I50)</f>
        <v>419272896.27999997</v>
      </c>
      <c r="J51" s="47">
        <f t="shared" ref="J51" si="28">SUM(J22:J50)</f>
        <v>520134524656.98999</v>
      </c>
      <c r="K51" s="47">
        <f t="shared" ref="K51" si="29">SUM(K22:K50)</f>
        <v>4013741357.4900002</v>
      </c>
      <c r="L51" s="47">
        <f t="shared" ref="L51" si="30">SUM(L22:L50)</f>
        <v>959355363.79999995</v>
      </c>
      <c r="M51" s="47">
        <f t="shared" ref="M51:N51" si="31">SUM(M22:M50)</f>
        <v>3055401632.0200009</v>
      </c>
      <c r="N51" s="47">
        <f t="shared" si="31"/>
        <v>626207318941.3302</v>
      </c>
      <c r="O51" s="47">
        <f>SUM(O22:O50)</f>
        <v>7533803285.749999</v>
      </c>
      <c r="P51" s="48">
        <f>SUM(P22:P50)</f>
        <v>594550202082.04004</v>
      </c>
      <c r="Q51" s="102">
        <f>(P51/$P$150)</f>
        <v>0.42917577009617791</v>
      </c>
      <c r="R51" s="48">
        <f>SUM(R22:R50)</f>
        <v>619629270855.93005</v>
      </c>
      <c r="S51" s="102">
        <f>(R51/$R$150)</f>
        <v>0.43860334289045089</v>
      </c>
      <c r="T51" s="49">
        <f t="shared" si="18"/>
        <v>4.2181583129677305E-2</v>
      </c>
      <c r="U51" s="62"/>
      <c r="V51" s="50"/>
      <c r="W51" s="51"/>
      <c r="X51" s="51"/>
      <c r="Y51" s="47"/>
      <c r="Z51" s="47"/>
      <c r="AA51" s="52">
        <f>SUM(AA22:AA50)</f>
        <v>646186</v>
      </c>
      <c r="AB51" s="52"/>
      <c r="AC51" s="52"/>
      <c r="AD51" s="52"/>
      <c r="AE51" s="130"/>
      <c r="AF51" s="13"/>
      <c r="AG51" s="4"/>
      <c r="AH51" s="5"/>
      <c r="AI51" s="6"/>
      <c r="AJ51" s="6"/>
      <c r="AK51" s="6"/>
      <c r="AL51" s="7"/>
      <c r="AM51" s="5"/>
      <c r="AN51" s="6"/>
      <c r="AO51" s="6"/>
      <c r="AP51" s="6"/>
      <c r="AQ51" s="7"/>
      <c r="AR51" s="5"/>
      <c r="AS51" s="6"/>
      <c r="AT51" s="6"/>
      <c r="AU51" s="6"/>
      <c r="AV51" s="7"/>
    </row>
    <row r="52" spans="1:258" ht="16.5" customHeight="1" x14ac:dyDescent="0.3">
      <c r="A52" s="225" t="s">
        <v>189</v>
      </c>
      <c r="B52" s="223"/>
      <c r="C52" s="223"/>
      <c r="D52" s="56"/>
      <c r="E52" s="56"/>
      <c r="F52" s="56"/>
      <c r="G52" s="56"/>
      <c r="H52" s="56"/>
      <c r="I52" s="56"/>
      <c r="J52" s="56"/>
      <c r="K52" s="56"/>
      <c r="L52" s="56"/>
      <c r="M52" s="188"/>
      <c r="N52" s="56"/>
      <c r="O52" s="56"/>
      <c r="P52" s="56">
        <v>0</v>
      </c>
      <c r="Q52" s="35"/>
      <c r="R52" s="56">
        <v>0</v>
      </c>
      <c r="S52" s="35"/>
      <c r="T52" s="35"/>
      <c r="U52" s="35"/>
      <c r="V52" s="57"/>
      <c r="W52" s="58"/>
      <c r="X52" s="58"/>
      <c r="Y52" s="56"/>
      <c r="Z52" s="56"/>
      <c r="AA52" s="56"/>
      <c r="AB52" s="56"/>
      <c r="AC52" s="56"/>
      <c r="AD52" s="56"/>
      <c r="AE52" s="133"/>
      <c r="AF52" s="13"/>
      <c r="AG52" s="4"/>
      <c r="AH52" s="5"/>
      <c r="AI52" s="6"/>
      <c r="AJ52" s="6"/>
      <c r="AK52" s="6"/>
      <c r="AL52" s="7"/>
      <c r="AM52" s="5"/>
      <c r="AN52" s="6"/>
      <c r="AO52" s="6"/>
      <c r="AP52" s="6"/>
      <c r="AQ52" s="7"/>
      <c r="AR52" s="5"/>
      <c r="AS52" s="6"/>
      <c r="AT52" s="6"/>
      <c r="AU52" s="6"/>
      <c r="AV52" s="7"/>
    </row>
    <row r="53" spans="1:258" ht="16.5" customHeight="1" x14ac:dyDescent="0.3">
      <c r="A53" s="194">
        <v>46</v>
      </c>
      <c r="B53" s="69" t="s">
        <v>23</v>
      </c>
      <c r="C53" s="69" t="s">
        <v>92</v>
      </c>
      <c r="D53" s="31"/>
      <c r="E53" s="31"/>
      <c r="F53" s="31">
        <v>11400592945.790001</v>
      </c>
      <c r="G53" s="31">
        <v>56201660787.080002</v>
      </c>
      <c r="H53" s="31"/>
      <c r="I53" s="31"/>
      <c r="J53" s="31">
        <v>67602253732.870003</v>
      </c>
      <c r="K53" s="31">
        <v>473305929.88999999</v>
      </c>
      <c r="L53" s="31">
        <v>126944890.94</v>
      </c>
      <c r="M53" s="172">
        <v>346361038.94999999</v>
      </c>
      <c r="N53" s="31">
        <v>70470026797.880005</v>
      </c>
      <c r="O53" s="31">
        <v>566032987.25999999</v>
      </c>
      <c r="P53" s="41">
        <v>82983416870.570007</v>
      </c>
      <c r="Q53" s="34">
        <f t="shared" ref="Q53:Q80" si="32">(P53/$P$81)</f>
        <v>0.20467861754018768</v>
      </c>
      <c r="R53" s="41">
        <v>69903993810.619995</v>
      </c>
      <c r="S53" s="34">
        <f t="shared" ref="S53:S80" si="33">(R53/$R$81)</f>
        <v>0.1679752289997706</v>
      </c>
      <c r="T53" s="35">
        <f t="shared" ref="T53:T55" si="34">((R53-P53)/P53)</f>
        <v>-0.15761490130431852</v>
      </c>
      <c r="U53" s="70">
        <f t="shared" ref="U53:U55" si="35">(L53/R53)</f>
        <v>1.8159891019089984E-3</v>
      </c>
      <c r="V53" s="36">
        <f t="shared" ref="V53:V55" si="36">M53/R53</f>
        <v>4.9548104488613626E-3</v>
      </c>
      <c r="W53" s="37">
        <f t="shared" ref="W53:W54" si="37">R53/AE53</f>
        <v>237.57943873879518</v>
      </c>
      <c r="X53" s="37">
        <f t="shared" ref="X53:X54" si="38">M53/AE53</f>
        <v>1.1771610854976002</v>
      </c>
      <c r="Y53" s="168">
        <v>237.58</v>
      </c>
      <c r="Z53" s="168">
        <v>237.58</v>
      </c>
      <c r="AA53" s="169">
        <v>6932</v>
      </c>
      <c r="AB53" s="169">
        <v>350598117.32999998</v>
      </c>
      <c r="AC53" s="169">
        <v>2606833.38</v>
      </c>
      <c r="AD53" s="169">
        <v>58970760.32</v>
      </c>
      <c r="AE53" s="170">
        <f t="shared" ref="AE53:AE80" si="39">(AB53+AC53)-AD53</f>
        <v>294234190.38999999</v>
      </c>
      <c r="AF53" s="13"/>
      <c r="AG53" s="4"/>
      <c r="AH53" s="5"/>
      <c r="AI53" s="6"/>
      <c r="AJ53" s="6"/>
      <c r="AK53" s="6"/>
      <c r="AL53" s="7"/>
      <c r="AM53" s="5"/>
      <c r="AN53" s="6"/>
      <c r="AO53" s="6"/>
      <c r="AP53" s="6"/>
      <c r="AQ53" s="7"/>
      <c r="AR53" s="5"/>
      <c r="AS53" s="6"/>
      <c r="AT53" s="6"/>
      <c r="AU53" s="6"/>
      <c r="AV53" s="7"/>
    </row>
    <row r="54" spans="1:258" ht="16.5" customHeight="1" x14ac:dyDescent="0.3">
      <c r="A54" s="194">
        <v>47</v>
      </c>
      <c r="B54" s="69" t="s">
        <v>31</v>
      </c>
      <c r="C54" s="69" t="s">
        <v>93</v>
      </c>
      <c r="D54" s="31"/>
      <c r="E54" s="31"/>
      <c r="F54" s="31">
        <v>376135584.23000002</v>
      </c>
      <c r="G54" s="31">
        <v>1009449509.22</v>
      </c>
      <c r="H54" s="31"/>
      <c r="I54" s="31"/>
      <c r="J54" s="31">
        <v>1385585093.45</v>
      </c>
      <c r="K54" s="31">
        <v>12857871.289999999</v>
      </c>
      <c r="L54" s="31">
        <v>1911950.43</v>
      </c>
      <c r="M54" s="172">
        <v>10945920.859999999</v>
      </c>
      <c r="N54" s="31">
        <v>1425223454.54</v>
      </c>
      <c r="O54" s="31">
        <v>26472107</v>
      </c>
      <c r="P54" s="41">
        <v>1381377424.1700001</v>
      </c>
      <c r="Q54" s="34">
        <f t="shared" si="32"/>
        <v>3.407167746796095E-3</v>
      </c>
      <c r="R54" s="41">
        <v>1396840937.0599999</v>
      </c>
      <c r="S54" s="34">
        <f t="shared" si="33"/>
        <v>3.3565274813133973E-3</v>
      </c>
      <c r="T54" s="35">
        <f t="shared" si="34"/>
        <v>1.1194270747034331E-2</v>
      </c>
      <c r="U54" s="70">
        <f t="shared" si="35"/>
        <v>1.3687674661255105E-3</v>
      </c>
      <c r="V54" s="36">
        <f t="shared" si="36"/>
        <v>7.8361970712559573E-3</v>
      </c>
      <c r="W54" s="37">
        <f t="shared" si="37"/>
        <v>321.3735846813708</v>
      </c>
      <c r="X54" s="37">
        <f t="shared" si="38"/>
        <v>2.5183467430591868</v>
      </c>
      <c r="Y54" s="168">
        <v>321.37360000000001</v>
      </c>
      <c r="Z54" s="168">
        <v>321.37360000000001</v>
      </c>
      <c r="AA54" s="169">
        <v>97</v>
      </c>
      <c r="AB54" s="169">
        <v>4346470.91</v>
      </c>
      <c r="AC54" s="169">
        <v>0</v>
      </c>
      <c r="AD54" s="169">
        <v>0</v>
      </c>
      <c r="AE54" s="170">
        <f t="shared" si="39"/>
        <v>4346470.91</v>
      </c>
      <c r="AF54" s="13"/>
      <c r="AG54" s="4"/>
      <c r="AH54" s="5"/>
      <c r="AI54" s="6"/>
      <c r="AJ54" s="6"/>
      <c r="AK54" s="6"/>
      <c r="AL54" s="7"/>
      <c r="AM54" s="5"/>
      <c r="AN54" s="6"/>
      <c r="AO54" s="6"/>
      <c r="AP54" s="6"/>
      <c r="AQ54" s="7"/>
      <c r="AR54" s="5"/>
      <c r="AS54" s="6"/>
      <c r="AT54" s="6"/>
      <c r="AU54" s="6"/>
      <c r="AV54" s="7"/>
    </row>
    <row r="55" spans="1:258" ht="16.5" customHeight="1" x14ac:dyDescent="0.3">
      <c r="A55" s="194">
        <v>48</v>
      </c>
      <c r="B55" s="69" t="s">
        <v>37</v>
      </c>
      <c r="C55" s="69" t="s">
        <v>190</v>
      </c>
      <c r="D55" s="31"/>
      <c r="E55" s="31"/>
      <c r="F55" s="31">
        <v>15042864733.190001</v>
      </c>
      <c r="G55" s="31"/>
      <c r="H55" s="31"/>
      <c r="I55" s="31"/>
      <c r="J55" s="31">
        <v>15042864733.190001</v>
      </c>
      <c r="K55" s="31">
        <v>451552536.42000002</v>
      </c>
      <c r="L55" s="31">
        <v>56589040.329999998</v>
      </c>
      <c r="M55" s="172">
        <v>394963496.08999997</v>
      </c>
      <c r="N55" s="31">
        <v>53308236345.489998</v>
      </c>
      <c r="O55" s="31">
        <v>1512796934.0899999</v>
      </c>
      <c r="P55" s="41">
        <v>44437651952.360001</v>
      </c>
      <c r="Q55" s="34">
        <f t="shared" si="32"/>
        <v>0.10960547915889393</v>
      </c>
      <c r="R55" s="41">
        <v>51795439411.400002</v>
      </c>
      <c r="S55" s="34">
        <f t="shared" si="33"/>
        <v>0.12446142662240678</v>
      </c>
      <c r="T55" s="35">
        <f t="shared" si="34"/>
        <v>0.16557552291304722</v>
      </c>
      <c r="U55" s="70">
        <f t="shared" si="35"/>
        <v>1.0925487064705728E-3</v>
      </c>
      <c r="V55" s="36">
        <f t="shared" si="36"/>
        <v>7.6254492785144679E-3</v>
      </c>
      <c r="W55" s="37">
        <f>R55/AE55</f>
        <v>1432.3448236141562</v>
      </c>
      <c r="X55" s="37">
        <f>M55/AE55</f>
        <v>10.9222728018125</v>
      </c>
      <c r="Y55" s="168">
        <v>1432.34</v>
      </c>
      <c r="Z55" s="168">
        <v>1432.34</v>
      </c>
      <c r="AA55" s="169">
        <v>2096</v>
      </c>
      <c r="AB55" s="169">
        <v>31309966</v>
      </c>
      <c r="AC55" s="169">
        <v>5729385</v>
      </c>
      <c r="AD55" s="169">
        <v>878059</v>
      </c>
      <c r="AE55" s="170">
        <f t="shared" si="39"/>
        <v>36161292</v>
      </c>
      <c r="AF55" s="13"/>
      <c r="AG55" s="4"/>
      <c r="AH55" s="5"/>
      <c r="AI55" s="6"/>
      <c r="AJ55" s="6"/>
      <c r="AK55" s="6"/>
      <c r="AL55" s="7"/>
      <c r="AM55" s="5"/>
      <c r="AN55" s="6"/>
      <c r="AO55" s="6"/>
      <c r="AP55" s="6"/>
      <c r="AQ55" s="7"/>
      <c r="AR55" s="5"/>
      <c r="AS55" s="6"/>
      <c r="AT55" s="6"/>
      <c r="AU55" s="6"/>
      <c r="AV55" s="7"/>
    </row>
    <row r="56" spans="1:258" ht="16.5" customHeight="1" x14ac:dyDescent="0.3">
      <c r="A56" s="194">
        <v>49</v>
      </c>
      <c r="B56" s="68" t="s">
        <v>159</v>
      </c>
      <c r="C56" s="69" t="s">
        <v>161</v>
      </c>
      <c r="D56" s="31"/>
      <c r="E56" s="31"/>
      <c r="F56" s="31"/>
      <c r="G56" s="31">
        <v>468465387.19</v>
      </c>
      <c r="H56" s="40"/>
      <c r="I56" s="39">
        <v>292418.56</v>
      </c>
      <c r="J56" s="39">
        <v>469405177.30000001</v>
      </c>
      <c r="K56" s="39">
        <v>7103670.3899999997</v>
      </c>
      <c r="L56" s="31">
        <v>1155191.21</v>
      </c>
      <c r="M56" s="172">
        <v>5948479.1799999997</v>
      </c>
      <c r="N56" s="31">
        <v>641121001.80999994</v>
      </c>
      <c r="O56" s="31">
        <v>617225177.25</v>
      </c>
      <c r="P56" s="41">
        <v>621890612.51999998</v>
      </c>
      <c r="Q56" s="34">
        <f t="shared" si="32"/>
        <v>1.5338933443816364E-3</v>
      </c>
      <c r="R56" s="41">
        <v>632402978.77999997</v>
      </c>
      <c r="S56" s="34">
        <f t="shared" si="33"/>
        <v>1.519627554735923E-3</v>
      </c>
      <c r="T56" s="35">
        <f>((R56-P56)/P56)</f>
        <v>1.6903883172319011E-2</v>
      </c>
      <c r="U56" s="70">
        <f>(L56/R56)</f>
        <v>1.8266694635571401E-3</v>
      </c>
      <c r="V56" s="36">
        <f>M56/R56</f>
        <v>9.4061530062295191E-3</v>
      </c>
      <c r="W56" s="37">
        <f>R56/AE56</f>
        <v>1.0265043242648448</v>
      </c>
      <c r="X56" s="37">
        <f>M56/AE56</f>
        <v>9.6554567355913706E-3</v>
      </c>
      <c r="Y56" s="168">
        <v>1.03</v>
      </c>
      <c r="Z56" s="168">
        <v>1.03</v>
      </c>
      <c r="AA56" s="169">
        <v>41</v>
      </c>
      <c r="AB56" s="169">
        <v>611684003.78999996</v>
      </c>
      <c r="AC56" s="169">
        <v>4390340.79</v>
      </c>
      <c r="AD56" s="169">
        <v>0</v>
      </c>
      <c r="AE56" s="170">
        <f t="shared" si="39"/>
        <v>616074344.57999992</v>
      </c>
      <c r="AF56" s="13"/>
      <c r="AG56" s="4"/>
      <c r="AH56" s="5"/>
      <c r="AI56" s="6"/>
      <c r="AJ56" s="6"/>
      <c r="AK56" s="6"/>
      <c r="AL56" s="7"/>
      <c r="AM56" s="5"/>
      <c r="AN56" s="6"/>
      <c r="AO56" s="6"/>
      <c r="AP56" s="6"/>
      <c r="AQ56" s="7"/>
      <c r="AR56" s="5"/>
      <c r="AS56" s="6"/>
      <c r="AT56" s="6"/>
      <c r="AU56" s="6"/>
      <c r="AV56" s="7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  <c r="GN56" s="26"/>
      <c r="GO56" s="26"/>
      <c r="GP56" s="26"/>
      <c r="GQ56" s="26"/>
      <c r="GR56" s="26"/>
      <c r="GS56" s="26"/>
      <c r="GT56" s="26"/>
      <c r="GU56" s="26"/>
      <c r="GV56" s="26"/>
      <c r="GW56" s="26"/>
      <c r="GX56" s="26"/>
      <c r="GY56" s="26"/>
      <c r="GZ56" s="26"/>
      <c r="HA56" s="26"/>
      <c r="HB56" s="26"/>
      <c r="HC56" s="26"/>
      <c r="HD56" s="26"/>
      <c r="HE56" s="26"/>
      <c r="HF56" s="26"/>
      <c r="HG56" s="26"/>
      <c r="HH56" s="26"/>
      <c r="HI56" s="26"/>
      <c r="HJ56" s="26"/>
      <c r="HK56" s="26"/>
      <c r="HL56" s="26"/>
      <c r="HM56" s="26"/>
      <c r="HN56" s="26"/>
      <c r="HO56" s="26"/>
      <c r="HP56" s="26"/>
      <c r="HQ56" s="26"/>
      <c r="HR56" s="26"/>
      <c r="HS56" s="26"/>
      <c r="HT56" s="26"/>
      <c r="HU56" s="26"/>
      <c r="HV56" s="26"/>
      <c r="HW56" s="26"/>
      <c r="HX56" s="26"/>
      <c r="HY56" s="26"/>
      <c r="HZ56" s="26"/>
      <c r="IA56" s="26"/>
      <c r="IB56" s="26"/>
      <c r="IC56" s="26"/>
      <c r="ID56" s="26"/>
      <c r="IE56" s="26"/>
      <c r="IF56" s="26"/>
      <c r="IG56" s="26"/>
      <c r="IH56" s="26"/>
      <c r="II56" s="26"/>
      <c r="IJ56" s="26"/>
      <c r="IK56" s="26"/>
      <c r="IL56" s="26"/>
      <c r="IM56" s="26"/>
      <c r="IN56" s="26"/>
      <c r="IO56" s="26"/>
      <c r="IP56" s="26"/>
      <c r="IQ56" s="26"/>
      <c r="IR56" s="26"/>
      <c r="IS56" s="26"/>
      <c r="IT56" s="26"/>
      <c r="IU56" s="26"/>
      <c r="IV56" s="26"/>
      <c r="IW56" s="26"/>
      <c r="IX56" s="26"/>
    </row>
    <row r="57" spans="1:258" ht="16.5" customHeight="1" x14ac:dyDescent="0.3">
      <c r="A57" s="194">
        <v>50</v>
      </c>
      <c r="B57" s="69" t="s">
        <v>82</v>
      </c>
      <c r="C57" s="68" t="s">
        <v>98</v>
      </c>
      <c r="D57" s="31"/>
      <c r="E57" s="31"/>
      <c r="F57" s="31">
        <v>777357847.95000005</v>
      </c>
      <c r="G57" s="31">
        <v>2161915867.71</v>
      </c>
      <c r="H57" s="31"/>
      <c r="I57" s="31"/>
      <c r="J57" s="31">
        <v>2939273715.6599998</v>
      </c>
      <c r="K57" s="31">
        <v>19866064.210000001</v>
      </c>
      <c r="L57" s="31">
        <v>4241780.16</v>
      </c>
      <c r="M57" s="172">
        <v>15624284.050000001</v>
      </c>
      <c r="N57" s="31">
        <v>2942503031.3099999</v>
      </c>
      <c r="O57" s="31">
        <v>40696779.579999998</v>
      </c>
      <c r="P57" s="41">
        <v>2889800583.3600001</v>
      </c>
      <c r="Q57" s="34">
        <f t="shared" si="32"/>
        <v>7.1276938293766585E-3</v>
      </c>
      <c r="R57" s="41">
        <v>2901806251.7399998</v>
      </c>
      <c r="S57" s="34">
        <f t="shared" si="33"/>
        <v>6.9728715496501512E-3</v>
      </c>
      <c r="T57" s="35">
        <f>((R57-P57)/P57)</f>
        <v>4.1544971819614373E-3</v>
      </c>
      <c r="U57" s="70">
        <f t="shared" ref="U57:U78" si="40">(L57/R57)</f>
        <v>1.4617723555652678E-3</v>
      </c>
      <c r="V57" s="36">
        <f t="shared" ref="V57:V78" si="41">M57/R57</f>
        <v>5.3843305495090404E-3</v>
      </c>
      <c r="W57" s="37">
        <f t="shared" ref="W57:W75" si="42">R57/AE57</f>
        <v>3520.8735209660358</v>
      </c>
      <c r="X57" s="37">
        <f t="shared" ref="X57:X75" si="43">M57/AE57</f>
        <v>18.957546859894883</v>
      </c>
      <c r="Y57" s="168">
        <v>3520.87</v>
      </c>
      <c r="Z57" s="168">
        <v>3520.87</v>
      </c>
      <c r="AA57" s="169">
        <v>1067</v>
      </c>
      <c r="AB57" s="169">
        <v>824820.43</v>
      </c>
      <c r="AC57" s="169">
        <v>2021.08</v>
      </c>
      <c r="AD57" s="169">
        <v>2669.26</v>
      </c>
      <c r="AE57" s="170">
        <f t="shared" si="39"/>
        <v>824172.25</v>
      </c>
      <c r="AF57" s="13"/>
      <c r="AG57" s="4"/>
      <c r="AH57" s="5"/>
      <c r="AI57" s="6"/>
      <c r="AJ57" s="6"/>
      <c r="AK57" s="6"/>
      <c r="AL57" s="7"/>
      <c r="AM57" s="5"/>
      <c r="AN57" s="6"/>
      <c r="AO57" s="6"/>
      <c r="AP57" s="6"/>
      <c r="AQ57" s="7"/>
      <c r="AR57" s="5"/>
      <c r="AS57" s="6"/>
      <c r="AT57" s="6"/>
      <c r="AU57" s="6"/>
      <c r="AV57" s="7"/>
    </row>
    <row r="58" spans="1:258" ht="16.5" customHeight="1" x14ac:dyDescent="0.3">
      <c r="A58" s="194">
        <v>51</v>
      </c>
      <c r="B58" s="69" t="s">
        <v>33</v>
      </c>
      <c r="C58" s="69" t="s">
        <v>99</v>
      </c>
      <c r="D58" s="31"/>
      <c r="E58" s="31"/>
      <c r="F58" s="31">
        <v>3552469302</v>
      </c>
      <c r="G58" s="31">
        <v>92430782193</v>
      </c>
      <c r="H58" s="31"/>
      <c r="I58" s="31"/>
      <c r="J58" s="31">
        <v>95983251495</v>
      </c>
      <c r="K58" s="31">
        <v>985488155</v>
      </c>
      <c r="L58" s="31">
        <v>215910587</v>
      </c>
      <c r="M58" s="172">
        <v>769577568</v>
      </c>
      <c r="N58" s="31">
        <v>132564198448.66</v>
      </c>
      <c r="O58" s="31">
        <v>569307657.28999996</v>
      </c>
      <c r="P58" s="41">
        <v>120535810341</v>
      </c>
      <c r="Q58" s="34">
        <f t="shared" si="32"/>
        <v>0.29730160500816549</v>
      </c>
      <c r="R58" s="41">
        <v>131994890791</v>
      </c>
      <c r="S58" s="34">
        <f t="shared" si="33"/>
        <v>0.31717604100682339</v>
      </c>
      <c r="T58" s="35">
        <f>((R58-P58)/P58)</f>
        <v>9.5067850936430123E-2</v>
      </c>
      <c r="U58" s="70">
        <f t="shared" si="40"/>
        <v>1.6357495786853726E-3</v>
      </c>
      <c r="V58" s="36">
        <f t="shared" si="41"/>
        <v>5.8303587615261944E-3</v>
      </c>
      <c r="W58" s="37">
        <f t="shared" si="42"/>
        <v>1.999283069857333</v>
      </c>
      <c r="X58" s="37">
        <f t="shared" si="43"/>
        <v>1.1656537563113687E-2</v>
      </c>
      <c r="Y58" s="168">
        <v>2</v>
      </c>
      <c r="Z58" s="168">
        <v>2</v>
      </c>
      <c r="AA58" s="169">
        <v>2440</v>
      </c>
      <c r="AB58" s="169">
        <v>60819199195</v>
      </c>
      <c r="AC58" s="169">
        <v>14643877762</v>
      </c>
      <c r="AD58" s="169">
        <v>9441965299</v>
      </c>
      <c r="AE58" s="170">
        <f t="shared" si="39"/>
        <v>66021111658</v>
      </c>
      <c r="AF58" s="13"/>
      <c r="AG58" s="4"/>
      <c r="AH58" s="5"/>
      <c r="AI58" s="6"/>
      <c r="AJ58" s="6"/>
      <c r="AK58" s="6"/>
      <c r="AL58" s="7"/>
      <c r="AM58" s="5"/>
      <c r="AN58" s="6"/>
      <c r="AO58" s="6"/>
      <c r="AP58" s="6"/>
      <c r="AQ58" s="7"/>
      <c r="AR58" s="5"/>
      <c r="AS58" s="6"/>
      <c r="AT58" s="6"/>
      <c r="AU58" s="6"/>
      <c r="AV58" s="7"/>
    </row>
    <row r="59" spans="1:258" ht="16.5" customHeight="1" x14ac:dyDescent="0.3">
      <c r="A59" s="194">
        <v>52</v>
      </c>
      <c r="B59" s="69" t="s">
        <v>44</v>
      </c>
      <c r="C59" s="69" t="s">
        <v>100</v>
      </c>
      <c r="D59" s="31">
        <v>19372500</v>
      </c>
      <c r="E59" s="31"/>
      <c r="F59" s="31">
        <v>512290027.69999999</v>
      </c>
      <c r="G59" s="31">
        <v>9704177785.2199993</v>
      </c>
      <c r="H59" s="31"/>
      <c r="I59" s="31"/>
      <c r="J59" s="31">
        <v>10235840312.93</v>
      </c>
      <c r="K59" s="31">
        <v>60516785.479999997</v>
      </c>
      <c r="L59" s="31">
        <v>12276547.35</v>
      </c>
      <c r="M59" s="172">
        <v>45198988.130000003</v>
      </c>
      <c r="N59" s="31">
        <v>10352000563.16</v>
      </c>
      <c r="O59" s="31">
        <v>243697230.15000001</v>
      </c>
      <c r="P59" s="41">
        <v>10533640207.299999</v>
      </c>
      <c r="Q59" s="34">
        <f t="shared" si="32"/>
        <v>2.5981226088323765E-2</v>
      </c>
      <c r="R59" s="41">
        <v>10108303333</v>
      </c>
      <c r="S59" s="34">
        <f t="shared" si="33"/>
        <v>2.4289664647198787E-2</v>
      </c>
      <c r="T59" s="35">
        <f t="shared" ref="T59:T102" si="44">((R59-P59)/P59)</f>
        <v>-4.0378906620071688E-2</v>
      </c>
      <c r="U59" s="70">
        <f t="shared" si="40"/>
        <v>1.2145012813299199E-3</v>
      </c>
      <c r="V59" s="36">
        <f t="shared" si="41"/>
        <v>4.4714712886030489E-3</v>
      </c>
      <c r="W59" s="37">
        <f t="shared" si="42"/>
        <v>1.0025762709368791</v>
      </c>
      <c r="X59" s="37">
        <f t="shared" si="43"/>
        <v>4.4829910101289658E-3</v>
      </c>
      <c r="Y59" s="168">
        <v>1</v>
      </c>
      <c r="Z59" s="168">
        <v>1</v>
      </c>
      <c r="AA59" s="169">
        <v>4532</v>
      </c>
      <c r="AB59" s="169">
        <v>10284138958.9</v>
      </c>
      <c r="AC59" s="169">
        <v>22534658.309999999</v>
      </c>
      <c r="AD59" s="169">
        <v>224345094.16</v>
      </c>
      <c r="AE59" s="170">
        <f t="shared" si="39"/>
        <v>10082328523.049999</v>
      </c>
      <c r="AF59" s="13"/>
      <c r="AG59" s="4"/>
      <c r="AH59" s="5"/>
      <c r="AI59" s="6"/>
      <c r="AJ59" s="6"/>
      <c r="AK59" s="6"/>
      <c r="AL59" s="7"/>
      <c r="AM59" s="5"/>
      <c r="AN59" s="6"/>
      <c r="AO59" s="6"/>
      <c r="AP59" s="6"/>
      <c r="AQ59" s="7"/>
      <c r="AR59" s="5"/>
      <c r="AS59" s="6"/>
      <c r="AT59" s="6"/>
      <c r="AU59" s="6"/>
      <c r="AV59" s="7"/>
    </row>
    <row r="60" spans="1:258" ht="16.5" customHeight="1" x14ac:dyDescent="0.3">
      <c r="A60" s="194">
        <v>53</v>
      </c>
      <c r="B60" s="68" t="s">
        <v>74</v>
      </c>
      <c r="C60" s="68" t="s">
        <v>112</v>
      </c>
      <c r="D60" s="31"/>
      <c r="E60" s="31"/>
      <c r="F60" s="31">
        <v>1000283254.9299999</v>
      </c>
      <c r="G60" s="31">
        <v>3050478433.7800002</v>
      </c>
      <c r="H60" s="31"/>
      <c r="I60" s="31"/>
      <c r="J60" s="31">
        <v>4050761688.71</v>
      </c>
      <c r="K60" s="31">
        <v>30447761.190000001</v>
      </c>
      <c r="L60" s="31">
        <v>8136669.7699999996</v>
      </c>
      <c r="M60" s="172">
        <v>22311091.420000002</v>
      </c>
      <c r="N60" s="31">
        <v>4050852782.4299998</v>
      </c>
      <c r="O60" s="31">
        <v>19531186.989999998</v>
      </c>
      <c r="P60" s="41">
        <v>4081545970.52</v>
      </c>
      <c r="Q60" s="34">
        <f t="shared" si="32"/>
        <v>1.0067134111574923E-2</v>
      </c>
      <c r="R60" s="41">
        <v>4031321595.4400001</v>
      </c>
      <c r="S60" s="34">
        <f t="shared" si="33"/>
        <v>9.687031187377999E-3</v>
      </c>
      <c r="T60" s="35">
        <f>((R60-P60)/P60)</f>
        <v>-1.2305233223577095E-2</v>
      </c>
      <c r="U60" s="70">
        <f>(L60/R60)</f>
        <v>2.0183628562910321E-3</v>
      </c>
      <c r="V60" s="36">
        <f>M60/R60</f>
        <v>5.5344360135487648E-3</v>
      </c>
      <c r="W60" s="37">
        <f>R60/AE60</f>
        <v>22.396003559800725</v>
      </c>
      <c r="X60" s="37">
        <f>M60/AE60</f>
        <v>0.12394924866092748</v>
      </c>
      <c r="Y60" s="168">
        <v>22.3965</v>
      </c>
      <c r="Z60" s="168">
        <v>22.3965</v>
      </c>
      <c r="AA60" s="169">
        <v>1400</v>
      </c>
      <c r="AB60" s="169">
        <v>183046948.5</v>
      </c>
      <c r="AC60" s="169">
        <v>44807.69</v>
      </c>
      <c r="AD60" s="169">
        <v>3089927.53</v>
      </c>
      <c r="AE60" s="170">
        <f t="shared" si="39"/>
        <v>180001828.66</v>
      </c>
      <c r="AF60" s="13"/>
      <c r="AG60" s="4"/>
      <c r="AH60" s="5"/>
      <c r="AI60" s="6"/>
      <c r="AJ60" s="6"/>
      <c r="AK60" s="6"/>
      <c r="AL60" s="7"/>
      <c r="AM60" s="5"/>
      <c r="AN60" s="6"/>
      <c r="AO60" s="6"/>
      <c r="AP60" s="6"/>
      <c r="AQ60" s="7"/>
      <c r="AR60" s="5"/>
      <c r="AS60" s="6"/>
      <c r="AT60" s="6"/>
      <c r="AU60" s="6"/>
      <c r="AV60" s="7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  <c r="GN60" s="26"/>
      <c r="GO60" s="26"/>
      <c r="GP60" s="26"/>
      <c r="GQ60" s="26"/>
      <c r="GR60" s="26"/>
      <c r="GS60" s="26"/>
      <c r="GT60" s="26"/>
      <c r="GU60" s="26"/>
      <c r="GV60" s="26"/>
      <c r="GW60" s="26"/>
      <c r="GX60" s="26"/>
      <c r="GY60" s="26"/>
      <c r="GZ60" s="26"/>
      <c r="HA60" s="26"/>
      <c r="HB60" s="26"/>
      <c r="HC60" s="26"/>
      <c r="HD60" s="26"/>
      <c r="HE60" s="26"/>
      <c r="HF60" s="26"/>
      <c r="HG60" s="26"/>
      <c r="HH60" s="26"/>
      <c r="HI60" s="26"/>
      <c r="HJ60" s="26"/>
      <c r="HK60" s="26"/>
      <c r="HL60" s="26"/>
      <c r="HM60" s="26"/>
      <c r="HN60" s="26"/>
      <c r="HO60" s="26"/>
      <c r="HP60" s="26"/>
      <c r="HQ60" s="26"/>
      <c r="HR60" s="26"/>
      <c r="HS60" s="26"/>
      <c r="HT60" s="26"/>
      <c r="HU60" s="26"/>
      <c r="HV60" s="26"/>
      <c r="HW60" s="26"/>
      <c r="HX60" s="26"/>
      <c r="HY60" s="26"/>
      <c r="HZ60" s="26"/>
      <c r="IA60" s="26"/>
      <c r="IB60" s="26"/>
      <c r="IC60" s="26"/>
      <c r="ID60" s="26"/>
      <c r="IE60" s="26"/>
      <c r="IF60" s="26"/>
      <c r="IG60" s="26"/>
      <c r="IH60" s="26"/>
      <c r="II60" s="26"/>
      <c r="IJ60" s="26"/>
      <c r="IK60" s="26"/>
      <c r="IL60" s="26"/>
      <c r="IM60" s="26"/>
      <c r="IN60" s="26"/>
      <c r="IO60" s="26"/>
      <c r="IP60" s="26"/>
      <c r="IQ60" s="26"/>
      <c r="IR60" s="26"/>
      <c r="IS60" s="26"/>
      <c r="IT60" s="26"/>
      <c r="IU60" s="26"/>
      <c r="IV60" s="26"/>
      <c r="IW60" s="26"/>
      <c r="IX60" s="26"/>
    </row>
    <row r="61" spans="1:258" ht="16.5" customHeight="1" x14ac:dyDescent="0.3">
      <c r="A61" s="194">
        <v>54</v>
      </c>
      <c r="B61" s="69" t="s">
        <v>101</v>
      </c>
      <c r="C61" s="69" t="s">
        <v>102</v>
      </c>
      <c r="D61" s="31"/>
      <c r="E61" s="31"/>
      <c r="F61" s="31">
        <v>83112970.489999995</v>
      </c>
      <c r="G61" s="31">
        <v>367043108.63999999</v>
      </c>
      <c r="H61" s="31"/>
      <c r="I61" s="31"/>
      <c r="J61" s="31">
        <v>450156079.13</v>
      </c>
      <c r="K61" s="31">
        <v>3064913.17</v>
      </c>
      <c r="L61" s="31">
        <v>884164.76</v>
      </c>
      <c r="M61" s="172">
        <v>2180748.41</v>
      </c>
      <c r="N61" s="31">
        <v>464071528.25</v>
      </c>
      <c r="O61" s="31">
        <v>5985880.6900000004</v>
      </c>
      <c r="P61" s="41">
        <v>475139072.92000002</v>
      </c>
      <c r="Q61" s="34">
        <f t="shared" si="32"/>
        <v>1.1719306368918865E-3</v>
      </c>
      <c r="R61" s="41">
        <v>458085647.56</v>
      </c>
      <c r="S61" s="34">
        <f t="shared" si="33"/>
        <v>1.1007531523715202E-3</v>
      </c>
      <c r="T61" s="35">
        <f t="shared" si="44"/>
        <v>-3.5891439647758309E-2</v>
      </c>
      <c r="U61" s="70">
        <f t="shared" si="40"/>
        <v>1.9301298015109549E-3</v>
      </c>
      <c r="V61" s="36">
        <f t="shared" si="41"/>
        <v>4.7605691678309263E-3</v>
      </c>
      <c r="W61" s="37">
        <f t="shared" si="42"/>
        <v>2.0740371174083752</v>
      </c>
      <c r="X61" s="37">
        <f t="shared" si="43"/>
        <v>9.8735971540712415E-3</v>
      </c>
      <c r="Y61" s="168">
        <v>2.1059999999999999</v>
      </c>
      <c r="Z61" s="168">
        <v>2.1059999999999999</v>
      </c>
      <c r="AA61" s="169">
        <v>1417</v>
      </c>
      <c r="AB61" s="169">
        <v>228630140.94949999</v>
      </c>
      <c r="AC61" s="169">
        <v>0</v>
      </c>
      <c r="AD61" s="169">
        <v>7763482.5300000003</v>
      </c>
      <c r="AE61" s="170">
        <f t="shared" si="39"/>
        <v>220866658.41949999</v>
      </c>
      <c r="AF61" s="13"/>
      <c r="AG61" s="4"/>
      <c r="AH61" s="5"/>
      <c r="AI61" s="6"/>
      <c r="AJ61" s="6"/>
      <c r="AK61" s="6"/>
      <c r="AL61" s="7"/>
      <c r="AM61" s="5"/>
      <c r="AN61" s="6"/>
      <c r="AO61" s="6"/>
      <c r="AP61" s="6"/>
      <c r="AQ61" s="7"/>
      <c r="AR61" s="5"/>
      <c r="AS61" s="6"/>
      <c r="AT61" s="6"/>
      <c r="AU61" s="6"/>
      <c r="AV61" s="7"/>
    </row>
    <row r="62" spans="1:258" ht="18" customHeight="1" x14ac:dyDescent="0.3">
      <c r="A62" s="194">
        <v>55</v>
      </c>
      <c r="B62" s="69" t="s">
        <v>23</v>
      </c>
      <c r="C62" s="69" t="s">
        <v>103</v>
      </c>
      <c r="D62" s="31"/>
      <c r="E62" s="31"/>
      <c r="F62" s="31">
        <v>4711216437.4799995</v>
      </c>
      <c r="G62" s="31">
        <v>18499030383.610001</v>
      </c>
      <c r="H62" s="31"/>
      <c r="I62" s="31"/>
      <c r="J62" s="31">
        <v>23210246821.09</v>
      </c>
      <c r="K62" s="31">
        <v>157910857.52000001</v>
      </c>
      <c r="L62" s="31">
        <v>40022855.200000003</v>
      </c>
      <c r="M62" s="172">
        <v>117888002.31999999</v>
      </c>
      <c r="N62" s="31">
        <v>23310720913.939999</v>
      </c>
      <c r="O62" s="31">
        <v>129558127.23999999</v>
      </c>
      <c r="P62" s="41">
        <v>23806660736.48</v>
      </c>
      <c r="Q62" s="34">
        <f t="shared" si="32"/>
        <v>5.871913439514078E-2</v>
      </c>
      <c r="R62" s="41">
        <v>23181162786.700001</v>
      </c>
      <c r="S62" s="34">
        <f t="shared" si="33"/>
        <v>5.5702985127372331E-2</v>
      </c>
      <c r="T62" s="35">
        <f t="shared" si="44"/>
        <v>-2.6274073323585469E-2</v>
      </c>
      <c r="U62" s="70">
        <f t="shared" si="40"/>
        <v>1.7265249188864152E-3</v>
      </c>
      <c r="V62" s="36">
        <f t="shared" si="41"/>
        <v>5.0855085831862266E-3</v>
      </c>
      <c r="W62" s="37">
        <f t="shared" si="42"/>
        <v>317.6178325011096</v>
      </c>
      <c r="X62" s="37">
        <f t="shared" si="43"/>
        <v>1.615248213357398</v>
      </c>
      <c r="Y62" s="168">
        <v>317.62</v>
      </c>
      <c r="Z62" s="168">
        <v>317.62</v>
      </c>
      <c r="AA62" s="169">
        <v>9799</v>
      </c>
      <c r="AB62" s="169">
        <v>75336503.590000004</v>
      </c>
      <c r="AC62" s="169">
        <v>3119001.5</v>
      </c>
      <c r="AD62" s="169">
        <v>5471055.1799999997</v>
      </c>
      <c r="AE62" s="170">
        <f t="shared" si="39"/>
        <v>72984449.909999996</v>
      </c>
      <c r="AF62" s="13"/>
      <c r="AG62" s="4"/>
      <c r="AH62" s="5"/>
      <c r="AI62" s="6"/>
      <c r="AJ62" s="6"/>
      <c r="AK62" s="6"/>
      <c r="AL62" s="7"/>
      <c r="AM62" s="5"/>
      <c r="AN62" s="6"/>
      <c r="AO62" s="6"/>
      <c r="AP62" s="6"/>
      <c r="AQ62" s="7"/>
      <c r="AR62" s="5"/>
      <c r="AS62" s="6"/>
      <c r="AT62" s="6"/>
      <c r="AU62" s="6"/>
      <c r="AV62" s="7"/>
    </row>
    <row r="63" spans="1:258" ht="16.5" customHeight="1" x14ac:dyDescent="0.3">
      <c r="A63" s="194">
        <v>56</v>
      </c>
      <c r="B63" s="69" t="s">
        <v>104</v>
      </c>
      <c r="C63" s="69" t="s">
        <v>105</v>
      </c>
      <c r="D63" s="31"/>
      <c r="E63" s="31"/>
      <c r="F63" s="31"/>
      <c r="G63" s="31">
        <v>4693308254.0600004</v>
      </c>
      <c r="H63" s="31"/>
      <c r="I63" s="31"/>
      <c r="J63" s="31">
        <v>4693308254.0600004</v>
      </c>
      <c r="K63" s="31">
        <v>59699224.060000002</v>
      </c>
      <c r="L63" s="31">
        <v>9118531.5399999991</v>
      </c>
      <c r="M63" s="172">
        <v>50580692.520000003</v>
      </c>
      <c r="N63" s="31">
        <v>6505313676</v>
      </c>
      <c r="O63" s="31">
        <v>88096789</v>
      </c>
      <c r="P63" s="41">
        <v>6327139770</v>
      </c>
      <c r="Q63" s="34">
        <f t="shared" si="32"/>
        <v>1.5605891754578044E-2</v>
      </c>
      <c r="R63" s="41">
        <v>6417216888</v>
      </c>
      <c r="S63" s="34">
        <f t="shared" si="33"/>
        <v>1.5420198726030912E-2</v>
      </c>
      <c r="T63" s="35">
        <f t="shared" si="44"/>
        <v>1.4236625280051304E-2</v>
      </c>
      <c r="U63" s="70">
        <f t="shared" si="40"/>
        <v>1.4209480058327739E-3</v>
      </c>
      <c r="V63" s="36">
        <f t="shared" si="41"/>
        <v>7.8820294533887975E-3</v>
      </c>
      <c r="W63" s="37">
        <f t="shared" si="42"/>
        <v>1.0199999999809264</v>
      </c>
      <c r="X63" s="37">
        <f t="shared" si="43"/>
        <v>8.0396700423062354E-3</v>
      </c>
      <c r="Y63" s="168">
        <v>1.02</v>
      </c>
      <c r="Z63" s="168">
        <v>1.02</v>
      </c>
      <c r="AA63" s="169">
        <v>2173</v>
      </c>
      <c r="AB63" s="169">
        <v>6203078206</v>
      </c>
      <c r="AC63" s="169">
        <v>88310900</v>
      </c>
      <c r="AD63" s="169">
        <v>0</v>
      </c>
      <c r="AE63" s="170">
        <f t="shared" si="39"/>
        <v>6291389106</v>
      </c>
      <c r="AF63" s="13"/>
      <c r="AG63" s="4"/>
      <c r="AH63" s="5"/>
      <c r="AI63" s="6"/>
      <c r="AJ63" s="6"/>
      <c r="AK63" s="6"/>
      <c r="AL63" s="7"/>
      <c r="AM63" s="5"/>
      <c r="AN63" s="6"/>
      <c r="AO63" s="6"/>
      <c r="AP63" s="6"/>
      <c r="AQ63" s="7"/>
      <c r="AR63" s="5"/>
      <c r="AS63" s="6"/>
      <c r="AT63" s="6"/>
      <c r="AU63" s="6"/>
      <c r="AV63" s="7"/>
    </row>
    <row r="64" spans="1:258" ht="15.75" customHeight="1" x14ac:dyDescent="0.3">
      <c r="A64" s="194">
        <v>57</v>
      </c>
      <c r="B64" s="68" t="s">
        <v>25</v>
      </c>
      <c r="C64" s="69" t="s">
        <v>191</v>
      </c>
      <c r="D64" s="31"/>
      <c r="E64" s="31"/>
      <c r="F64" s="31">
        <v>392064138.81999999</v>
      </c>
      <c r="G64" s="31">
        <v>4915288182.71</v>
      </c>
      <c r="H64" s="31"/>
      <c r="I64" s="31"/>
      <c r="J64" s="31">
        <v>5324615192.54</v>
      </c>
      <c r="K64" s="174">
        <v>45438470.880000003</v>
      </c>
      <c r="L64" s="174">
        <v>7082462.8099999996</v>
      </c>
      <c r="M64" s="172">
        <v>38356008.07</v>
      </c>
      <c r="N64" s="31">
        <v>5324615192.54</v>
      </c>
      <c r="O64" s="31">
        <v>22110161.109999999</v>
      </c>
      <c r="P64" s="41">
        <v>6015344991.1300001</v>
      </c>
      <c r="Q64" s="34">
        <f t="shared" si="32"/>
        <v>1.483684985799168E-2</v>
      </c>
      <c r="R64" s="41">
        <v>5302505031.4300003</v>
      </c>
      <c r="S64" s="34">
        <f t="shared" si="33"/>
        <v>1.274161100637392E-2</v>
      </c>
      <c r="T64" s="35">
        <f t="shared" si="44"/>
        <v>-0.11850358720092141</v>
      </c>
      <c r="U64" s="70">
        <f>(L65/R64)</f>
        <v>1.1519163508182018E-2</v>
      </c>
      <c r="V64" s="36">
        <f t="shared" si="41"/>
        <v>7.2335637293409602E-3</v>
      </c>
      <c r="W64" s="37">
        <f t="shared" si="42"/>
        <v>3.9885877105443042</v>
      </c>
      <c r="X64" s="37">
        <f t="shared" si="43"/>
        <v>2.8851703394288383E-2</v>
      </c>
      <c r="Y64" s="175">
        <v>3.99</v>
      </c>
      <c r="Z64" s="175">
        <v>3.99</v>
      </c>
      <c r="AA64" s="174">
        <v>910</v>
      </c>
      <c r="AB64" s="174">
        <v>1509033466</v>
      </c>
      <c r="AC64" s="174">
        <v>3057613</v>
      </c>
      <c r="AD64" s="174">
        <v>182671892</v>
      </c>
      <c r="AE64" s="170">
        <f t="shared" si="39"/>
        <v>1329419187</v>
      </c>
      <c r="AF64" s="13"/>
      <c r="AG64" s="4"/>
      <c r="AH64" s="5"/>
      <c r="AI64" s="6"/>
      <c r="AJ64" s="6"/>
      <c r="AK64" s="6"/>
      <c r="AL64" s="7"/>
      <c r="AM64" s="5"/>
      <c r="AN64" s="6"/>
      <c r="AO64" s="6"/>
      <c r="AP64" s="6"/>
      <c r="AQ64" s="7"/>
      <c r="AR64" s="5"/>
      <c r="AS64" s="6"/>
      <c r="AT64" s="6"/>
      <c r="AU64" s="6"/>
      <c r="AV64" s="7"/>
    </row>
    <row r="65" spans="1:258" ht="16.5" customHeight="1" x14ac:dyDescent="0.3">
      <c r="A65" s="194">
        <v>58</v>
      </c>
      <c r="B65" s="69" t="s">
        <v>23</v>
      </c>
      <c r="C65" s="68" t="s">
        <v>106</v>
      </c>
      <c r="D65" s="31"/>
      <c r="E65" s="31"/>
      <c r="F65" s="31">
        <v>29168678810.060001</v>
      </c>
      <c r="G65" s="31">
        <v>28858863590.52</v>
      </c>
      <c r="H65" s="31"/>
      <c r="I65" s="31"/>
      <c r="J65" s="31">
        <v>58235134181.400002</v>
      </c>
      <c r="K65" s="31">
        <v>420220545.5</v>
      </c>
      <c r="L65" s="31">
        <v>61080422.460000001</v>
      </c>
      <c r="M65" s="172">
        <v>359140123.04000002</v>
      </c>
      <c r="N65" s="31">
        <v>58812707988.699997</v>
      </c>
      <c r="O65" s="31">
        <v>166224445.19</v>
      </c>
      <c r="P65" s="41">
        <v>56315621133.910004</v>
      </c>
      <c r="Q65" s="34">
        <f t="shared" si="32"/>
        <v>0.13890249298343338</v>
      </c>
      <c r="R65" s="41">
        <v>58646483543.510002</v>
      </c>
      <c r="S65" s="34">
        <f t="shared" si="33"/>
        <v>0.14092408696905895</v>
      </c>
      <c r="T65" s="35">
        <f t="shared" si="44"/>
        <v>4.1389269312284795E-2</v>
      </c>
      <c r="U65" s="70">
        <f>(L66/R65)</f>
        <v>4.2434561283690135E-6</v>
      </c>
      <c r="V65" s="36">
        <f t="shared" si="41"/>
        <v>6.123813421371682E-3</v>
      </c>
      <c r="W65" s="37">
        <f t="shared" si="42"/>
        <v>4339.5644548208784</v>
      </c>
      <c r="X65" s="37">
        <f t="shared" si="43"/>
        <v>26.57468305133958</v>
      </c>
      <c r="Y65" s="168">
        <v>4339.5600000000004</v>
      </c>
      <c r="Z65" s="87">
        <v>4339.5600000000004</v>
      </c>
      <c r="AA65" s="169">
        <v>450</v>
      </c>
      <c r="AB65" s="169">
        <v>13057894.140000001</v>
      </c>
      <c r="AC65" s="169">
        <v>1276232.5900000001</v>
      </c>
      <c r="AD65" s="169">
        <v>819755.84</v>
      </c>
      <c r="AE65" s="170">
        <f t="shared" si="39"/>
        <v>13514370.890000001</v>
      </c>
      <c r="AF65" s="13"/>
      <c r="AG65" s="4"/>
      <c r="AH65" s="5"/>
      <c r="AI65" s="6"/>
      <c r="AJ65" s="6"/>
      <c r="AK65" s="6"/>
      <c r="AL65" s="7"/>
      <c r="AM65" s="5"/>
      <c r="AN65" s="6"/>
      <c r="AO65" s="6"/>
      <c r="AP65" s="6"/>
      <c r="AQ65" s="7"/>
      <c r="AR65" s="5"/>
      <c r="AS65" s="6"/>
      <c r="AT65" s="6"/>
      <c r="AU65" s="6"/>
      <c r="AV65" s="7"/>
    </row>
    <row r="66" spans="1:258" ht="16.5" customHeight="1" x14ac:dyDescent="0.3">
      <c r="A66" s="194">
        <v>59</v>
      </c>
      <c r="B66" s="69" t="s">
        <v>23</v>
      </c>
      <c r="C66" s="68" t="s">
        <v>107</v>
      </c>
      <c r="D66" s="64">
        <v>72231125.900000006</v>
      </c>
      <c r="E66" s="31"/>
      <c r="F66" s="31">
        <v>142001830.21000001</v>
      </c>
      <c r="G66" s="31">
        <v>31957296.289999999</v>
      </c>
      <c r="H66" s="31"/>
      <c r="I66" s="31"/>
      <c r="J66" s="31">
        <v>246705797.06</v>
      </c>
      <c r="K66" s="31">
        <v>1636132.19</v>
      </c>
      <c r="L66" s="31">
        <v>248863.78</v>
      </c>
      <c r="M66" s="172">
        <v>2023135.76</v>
      </c>
      <c r="N66" s="31">
        <v>248441837.06</v>
      </c>
      <c r="O66" s="31">
        <v>3272923.19</v>
      </c>
      <c r="P66" s="41">
        <v>247564521.99000001</v>
      </c>
      <c r="Q66" s="34">
        <f t="shared" si="32"/>
        <v>6.1061795264399487E-4</v>
      </c>
      <c r="R66" s="41">
        <v>245168913.87</v>
      </c>
      <c r="S66" s="34">
        <f t="shared" si="33"/>
        <v>5.891266321994004E-4</v>
      </c>
      <c r="T66" s="35">
        <f t="shared" si="44"/>
        <v>-9.6767020603088349E-3</v>
      </c>
      <c r="U66" s="70">
        <f t="shared" si="40"/>
        <v>1.0150706958385401E-3</v>
      </c>
      <c r="V66" s="36">
        <f t="shared" si="41"/>
        <v>8.2520076793779866E-3</v>
      </c>
      <c r="W66" s="37">
        <f t="shared" si="42"/>
        <v>3949.8465997287922</v>
      </c>
      <c r="X66" s="37">
        <f t="shared" si="43"/>
        <v>32.594164473327019</v>
      </c>
      <c r="Y66" s="87">
        <v>3935.14</v>
      </c>
      <c r="Z66" s="87">
        <v>3957.99</v>
      </c>
      <c r="AA66" s="169">
        <v>15</v>
      </c>
      <c r="AB66" s="169">
        <v>63237.48</v>
      </c>
      <c r="AC66" s="169">
        <v>0</v>
      </c>
      <c r="AD66" s="169">
        <v>1166.99</v>
      </c>
      <c r="AE66" s="170">
        <f t="shared" si="39"/>
        <v>62070.490000000005</v>
      </c>
      <c r="AF66" s="13"/>
      <c r="AG66" s="4"/>
      <c r="AH66" s="5"/>
      <c r="AI66" s="6"/>
      <c r="AJ66" s="6"/>
      <c r="AK66" s="6"/>
      <c r="AL66" s="7"/>
      <c r="AM66" s="5"/>
      <c r="AN66" s="6"/>
      <c r="AO66" s="6"/>
      <c r="AP66" s="6"/>
      <c r="AQ66" s="7"/>
      <c r="AR66" s="5"/>
      <c r="AS66" s="6"/>
      <c r="AT66" s="6"/>
      <c r="AU66" s="6"/>
      <c r="AV66" s="7"/>
    </row>
    <row r="67" spans="1:258" ht="16.5" customHeight="1" x14ac:dyDescent="0.3">
      <c r="A67" s="194">
        <v>60</v>
      </c>
      <c r="B67" s="68" t="s">
        <v>46</v>
      </c>
      <c r="C67" s="68" t="s">
        <v>109</v>
      </c>
      <c r="D67" s="31"/>
      <c r="E67" s="31"/>
      <c r="F67" s="31">
        <v>8517021.9199999999</v>
      </c>
      <c r="G67" s="31">
        <v>45656760.68</v>
      </c>
      <c r="H67" s="31"/>
      <c r="I67" s="31"/>
      <c r="J67" s="31">
        <v>54173782.600000001</v>
      </c>
      <c r="K67" s="31">
        <v>399785.83</v>
      </c>
      <c r="L67" s="31">
        <v>82363.14</v>
      </c>
      <c r="M67" s="172">
        <v>317422.69</v>
      </c>
      <c r="N67" s="31">
        <v>55131822.119999997</v>
      </c>
      <c r="O67" s="31">
        <v>12210.84</v>
      </c>
      <c r="P67" s="41">
        <v>54279885.43</v>
      </c>
      <c r="Q67" s="34">
        <f t="shared" si="32"/>
        <v>1.3388135038329933E-4</v>
      </c>
      <c r="R67" s="41">
        <v>55119611.280000001</v>
      </c>
      <c r="S67" s="34">
        <f t="shared" si="33"/>
        <v>1.3244921816941635E-4</v>
      </c>
      <c r="T67" s="35">
        <f>((R67-P67)/P67)</f>
        <v>1.5470295181129705E-2</v>
      </c>
      <c r="U67" s="70">
        <f>(L67/R67)</f>
        <v>1.4942619892873816E-3</v>
      </c>
      <c r="V67" s="36">
        <f>M67/R67</f>
        <v>5.7587976879506031E-3</v>
      </c>
      <c r="W67" s="37">
        <f>R67/AE67</f>
        <v>11.765657545229368</v>
      </c>
      <c r="X67" s="37">
        <f>M67/AE67</f>
        <v>6.7756041468685455E-2</v>
      </c>
      <c r="Y67" s="87">
        <v>11.765700000000001</v>
      </c>
      <c r="Z67" s="87">
        <v>11.7683</v>
      </c>
      <c r="AA67" s="169">
        <v>47</v>
      </c>
      <c r="AB67" s="169">
        <v>4675663</v>
      </c>
      <c r="AC67" s="169">
        <v>10732</v>
      </c>
      <c r="AD67" s="169">
        <v>1607</v>
      </c>
      <c r="AE67" s="170">
        <f t="shared" si="39"/>
        <v>4684788</v>
      </c>
      <c r="AF67" s="13"/>
      <c r="AG67" s="4"/>
      <c r="AH67" s="5"/>
      <c r="AI67" s="6"/>
      <c r="AJ67" s="6"/>
      <c r="AK67" s="6"/>
      <c r="AL67" s="7"/>
      <c r="AM67" s="5"/>
      <c r="AN67" s="6"/>
      <c r="AO67" s="6"/>
      <c r="AP67" s="6"/>
      <c r="AQ67" s="7"/>
      <c r="AR67" s="5"/>
      <c r="AS67" s="6"/>
      <c r="AT67" s="6"/>
      <c r="AU67" s="6"/>
      <c r="AV67" s="7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  <c r="GN67" s="26"/>
      <c r="GO67" s="26"/>
      <c r="GP67" s="26"/>
      <c r="GQ67" s="26"/>
      <c r="GR67" s="26"/>
      <c r="GS67" s="26"/>
      <c r="GT67" s="26"/>
      <c r="GU67" s="26"/>
      <c r="GV67" s="26"/>
      <c r="GW67" s="26"/>
      <c r="GX67" s="26"/>
      <c r="GY67" s="26"/>
      <c r="GZ67" s="26"/>
      <c r="HA67" s="26"/>
      <c r="HB67" s="26"/>
      <c r="HC67" s="26"/>
      <c r="HD67" s="26"/>
      <c r="HE67" s="26"/>
      <c r="HF67" s="26"/>
      <c r="HG67" s="26"/>
      <c r="HH67" s="26"/>
      <c r="HI67" s="26"/>
      <c r="HJ67" s="26"/>
      <c r="HK67" s="26"/>
      <c r="HL67" s="26"/>
      <c r="HM67" s="26"/>
      <c r="HN67" s="26"/>
      <c r="HO67" s="26"/>
      <c r="HP67" s="26"/>
      <c r="HQ67" s="26"/>
      <c r="HR67" s="26"/>
      <c r="HS67" s="26"/>
      <c r="HT67" s="26"/>
      <c r="HU67" s="26"/>
      <c r="HV67" s="26"/>
      <c r="HW67" s="26"/>
      <c r="HX67" s="26"/>
      <c r="HY67" s="26"/>
      <c r="HZ67" s="26"/>
      <c r="IA67" s="26"/>
      <c r="IB67" s="26"/>
      <c r="IC67" s="26"/>
      <c r="ID67" s="26"/>
      <c r="IE67" s="26"/>
      <c r="IF67" s="26"/>
      <c r="IG67" s="26"/>
      <c r="IH67" s="26"/>
      <c r="II67" s="26"/>
      <c r="IJ67" s="26"/>
      <c r="IK67" s="26"/>
      <c r="IL67" s="26"/>
      <c r="IM67" s="26"/>
      <c r="IN67" s="26"/>
      <c r="IO67" s="26"/>
      <c r="IP67" s="26"/>
      <c r="IQ67" s="26"/>
      <c r="IR67" s="26"/>
      <c r="IS67" s="26"/>
      <c r="IT67" s="26"/>
      <c r="IU67" s="26"/>
      <c r="IV67" s="26"/>
      <c r="IW67" s="26"/>
      <c r="IX67" s="26"/>
    </row>
    <row r="68" spans="1:258" ht="16.5" customHeight="1" x14ac:dyDescent="0.3">
      <c r="A68" s="194">
        <v>61</v>
      </c>
      <c r="B68" s="69" t="s">
        <v>108</v>
      </c>
      <c r="C68" s="68" t="s">
        <v>200</v>
      </c>
      <c r="D68" s="31"/>
      <c r="E68" s="31"/>
      <c r="F68" s="31"/>
      <c r="G68" s="31">
        <v>5338102502.79</v>
      </c>
      <c r="H68" s="31"/>
      <c r="I68" s="31">
        <v>6531029174.54</v>
      </c>
      <c r="J68" s="31">
        <v>11885128815.91</v>
      </c>
      <c r="K68" s="31">
        <v>129584386.59999999</v>
      </c>
      <c r="L68" s="31">
        <v>25383042.550000001</v>
      </c>
      <c r="M68" s="172">
        <v>104201344.05</v>
      </c>
      <c r="N68" s="31">
        <v>14538212398.98</v>
      </c>
      <c r="O68" s="31">
        <v>233589313.83000001</v>
      </c>
      <c r="P68" s="41">
        <v>14097376786.58</v>
      </c>
      <c r="Q68" s="34">
        <f t="shared" si="32"/>
        <v>3.4771183212674431E-2</v>
      </c>
      <c r="R68" s="41">
        <v>14304623085.15</v>
      </c>
      <c r="S68" s="34">
        <f t="shared" si="33"/>
        <v>3.4373176802931581E-2</v>
      </c>
      <c r="T68" s="35">
        <f t="shared" si="44"/>
        <v>1.4701054083146011E-2</v>
      </c>
      <c r="U68" s="70">
        <f t="shared" si="40"/>
        <v>1.7744642692718549E-3</v>
      </c>
      <c r="V68" s="36">
        <f t="shared" si="41"/>
        <v>7.2844522662169351E-3</v>
      </c>
      <c r="W68" s="37">
        <f t="shared" si="42"/>
        <v>1167.7349736920621</v>
      </c>
      <c r="X68" s="37">
        <f t="shared" si="43"/>
        <v>8.5063096754519147</v>
      </c>
      <c r="Y68" s="87">
        <v>1167.73</v>
      </c>
      <c r="Z68" s="87">
        <v>1167.73</v>
      </c>
      <c r="AA68" s="169">
        <v>5469</v>
      </c>
      <c r="AB68" s="169">
        <v>12168918.380000001</v>
      </c>
      <c r="AC68" s="169">
        <v>586096</v>
      </c>
      <c r="AD68" s="169">
        <v>505126</v>
      </c>
      <c r="AE68" s="170">
        <f t="shared" si="39"/>
        <v>12249888.380000001</v>
      </c>
      <c r="AF68" s="13"/>
      <c r="AG68" s="4"/>
      <c r="AH68" s="5"/>
      <c r="AI68" s="6"/>
      <c r="AJ68" s="6"/>
      <c r="AK68" s="6"/>
      <c r="AL68" s="7"/>
      <c r="AM68" s="5"/>
      <c r="AN68" s="6"/>
      <c r="AO68" s="6"/>
      <c r="AP68" s="6"/>
      <c r="AQ68" s="7"/>
      <c r="AR68" s="5"/>
      <c r="AS68" s="6"/>
      <c r="AT68" s="6"/>
      <c r="AU68" s="6"/>
      <c r="AV68" s="7"/>
    </row>
    <row r="69" spans="1:258" ht="18.75" customHeight="1" x14ac:dyDescent="0.3">
      <c r="A69" s="194">
        <v>62</v>
      </c>
      <c r="B69" s="69" t="s">
        <v>78</v>
      </c>
      <c r="C69" s="69" t="s">
        <v>150</v>
      </c>
      <c r="D69" s="31"/>
      <c r="E69" s="31"/>
      <c r="F69" s="31"/>
      <c r="G69" s="31">
        <v>15000000</v>
      </c>
      <c r="H69" s="31"/>
      <c r="I69" s="31"/>
      <c r="J69" s="31">
        <v>25812750.059999999</v>
      </c>
      <c r="K69" s="31">
        <v>209786.98</v>
      </c>
      <c r="L69" s="31">
        <v>175365.02</v>
      </c>
      <c r="M69" s="172">
        <f>K69-L69</f>
        <v>34421.960000000021</v>
      </c>
      <c r="N69" s="31">
        <v>26115309.91</v>
      </c>
      <c r="O69" s="31">
        <v>2038001.25</v>
      </c>
      <c r="P69" s="41">
        <v>24037859.52</v>
      </c>
      <c r="Q69" s="34">
        <f t="shared" si="32"/>
        <v>5.9289386249937919E-5</v>
      </c>
      <c r="R69" s="41">
        <v>24077308.66</v>
      </c>
      <c r="S69" s="34">
        <f t="shared" si="33"/>
        <v>5.7856371508879734E-5</v>
      </c>
      <c r="T69" s="35">
        <f t="shared" si="44"/>
        <v>1.6411253242901303E-3</v>
      </c>
      <c r="U69" s="70">
        <f t="shared" si="40"/>
        <v>7.283414540900768E-3</v>
      </c>
      <c r="V69" s="36">
        <f t="shared" si="41"/>
        <v>1.4296431750773601E-3</v>
      </c>
      <c r="W69" s="37">
        <f t="shared" si="42"/>
        <v>0.90239491798925586</v>
      </c>
      <c r="X69" s="37">
        <f t="shared" si="43"/>
        <v>1.2901027357278339E-3</v>
      </c>
      <c r="Y69" s="87">
        <v>0.89239999999999997</v>
      </c>
      <c r="Z69" s="87">
        <v>0.91239999999999999</v>
      </c>
      <c r="AA69" s="169">
        <v>751</v>
      </c>
      <c r="AB69" s="169">
        <v>26681565</v>
      </c>
      <c r="AC69" s="169">
        <v>0</v>
      </c>
      <c r="AD69" s="169">
        <v>0</v>
      </c>
      <c r="AE69" s="170">
        <f t="shared" si="39"/>
        <v>26681565</v>
      </c>
      <c r="AF69" s="28"/>
      <c r="AG69" s="4"/>
      <c r="AH69" s="5"/>
      <c r="AI69" s="6"/>
      <c r="AJ69" s="6"/>
      <c r="AK69" s="6"/>
      <c r="AL69" s="7"/>
      <c r="AM69" s="5"/>
      <c r="AN69" s="6"/>
      <c r="AO69" s="6"/>
      <c r="AP69" s="6"/>
      <c r="AQ69" s="7"/>
      <c r="AR69" s="5"/>
      <c r="AS69" s="6"/>
      <c r="AT69" s="6"/>
      <c r="AU69" s="6"/>
      <c r="AV69" s="7"/>
    </row>
    <row r="70" spans="1:258" ht="16.5" customHeight="1" x14ac:dyDescent="0.3">
      <c r="A70" s="194">
        <v>63</v>
      </c>
      <c r="B70" s="69" t="s">
        <v>70</v>
      </c>
      <c r="C70" s="69" t="s">
        <v>202</v>
      </c>
      <c r="D70" s="31"/>
      <c r="E70" s="31"/>
      <c r="F70" s="31">
        <v>123692460.23</v>
      </c>
      <c r="G70" s="31">
        <v>270922468.60000002</v>
      </c>
      <c r="H70" s="31"/>
      <c r="I70" s="31"/>
      <c r="J70" s="31">
        <v>438505896.98000002</v>
      </c>
      <c r="K70" s="31">
        <v>3830124.76</v>
      </c>
      <c r="L70" s="31">
        <v>848527.23</v>
      </c>
      <c r="M70" s="172">
        <v>2981597.53</v>
      </c>
      <c r="N70" s="31">
        <v>438505896.98000002</v>
      </c>
      <c r="O70" s="31">
        <v>2710545.44</v>
      </c>
      <c r="P70" s="41">
        <v>434885391.60000002</v>
      </c>
      <c r="Q70" s="34">
        <f t="shared" si="32"/>
        <v>1.0726449222974704E-3</v>
      </c>
      <c r="R70" s="41">
        <v>435795351.50999999</v>
      </c>
      <c r="S70" s="34">
        <f t="shared" si="33"/>
        <v>1.0471908681676297E-3</v>
      </c>
      <c r="T70" s="35">
        <f>((R70-P70)/P70)</f>
        <v>2.0924131451095784E-3</v>
      </c>
      <c r="U70" s="70">
        <f t="shared" si="40"/>
        <v>1.9470772853815749E-3</v>
      </c>
      <c r="V70" s="36">
        <f t="shared" si="41"/>
        <v>6.841737801169691E-3</v>
      </c>
      <c r="W70" s="37">
        <f t="shared" si="42"/>
        <v>1162.0682569323524</v>
      </c>
      <c r="X70" s="37">
        <f t="shared" si="43"/>
        <v>7.9505663209934481</v>
      </c>
      <c r="Y70" s="87">
        <v>1162.07</v>
      </c>
      <c r="Z70" s="87">
        <v>1169.29</v>
      </c>
      <c r="AA70" s="169">
        <v>103</v>
      </c>
      <c r="AB70" s="169">
        <v>378293</v>
      </c>
      <c r="AC70" s="169">
        <v>964</v>
      </c>
      <c r="AD70" s="169">
        <v>4240</v>
      </c>
      <c r="AE70" s="170">
        <f t="shared" si="39"/>
        <v>375017</v>
      </c>
      <c r="AF70" s="13"/>
      <c r="AG70" s="4"/>
      <c r="AH70" s="5"/>
      <c r="AI70" s="6"/>
      <c r="AJ70" s="6"/>
      <c r="AK70" s="6"/>
      <c r="AL70" s="7"/>
      <c r="AM70" s="5"/>
      <c r="AN70" s="6"/>
      <c r="AO70" s="6"/>
      <c r="AP70" s="6"/>
      <c r="AQ70" s="7"/>
      <c r="AR70" s="5"/>
      <c r="AS70" s="6"/>
      <c r="AT70" s="6"/>
      <c r="AU70" s="6"/>
      <c r="AV70" s="7"/>
    </row>
    <row r="71" spans="1:258" ht="16.5" customHeight="1" x14ac:dyDescent="0.3">
      <c r="A71" s="194">
        <v>64</v>
      </c>
      <c r="B71" s="69" t="s">
        <v>44</v>
      </c>
      <c r="C71" s="69" t="s">
        <v>111</v>
      </c>
      <c r="D71" s="31"/>
      <c r="E71" s="31"/>
      <c r="F71" s="31">
        <v>12884020.66</v>
      </c>
      <c r="G71" s="31">
        <v>155038514.16999999</v>
      </c>
      <c r="H71" s="31"/>
      <c r="I71" s="31"/>
      <c r="J71" s="31">
        <v>167922534.83000001</v>
      </c>
      <c r="K71" s="31">
        <v>1355187.46</v>
      </c>
      <c r="L71" s="31">
        <v>542834.36</v>
      </c>
      <c r="M71" s="172">
        <v>812353.09</v>
      </c>
      <c r="N71" s="31">
        <v>169796247.90000001</v>
      </c>
      <c r="O71" s="31">
        <v>9328808.8000000007</v>
      </c>
      <c r="P71" s="41">
        <v>163453707.94</v>
      </c>
      <c r="Q71" s="34">
        <f t="shared" si="32"/>
        <v>4.0315860969135093E-4</v>
      </c>
      <c r="R71" s="41">
        <v>160467439.09999999</v>
      </c>
      <c r="S71" s="34">
        <f t="shared" si="33"/>
        <v>3.8559391760724029E-4</v>
      </c>
      <c r="T71" s="35">
        <f t="shared" si="44"/>
        <v>-1.8269813989757838E-2</v>
      </c>
      <c r="U71" s="70">
        <f t="shared" si="40"/>
        <v>3.3828318258492104E-3</v>
      </c>
      <c r="V71" s="36">
        <f t="shared" si="41"/>
        <v>5.0624169897405683E-3</v>
      </c>
      <c r="W71" s="37">
        <f t="shared" si="42"/>
        <v>138.50678404919131</v>
      </c>
      <c r="X71" s="37">
        <f t="shared" si="43"/>
        <v>0.70117909676495405</v>
      </c>
      <c r="Y71" s="168">
        <v>139.34</v>
      </c>
      <c r="Z71" s="168">
        <v>139.34</v>
      </c>
      <c r="AA71" s="169">
        <v>16</v>
      </c>
      <c r="AB71" s="169">
        <v>1158552.92</v>
      </c>
      <c r="AC71" s="169">
        <v>0</v>
      </c>
      <c r="AD71" s="169">
        <v>0</v>
      </c>
      <c r="AE71" s="170">
        <f t="shared" si="39"/>
        <v>1158552.92</v>
      </c>
      <c r="AF71" s="13"/>
      <c r="AG71" s="4"/>
      <c r="AH71" s="5"/>
      <c r="AI71" s="6"/>
      <c r="AJ71" s="6"/>
      <c r="AK71" s="6"/>
      <c r="AL71" s="7"/>
      <c r="AM71" s="5"/>
      <c r="AN71" s="6"/>
      <c r="AO71" s="6"/>
      <c r="AP71" s="6"/>
      <c r="AQ71" s="7"/>
      <c r="AR71" s="5"/>
      <c r="AS71" s="6"/>
      <c r="AT71" s="6"/>
      <c r="AU71" s="6"/>
      <c r="AV71" s="7"/>
    </row>
    <row r="72" spans="1:258" ht="16.5" customHeight="1" x14ac:dyDescent="0.3">
      <c r="A72" s="194">
        <v>65</v>
      </c>
      <c r="B72" s="68" t="s">
        <v>114</v>
      </c>
      <c r="C72" s="68" t="s">
        <v>115</v>
      </c>
      <c r="D72" s="31"/>
      <c r="E72" s="31"/>
      <c r="F72" s="31">
        <v>80347133.219999999</v>
      </c>
      <c r="G72" s="31">
        <v>710065133.67999995</v>
      </c>
      <c r="H72" s="31"/>
      <c r="I72" s="31"/>
      <c r="J72" s="31">
        <v>791535090.70000005</v>
      </c>
      <c r="K72" s="31">
        <v>13720467.17</v>
      </c>
      <c r="L72" s="31">
        <v>3104520.27</v>
      </c>
      <c r="M72" s="172">
        <v>10615946.9</v>
      </c>
      <c r="N72" s="31">
        <v>791535090.70000005</v>
      </c>
      <c r="O72" s="31">
        <v>6527470.0800000001</v>
      </c>
      <c r="P72" s="41">
        <v>641405702.98000002</v>
      </c>
      <c r="Q72" s="34">
        <f t="shared" si="32"/>
        <v>1.5820273196643665E-3</v>
      </c>
      <c r="R72" s="41">
        <v>785007620.61000001</v>
      </c>
      <c r="S72" s="34">
        <f t="shared" si="33"/>
        <v>1.8863276280860651E-3</v>
      </c>
      <c r="T72" s="35">
        <f t="shared" si="44"/>
        <v>0.22388625009540603</v>
      </c>
      <c r="U72" s="70">
        <f t="shared" si="40"/>
        <v>3.9547644997224279E-3</v>
      </c>
      <c r="V72" s="36">
        <f t="shared" si="41"/>
        <v>1.3523367953741322E-2</v>
      </c>
      <c r="W72" s="37">
        <f t="shared" si="42"/>
        <v>186.58106878008314</v>
      </c>
      <c r="X72" s="37">
        <f t="shared" si="43"/>
        <v>2.5232044463153818</v>
      </c>
      <c r="Y72" s="168">
        <v>186.58109999999999</v>
      </c>
      <c r="Z72" s="168">
        <v>188.13249999999999</v>
      </c>
      <c r="AA72" s="169">
        <v>437</v>
      </c>
      <c r="AB72" s="169">
        <v>3473778.83</v>
      </c>
      <c r="AC72" s="169">
        <v>1103121.43</v>
      </c>
      <c r="AD72" s="169">
        <v>369572.98</v>
      </c>
      <c r="AE72" s="170">
        <f t="shared" si="39"/>
        <v>4207327.2799999993</v>
      </c>
      <c r="AF72" s="10"/>
      <c r="AG72" s="11"/>
      <c r="AH72" s="5"/>
      <c r="AI72" s="6"/>
      <c r="AJ72" s="6"/>
      <c r="AK72" s="6"/>
      <c r="AL72" s="7"/>
      <c r="AM72" s="5"/>
      <c r="AN72" s="6"/>
      <c r="AO72" s="6"/>
      <c r="AP72" s="6"/>
      <c r="AQ72" s="7"/>
      <c r="AR72" s="5"/>
      <c r="AS72" s="6"/>
      <c r="AT72" s="6"/>
      <c r="AU72" s="6"/>
      <c r="AV72" s="7"/>
    </row>
    <row r="73" spans="1:258" ht="16.5" customHeight="1" x14ac:dyDescent="0.3">
      <c r="A73" s="194">
        <v>66</v>
      </c>
      <c r="B73" s="68" t="s">
        <v>72</v>
      </c>
      <c r="C73" s="68" t="s">
        <v>116</v>
      </c>
      <c r="D73" s="31"/>
      <c r="E73" s="31"/>
      <c r="F73" s="31">
        <v>57681936.299999997</v>
      </c>
      <c r="G73" s="31">
        <v>379103128.20999998</v>
      </c>
      <c r="H73" s="31"/>
      <c r="I73" s="31"/>
      <c r="J73" s="31">
        <v>436785064.50999999</v>
      </c>
      <c r="K73" s="31">
        <v>-25196260.68</v>
      </c>
      <c r="L73" s="31">
        <v>1109847.05</v>
      </c>
      <c r="M73" s="172">
        <v>10345410.02</v>
      </c>
      <c r="N73" s="31">
        <v>442714071.60000002</v>
      </c>
      <c r="O73" s="31">
        <v>5905102.3899999997</v>
      </c>
      <c r="P73" s="41">
        <v>679038727.10000002</v>
      </c>
      <c r="Q73" s="34">
        <f t="shared" si="32"/>
        <v>1.6748491826487756E-3</v>
      </c>
      <c r="R73" s="41">
        <v>436808969.19999999</v>
      </c>
      <c r="S73" s="34">
        <f t="shared" si="33"/>
        <v>1.0496265324882869E-3</v>
      </c>
      <c r="T73" s="35">
        <f t="shared" si="44"/>
        <v>-0.35672451103709668</v>
      </c>
      <c r="U73" s="70">
        <f t="shared" si="40"/>
        <v>2.5408064583303893E-3</v>
      </c>
      <c r="V73" s="36">
        <f t="shared" si="41"/>
        <v>2.368406042336367E-2</v>
      </c>
      <c r="W73" s="37">
        <f t="shared" si="42"/>
        <v>1.4958523878572563</v>
      </c>
      <c r="X73" s="37">
        <f t="shared" si="43"/>
        <v>3.5427858338444085E-2</v>
      </c>
      <c r="Y73" s="168">
        <v>1.4959</v>
      </c>
      <c r="Z73" s="168">
        <v>1.4959</v>
      </c>
      <c r="AA73" s="169">
        <v>143</v>
      </c>
      <c r="AB73" s="169">
        <v>459367019.63</v>
      </c>
      <c r="AC73" s="169">
        <v>1095107.26</v>
      </c>
      <c r="AD73" s="169">
        <v>168448708.49000001</v>
      </c>
      <c r="AE73" s="170">
        <f t="shared" si="39"/>
        <v>292013418.39999998</v>
      </c>
      <c r="AF73" s="20"/>
      <c r="AG73" s="12"/>
      <c r="AH73" s="5"/>
      <c r="AI73" s="6"/>
      <c r="AJ73" s="6"/>
      <c r="AK73" s="6"/>
      <c r="AL73" s="7"/>
      <c r="AM73" s="5"/>
      <c r="AN73" s="6"/>
      <c r="AO73" s="6"/>
      <c r="AP73" s="6"/>
      <c r="AQ73" s="7"/>
      <c r="AR73" s="5"/>
      <c r="AS73" s="6"/>
      <c r="AT73" s="6"/>
      <c r="AU73" s="6"/>
      <c r="AV73" s="7"/>
    </row>
    <row r="74" spans="1:258" ht="16.5" customHeight="1" x14ac:dyDescent="0.3">
      <c r="A74" s="194">
        <v>67</v>
      </c>
      <c r="B74" s="69" t="s">
        <v>50</v>
      </c>
      <c r="C74" s="69" t="s">
        <v>118</v>
      </c>
      <c r="D74" s="31"/>
      <c r="E74" s="31"/>
      <c r="F74" s="31">
        <v>41205304.75</v>
      </c>
      <c r="G74" s="31">
        <v>394808431.37</v>
      </c>
      <c r="H74" s="31"/>
      <c r="I74" s="31"/>
      <c r="J74" s="31">
        <v>436013736.12</v>
      </c>
      <c r="K74" s="31">
        <v>4670786.79</v>
      </c>
      <c r="L74" s="31">
        <v>699007.14</v>
      </c>
      <c r="M74" s="172">
        <v>3971779.65</v>
      </c>
      <c r="N74" s="31">
        <v>440250067.18000001</v>
      </c>
      <c r="O74" s="31">
        <v>699007.14</v>
      </c>
      <c r="P74" s="41">
        <v>397835020.56999999</v>
      </c>
      <c r="Q74" s="34">
        <f t="shared" si="32"/>
        <v>9.8126017329877168E-4</v>
      </c>
      <c r="R74" s="41">
        <v>439551060.04000002</v>
      </c>
      <c r="S74" s="34">
        <f t="shared" si="33"/>
        <v>1.056215617198311E-3</v>
      </c>
      <c r="T74" s="35">
        <f t="shared" si="44"/>
        <v>0.10485763523339695</v>
      </c>
      <c r="U74" s="70">
        <f t="shared" si="40"/>
        <v>1.5902751774421588E-3</v>
      </c>
      <c r="V74" s="36">
        <f t="shared" si="41"/>
        <v>9.0359915174327184E-3</v>
      </c>
      <c r="W74" s="37">
        <f t="shared" si="42"/>
        <v>1.1669075055077216</v>
      </c>
      <c r="X74" s="37">
        <f t="shared" si="43"/>
        <v>1.0544166321396346E-2</v>
      </c>
      <c r="Y74" s="168">
        <v>1.21</v>
      </c>
      <c r="Z74" s="168">
        <v>1.21</v>
      </c>
      <c r="AA74" s="169">
        <v>227</v>
      </c>
      <c r="AB74" s="169">
        <v>422411162.63</v>
      </c>
      <c r="AC74" s="169">
        <v>1708397.39</v>
      </c>
      <c r="AD74" s="169">
        <v>47439267.909999996</v>
      </c>
      <c r="AE74" s="170">
        <f t="shared" si="39"/>
        <v>376680292.11000001</v>
      </c>
      <c r="AF74" s="13"/>
      <c r="AG74" s="4"/>
      <c r="AH74" s="5"/>
      <c r="AI74" s="6"/>
      <c r="AJ74" s="6"/>
      <c r="AK74" s="6"/>
      <c r="AL74" s="7"/>
      <c r="AM74" s="5"/>
      <c r="AN74" s="6"/>
      <c r="AO74" s="6"/>
      <c r="AP74" s="6"/>
      <c r="AQ74" s="7"/>
      <c r="AR74" s="5"/>
      <c r="AS74" s="6"/>
      <c r="AT74" s="6"/>
      <c r="AU74" s="6"/>
      <c r="AV74" s="7"/>
    </row>
    <row r="75" spans="1:258" ht="16.5" customHeight="1" x14ac:dyDescent="0.3">
      <c r="A75" s="194">
        <v>68</v>
      </c>
      <c r="B75" s="68" t="s">
        <v>35</v>
      </c>
      <c r="C75" s="69" t="s">
        <v>120</v>
      </c>
      <c r="D75" s="31"/>
      <c r="E75" s="31"/>
      <c r="F75" s="31">
        <v>124512192.66</v>
      </c>
      <c r="G75" s="31">
        <v>462020283.29000002</v>
      </c>
      <c r="H75" s="31"/>
      <c r="I75" s="31"/>
      <c r="J75" s="31">
        <v>586532475.95000005</v>
      </c>
      <c r="K75" s="31">
        <v>10786059.32</v>
      </c>
      <c r="L75" s="31">
        <v>3510270.51</v>
      </c>
      <c r="M75" s="172">
        <v>7275788.8099999996</v>
      </c>
      <c r="N75" s="31">
        <v>1272643337</v>
      </c>
      <c r="O75" s="31">
        <v>8285544</v>
      </c>
      <c r="P75" s="41">
        <v>1387124845</v>
      </c>
      <c r="Q75" s="34">
        <f t="shared" si="32"/>
        <v>3.4213437616466389E-3</v>
      </c>
      <c r="R75" s="41">
        <v>1264357792</v>
      </c>
      <c r="S75" s="34">
        <f t="shared" si="33"/>
        <v>3.0381781937125728E-3</v>
      </c>
      <c r="T75" s="35">
        <f t="shared" si="44"/>
        <v>-8.850468899214331E-2</v>
      </c>
      <c r="U75" s="70">
        <f t="shared" si="40"/>
        <v>2.7763268690323378E-3</v>
      </c>
      <c r="V75" s="36">
        <f t="shared" si="41"/>
        <v>5.754533136139362E-3</v>
      </c>
      <c r="W75" s="37">
        <f t="shared" si="42"/>
        <v>1.185489983811052</v>
      </c>
      <c r="X75" s="37">
        <f t="shared" si="43"/>
        <v>6.8219413944020143E-3</v>
      </c>
      <c r="Y75" s="168">
        <v>1.0296000000000001</v>
      </c>
      <c r="Z75" s="168">
        <v>1.0347999999999999</v>
      </c>
      <c r="AA75" s="169">
        <v>548</v>
      </c>
      <c r="AB75" s="169">
        <v>1193619978</v>
      </c>
      <c r="AC75" s="169">
        <v>1537034</v>
      </c>
      <c r="AD75" s="169">
        <v>128629408</v>
      </c>
      <c r="AE75" s="170">
        <f t="shared" si="39"/>
        <v>1066527604</v>
      </c>
      <c r="AF75" s="13"/>
      <c r="AG75" s="4"/>
      <c r="AH75" s="5"/>
      <c r="AI75" s="6"/>
      <c r="AJ75" s="6"/>
      <c r="AK75" s="6"/>
      <c r="AL75" s="7"/>
      <c r="AM75" s="5"/>
      <c r="AN75" s="6"/>
      <c r="AO75" s="6"/>
      <c r="AP75" s="6"/>
      <c r="AQ75" s="7"/>
      <c r="AR75" s="5"/>
      <c r="AS75" s="6"/>
      <c r="AT75" s="6"/>
      <c r="AU75" s="6"/>
      <c r="AV75" s="7"/>
    </row>
    <row r="76" spans="1:258" ht="16.5" customHeight="1" x14ac:dyDescent="0.3">
      <c r="A76" s="194">
        <v>69</v>
      </c>
      <c r="B76" s="69" t="s">
        <v>23</v>
      </c>
      <c r="C76" s="69" t="s">
        <v>163</v>
      </c>
      <c r="D76" s="31"/>
      <c r="E76" s="31"/>
      <c r="F76" s="31">
        <v>15227730140.67</v>
      </c>
      <c r="G76" s="31">
        <v>12953067703.629999</v>
      </c>
      <c r="H76" s="31"/>
      <c r="I76" s="31"/>
      <c r="J76" s="31">
        <v>28180797844.299999</v>
      </c>
      <c r="K76" s="31">
        <v>190178396.49000001</v>
      </c>
      <c r="L76" s="31">
        <v>40333732.579999998</v>
      </c>
      <c r="M76" s="172">
        <v>149844663.91</v>
      </c>
      <c r="N76" s="31">
        <v>29055399415.73</v>
      </c>
      <c r="O76" s="31">
        <v>101008730.88</v>
      </c>
      <c r="P76" s="41">
        <v>24854202010.470001</v>
      </c>
      <c r="Q76" s="34">
        <f t="shared" si="32"/>
        <v>6.1302895197747599E-2</v>
      </c>
      <c r="R76" s="41">
        <v>28954390684.849998</v>
      </c>
      <c r="S76" s="34">
        <f t="shared" si="33"/>
        <v>6.9575715788324666E-2</v>
      </c>
      <c r="T76" s="35">
        <f>((R76-P76)/P76)</f>
        <v>0.16496963662936212</v>
      </c>
      <c r="U76" s="70">
        <f>(L76/R76)</f>
        <v>1.3930091991576287E-3</v>
      </c>
      <c r="V76" s="36">
        <f>M76/R76</f>
        <v>5.1751965890411309E-3</v>
      </c>
      <c r="W76" s="37">
        <f>R76/AE76</f>
        <v>108.39589590622623</v>
      </c>
      <c r="X76" s="37">
        <f>M76/AE76</f>
        <v>0.56097007075995942</v>
      </c>
      <c r="Y76" s="168">
        <v>108.4</v>
      </c>
      <c r="Z76" s="168">
        <v>108.4</v>
      </c>
      <c r="AA76" s="169">
        <v>2112</v>
      </c>
      <c r="AB76" s="169">
        <v>230550927.41999999</v>
      </c>
      <c r="AC76" s="169">
        <v>49887874.310000002</v>
      </c>
      <c r="AD76" s="169">
        <v>13321763.369999999</v>
      </c>
      <c r="AE76" s="170">
        <f t="shared" si="39"/>
        <v>267117038.36000001</v>
      </c>
      <c r="AF76" s="6"/>
      <c r="AG76" s="6"/>
      <c r="AH76" s="27"/>
      <c r="AI76" s="6"/>
      <c r="AJ76" s="6"/>
      <c r="AK76" s="6"/>
      <c r="AL76" s="7"/>
      <c r="AM76" s="5"/>
      <c r="AN76" s="6"/>
      <c r="AO76" s="6"/>
      <c r="AP76" s="6"/>
      <c r="AQ76" s="7"/>
      <c r="AR76" s="5"/>
      <c r="AS76" s="6"/>
      <c r="AT76" s="6"/>
      <c r="AU76" s="6"/>
      <c r="AV76" s="7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  <c r="IQ76" s="26"/>
      <c r="IR76" s="26"/>
      <c r="IS76" s="26"/>
      <c r="IT76" s="26"/>
      <c r="IU76" s="26"/>
      <c r="IV76" s="26"/>
      <c r="IW76" s="26"/>
      <c r="IX76" s="26"/>
    </row>
    <row r="77" spans="1:258" ht="16.5" customHeight="1" x14ac:dyDescent="0.3">
      <c r="A77" s="194">
        <v>70</v>
      </c>
      <c r="B77" s="68" t="s">
        <v>121</v>
      </c>
      <c r="C77" s="69" t="s">
        <v>152</v>
      </c>
      <c r="D77" s="31"/>
      <c r="E77" s="31"/>
      <c r="F77" s="31"/>
      <c r="G77" s="31">
        <v>266193622.11000001</v>
      </c>
      <c r="H77" s="31"/>
      <c r="I77" s="31"/>
      <c r="J77" s="31">
        <v>266193622.11000001</v>
      </c>
      <c r="K77" s="31">
        <v>2581527.06</v>
      </c>
      <c r="L77" s="31">
        <v>476479.07</v>
      </c>
      <c r="M77" s="172">
        <v>2105047.9900000002</v>
      </c>
      <c r="N77" s="31">
        <v>268048555.59</v>
      </c>
      <c r="O77" s="64">
        <v>6977070.5099999998</v>
      </c>
      <c r="P77" s="41">
        <v>305104696.69999999</v>
      </c>
      <c r="Q77" s="34">
        <f t="shared" si="32"/>
        <v>7.5254080731546177E-4</v>
      </c>
      <c r="R77" s="41">
        <v>261071485.08000001</v>
      </c>
      <c r="S77" s="34">
        <f t="shared" si="33"/>
        <v>6.2733958535228713E-4</v>
      </c>
      <c r="T77" s="35">
        <f>((R77-P77)/P77)</f>
        <v>-0.14432164465595385</v>
      </c>
      <c r="U77" s="70">
        <f>(L77/R77)</f>
        <v>1.8250904339629154E-3</v>
      </c>
      <c r="V77" s="36">
        <f>M77/R77</f>
        <v>8.0631095707558841E-3</v>
      </c>
      <c r="W77" s="37">
        <f>R77/AE77</f>
        <v>1091.1166676975802</v>
      </c>
      <c r="X77" s="37">
        <f>M77/AE77</f>
        <v>8.7977932461236268</v>
      </c>
      <c r="Y77" s="87">
        <v>1091.1199999999999</v>
      </c>
      <c r="Z77" s="87">
        <v>1091.1199999999999</v>
      </c>
      <c r="AA77" s="169">
        <v>121</v>
      </c>
      <c r="AB77" s="169">
        <v>282240</v>
      </c>
      <c r="AC77" s="169">
        <v>5240</v>
      </c>
      <c r="AD77" s="169">
        <v>48210</v>
      </c>
      <c r="AE77" s="170">
        <f t="shared" si="39"/>
        <v>239270</v>
      </c>
      <c r="AF77" s="6"/>
      <c r="AG77" s="6"/>
      <c r="AH77" s="27"/>
      <c r="AI77" s="6"/>
      <c r="AJ77" s="6"/>
      <c r="AK77" s="6"/>
      <c r="AL77" s="7"/>
      <c r="AM77" s="5"/>
      <c r="AN77" s="6"/>
      <c r="AO77" s="6"/>
      <c r="AP77" s="6"/>
      <c r="AQ77" s="7"/>
      <c r="AR77" s="5"/>
      <c r="AS77" s="6"/>
      <c r="AT77" s="6"/>
      <c r="AU77" s="6"/>
      <c r="AV77" s="7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  <c r="IQ77" s="26"/>
      <c r="IR77" s="26"/>
      <c r="IS77" s="26"/>
      <c r="IT77" s="26"/>
      <c r="IU77" s="26"/>
      <c r="IV77" s="26"/>
      <c r="IW77" s="26"/>
      <c r="IX77" s="26"/>
    </row>
    <row r="78" spans="1:258" ht="16.5" customHeight="1" x14ac:dyDescent="0.3">
      <c r="A78" s="194">
        <v>71</v>
      </c>
      <c r="B78" s="68" t="s">
        <v>148</v>
      </c>
      <c r="C78" s="69" t="s">
        <v>149</v>
      </c>
      <c r="D78" s="31"/>
      <c r="E78" s="31"/>
      <c r="F78" s="31">
        <v>218466894.81999999</v>
      </c>
      <c r="G78" s="31">
        <v>973122669.89999998</v>
      </c>
      <c r="H78" s="31"/>
      <c r="I78" s="31"/>
      <c r="J78" s="31">
        <v>1191589564.72</v>
      </c>
      <c r="K78" s="31">
        <v>11314538.939999999</v>
      </c>
      <c r="L78" s="31">
        <v>2208379.7999999998</v>
      </c>
      <c r="M78" s="172">
        <v>9106159</v>
      </c>
      <c r="N78" s="31">
        <v>1578404710.01</v>
      </c>
      <c r="O78" s="31">
        <v>6882235.9400000004</v>
      </c>
      <c r="P78" s="41">
        <v>1582885324.5699999</v>
      </c>
      <c r="Q78" s="34">
        <f t="shared" si="32"/>
        <v>3.9041870312831028E-3</v>
      </c>
      <c r="R78" s="41">
        <v>1571522474.0699999</v>
      </c>
      <c r="S78" s="34">
        <f t="shared" si="33"/>
        <v>3.7762770489958792E-3</v>
      </c>
      <c r="T78" s="35">
        <f t="shared" si="44"/>
        <v>-7.1785683546512031E-3</v>
      </c>
      <c r="U78" s="70">
        <f t="shared" si="40"/>
        <v>1.4052486276449091E-3</v>
      </c>
      <c r="V78" s="36">
        <f t="shared" si="41"/>
        <v>5.7944821981555615E-3</v>
      </c>
      <c r="W78" s="37" t="e">
        <f>R78/AE81</f>
        <v>#DIV/0!</v>
      </c>
      <c r="X78" s="37" t="e">
        <f>M78/AE81</f>
        <v>#DIV/0!</v>
      </c>
      <c r="Y78" s="168">
        <v>1.0286999999999999</v>
      </c>
      <c r="Z78" s="168">
        <v>1.0286999999999999</v>
      </c>
      <c r="AA78" s="169">
        <v>608</v>
      </c>
      <c r="AB78" s="169">
        <v>1547756244.77</v>
      </c>
      <c r="AC78" s="169">
        <v>91063609.579999998</v>
      </c>
      <c r="AD78" s="169">
        <v>111205018.13</v>
      </c>
      <c r="AE78" s="170">
        <f t="shared" si="39"/>
        <v>1527614836.2199998</v>
      </c>
      <c r="AF78" s="234"/>
      <c r="AG78" s="16"/>
      <c r="AH78" s="8"/>
      <c r="AI78" s="17"/>
      <c r="AJ78" s="6"/>
      <c r="AK78" s="6"/>
      <c r="AL78" s="7"/>
      <c r="AM78" s="5"/>
      <c r="AN78" s="6"/>
      <c r="AO78" s="6"/>
      <c r="AP78" s="6"/>
      <c r="AQ78" s="7"/>
      <c r="AR78" s="5"/>
      <c r="AS78" s="6"/>
      <c r="AT78" s="6"/>
      <c r="AU78" s="6"/>
      <c r="AV78" s="7"/>
    </row>
    <row r="79" spans="1:258" ht="16.5" customHeight="1" x14ac:dyDescent="0.3">
      <c r="A79" s="194">
        <v>72</v>
      </c>
      <c r="B79" s="69" t="s">
        <v>29</v>
      </c>
      <c r="C79" s="211" t="s">
        <v>197</v>
      </c>
      <c r="D79" s="31"/>
      <c r="E79" s="31"/>
      <c r="F79" s="31">
        <v>106544767.12</v>
      </c>
      <c r="G79" s="31">
        <v>261299375.36000001</v>
      </c>
      <c r="H79" s="31"/>
      <c r="I79" s="184"/>
      <c r="J79" s="31">
        <v>449356698.77999997</v>
      </c>
      <c r="K79" s="31">
        <v>2331587.46</v>
      </c>
      <c r="L79" s="31">
        <v>723945.67</v>
      </c>
      <c r="M79" s="172">
        <v>1607641.79</v>
      </c>
      <c r="N79" s="31">
        <v>449356698.77999997</v>
      </c>
      <c r="O79" s="31">
        <v>1209447.3799999999</v>
      </c>
      <c r="P79" s="41">
        <v>158526089.13</v>
      </c>
      <c r="Q79" s="34">
        <f t="shared" si="32"/>
        <v>3.9100463671902909E-4</v>
      </c>
      <c r="R79" s="41">
        <v>448147251.39999998</v>
      </c>
      <c r="S79" s="34">
        <f t="shared" si="33"/>
        <v>1.0768717647731364E-3</v>
      </c>
      <c r="T79" s="35">
        <f t="shared" ref="T79" si="45">((R79-P79)/P79)</f>
        <v>1.826962135125247</v>
      </c>
      <c r="U79" s="70">
        <f t="shared" ref="U79" si="46">(L79/R79)</f>
        <v>1.6154191903183903E-3</v>
      </c>
      <c r="V79" s="36">
        <f t="shared" ref="V79" si="47">M79/R79</f>
        <v>3.5873070402145059E-3</v>
      </c>
      <c r="W79" s="37">
        <f t="shared" ref="W79" si="48">R79/AE79</f>
        <v>103.15102272397708</v>
      </c>
      <c r="X79" s="37">
        <f t="shared" ref="X79" si="49">M79/AE79</f>
        <v>0.37003439002304944</v>
      </c>
      <c r="Y79" s="168">
        <v>103.15</v>
      </c>
      <c r="Z79" s="168">
        <v>103.15</v>
      </c>
      <c r="AA79" s="169">
        <v>68</v>
      </c>
      <c r="AB79" s="169">
        <v>1544995</v>
      </c>
      <c r="AC79" s="169">
        <v>2802318</v>
      </c>
      <c r="AD79" s="169">
        <v>2739</v>
      </c>
      <c r="AE79" s="170">
        <f t="shared" si="39"/>
        <v>4344574</v>
      </c>
      <c r="AF79" s="13"/>
      <c r="AG79" s="4"/>
      <c r="AH79" s="5"/>
      <c r="AI79" s="6"/>
      <c r="AJ79" s="6"/>
      <c r="AK79" s="6"/>
      <c r="AL79" s="7"/>
      <c r="AM79" s="5"/>
      <c r="AN79" s="6"/>
      <c r="AO79" s="6"/>
      <c r="AP79" s="6"/>
      <c r="AQ79" s="7"/>
      <c r="AR79" s="5"/>
      <c r="AS79" s="6"/>
      <c r="AT79" s="6"/>
      <c r="AU79" s="6"/>
      <c r="AV79" s="7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  <c r="IQ79" s="26"/>
      <c r="IR79" s="26"/>
      <c r="IS79" s="26"/>
      <c r="IT79" s="26"/>
      <c r="IU79" s="26"/>
      <c r="IV79" s="26"/>
      <c r="IW79" s="26"/>
      <c r="IX79" s="26"/>
    </row>
    <row r="80" spans="1:258" ht="16.5" customHeight="1" x14ac:dyDescent="0.3">
      <c r="A80" s="194">
        <v>73</v>
      </c>
      <c r="B80" s="69" t="s">
        <v>65</v>
      </c>
      <c r="C80" s="69" t="s">
        <v>218</v>
      </c>
      <c r="D80" s="31"/>
      <c r="E80" s="31"/>
      <c r="F80" s="31"/>
      <c r="G80" s="31">
        <v>55965797.890000001</v>
      </c>
      <c r="H80" s="31"/>
      <c r="I80" s="184"/>
      <c r="J80" s="31">
        <v>55965797.890000001</v>
      </c>
      <c r="K80" s="31">
        <v>457334.63</v>
      </c>
      <c r="L80" s="31">
        <v>128515.69</v>
      </c>
      <c r="M80" s="172">
        <f>K80-L80</f>
        <v>328818.94</v>
      </c>
      <c r="N80" s="31">
        <v>171768380.93000001</v>
      </c>
      <c r="O80" s="31">
        <v>128408.18</v>
      </c>
      <c r="P80" s="41">
        <v>158526089.13</v>
      </c>
      <c r="Q80" s="34">
        <f t="shared" si="32"/>
        <v>3.9100463671902909E-4</v>
      </c>
      <c r="R80" s="41">
        <v>171639972.75</v>
      </c>
      <c r="S80" s="34">
        <f t="shared" si="33"/>
        <v>4.1244086577232897E-4</v>
      </c>
      <c r="T80" s="35">
        <f t="shared" ref="T80" si="50">((R80-P80)/P80)</f>
        <v>8.2723819731942719E-2</v>
      </c>
      <c r="U80" s="70">
        <f t="shared" ref="U80" si="51">(L80/R80)</f>
        <v>7.487515171491426E-4</v>
      </c>
      <c r="V80" s="36">
        <f t="shared" ref="V80" si="52">M80/R80</f>
        <v>1.9157480319513742E-3</v>
      </c>
      <c r="W80" s="37">
        <f t="shared" ref="W80" si="53">R80/AE80</f>
        <v>96.303379680230535</v>
      </c>
      <c r="X80" s="37">
        <f t="shared" ref="X80" si="54">M80/AE80</f>
        <v>0.18449301009266761</v>
      </c>
      <c r="Y80" s="168">
        <v>100.17</v>
      </c>
      <c r="Z80" s="168">
        <v>100.17</v>
      </c>
      <c r="AA80" s="169">
        <v>62</v>
      </c>
      <c r="AB80" s="169">
        <v>93035</v>
      </c>
      <c r="AC80" s="169">
        <v>2065045</v>
      </c>
      <c r="AD80" s="169">
        <v>375796</v>
      </c>
      <c r="AE80" s="170">
        <f t="shared" si="39"/>
        <v>1782284</v>
      </c>
      <c r="AF80" s="13"/>
      <c r="AG80" s="4"/>
      <c r="AH80" s="5"/>
      <c r="AI80" s="6"/>
      <c r="AJ80" s="6"/>
      <c r="AK80" s="6"/>
      <c r="AL80" s="7"/>
      <c r="AM80" s="5"/>
      <c r="AN80" s="6"/>
      <c r="AO80" s="6"/>
      <c r="AP80" s="6"/>
      <c r="AQ80" s="7"/>
      <c r="AR80" s="5"/>
      <c r="AS80" s="6"/>
      <c r="AT80" s="6"/>
      <c r="AU80" s="6"/>
      <c r="AV80" s="7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  <c r="IQ80" s="26"/>
      <c r="IR80" s="26"/>
      <c r="IS80" s="26"/>
      <c r="IT80" s="26"/>
      <c r="IU80" s="26"/>
      <c r="IV80" s="26"/>
      <c r="IW80" s="26"/>
      <c r="IX80" s="26"/>
    </row>
    <row r="81" spans="1:258" ht="16.5" customHeight="1" x14ac:dyDescent="0.3">
      <c r="A81" s="132" t="s">
        <v>91</v>
      </c>
      <c r="B81" s="103"/>
      <c r="C81" s="46" t="s">
        <v>52</v>
      </c>
      <c r="D81" s="47">
        <f>SUM(D53:D79)</f>
        <v>91603625.900000006</v>
      </c>
      <c r="E81" s="47"/>
      <c r="F81" s="47">
        <f>SUM(F53:F79)</f>
        <v>83160649755.200012</v>
      </c>
      <c r="G81" s="47">
        <f>SUM(G53:G79)</f>
        <v>244616821372.81998</v>
      </c>
      <c r="H81" s="47"/>
      <c r="I81" s="47">
        <f t="shared" ref="I81:P81" si="55">SUM(I53:I79)</f>
        <v>6531321593.1000004</v>
      </c>
      <c r="J81" s="47">
        <f>SUM(J53:J80)</f>
        <v>334835715949.84998</v>
      </c>
      <c r="K81" s="47">
        <f>SUM(K53:K80)</f>
        <v>3075332626.000001</v>
      </c>
      <c r="L81" s="47">
        <f>SUM(L53:L80)</f>
        <v>624930787.81999993</v>
      </c>
      <c r="M81" s="47">
        <f>SUM(M53:M80)</f>
        <v>2484647973.1300006</v>
      </c>
      <c r="N81" s="47">
        <f t="shared" si="55"/>
        <v>419946147184.25</v>
      </c>
      <c r="O81" s="47">
        <f t="shared" si="55"/>
        <v>4396181874.5099993</v>
      </c>
      <c r="P81" s="48">
        <f t="shared" si="55"/>
        <v>405432760235.81995</v>
      </c>
      <c r="Q81" s="102">
        <f>(P81/$P$150)</f>
        <v>0.29266143798638744</v>
      </c>
      <c r="R81" s="48">
        <f>SUM(R53:R79)</f>
        <v>416156562053.06</v>
      </c>
      <c r="S81" s="102">
        <f>(R81/$R$150)</f>
        <v>0.29457559199895988</v>
      </c>
      <c r="T81" s="49">
        <f t="shared" si="44"/>
        <v>2.645025974468011E-2</v>
      </c>
      <c r="U81" s="62"/>
      <c r="V81" s="50"/>
      <c r="W81" s="51"/>
      <c r="X81" s="51"/>
      <c r="Y81" s="47"/>
      <c r="Z81" s="47"/>
      <c r="AA81" s="52">
        <f>SUM(AA53:AA80)</f>
        <v>44081</v>
      </c>
      <c r="AB81" s="52"/>
      <c r="AC81" s="52"/>
      <c r="AD81" s="52"/>
      <c r="AE81" s="128">
        <v>0</v>
      </c>
      <c r="AF81" s="104"/>
      <c r="AG81" s="105"/>
      <c r="AH81" s="106"/>
      <c r="AI81" s="6"/>
      <c r="AJ81" s="6"/>
      <c r="AK81" s="6"/>
      <c r="AL81" s="7"/>
      <c r="AM81" s="5"/>
      <c r="AN81" s="6"/>
      <c r="AO81" s="6"/>
      <c r="AP81" s="6"/>
      <c r="AQ81" s="7"/>
      <c r="AR81" s="5"/>
      <c r="AS81" s="6"/>
      <c r="AT81" s="6"/>
      <c r="AU81" s="6"/>
      <c r="AV81" s="7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  <c r="IQ81" s="26"/>
      <c r="IR81" s="26"/>
      <c r="IS81" s="26"/>
      <c r="IT81" s="26"/>
      <c r="IU81" s="26"/>
      <c r="IV81" s="26"/>
      <c r="IW81" s="26"/>
      <c r="IX81" s="26"/>
    </row>
    <row r="82" spans="1:258" ht="16.5" customHeight="1" x14ac:dyDescent="0.3">
      <c r="A82" s="225" t="s">
        <v>178</v>
      </c>
      <c r="B82" s="223"/>
      <c r="C82" s="223"/>
      <c r="D82" s="56"/>
      <c r="E82" s="56"/>
      <c r="F82" s="56"/>
      <c r="G82" s="56"/>
      <c r="H82" s="56"/>
      <c r="I82" s="56"/>
      <c r="J82" s="56"/>
      <c r="K82" s="56"/>
      <c r="L82" s="56"/>
      <c r="M82" s="188"/>
      <c r="N82" s="56"/>
      <c r="O82" s="56"/>
      <c r="P82" s="56">
        <v>0</v>
      </c>
      <c r="Q82" s="35"/>
      <c r="R82" s="56">
        <v>0</v>
      </c>
      <c r="S82" s="35"/>
      <c r="T82" s="35"/>
      <c r="U82" s="35"/>
      <c r="V82" s="57"/>
      <c r="W82" s="58"/>
      <c r="X82" s="58"/>
      <c r="Y82" s="56"/>
      <c r="Z82" s="56"/>
      <c r="AA82" s="56"/>
      <c r="AB82" s="56"/>
      <c r="AC82" s="56"/>
      <c r="AD82" s="56"/>
      <c r="AE82" s="133"/>
      <c r="AF82" s="104"/>
      <c r="AG82" s="105"/>
      <c r="AH82" s="106"/>
      <c r="AI82" s="6"/>
      <c r="AJ82" s="6"/>
      <c r="AK82" s="6"/>
      <c r="AL82" s="7"/>
      <c r="AM82" s="5"/>
      <c r="AN82" s="6"/>
      <c r="AO82" s="6"/>
      <c r="AP82" s="6"/>
      <c r="AQ82" s="7"/>
      <c r="AR82" s="5"/>
      <c r="AS82" s="6"/>
      <c r="AT82" s="6"/>
      <c r="AU82" s="6"/>
      <c r="AV82" s="7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26"/>
      <c r="IV82" s="26"/>
      <c r="IW82" s="26"/>
      <c r="IX82" s="26"/>
    </row>
    <row r="83" spans="1:258" ht="16.5" customHeight="1" x14ac:dyDescent="0.3">
      <c r="A83" s="229" t="s">
        <v>177</v>
      </c>
      <c r="B83" s="230"/>
      <c r="C83" s="230"/>
      <c r="D83" s="107"/>
      <c r="E83" s="107"/>
      <c r="F83" s="107"/>
      <c r="G83" s="107"/>
      <c r="H83" s="107"/>
      <c r="I83" s="107"/>
      <c r="J83" s="107"/>
      <c r="K83" s="107"/>
      <c r="L83" s="107"/>
      <c r="M83" s="189"/>
      <c r="N83" s="107"/>
      <c r="O83" s="107"/>
      <c r="P83" s="107"/>
      <c r="Q83" s="108"/>
      <c r="R83" s="107"/>
      <c r="S83" s="108"/>
      <c r="T83" s="108"/>
      <c r="U83" s="109"/>
      <c r="V83" s="110"/>
      <c r="W83" s="111"/>
      <c r="X83" s="111"/>
      <c r="Y83" s="107"/>
      <c r="Z83" s="107"/>
      <c r="AA83" s="107"/>
      <c r="AB83" s="107"/>
      <c r="AC83" s="107"/>
      <c r="AD83" s="107"/>
      <c r="AE83" s="134"/>
      <c r="AF83" s="104"/>
      <c r="AG83" s="105"/>
      <c r="AH83" s="106"/>
      <c r="AI83" s="6"/>
      <c r="AJ83" s="6"/>
      <c r="AK83" s="6"/>
      <c r="AL83" s="7"/>
      <c r="AM83" s="5"/>
      <c r="AN83" s="6"/>
      <c r="AO83" s="6"/>
      <c r="AP83" s="6"/>
      <c r="AQ83" s="7"/>
      <c r="AR83" s="5"/>
      <c r="AS83" s="6"/>
      <c r="AT83" s="6"/>
      <c r="AU83" s="6"/>
      <c r="AV83" s="7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26"/>
      <c r="IV83" s="26"/>
      <c r="IW83" s="26"/>
      <c r="IX83" s="26"/>
    </row>
    <row r="84" spans="1:258" ht="16.5" customHeight="1" x14ac:dyDescent="0.3">
      <c r="A84" s="200" t="s">
        <v>219</v>
      </c>
      <c r="B84" s="69" t="s">
        <v>180</v>
      </c>
      <c r="C84" s="69" t="s">
        <v>199</v>
      </c>
      <c r="D84" s="31"/>
      <c r="E84" s="31"/>
      <c r="F84" s="171"/>
      <c r="G84" s="31"/>
      <c r="H84" s="40"/>
      <c r="I84" s="59"/>
      <c r="J84" s="39"/>
      <c r="K84" s="39"/>
      <c r="L84" s="39"/>
      <c r="M84" s="190"/>
      <c r="N84" s="31"/>
      <c r="O84" s="90"/>
      <c r="P84" s="33"/>
      <c r="Q84" s="167">
        <f t="shared" ref="Q84:Q92" si="56">(P84/$P$102)</f>
        <v>0</v>
      </c>
      <c r="R84" s="33"/>
      <c r="S84" s="34">
        <f t="shared" ref="S84:S92" si="57">(R84/$R$102)</f>
        <v>0</v>
      </c>
      <c r="T84" s="35" t="e">
        <f t="shared" ref="T84:T89" si="58">((R84-P84)/P84)</f>
        <v>#DIV/0!</v>
      </c>
      <c r="U84" s="70" t="e">
        <f t="shared" ref="U84:U89" si="59">(L84/R84)</f>
        <v>#DIV/0!</v>
      </c>
      <c r="V84" s="36" t="e">
        <f t="shared" ref="V84:V89" si="60">M84/R84</f>
        <v>#DIV/0!</v>
      </c>
      <c r="W84" s="37" t="e">
        <f t="shared" ref="W84:W89" si="61">R84/AE84</f>
        <v>#DIV/0!</v>
      </c>
      <c r="X84" s="37" t="e">
        <f>M84/AE84</f>
        <v>#DIV/0!</v>
      </c>
      <c r="Y84" s="31"/>
      <c r="Z84" s="39"/>
      <c r="AA84" s="38"/>
      <c r="AB84" s="38"/>
      <c r="AC84" s="38"/>
      <c r="AD84" s="38"/>
      <c r="AE84" s="128"/>
      <c r="AF84" s="10"/>
      <c r="AG84" s="11"/>
      <c r="AH84" s="5"/>
      <c r="AI84" s="6"/>
      <c r="AJ84" s="6"/>
      <c r="AK84" s="6"/>
      <c r="AL84" s="7"/>
      <c r="AM84" s="5"/>
      <c r="AN84" s="6"/>
      <c r="AO84" s="6"/>
      <c r="AP84" s="6"/>
      <c r="AQ84" s="7"/>
      <c r="AR84" s="5"/>
      <c r="AS84" s="6"/>
      <c r="AT84" s="6"/>
      <c r="AU84" s="6"/>
      <c r="AV84" s="7"/>
    </row>
    <row r="85" spans="1:258" ht="16.5" customHeight="1" x14ac:dyDescent="0.3">
      <c r="A85" s="200" t="s">
        <v>220</v>
      </c>
      <c r="B85" s="69" t="s">
        <v>180</v>
      </c>
      <c r="C85" s="69" t="s">
        <v>198</v>
      </c>
      <c r="D85" s="40"/>
      <c r="E85" s="31"/>
      <c r="F85" s="171">
        <v>2259618192.5300002</v>
      </c>
      <c r="G85" s="31">
        <v>6799106202.04</v>
      </c>
      <c r="H85" s="40"/>
      <c r="I85" s="59"/>
      <c r="J85" s="39">
        <v>9237803735.4500008</v>
      </c>
      <c r="K85" s="39">
        <v>52733767.009999998</v>
      </c>
      <c r="L85" s="39">
        <v>12920987.66</v>
      </c>
      <c r="M85" s="190">
        <v>39812779.350000001</v>
      </c>
      <c r="N85" s="31">
        <v>9289928890.9699993</v>
      </c>
      <c r="O85" s="90">
        <v>52125155.509999998</v>
      </c>
      <c r="P85" s="33">
        <v>8848499679.4200001</v>
      </c>
      <c r="Q85" s="34">
        <f t="shared" si="56"/>
        <v>3.2927521726137145E-2</v>
      </c>
      <c r="R85" s="33">
        <v>9237803735.4500008</v>
      </c>
      <c r="S85" s="34">
        <f t="shared" si="57"/>
        <v>3.4864176012921549E-2</v>
      </c>
      <c r="T85" s="35">
        <f t="shared" si="58"/>
        <v>4.3996617520985062E-2</v>
      </c>
      <c r="U85" s="70">
        <f t="shared" si="59"/>
        <v>1.3987077480782375E-3</v>
      </c>
      <c r="V85" s="36">
        <f t="shared" si="60"/>
        <v>4.3097667465285894E-3</v>
      </c>
      <c r="W85" s="37">
        <f t="shared" si="61"/>
        <v>51376.175727439098</v>
      </c>
      <c r="X85" s="37">
        <f t="shared" ref="X85:X89" si="62">M85/AE85</f>
        <v>221.41933371392631</v>
      </c>
      <c r="Y85" s="31">
        <v>123.22</v>
      </c>
      <c r="Z85" s="39">
        <v>123.22</v>
      </c>
      <c r="AA85" s="38">
        <v>1727</v>
      </c>
      <c r="AB85" s="38">
        <v>173305.28</v>
      </c>
      <c r="AC85" s="38">
        <v>8991.64</v>
      </c>
      <c r="AD85" s="38">
        <v>2489.77</v>
      </c>
      <c r="AE85" s="170">
        <f t="shared" ref="AE85:AE92" si="63">(AB85+AC85)-AD85</f>
        <v>179807.15</v>
      </c>
      <c r="AF85" s="20"/>
      <c r="AG85" s="12"/>
      <c r="AH85" s="5"/>
      <c r="AI85" s="6"/>
      <c r="AJ85" s="6"/>
      <c r="AK85" s="6"/>
      <c r="AL85" s="7"/>
      <c r="AM85" s="5"/>
      <c r="AN85" s="6"/>
      <c r="AO85" s="6"/>
      <c r="AP85" s="6"/>
      <c r="AQ85" s="7"/>
      <c r="AR85" s="5"/>
      <c r="AS85" s="6"/>
      <c r="AT85" s="6"/>
      <c r="AU85" s="6"/>
      <c r="AV85" s="7"/>
    </row>
    <row r="86" spans="1:258" ht="16.5" customHeight="1" x14ac:dyDescent="0.3">
      <c r="A86" s="194">
        <v>75</v>
      </c>
      <c r="B86" s="69" t="s">
        <v>33</v>
      </c>
      <c r="C86" s="69" t="s">
        <v>196</v>
      </c>
      <c r="D86" s="40"/>
      <c r="E86" s="31"/>
      <c r="F86" s="158"/>
      <c r="G86" s="31">
        <f>416.25*126454045</f>
        <v>52636496231.25</v>
      </c>
      <c r="H86" s="31"/>
      <c r="I86" s="39"/>
      <c r="J86" s="31">
        <f>416.25*126454045</f>
        <v>52636496231.25</v>
      </c>
      <c r="K86" s="31">
        <f>416.25*794025</f>
        <v>330512906.25</v>
      </c>
      <c r="L86" s="31">
        <f>416.25*228579</f>
        <v>95146008.75</v>
      </c>
      <c r="M86" s="190">
        <f>416.25*565447</f>
        <v>235367313.75</v>
      </c>
      <c r="N86" s="39">
        <f>416.25*127117754</f>
        <v>52912765102.5</v>
      </c>
      <c r="O86" s="39">
        <f>416.25*1754441</f>
        <v>730286066.25</v>
      </c>
      <c r="P86" s="33">
        <f>416.59*141983529</f>
        <v>59148918346.109993</v>
      </c>
      <c r="Q86" s="167">
        <f t="shared" si="56"/>
        <v>0.22010819511570709</v>
      </c>
      <c r="R86" s="33">
        <f>416.25*125363313</f>
        <v>52182479036.25</v>
      </c>
      <c r="S86" s="34">
        <f t="shared" si="57"/>
        <v>0.19694065667674476</v>
      </c>
      <c r="T86" s="35">
        <f>((R86-P86)/P86)</f>
        <v>-0.11777796626974414</v>
      </c>
      <c r="U86" s="70">
        <f>(L86/R86)</f>
        <v>1.8233324768626687E-3</v>
      </c>
      <c r="V86" s="36">
        <f>M86/R86</f>
        <v>4.510466311623401E-3</v>
      </c>
      <c r="W86" s="37">
        <f>R86/AE86</f>
        <v>51263.226852333944</v>
      </c>
      <c r="X86" s="37">
        <f>M86/AE86</f>
        <v>231.22105774256042</v>
      </c>
      <c r="Y86" s="39">
        <f>416.25*123.15</f>
        <v>51261.1875</v>
      </c>
      <c r="Z86" s="39">
        <f>416.25*123.15</f>
        <v>51261.1875</v>
      </c>
      <c r="AA86" s="38">
        <v>1022</v>
      </c>
      <c r="AB86" s="38">
        <v>1147960</v>
      </c>
      <c r="AC86" s="38">
        <v>27197</v>
      </c>
      <c r="AD86" s="38">
        <v>157225</v>
      </c>
      <c r="AE86" s="170">
        <f t="shared" si="63"/>
        <v>1017932</v>
      </c>
      <c r="AF86" s="20"/>
      <c r="AG86" s="12"/>
      <c r="AH86" s="5"/>
      <c r="AI86" s="6"/>
      <c r="AJ86" s="6"/>
      <c r="AK86" s="6"/>
      <c r="AL86" s="7"/>
      <c r="AM86" s="5"/>
      <c r="AN86" s="6"/>
      <c r="AO86" s="6"/>
      <c r="AP86" s="6"/>
      <c r="AQ86" s="7"/>
      <c r="AR86" s="5"/>
      <c r="AS86" s="6"/>
      <c r="AT86" s="6"/>
      <c r="AU86" s="6"/>
      <c r="AV86" s="7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  <c r="IQ86" s="26"/>
      <c r="IR86" s="26"/>
      <c r="IS86" s="26"/>
      <c r="IT86" s="26"/>
      <c r="IU86" s="26"/>
      <c r="IV86" s="26"/>
      <c r="IW86" s="26"/>
      <c r="IX86" s="26"/>
    </row>
    <row r="87" spans="1:258" ht="16.5" customHeight="1" x14ac:dyDescent="0.3">
      <c r="A87" s="194">
        <v>76</v>
      </c>
      <c r="B87" s="69" t="s">
        <v>181</v>
      </c>
      <c r="C87" s="69" t="s">
        <v>94</v>
      </c>
      <c r="D87" s="40"/>
      <c r="E87" s="31"/>
      <c r="F87" s="31">
        <f>416.25*1901714.78</f>
        <v>791588777.17499995</v>
      </c>
      <c r="G87" s="31">
        <f>416.25*11727844.43</f>
        <v>4881715243.9875002</v>
      </c>
      <c r="H87" s="31"/>
      <c r="I87" s="31"/>
      <c r="J87" s="31">
        <f>416.25*13761810.57</f>
        <v>5728353649.7624998</v>
      </c>
      <c r="K87" s="31">
        <f>416.25*77984.54</f>
        <v>32461064.774999999</v>
      </c>
      <c r="L87" s="31">
        <f>416.25*22520.22</f>
        <v>9374041.5750000011</v>
      </c>
      <c r="M87" s="173">
        <f>416.25*55464.32</f>
        <v>23087023.199999999</v>
      </c>
      <c r="N87" s="31">
        <f>416.25*13761810.57</f>
        <v>5728353649.7624998</v>
      </c>
      <c r="O87" s="31">
        <f>416.25*64091</f>
        <v>26677878.75</v>
      </c>
      <c r="P87" s="33">
        <f>416.59*13578414.83</f>
        <v>5656631834.0296993</v>
      </c>
      <c r="Q87" s="34">
        <f t="shared" si="56"/>
        <v>2.1049768249975322E-2</v>
      </c>
      <c r="R87" s="33">
        <f>416.25*13697719.2</f>
        <v>5701675617</v>
      </c>
      <c r="S87" s="34">
        <f t="shared" si="57"/>
        <v>2.1518558736730697E-2</v>
      </c>
      <c r="T87" s="35">
        <f t="shared" si="58"/>
        <v>7.9630041855158467E-3</v>
      </c>
      <c r="U87" s="70">
        <f t="shared" si="59"/>
        <v>1.6440853890478352E-3</v>
      </c>
      <c r="V87" s="36">
        <f t="shared" si="60"/>
        <v>4.0491646229687643E-3</v>
      </c>
      <c r="W87" s="37">
        <f t="shared" si="61"/>
        <v>507.71338305147049</v>
      </c>
      <c r="X87" s="37">
        <f t="shared" si="62"/>
        <v>2.0558150692598032</v>
      </c>
      <c r="Y87" s="183">
        <f>416.25*1.22</f>
        <v>507.82499999999999</v>
      </c>
      <c r="Z87" s="183">
        <f>416.25*1.22</f>
        <v>507.82499999999999</v>
      </c>
      <c r="AA87" s="176">
        <v>124</v>
      </c>
      <c r="AB87" s="176">
        <v>11176111</v>
      </c>
      <c r="AC87" s="176">
        <v>53996</v>
      </c>
      <c r="AD87" s="176">
        <v>0</v>
      </c>
      <c r="AE87" s="170">
        <f t="shared" si="63"/>
        <v>11230107</v>
      </c>
      <c r="AF87" s="13"/>
      <c r="AG87" s="4"/>
      <c r="AH87" s="5"/>
      <c r="AI87" s="6"/>
      <c r="AJ87" s="6"/>
      <c r="AK87" s="6"/>
      <c r="AL87" s="7"/>
      <c r="AM87" s="5"/>
      <c r="AN87" s="6"/>
      <c r="AO87" s="6"/>
      <c r="AP87" s="6"/>
      <c r="AQ87" s="7"/>
      <c r="AR87" s="5"/>
      <c r="AS87" s="6"/>
      <c r="AT87" s="6"/>
      <c r="AU87" s="6"/>
      <c r="AV87" s="7"/>
    </row>
    <row r="88" spans="1:258" ht="16.5" customHeight="1" x14ac:dyDescent="0.3">
      <c r="A88" s="194">
        <v>77</v>
      </c>
      <c r="B88" s="69" t="s">
        <v>46</v>
      </c>
      <c r="C88" s="69" t="s">
        <v>95</v>
      </c>
      <c r="D88" s="40"/>
      <c r="E88" s="31"/>
      <c r="F88" s="39"/>
      <c r="G88" s="31">
        <v>662272835.73000002</v>
      </c>
      <c r="H88" s="31"/>
      <c r="I88" s="39"/>
      <c r="J88" s="39">
        <v>662272835.73000002</v>
      </c>
      <c r="K88" s="39">
        <v>2687545.44</v>
      </c>
      <c r="L88" s="39">
        <v>1070731.3</v>
      </c>
      <c r="M88" s="190">
        <v>1616814.14</v>
      </c>
      <c r="N88" s="31">
        <v>667850335.88999999</v>
      </c>
      <c r="O88" s="39">
        <v>14800027.800000001</v>
      </c>
      <c r="P88" s="33">
        <v>654794148.21000004</v>
      </c>
      <c r="Q88" s="34">
        <f t="shared" si="56"/>
        <v>2.4366558538142483E-3</v>
      </c>
      <c r="R88" s="33">
        <v>653050308.19000006</v>
      </c>
      <c r="S88" s="34">
        <f t="shared" si="57"/>
        <v>2.4646616817216591E-3</v>
      </c>
      <c r="T88" s="35">
        <f t="shared" si="58"/>
        <v>-2.6631881557999375E-3</v>
      </c>
      <c r="U88" s="70">
        <f t="shared" si="59"/>
        <v>1.6395847097410432E-3</v>
      </c>
      <c r="V88" s="36">
        <f t="shared" si="60"/>
        <v>2.4757880361180383E-3</v>
      </c>
      <c r="W88" s="37">
        <f t="shared" si="61"/>
        <v>47463.500849625707</v>
      </c>
      <c r="X88" s="37">
        <f t="shared" si="62"/>
        <v>117.50956755578166</v>
      </c>
      <c r="Y88" s="39">
        <v>115.47929999999999</v>
      </c>
      <c r="Z88" s="39">
        <v>118.0964</v>
      </c>
      <c r="AA88" s="38">
        <v>31</v>
      </c>
      <c r="AB88" s="38">
        <v>13927</v>
      </c>
      <c r="AC88" s="38">
        <v>6242</v>
      </c>
      <c r="AD88" s="38">
        <v>6410</v>
      </c>
      <c r="AE88" s="170">
        <f t="shared" si="63"/>
        <v>13759</v>
      </c>
      <c r="AF88" s="13"/>
      <c r="AG88" s="4"/>
      <c r="AH88" s="5"/>
      <c r="AI88" s="6"/>
      <c r="AJ88" s="6"/>
      <c r="AK88" s="6"/>
      <c r="AL88" s="7"/>
      <c r="AM88" s="5"/>
      <c r="AN88" s="6"/>
      <c r="AO88" s="6"/>
      <c r="AP88" s="6"/>
      <c r="AQ88" s="7"/>
      <c r="AR88" s="5"/>
      <c r="AS88" s="6"/>
      <c r="AT88" s="6"/>
      <c r="AU88" s="6"/>
      <c r="AV88" s="7"/>
    </row>
    <row r="89" spans="1:258" ht="16.5" customHeight="1" x14ac:dyDescent="0.3">
      <c r="A89" s="194">
        <v>78</v>
      </c>
      <c r="B89" s="69" t="s">
        <v>31</v>
      </c>
      <c r="C89" s="69" t="s">
        <v>96</v>
      </c>
      <c r="D89" s="40"/>
      <c r="E89" s="40"/>
      <c r="F89" s="40"/>
      <c r="G89" s="32">
        <v>642577599.85000002</v>
      </c>
      <c r="H89" s="40"/>
      <c r="I89" s="40"/>
      <c r="J89" s="32">
        <v>642577599.85000002</v>
      </c>
      <c r="K89" s="32">
        <v>4548533.66</v>
      </c>
      <c r="L89" s="32">
        <v>1364092.38</v>
      </c>
      <c r="M89" s="190">
        <v>3184441.28</v>
      </c>
      <c r="N89" s="31">
        <v>655147663.89999998</v>
      </c>
      <c r="O89" s="39">
        <v>10092979.82</v>
      </c>
      <c r="P89" s="33">
        <v>644305915.60000002</v>
      </c>
      <c r="Q89" s="34">
        <f t="shared" si="56"/>
        <v>2.3976264680825882E-3</v>
      </c>
      <c r="R89" s="33">
        <v>645054684.08000004</v>
      </c>
      <c r="S89" s="34">
        <f t="shared" si="57"/>
        <v>2.4344855863761327E-3</v>
      </c>
      <c r="T89" s="35">
        <f t="shared" si="58"/>
        <v>1.1621319343354778E-3</v>
      </c>
      <c r="U89" s="70">
        <f t="shared" si="59"/>
        <v>2.1146926201233885E-3</v>
      </c>
      <c r="V89" s="36">
        <f t="shared" si="60"/>
        <v>4.9366997226626816E-3</v>
      </c>
      <c r="W89" s="37">
        <f t="shared" si="61"/>
        <v>39534.076053338758</v>
      </c>
      <c r="X89" s="37">
        <f t="shared" si="62"/>
        <v>195.16786228824279</v>
      </c>
      <c r="Y89" s="39">
        <f>95.091*416.25</f>
        <v>39581.628749999996</v>
      </c>
      <c r="Z89" s="39">
        <f>95.091*416.25</f>
        <v>39581.628749999996</v>
      </c>
      <c r="AA89" s="38">
        <v>184</v>
      </c>
      <c r="AB89" s="38">
        <v>16559.8</v>
      </c>
      <c r="AC89" s="38">
        <v>124.58839999999999</v>
      </c>
      <c r="AD89" s="38">
        <v>367.96600000000001</v>
      </c>
      <c r="AE89" s="170">
        <f t="shared" si="63"/>
        <v>16316.422399999999</v>
      </c>
      <c r="AF89" s="3"/>
      <c r="AG89" s="9"/>
      <c r="AH89" s="5"/>
      <c r="AI89" s="6"/>
      <c r="AJ89" s="6"/>
      <c r="AK89" s="6"/>
      <c r="AL89" s="7"/>
      <c r="AM89" s="5"/>
      <c r="AN89" s="6"/>
      <c r="AO89" s="6"/>
      <c r="AP89" s="6"/>
      <c r="AQ89" s="7"/>
      <c r="AR89" s="5"/>
      <c r="AS89" s="6"/>
      <c r="AT89" s="6"/>
      <c r="AU89" s="6"/>
      <c r="AV89" s="7"/>
    </row>
    <row r="90" spans="1:258" ht="16.5" customHeight="1" x14ac:dyDescent="0.3">
      <c r="A90" s="194">
        <v>79</v>
      </c>
      <c r="B90" s="68" t="s">
        <v>35</v>
      </c>
      <c r="C90" s="69" t="s">
        <v>97</v>
      </c>
      <c r="D90" s="40"/>
      <c r="E90" s="40"/>
      <c r="F90" s="40"/>
      <c r="G90" s="90">
        <f>416.25*11134608.26</f>
        <v>4634780688.2250004</v>
      </c>
      <c r="H90" s="40"/>
      <c r="I90" s="40"/>
      <c r="J90" s="90">
        <v>4634780688.2299995</v>
      </c>
      <c r="K90" s="90">
        <f>416.25*29956.78</f>
        <v>12469509.674999999</v>
      </c>
      <c r="L90" s="90">
        <f>416.25*55271.87</f>
        <v>23006915.887499999</v>
      </c>
      <c r="M90" s="191">
        <f>416.25*-25315.09</f>
        <v>-10537406.2125</v>
      </c>
      <c r="N90" s="90">
        <f>416.25*14789559</f>
        <v>6156153933.75</v>
      </c>
      <c r="O90" s="90">
        <f>416.25*75374</f>
        <v>31374427.5</v>
      </c>
      <c r="P90" s="33">
        <f>416.59*14928761</f>
        <v>6219172544.9899998</v>
      </c>
      <c r="Q90" s="167">
        <f t="shared" si="56"/>
        <v>2.3143125559470765E-2</v>
      </c>
      <c r="R90" s="33">
        <f>416.25*14714185</f>
        <v>6124779506.25</v>
      </c>
      <c r="S90" s="34">
        <f t="shared" si="57"/>
        <v>2.3115385091674368E-2</v>
      </c>
      <c r="T90" s="35">
        <f>((R90-P90)/P90)</f>
        <v>-1.5177748817411458E-2</v>
      </c>
      <c r="U90" s="70">
        <f>(L90/R90)</f>
        <v>3.7563663906631591E-3</v>
      </c>
      <c r="V90" s="36">
        <f>M90/R90</f>
        <v>-1.720454785637125E-3</v>
      </c>
      <c r="W90" s="37">
        <f>R90/AE90</f>
        <v>696.55063738667991</v>
      </c>
      <c r="X90" s="37">
        <f>M90/AE90</f>
        <v>-1.1983838775305031</v>
      </c>
      <c r="Y90" s="39">
        <f>416.25*1.0556</f>
        <v>439.39350000000002</v>
      </c>
      <c r="Z90" s="31">
        <f>416.25*1.0609</f>
        <v>441.599625</v>
      </c>
      <c r="AA90" s="38">
        <v>459</v>
      </c>
      <c r="AB90" s="38">
        <v>8920877</v>
      </c>
      <c r="AC90" s="38">
        <v>33262</v>
      </c>
      <c r="AD90" s="38">
        <v>161125</v>
      </c>
      <c r="AE90" s="170">
        <f t="shared" si="63"/>
        <v>8793014</v>
      </c>
      <c r="AF90" s="10"/>
      <c r="AG90" s="11"/>
      <c r="AH90" s="5"/>
      <c r="AI90" s="6"/>
      <c r="AJ90" s="6"/>
      <c r="AK90" s="6"/>
      <c r="AL90" s="7"/>
      <c r="AM90" s="5"/>
      <c r="AN90" s="6"/>
      <c r="AO90" s="6"/>
      <c r="AP90" s="6"/>
      <c r="AQ90" s="7"/>
      <c r="AR90" s="5"/>
      <c r="AS90" s="6"/>
      <c r="AT90" s="6"/>
      <c r="AU90" s="6"/>
      <c r="AV90" s="7"/>
    </row>
    <row r="91" spans="1:258" ht="16.5" customHeight="1" x14ac:dyDescent="0.3">
      <c r="A91" s="194">
        <v>80</v>
      </c>
      <c r="B91" s="68" t="s">
        <v>159</v>
      </c>
      <c r="C91" s="69" t="s">
        <v>162</v>
      </c>
      <c r="D91" s="40"/>
      <c r="E91" s="31"/>
      <c r="F91" s="39"/>
      <c r="G91" s="31">
        <v>810970005.71000004</v>
      </c>
      <c r="H91" s="31"/>
      <c r="I91" s="39">
        <v>2743636.95</v>
      </c>
      <c r="J91" s="39">
        <v>813713642.65999997</v>
      </c>
      <c r="K91" s="39">
        <v>4350757.3899999997</v>
      </c>
      <c r="L91" s="39">
        <v>1531038.26</v>
      </c>
      <c r="M91" s="190">
        <v>2819719.13</v>
      </c>
      <c r="N91" s="31">
        <v>877734570.14999998</v>
      </c>
      <c r="O91" s="39">
        <v>852205316.63</v>
      </c>
      <c r="P91" s="33">
        <v>827522541.15999997</v>
      </c>
      <c r="Q91" s="34">
        <f t="shared" si="56"/>
        <v>3.0794222116873248E-3</v>
      </c>
      <c r="R91" s="33">
        <v>860038679.59000003</v>
      </c>
      <c r="S91" s="34">
        <f t="shared" si="57"/>
        <v>3.2458515857054812E-3</v>
      </c>
      <c r="T91" s="35">
        <f t="shared" ref="T91" si="64">((R91-P91)/P91)</f>
        <v>3.9293356751853276E-2</v>
      </c>
      <c r="U91" s="70">
        <f t="shared" ref="U91" si="65">(L91/R91)</f>
        <v>1.7801969798961609E-3</v>
      </c>
      <c r="V91" s="36">
        <f t="shared" ref="V91" si="66">M91/R91</f>
        <v>3.2785957154208741E-3</v>
      </c>
      <c r="W91" s="37">
        <f t="shared" ref="W91" si="67">R91/AE91</f>
        <v>42366.333067652544</v>
      </c>
      <c r="X91" s="37">
        <f t="shared" ref="X91" si="68">M91/AE91</f>
        <v>138.90207807369933</v>
      </c>
      <c r="Y91" s="39">
        <v>101.78</v>
      </c>
      <c r="Z91" s="39">
        <v>101.78</v>
      </c>
      <c r="AA91" s="38">
        <v>36</v>
      </c>
      <c r="AB91" s="38">
        <v>19586.16</v>
      </c>
      <c r="AC91" s="38">
        <v>713.89</v>
      </c>
      <c r="AD91" s="38">
        <v>0</v>
      </c>
      <c r="AE91" s="170">
        <f t="shared" si="63"/>
        <v>20300.05</v>
      </c>
      <c r="AF91" s="13"/>
      <c r="AG91" s="4"/>
      <c r="AH91" s="5"/>
      <c r="AI91" s="6"/>
      <c r="AJ91" s="6"/>
      <c r="AK91" s="6"/>
      <c r="AL91" s="7"/>
      <c r="AM91" s="5"/>
      <c r="AN91" s="6"/>
      <c r="AO91" s="6"/>
      <c r="AP91" s="6"/>
      <c r="AQ91" s="7"/>
      <c r="AR91" s="5"/>
      <c r="AS91" s="6"/>
      <c r="AT91" s="6"/>
      <c r="AU91" s="6"/>
      <c r="AV91" s="7"/>
    </row>
    <row r="92" spans="1:258" ht="16.5" customHeight="1" x14ac:dyDescent="0.3">
      <c r="A92" s="194">
        <v>81</v>
      </c>
      <c r="B92" s="68" t="s">
        <v>42</v>
      </c>
      <c r="C92" s="69" t="s">
        <v>206</v>
      </c>
      <c r="D92" s="40"/>
      <c r="E92" s="31"/>
      <c r="F92" s="39"/>
      <c r="G92" s="31">
        <f>416.25*6497946.82</f>
        <v>2704770363.8250003</v>
      </c>
      <c r="H92" s="31"/>
      <c r="I92" s="39"/>
      <c r="J92" s="31">
        <f>416.25*6497946.82</f>
        <v>2704770363.8250003</v>
      </c>
      <c r="K92" s="31">
        <f>416.25*161340.87</f>
        <v>67158137.137500003</v>
      </c>
      <c r="L92" s="31">
        <f>416.25*7285.68</f>
        <v>3032664.3000000003</v>
      </c>
      <c r="M92" s="190">
        <f>416.25*154055.19</f>
        <v>64125472.837499999</v>
      </c>
      <c r="N92" s="202">
        <f>416.25*7376348.6</f>
        <v>3070405104.75</v>
      </c>
      <c r="O92" s="202">
        <f>416.25*7285.68</f>
        <v>3032664.3000000003</v>
      </c>
      <c r="P92" s="33">
        <f>416.59*8511064.96</f>
        <v>3545624551.6863999</v>
      </c>
      <c r="Q92" s="34">
        <f t="shared" si="56"/>
        <v>1.3194172310353955E-2</v>
      </c>
      <c r="R92" s="33">
        <f>416.25*7369062.92</f>
        <v>3067372440.4499998</v>
      </c>
      <c r="S92" s="34">
        <f t="shared" si="57"/>
        <v>1.1576497587911147E-2</v>
      </c>
      <c r="T92" s="35">
        <f t="shared" ref="T92" si="69">((R92-P92)/P92)</f>
        <v>-0.13488515331069947</v>
      </c>
      <c r="U92" s="70">
        <f t="shared" ref="U92" si="70">(L92/R92)</f>
        <v>9.8868473225086832E-4</v>
      </c>
      <c r="V92" s="36">
        <f t="shared" ref="V92" si="71">M92/R92</f>
        <v>2.090566896665879E-2</v>
      </c>
      <c r="W92" s="37">
        <f t="shared" ref="W92" si="72">R92/AE92</f>
        <v>49493.139174202282</v>
      </c>
      <c r="X92" s="37">
        <f t="shared" ref="X92" si="73">M92/AE92</f>
        <v>1034.6871836966452</v>
      </c>
      <c r="Y92" s="39">
        <f>416.25*119.01</f>
        <v>49537.912499999999</v>
      </c>
      <c r="Z92" s="39">
        <f>416.25*119.01</f>
        <v>49537.912499999999</v>
      </c>
      <c r="AA92" s="38">
        <v>262</v>
      </c>
      <c r="AB92" s="38">
        <v>72089</v>
      </c>
      <c r="AC92" s="38">
        <v>11346.37</v>
      </c>
      <c r="AD92" s="38">
        <v>21459.66</v>
      </c>
      <c r="AE92" s="170">
        <f t="shared" si="63"/>
        <v>61975.709999999992</v>
      </c>
      <c r="AF92" s="13"/>
      <c r="AG92" s="4"/>
      <c r="AH92" s="5"/>
      <c r="AI92" s="6"/>
      <c r="AJ92" s="6"/>
      <c r="AK92" s="6"/>
      <c r="AL92" s="7"/>
      <c r="AM92" s="5"/>
      <c r="AN92" s="6"/>
      <c r="AO92" s="6"/>
      <c r="AP92" s="6"/>
      <c r="AQ92" s="7"/>
      <c r="AR92" s="5"/>
      <c r="AS92" s="6"/>
      <c r="AT92" s="6"/>
      <c r="AU92" s="6"/>
      <c r="AV92" s="7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  <c r="GN92" s="26"/>
      <c r="GO92" s="26"/>
      <c r="GP92" s="26"/>
      <c r="GQ92" s="26"/>
      <c r="GR92" s="26"/>
      <c r="GS92" s="26"/>
      <c r="GT92" s="26"/>
      <c r="GU92" s="26"/>
      <c r="GV92" s="26"/>
      <c r="GW92" s="26"/>
      <c r="GX92" s="26"/>
      <c r="GY92" s="26"/>
      <c r="GZ92" s="26"/>
      <c r="HA92" s="26"/>
      <c r="HB92" s="26"/>
      <c r="HC92" s="26"/>
      <c r="HD92" s="26"/>
      <c r="HE92" s="26"/>
      <c r="HF92" s="26"/>
      <c r="HG92" s="26"/>
      <c r="HH92" s="26"/>
      <c r="HI92" s="26"/>
      <c r="HJ92" s="26"/>
      <c r="HK92" s="26"/>
      <c r="HL92" s="26"/>
      <c r="HM92" s="26"/>
      <c r="HN92" s="26"/>
      <c r="HO92" s="26"/>
      <c r="HP92" s="26"/>
      <c r="HQ92" s="26"/>
      <c r="HR92" s="26"/>
      <c r="HS92" s="26"/>
      <c r="HT92" s="26"/>
      <c r="HU92" s="26"/>
      <c r="HV92" s="26"/>
      <c r="HW92" s="26"/>
      <c r="HX92" s="26"/>
      <c r="HY92" s="26"/>
      <c r="HZ92" s="26"/>
      <c r="IA92" s="26"/>
      <c r="IB92" s="26"/>
      <c r="IC92" s="26"/>
      <c r="ID92" s="26"/>
      <c r="IE92" s="26"/>
      <c r="IF92" s="26"/>
      <c r="IG92" s="26"/>
      <c r="IH92" s="26"/>
      <c r="II92" s="26"/>
      <c r="IJ92" s="26"/>
      <c r="IK92" s="26"/>
      <c r="IL92" s="26"/>
      <c r="IM92" s="26"/>
      <c r="IN92" s="26"/>
      <c r="IO92" s="26"/>
      <c r="IP92" s="26"/>
      <c r="IQ92" s="26"/>
      <c r="IR92" s="26"/>
      <c r="IS92" s="26"/>
      <c r="IT92" s="26"/>
      <c r="IU92" s="26"/>
      <c r="IV92" s="26"/>
      <c r="IW92" s="26"/>
      <c r="IX92" s="26"/>
    </row>
    <row r="93" spans="1:258" ht="6" customHeight="1" x14ac:dyDescent="0.3">
      <c r="A93" s="194"/>
      <c r="B93" s="68"/>
      <c r="C93" s="69"/>
      <c r="D93" s="87"/>
      <c r="E93" s="87"/>
      <c r="F93" s="87"/>
      <c r="G93" s="87"/>
      <c r="H93" s="87"/>
      <c r="I93" s="64"/>
      <c r="J93" s="66"/>
      <c r="K93" s="66"/>
      <c r="L93" s="66"/>
      <c r="M93" s="190"/>
      <c r="N93" s="31"/>
      <c r="O93" s="31"/>
      <c r="P93" s="41"/>
      <c r="Q93" s="34"/>
      <c r="R93" s="41"/>
      <c r="S93" s="34"/>
      <c r="T93" s="35"/>
      <c r="U93" s="70"/>
      <c r="V93" s="36"/>
      <c r="W93" s="37"/>
      <c r="X93" s="37"/>
      <c r="Y93" s="31"/>
      <c r="Z93" s="31"/>
      <c r="AA93" s="38"/>
      <c r="AB93" s="38"/>
      <c r="AC93" s="38"/>
      <c r="AD93" s="38"/>
      <c r="AE93" s="127"/>
      <c r="AF93" s="13"/>
      <c r="AG93" s="4"/>
      <c r="AH93" s="5"/>
      <c r="AI93" s="6"/>
      <c r="AJ93" s="6"/>
      <c r="AK93" s="6"/>
      <c r="AL93" s="7"/>
      <c r="AM93" s="5"/>
      <c r="AN93" s="6"/>
      <c r="AO93" s="6"/>
      <c r="AP93" s="6"/>
      <c r="AQ93" s="7"/>
      <c r="AR93" s="5"/>
      <c r="AS93" s="6"/>
      <c r="AT93" s="6"/>
      <c r="AU93" s="6"/>
      <c r="AV93" s="7"/>
    </row>
    <row r="94" spans="1:258" ht="16.5" customHeight="1" x14ac:dyDescent="0.3">
      <c r="A94" s="229" t="s">
        <v>179</v>
      </c>
      <c r="B94" s="230"/>
      <c r="C94" s="230"/>
      <c r="D94" s="107"/>
      <c r="E94" s="107"/>
      <c r="F94" s="107"/>
      <c r="G94" s="107"/>
      <c r="H94" s="107"/>
      <c r="I94" s="107"/>
      <c r="J94" s="107"/>
      <c r="K94" s="107"/>
      <c r="L94" s="107"/>
      <c r="M94" s="189"/>
      <c r="N94" s="107"/>
      <c r="O94" s="107"/>
      <c r="P94" s="107"/>
      <c r="Q94" s="108"/>
      <c r="R94" s="107"/>
      <c r="S94" s="108"/>
      <c r="T94" s="108"/>
      <c r="U94" s="109"/>
      <c r="V94" s="110"/>
      <c r="W94" s="111"/>
      <c r="X94" s="111"/>
      <c r="Y94" s="107"/>
      <c r="Z94" s="107"/>
      <c r="AA94" s="107"/>
      <c r="AB94" s="107"/>
      <c r="AC94" s="107"/>
      <c r="AD94" s="107"/>
      <c r="AE94" s="134"/>
      <c r="AF94" s="13"/>
      <c r="AG94" s="4"/>
      <c r="AH94" s="5"/>
      <c r="AI94" s="6"/>
      <c r="AJ94" s="6"/>
      <c r="AK94" s="6"/>
      <c r="AL94" s="7"/>
      <c r="AM94" s="5"/>
      <c r="AN94" s="6"/>
      <c r="AO94" s="6"/>
      <c r="AP94" s="6"/>
      <c r="AQ94" s="7"/>
      <c r="AR94" s="5"/>
      <c r="AS94" s="6"/>
      <c r="AT94" s="6"/>
      <c r="AU94" s="6"/>
      <c r="AV94" s="7"/>
    </row>
    <row r="95" spans="1:258" ht="16.5" customHeight="1" x14ac:dyDescent="0.3">
      <c r="A95" s="194">
        <v>82</v>
      </c>
      <c r="B95" s="69" t="s">
        <v>23</v>
      </c>
      <c r="C95" s="69" t="s">
        <v>110</v>
      </c>
      <c r="D95" s="64"/>
      <c r="E95" s="64"/>
      <c r="F95" s="64">
        <f>416.25*136145910.66</f>
        <v>56670735312.224998</v>
      </c>
      <c r="G95" s="64">
        <f>416.25*285913262.17</f>
        <v>119011395378.26251</v>
      </c>
      <c r="H95" s="64"/>
      <c r="I95" s="64"/>
      <c r="J95" s="64">
        <f>416.25*422059172.83</f>
        <v>175682130690.48749</v>
      </c>
      <c r="K95" s="64">
        <f>416.25*2435659.04</f>
        <v>1013843075.4</v>
      </c>
      <c r="L95" s="64">
        <f>416.25*692027</f>
        <v>288056238.75</v>
      </c>
      <c r="M95" s="191">
        <f>416.25*1743632.04</f>
        <v>725786836.64999998</v>
      </c>
      <c r="N95" s="64">
        <f>416.25*424036410.89</f>
        <v>176505156032.96249</v>
      </c>
      <c r="O95" s="64">
        <f>416.25*2104324.51</f>
        <v>875925077.2874999</v>
      </c>
      <c r="P95" s="41">
        <f>416.59*414059848.64</f>
        <v>172493192344.93759</v>
      </c>
      <c r="Q95" s="34">
        <f t="shared" ref="Q95:Q101" si="74">(P95/$P$102)</f>
        <v>0.64189111649727526</v>
      </c>
      <c r="R95" s="41">
        <f>416.25*421932086.38</f>
        <v>175629230955.67499</v>
      </c>
      <c r="S95" s="34">
        <f t="shared" ref="S95:S101" si="75">(R95/$R$102)</f>
        <v>0.66283811568274509</v>
      </c>
      <c r="T95" s="35">
        <f>((R95-P95)/P95)</f>
        <v>1.8180651468645823E-2</v>
      </c>
      <c r="U95" s="70">
        <f>(L95/R95)</f>
        <v>1.6401383595575792E-3</v>
      </c>
      <c r="V95" s="36">
        <f>M95/R95</f>
        <v>4.1324945323775453E-3</v>
      </c>
      <c r="W95" s="37">
        <f>R95/AE95</f>
        <v>544.15786768080193</v>
      </c>
      <c r="X95" s="37">
        <f>M95/AE95</f>
        <v>2.2487294129411377</v>
      </c>
      <c r="Y95" s="31">
        <f>416.25*1.3073</f>
        <v>544.16362499999991</v>
      </c>
      <c r="Z95" s="31">
        <f>416.25*1.3073</f>
        <v>544.16362499999991</v>
      </c>
      <c r="AA95" s="54">
        <v>3982</v>
      </c>
      <c r="AB95" s="54">
        <v>318044407.17000002</v>
      </c>
      <c r="AC95" s="54">
        <v>10488959.1</v>
      </c>
      <c r="AD95" s="54">
        <v>5779177.8499999996</v>
      </c>
      <c r="AE95" s="170">
        <f t="shared" ref="AE95:AE101" si="76">(AB95+AC95)-AD95</f>
        <v>322754188.42000002</v>
      </c>
      <c r="AF95" s="13"/>
      <c r="AG95" s="4"/>
      <c r="AH95" s="5"/>
      <c r="AI95" s="6"/>
      <c r="AJ95" s="6"/>
      <c r="AK95" s="6"/>
      <c r="AL95" s="7"/>
      <c r="AM95" s="5"/>
      <c r="AN95" s="6"/>
      <c r="AO95" s="6"/>
      <c r="AP95" s="6"/>
      <c r="AQ95" s="7"/>
      <c r="AR95" s="5"/>
      <c r="AS95" s="6"/>
      <c r="AT95" s="6"/>
      <c r="AU95" s="6"/>
      <c r="AV95" s="7"/>
    </row>
    <row r="96" spans="1:258" ht="16.5" customHeight="1" x14ac:dyDescent="0.3">
      <c r="A96" s="194">
        <v>83</v>
      </c>
      <c r="B96" s="68" t="s">
        <v>44</v>
      </c>
      <c r="C96" s="68" t="s">
        <v>113</v>
      </c>
      <c r="D96" s="64"/>
      <c r="E96" s="64"/>
      <c r="F96" s="64">
        <f>416.25*877422.41</f>
        <v>365227078.16250002</v>
      </c>
      <c r="G96" s="64">
        <f>416.25*3515645.18</f>
        <v>1463387306.175</v>
      </c>
      <c r="H96" s="64"/>
      <c r="I96" s="64"/>
      <c r="J96" s="64">
        <f>416.25*4393067.59</f>
        <v>1828614384.3374999</v>
      </c>
      <c r="K96" s="64">
        <f>416.25*24411.49</f>
        <v>10161282.7125</v>
      </c>
      <c r="L96" s="64">
        <f>416.25*9054.93</f>
        <v>3769114.6125000003</v>
      </c>
      <c r="M96" s="191">
        <f>416.25*15356.56</f>
        <v>6392168.0999999996</v>
      </c>
      <c r="N96" s="64">
        <f>416.25*4444231.1</f>
        <v>1849911195.3749998</v>
      </c>
      <c r="O96" s="64">
        <f>416.25*40197.66</f>
        <v>16732275.975000001</v>
      </c>
      <c r="P96" s="41">
        <f>416.59*4016072.52</f>
        <v>1673055651.1067998</v>
      </c>
      <c r="Q96" s="34">
        <f t="shared" si="74"/>
        <v>6.2258663385595199E-3</v>
      </c>
      <c r="R96" s="41">
        <f>416.25*4404033.45</f>
        <v>1833178923.5625</v>
      </c>
      <c r="S96" s="34">
        <f t="shared" si="75"/>
        <v>6.9185571034593649E-3</v>
      </c>
      <c r="T96" s="35">
        <f>((R96-P96)/P96)</f>
        <v>9.570708084322932E-2</v>
      </c>
      <c r="U96" s="70">
        <f>(L96/R96)</f>
        <v>2.0560538658034038E-3</v>
      </c>
      <c r="V96" s="36">
        <f>M96/R96</f>
        <v>3.4869308270126785E-3</v>
      </c>
      <c r="W96" s="37">
        <f>R96/AE96</f>
        <v>444.59041367127742</v>
      </c>
      <c r="X96" s="37">
        <f>M96/AE96</f>
        <v>1.5502560188246963</v>
      </c>
      <c r="Y96" s="31">
        <f>416.25*1.07</f>
        <v>445.38750000000005</v>
      </c>
      <c r="Z96" s="31">
        <f>416.25*1.07</f>
        <v>445.38750000000005</v>
      </c>
      <c r="AA96" s="54">
        <v>255</v>
      </c>
      <c r="AB96" s="54">
        <v>3756605.4399999999</v>
      </c>
      <c r="AC96" s="54">
        <v>371888.7</v>
      </c>
      <c r="AD96" s="54">
        <v>5195.78</v>
      </c>
      <c r="AE96" s="170">
        <f t="shared" si="76"/>
        <v>4123298.3600000003</v>
      </c>
      <c r="AF96" s="13"/>
      <c r="AG96" s="4"/>
      <c r="AH96" s="5"/>
      <c r="AI96" s="6"/>
      <c r="AJ96" s="6"/>
      <c r="AK96" s="6"/>
      <c r="AL96" s="7"/>
      <c r="AM96" s="5"/>
      <c r="AN96" s="6"/>
      <c r="AO96" s="6"/>
      <c r="AP96" s="6"/>
      <c r="AQ96" s="7"/>
      <c r="AR96" s="5"/>
      <c r="AS96" s="6"/>
      <c r="AT96" s="6"/>
      <c r="AU96" s="6"/>
      <c r="AV96" s="7"/>
    </row>
    <row r="97" spans="1:258" ht="16.5" customHeight="1" x14ac:dyDescent="0.3">
      <c r="A97" s="194">
        <v>84</v>
      </c>
      <c r="B97" s="69" t="s">
        <v>65</v>
      </c>
      <c r="C97" s="69" t="s">
        <v>119</v>
      </c>
      <c r="D97" s="64"/>
      <c r="E97" s="64"/>
      <c r="F97" s="64"/>
      <c r="G97" s="64">
        <f>416.25*10110686.53</f>
        <v>4208573268.1124997</v>
      </c>
      <c r="H97" s="64"/>
      <c r="I97" s="64"/>
      <c r="J97" s="64">
        <f>416.25*10110686.53</f>
        <v>4208573268.1124997</v>
      </c>
      <c r="K97" s="64">
        <f>416.25*63724.5</f>
        <v>26525323.125</v>
      </c>
      <c r="L97" s="64">
        <f>416.25*17123.72</f>
        <v>7127748.4500000002</v>
      </c>
      <c r="M97" s="191">
        <f>416.25*4600.78</f>
        <v>1915074.6749999998</v>
      </c>
      <c r="N97" s="64">
        <f>416.25*11618843.9</f>
        <v>4836343773.375</v>
      </c>
      <c r="O97" s="64">
        <f>416.25*598708.21</f>
        <v>249212292.41249999</v>
      </c>
      <c r="P97" s="41">
        <f>11194486.25*416.59</f>
        <v>4663511026.8874998</v>
      </c>
      <c r="Q97" s="34">
        <f t="shared" si="74"/>
        <v>1.7354112699474459E-2</v>
      </c>
      <c r="R97" s="41">
        <f>416.25*11020135.69</f>
        <v>4587131480.9624996</v>
      </c>
      <c r="S97" s="34">
        <f t="shared" si="75"/>
        <v>1.7312184143182554E-2</v>
      </c>
      <c r="T97" s="35">
        <f t="shared" ref="T97:T99" si="77">((R97-P97)/P97)</f>
        <v>-1.6378120580102302E-2</v>
      </c>
      <c r="U97" s="70">
        <f t="shared" ref="U97:U99" si="78">(L97/R97)</f>
        <v>1.5538574552705895E-3</v>
      </c>
      <c r="V97" s="36" t="e">
        <f>#REF!/R97</f>
        <v>#REF!</v>
      </c>
      <c r="W97" s="37">
        <f>R97/AE97</f>
        <v>45525.774183571688</v>
      </c>
      <c r="X97" s="37" t="e">
        <f>#REF!/AE97</f>
        <v>#REF!</v>
      </c>
      <c r="Y97" s="31">
        <f>416.25*111.78</f>
        <v>46528.425000000003</v>
      </c>
      <c r="Z97" s="31">
        <f>416.25*111.78</f>
        <v>46528.425000000003</v>
      </c>
      <c r="AA97" s="54">
        <f>524+48+31</f>
        <v>603</v>
      </c>
      <c r="AB97" s="54">
        <v>101079</v>
      </c>
      <c r="AC97" s="54">
        <v>8625</v>
      </c>
      <c r="AD97" s="54">
        <v>8945</v>
      </c>
      <c r="AE97" s="170">
        <f t="shared" si="76"/>
        <v>100759</v>
      </c>
      <c r="AF97" s="13"/>
      <c r="AG97" s="4"/>
      <c r="AH97" s="5"/>
      <c r="AI97" s="6"/>
      <c r="AJ97" s="6"/>
      <c r="AK97" s="6"/>
      <c r="AL97" s="7"/>
      <c r="AM97" s="5">
        <v>413.49</v>
      </c>
      <c r="AN97" s="6"/>
      <c r="AO97" s="6"/>
      <c r="AP97" s="6"/>
      <c r="AQ97" s="7"/>
      <c r="AR97" s="5"/>
      <c r="AS97" s="6"/>
      <c r="AT97" s="6"/>
      <c r="AU97" s="6"/>
      <c r="AV97" s="7"/>
    </row>
    <row r="98" spans="1:258" ht="16.5" customHeight="1" x14ac:dyDescent="0.3">
      <c r="A98" s="194">
        <v>85</v>
      </c>
      <c r="B98" s="68" t="s">
        <v>121</v>
      </c>
      <c r="C98" s="69" t="s">
        <v>122</v>
      </c>
      <c r="D98" s="64"/>
      <c r="E98" s="64"/>
      <c r="F98" s="64"/>
      <c r="G98" s="64">
        <f>416.25*912863.96</f>
        <v>379979623.34999996</v>
      </c>
      <c r="H98" s="64"/>
      <c r="I98" s="64"/>
      <c r="J98" s="64">
        <f>416.25*912863.96</f>
        <v>379979623.34999996</v>
      </c>
      <c r="K98" s="64">
        <f>416.25*7095.5</f>
        <v>2953501.875</v>
      </c>
      <c r="L98" s="64">
        <f>416.25*1996.1</f>
        <v>830876.625</v>
      </c>
      <c r="M98" s="191">
        <f>416.25*5099.4</f>
        <v>2122625.25</v>
      </c>
      <c r="N98" s="64">
        <f>416.25*1106992.43</f>
        <v>460785598.98749995</v>
      </c>
      <c r="O98" s="64">
        <f>416.25*37357.75</f>
        <v>15550163.4375</v>
      </c>
      <c r="P98" s="41">
        <f>416.59*1065750.25</f>
        <v>443980896.64749998</v>
      </c>
      <c r="Q98" s="34">
        <f t="shared" si="74"/>
        <v>1.6521660337912407E-3</v>
      </c>
      <c r="R98" s="41">
        <f>416.25*1069634.68</f>
        <v>445235435.54999995</v>
      </c>
      <c r="S98" s="34">
        <f t="shared" si="75"/>
        <v>1.6803524990075822E-3</v>
      </c>
      <c r="T98" s="35">
        <f t="shared" si="77"/>
        <v>2.8256596443067658E-3</v>
      </c>
      <c r="U98" s="70">
        <f t="shared" si="78"/>
        <v>1.8661511610674406E-3</v>
      </c>
      <c r="V98" s="36">
        <f>M97/R98</f>
        <v>4.3012629321255739E-3</v>
      </c>
      <c r="W98" s="37">
        <f>R98/AE98</f>
        <v>45432.1873010204</v>
      </c>
      <c r="X98" s="37">
        <f>M97/AE98</f>
        <v>195.41578316326527</v>
      </c>
      <c r="Y98" s="31">
        <f>416.25*109.15</f>
        <v>45433.6875</v>
      </c>
      <c r="Z98" s="31">
        <f>416.25*109.15</f>
        <v>45433.6875</v>
      </c>
      <c r="AA98" s="54">
        <v>26</v>
      </c>
      <c r="AB98" s="54">
        <v>9800</v>
      </c>
      <c r="AC98" s="54">
        <v>0</v>
      </c>
      <c r="AD98" s="54">
        <v>0</v>
      </c>
      <c r="AE98" s="170">
        <f t="shared" si="76"/>
        <v>9800</v>
      </c>
      <c r="AF98" s="13"/>
      <c r="AG98" s="4"/>
      <c r="AH98" s="5"/>
      <c r="AI98" s="6"/>
      <c r="AJ98" s="6"/>
      <c r="AK98" s="6"/>
      <c r="AL98" s="7"/>
      <c r="AM98" s="5"/>
      <c r="AN98" s="6"/>
      <c r="AO98" s="6"/>
      <c r="AP98" s="6"/>
      <c r="AQ98" s="7"/>
      <c r="AR98" s="5"/>
      <c r="AS98" s="6"/>
      <c r="AT98" s="6"/>
      <c r="AU98" s="6"/>
      <c r="AV98" s="7"/>
    </row>
    <row r="99" spans="1:258" ht="15.75" customHeight="1" x14ac:dyDescent="0.3">
      <c r="A99" s="194">
        <v>86</v>
      </c>
      <c r="B99" s="68" t="s">
        <v>82</v>
      </c>
      <c r="C99" s="69" t="s">
        <v>123</v>
      </c>
      <c r="D99" s="64"/>
      <c r="E99" s="64"/>
      <c r="F99" s="64">
        <f>410.64*767804.74</f>
        <v>315291338.43360001</v>
      </c>
      <c r="G99" s="64">
        <f>410.64*3851873.63</f>
        <v>1581733387.4231999</v>
      </c>
      <c r="H99" s="64"/>
      <c r="I99" s="64"/>
      <c r="J99" s="64">
        <f>410.64*4619678.37</f>
        <v>1897024725.8568001</v>
      </c>
      <c r="K99" s="64">
        <f>410.64*23809.29</f>
        <v>9777046.8455999997</v>
      </c>
      <c r="L99" s="64">
        <f>410.64*7634.24</f>
        <v>3134924.3136</v>
      </c>
      <c r="M99" s="191">
        <f>410.64*17029.33</f>
        <v>6992924.0712000001</v>
      </c>
      <c r="N99" s="64">
        <f>410.64*4887321.73</f>
        <v>2006929795.2072001</v>
      </c>
      <c r="O99" s="64">
        <f>410.64*4619678.37</f>
        <v>1897024725.8568001</v>
      </c>
      <c r="P99" s="41">
        <f>416.59*5088234.68</f>
        <v>2119707685.3411996</v>
      </c>
      <c r="Q99" s="34">
        <f t="shared" si="74"/>
        <v>7.8879723558635262E-3</v>
      </c>
      <c r="R99" s="41">
        <f>410.64*4864904.73</f>
        <v>1997724478.3272002</v>
      </c>
      <c r="S99" s="34">
        <f t="shared" si="75"/>
        <v>7.5395645796677638E-3</v>
      </c>
      <c r="T99" s="35">
        <f t="shared" si="77"/>
        <v>-5.7547183443062519E-2</v>
      </c>
      <c r="U99" s="70">
        <f t="shared" si="78"/>
        <v>1.5692475852451071E-3</v>
      </c>
      <c r="V99" s="36">
        <f t="shared" ref="V99" si="79">M99/R99</f>
        <v>3.5004447044947578E-3</v>
      </c>
      <c r="W99" s="37">
        <f t="shared" ref="W99" si="80">R99/AE99</f>
        <v>449.15571560017224</v>
      </c>
      <c r="X99" s="37">
        <f t="shared" ref="X99" si="81">M99/AE99</f>
        <v>1.5722447461661764</v>
      </c>
      <c r="Y99" s="31">
        <f>410.64*1.09</f>
        <v>447.5976</v>
      </c>
      <c r="Z99" s="31">
        <f>410.64*1.09</f>
        <v>447.5976</v>
      </c>
      <c r="AA99" s="54">
        <v>132</v>
      </c>
      <c r="AB99" s="54">
        <v>4666243.5199999996</v>
      </c>
      <c r="AC99" s="54">
        <v>335677.66</v>
      </c>
      <c r="AD99" s="54">
        <v>554188.67000000004</v>
      </c>
      <c r="AE99" s="170">
        <f t="shared" si="76"/>
        <v>4447732.51</v>
      </c>
      <c r="AF99" s="13"/>
      <c r="AG99" s="4"/>
      <c r="AH99" s="5"/>
      <c r="AI99" s="6"/>
      <c r="AJ99" s="6"/>
      <c r="AK99" s="6"/>
      <c r="AL99" s="7"/>
      <c r="AM99" s="5"/>
      <c r="AN99" s="6"/>
      <c r="AO99" s="6"/>
      <c r="AP99" s="6"/>
      <c r="AQ99" s="7"/>
      <c r="AR99" s="5"/>
      <c r="AS99" s="6"/>
      <c r="AT99" s="6"/>
      <c r="AU99" s="6"/>
      <c r="AV99" s="7"/>
    </row>
    <row r="100" spans="1:258" ht="16.5" customHeight="1" x14ac:dyDescent="0.3">
      <c r="A100" s="194">
        <v>87</v>
      </c>
      <c r="B100" s="68" t="s">
        <v>89</v>
      </c>
      <c r="C100" s="69" t="s">
        <v>124</v>
      </c>
      <c r="D100" s="64"/>
      <c r="E100" s="64"/>
      <c r="F100" s="64"/>
      <c r="G100" s="64">
        <f>410.64*210726.81</f>
        <v>86532857.258399993</v>
      </c>
      <c r="H100" s="64"/>
      <c r="I100" s="64"/>
      <c r="J100" s="64">
        <f>410.64*210726.81</f>
        <v>86532857.258399993</v>
      </c>
      <c r="K100" s="64">
        <f>410.64*1345.24</f>
        <v>552409.35360000003</v>
      </c>
      <c r="L100" s="64">
        <f>410.64*96.28</f>
        <v>39536.419199999997</v>
      </c>
      <c r="M100" s="172">
        <f>410.64*1248.96</f>
        <v>512872.93439999997</v>
      </c>
      <c r="N100" s="31">
        <f>410.64*247562.43</f>
        <v>101659036.2552</v>
      </c>
      <c r="O100" s="31">
        <f>410.64*2544.41</f>
        <v>1044836.5223999999</v>
      </c>
      <c r="P100" s="41">
        <f>416.59*238895.74</f>
        <v>99521576.326599985</v>
      </c>
      <c r="Q100" s="34">
        <f t="shared" si="74"/>
        <v>3.7034514159900352E-4</v>
      </c>
      <c r="R100" s="41">
        <f>410.64*246269.53</f>
        <v>101128119.7992</v>
      </c>
      <c r="S100" s="34">
        <f t="shared" si="75"/>
        <v>3.8166523878452758E-4</v>
      </c>
      <c r="T100" s="35">
        <f>((R100-P100)/P100)</f>
        <v>1.6142665057151215E-2</v>
      </c>
      <c r="U100" s="70">
        <f>(L100/R100)</f>
        <v>3.9095376516940601E-4</v>
      </c>
      <c r="V100" s="36">
        <f>M100/R100</f>
        <v>5.0715165615494535E-3</v>
      </c>
      <c r="W100" s="37">
        <f>R100/AE100</f>
        <v>420.63534795691913</v>
      </c>
      <c r="X100" s="37">
        <f>M100/AE100</f>
        <v>2.1332591335366322</v>
      </c>
      <c r="Y100" s="31">
        <v>401.07</v>
      </c>
      <c r="Z100" s="31">
        <v>401.07</v>
      </c>
      <c r="AA100" s="54">
        <v>5</v>
      </c>
      <c r="AB100" s="54">
        <v>240417.55</v>
      </c>
      <c r="AC100" s="54">
        <v>0</v>
      </c>
      <c r="AD100" s="54">
        <v>0</v>
      </c>
      <c r="AE100" s="170">
        <f t="shared" si="76"/>
        <v>240417.55</v>
      </c>
      <c r="AF100" s="13"/>
      <c r="AG100" s="4"/>
      <c r="AH100" s="5"/>
      <c r="AI100" s="6"/>
      <c r="AJ100" s="6"/>
      <c r="AK100" s="6"/>
      <c r="AL100" s="7"/>
      <c r="AM100" s="5"/>
      <c r="AN100" s="6"/>
      <c r="AO100" s="6"/>
      <c r="AP100" s="6"/>
      <c r="AQ100" s="7"/>
      <c r="AR100" s="5"/>
      <c r="AS100" s="6"/>
      <c r="AT100" s="6"/>
      <c r="AU100" s="6"/>
      <c r="AV100" s="7"/>
    </row>
    <row r="101" spans="1:258" ht="16.5" customHeight="1" x14ac:dyDescent="0.3">
      <c r="A101" s="194">
        <v>88</v>
      </c>
      <c r="B101" s="68" t="s">
        <v>29</v>
      </c>
      <c r="C101" s="68" t="s">
        <v>182</v>
      </c>
      <c r="D101" s="64"/>
      <c r="E101" s="64"/>
      <c r="F101" s="64">
        <f>410.64*100347.2</f>
        <v>41206574.207999997</v>
      </c>
      <c r="G101" s="64">
        <f>410.64*4550604.1</f>
        <v>1868660067.6239998</v>
      </c>
      <c r="H101" s="64"/>
      <c r="I101" s="64"/>
      <c r="J101" s="64">
        <f>410.64*4650951.3</f>
        <v>1909866641.8319998</v>
      </c>
      <c r="K101" s="64">
        <f>410.64*30408.9</f>
        <v>12487110.696</v>
      </c>
      <c r="L101" s="64">
        <f>410.64*8493.9</f>
        <v>3487935.0959999999</v>
      </c>
      <c r="M101" s="172">
        <f>410.64*22261.25</f>
        <v>9141359.6999999993</v>
      </c>
      <c r="N101" s="31">
        <f>410.64*4652866</f>
        <v>1910652894.24</v>
      </c>
      <c r="O101" s="31">
        <f>410.64*26882.5</f>
        <v>11039029.799999999</v>
      </c>
      <c r="P101" s="41">
        <f>416.59*4052239.3</f>
        <v>1688122369.9869998</v>
      </c>
      <c r="Q101" s="167">
        <f t="shared" si="74"/>
        <v>6.2819334382084296E-3</v>
      </c>
      <c r="R101" s="41">
        <f>410.64*4625983.6</f>
        <v>1899613905.5039997</v>
      </c>
      <c r="S101" s="34">
        <f t="shared" si="75"/>
        <v>7.1692877933673248E-3</v>
      </c>
      <c r="T101" s="35">
        <f t="shared" ref="T101" si="82">((R101-P101)/P101)</f>
        <v>0.12528211181670951</v>
      </c>
      <c r="U101" s="70">
        <f>(L101/R101)</f>
        <v>1.836128428989675E-3</v>
      </c>
      <c r="V101" s="36">
        <f>M101/R101</f>
        <v>4.8122198271520035E-3</v>
      </c>
      <c r="W101" s="37">
        <f>R101/AE101</f>
        <v>421.48246997747043</v>
      </c>
      <c r="X101" s="37">
        <f>M101/AE101</f>
        <v>2.0282662988225821</v>
      </c>
      <c r="Y101" s="31">
        <f>416.25*1.0264</f>
        <v>427.23899999999998</v>
      </c>
      <c r="Z101" s="31">
        <f>416.25*1.0264</f>
        <v>427.23899999999998</v>
      </c>
      <c r="AA101" s="54">
        <v>130</v>
      </c>
      <c r="AB101" s="54">
        <v>3968200</v>
      </c>
      <c r="AC101" s="54">
        <v>542742</v>
      </c>
      <c r="AD101" s="54">
        <v>3960</v>
      </c>
      <c r="AE101" s="170">
        <f t="shared" si="76"/>
        <v>4506982</v>
      </c>
      <c r="AF101" s="13"/>
      <c r="AG101" s="4"/>
      <c r="AH101" s="5"/>
      <c r="AI101" s="6"/>
      <c r="AJ101" s="6"/>
      <c r="AK101" s="6"/>
      <c r="AL101" s="7"/>
      <c r="AM101" s="5"/>
      <c r="AN101" s="6"/>
      <c r="AO101" s="6"/>
      <c r="AP101" s="6"/>
      <c r="AQ101" s="7"/>
      <c r="AR101" s="5"/>
      <c r="AS101" s="6"/>
      <c r="AT101" s="6"/>
      <c r="AU101" s="6"/>
      <c r="AV101" s="7"/>
    </row>
    <row r="102" spans="1:258" ht="16.5" customHeight="1" x14ac:dyDescent="0.3">
      <c r="A102" s="135"/>
      <c r="B102" s="91"/>
      <c r="C102" s="92" t="s">
        <v>52</v>
      </c>
      <c r="D102" s="99">
        <f>SUM(D83:D101)</f>
        <v>0</v>
      </c>
      <c r="E102" s="99"/>
      <c r="F102" s="99">
        <f t="shared" ref="F102:J102" si="83">SUM(F83:F101)</f>
        <v>60443667272.7341</v>
      </c>
      <c r="G102" s="99">
        <f t="shared" si="83"/>
        <v>202372951058.82306</v>
      </c>
      <c r="H102" s="99"/>
      <c r="I102" s="99"/>
      <c r="J102" s="99">
        <f t="shared" si="83"/>
        <v>263053490937.99219</v>
      </c>
      <c r="K102" s="99">
        <f t="shared" ref="K102" si="84">SUM(K83:K101)</f>
        <v>1583221971.3452001</v>
      </c>
      <c r="L102" s="99">
        <f t="shared" ref="L102" si="85">SUM(L83:L101)</f>
        <v>453892854.37879997</v>
      </c>
      <c r="M102" s="99">
        <f t="shared" ref="M102" si="86">SUM(M83:M101)</f>
        <v>1112340018.8555999</v>
      </c>
      <c r="N102" s="99">
        <f t="shared" ref="N102:O102" si="87">SUM(N83:N101)</f>
        <v>267029777578.07486</v>
      </c>
      <c r="O102" s="99">
        <f t="shared" si="87"/>
        <v>4787122917.8516998</v>
      </c>
      <c r="P102" s="48">
        <f>SUM(P84:P101)</f>
        <v>268726561112.44031</v>
      </c>
      <c r="Q102" s="102">
        <f>(P102/$P$150)</f>
        <v>0.19398013558292432</v>
      </c>
      <c r="R102" s="48">
        <f>SUM(R84:R101)</f>
        <v>264965497306.64038</v>
      </c>
      <c r="S102" s="102">
        <f>(R102/$R$150)</f>
        <v>0.18755529852356556</v>
      </c>
      <c r="T102" s="49">
        <f t="shared" si="44"/>
        <v>-1.3995876664481358E-2</v>
      </c>
      <c r="U102" s="62"/>
      <c r="V102" s="50"/>
      <c r="W102" s="51"/>
      <c r="X102" s="51"/>
      <c r="Y102" s="47"/>
      <c r="Z102" s="47"/>
      <c r="AA102" s="150">
        <f>SUM(AA84:AA101)</f>
        <v>8978</v>
      </c>
      <c r="AB102" s="150"/>
      <c r="AC102" s="150"/>
      <c r="AD102" s="150"/>
      <c r="AE102" s="130"/>
      <c r="AF102" s="13"/>
      <c r="AG102" s="4"/>
      <c r="AH102" s="5"/>
      <c r="AI102" s="6"/>
      <c r="AJ102" s="6"/>
      <c r="AK102" s="6"/>
      <c r="AL102" s="7"/>
      <c r="AM102" s="5"/>
      <c r="AN102" s="6"/>
      <c r="AO102" s="6"/>
      <c r="AP102" s="6"/>
      <c r="AQ102" s="7"/>
      <c r="AR102" s="5"/>
      <c r="AS102" s="6"/>
      <c r="AT102" s="6"/>
      <c r="AU102" s="6"/>
      <c r="AV102" s="7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  <c r="GN102" s="26"/>
      <c r="GO102" s="26"/>
      <c r="GP102" s="26"/>
      <c r="GQ102" s="26"/>
      <c r="GR102" s="26"/>
      <c r="GS102" s="26"/>
      <c r="GT102" s="26"/>
      <c r="GU102" s="26"/>
      <c r="GV102" s="26"/>
      <c r="GW102" s="26"/>
      <c r="GX102" s="26"/>
      <c r="GY102" s="26"/>
      <c r="GZ102" s="26"/>
      <c r="HA102" s="26"/>
      <c r="HB102" s="26"/>
      <c r="HC102" s="26"/>
      <c r="HD102" s="26"/>
      <c r="HE102" s="26"/>
      <c r="HF102" s="26"/>
      <c r="HG102" s="26"/>
      <c r="HH102" s="26"/>
      <c r="HI102" s="26"/>
      <c r="HJ102" s="26"/>
      <c r="HK102" s="26"/>
      <c r="HL102" s="26"/>
      <c r="HM102" s="26"/>
      <c r="HN102" s="26"/>
      <c r="HO102" s="26"/>
      <c r="HP102" s="26"/>
      <c r="HQ102" s="26"/>
      <c r="HR102" s="26"/>
      <c r="HS102" s="26"/>
      <c r="HT102" s="26"/>
      <c r="HU102" s="26"/>
      <c r="HV102" s="26"/>
      <c r="HW102" s="26"/>
      <c r="HX102" s="26"/>
      <c r="HY102" s="26"/>
      <c r="HZ102" s="26"/>
      <c r="IA102" s="26"/>
      <c r="IB102" s="26"/>
      <c r="IC102" s="26"/>
      <c r="ID102" s="26"/>
      <c r="IE102" s="26"/>
      <c r="IF102" s="26"/>
      <c r="IG102" s="26"/>
      <c r="IH102" s="26"/>
      <c r="II102" s="26"/>
      <c r="IJ102" s="26"/>
      <c r="IK102" s="26"/>
      <c r="IL102" s="26"/>
      <c r="IM102" s="26"/>
      <c r="IN102" s="26"/>
      <c r="IO102" s="26"/>
      <c r="IP102" s="26"/>
      <c r="IQ102" s="26"/>
      <c r="IR102" s="26"/>
      <c r="IS102" s="26"/>
      <c r="IT102" s="26"/>
      <c r="IU102" s="26"/>
      <c r="IV102" s="26"/>
      <c r="IW102" s="26"/>
      <c r="IX102" s="26"/>
    </row>
    <row r="103" spans="1:258" s="82" customFormat="1" ht="16.5" customHeight="1" x14ac:dyDescent="0.3">
      <c r="A103" s="231" t="s">
        <v>125</v>
      </c>
      <c r="B103" s="232"/>
      <c r="C103" s="232"/>
      <c r="D103" s="93"/>
      <c r="E103" s="56"/>
      <c r="F103" s="56"/>
      <c r="G103" s="56"/>
      <c r="H103" s="56"/>
      <c r="I103" s="56"/>
      <c r="J103" s="56"/>
      <c r="K103" s="56"/>
      <c r="L103" s="56"/>
      <c r="M103" s="188"/>
      <c r="N103" s="56"/>
      <c r="O103" s="56"/>
      <c r="P103" s="56">
        <v>0</v>
      </c>
      <c r="Q103" s="35"/>
      <c r="R103" s="56">
        <v>0</v>
      </c>
      <c r="S103" s="35"/>
      <c r="T103" s="35"/>
      <c r="U103" s="35"/>
      <c r="V103" s="57"/>
      <c r="W103" s="58"/>
      <c r="X103" s="58"/>
      <c r="Y103" s="56"/>
      <c r="Z103" s="56"/>
      <c r="AA103" s="56"/>
      <c r="AB103" s="56"/>
      <c r="AC103" s="56"/>
      <c r="AD103" s="56"/>
      <c r="AE103" s="133"/>
      <c r="AF103" s="76"/>
      <c r="AG103" s="77"/>
      <c r="AH103" s="78"/>
      <c r="AI103" s="79"/>
      <c r="AJ103" s="79"/>
      <c r="AK103" s="79"/>
      <c r="AL103" s="80"/>
      <c r="AM103" s="78"/>
      <c r="AN103" s="79"/>
      <c r="AO103" s="79"/>
      <c r="AP103" s="79"/>
      <c r="AQ103" s="80"/>
      <c r="AR103" s="78"/>
      <c r="AS103" s="79"/>
      <c r="AT103" s="79"/>
      <c r="AU103" s="79"/>
      <c r="AV103" s="80"/>
      <c r="AW103" s="81"/>
      <c r="AX103" s="81"/>
      <c r="AY103" s="81"/>
      <c r="AZ103" s="81"/>
      <c r="BA103" s="81"/>
      <c r="BB103" s="81"/>
      <c r="BC103" s="81"/>
      <c r="BD103" s="81"/>
      <c r="BE103" s="81"/>
      <c r="BF103" s="81"/>
      <c r="BG103" s="81"/>
      <c r="BH103" s="81"/>
      <c r="BI103" s="81"/>
      <c r="BJ103" s="81"/>
      <c r="BK103" s="81"/>
      <c r="BL103" s="81"/>
      <c r="BM103" s="81"/>
      <c r="BN103" s="81"/>
      <c r="BO103" s="81"/>
      <c r="BP103" s="81"/>
      <c r="BQ103" s="81"/>
      <c r="BR103" s="81"/>
      <c r="BS103" s="81"/>
      <c r="BT103" s="81"/>
      <c r="BU103" s="81"/>
      <c r="BV103" s="81"/>
      <c r="BW103" s="81"/>
      <c r="BX103" s="81"/>
      <c r="BY103" s="81"/>
      <c r="BZ103" s="81"/>
      <c r="CA103" s="81"/>
      <c r="CB103" s="81"/>
      <c r="CC103" s="81"/>
      <c r="CD103" s="81"/>
      <c r="CE103" s="81"/>
      <c r="CF103" s="81"/>
      <c r="CG103" s="81"/>
      <c r="CH103" s="81"/>
      <c r="CI103" s="81"/>
      <c r="CJ103" s="81"/>
      <c r="CK103" s="81"/>
      <c r="CL103" s="81"/>
      <c r="CM103" s="81"/>
      <c r="CN103" s="81"/>
      <c r="CO103" s="81"/>
      <c r="CP103" s="81"/>
      <c r="CQ103" s="81"/>
      <c r="CR103" s="81"/>
      <c r="CS103" s="81"/>
      <c r="CT103" s="81"/>
      <c r="CU103" s="81"/>
      <c r="CV103" s="81"/>
      <c r="CW103" s="81"/>
      <c r="CX103" s="81"/>
      <c r="CY103" s="81"/>
      <c r="CZ103" s="81"/>
      <c r="DA103" s="81"/>
      <c r="DB103" s="81"/>
      <c r="DC103" s="81"/>
      <c r="DD103" s="81"/>
      <c r="DE103" s="81"/>
      <c r="DF103" s="81"/>
      <c r="DG103" s="81"/>
      <c r="DH103" s="81"/>
      <c r="DI103" s="81"/>
      <c r="DJ103" s="81"/>
      <c r="DK103" s="81"/>
      <c r="DL103" s="81"/>
      <c r="DM103" s="81"/>
      <c r="DN103" s="81"/>
      <c r="DO103" s="81"/>
      <c r="DP103" s="81"/>
      <c r="DQ103" s="81"/>
      <c r="DR103" s="81"/>
      <c r="DS103" s="81"/>
      <c r="DT103" s="81"/>
      <c r="DU103" s="81"/>
      <c r="DV103" s="81"/>
      <c r="DW103" s="81"/>
      <c r="DX103" s="81"/>
      <c r="DY103" s="81"/>
      <c r="DZ103" s="81"/>
      <c r="EA103" s="81"/>
      <c r="EB103" s="81"/>
      <c r="EC103" s="81"/>
      <c r="ED103" s="81"/>
      <c r="EE103" s="81"/>
      <c r="EF103" s="81"/>
      <c r="EG103" s="81"/>
      <c r="EH103" s="81"/>
      <c r="EI103" s="81"/>
      <c r="EJ103" s="81"/>
      <c r="EK103" s="81"/>
      <c r="EL103" s="81"/>
      <c r="EM103" s="81"/>
      <c r="EN103" s="81"/>
      <c r="EO103" s="81"/>
      <c r="EP103" s="81"/>
      <c r="EQ103" s="81"/>
      <c r="ER103" s="81"/>
      <c r="ES103" s="81"/>
      <c r="ET103" s="81"/>
      <c r="EU103" s="81"/>
      <c r="EV103" s="81"/>
      <c r="EW103" s="81"/>
      <c r="EX103" s="81"/>
      <c r="EY103" s="81"/>
      <c r="EZ103" s="81"/>
      <c r="FA103" s="81"/>
      <c r="FB103" s="81"/>
      <c r="FC103" s="81"/>
      <c r="FD103" s="81"/>
      <c r="FE103" s="81"/>
      <c r="FF103" s="81"/>
      <c r="FG103" s="81"/>
      <c r="FH103" s="81"/>
      <c r="FI103" s="81"/>
      <c r="FJ103" s="81"/>
      <c r="FK103" s="81"/>
      <c r="FL103" s="81"/>
      <c r="FM103" s="81"/>
      <c r="FN103" s="81"/>
      <c r="FO103" s="81"/>
      <c r="FP103" s="81"/>
      <c r="FQ103" s="81"/>
      <c r="FR103" s="81"/>
      <c r="FS103" s="81"/>
      <c r="FT103" s="81"/>
      <c r="FU103" s="81"/>
      <c r="FV103" s="81"/>
      <c r="FW103" s="81"/>
      <c r="FX103" s="81"/>
      <c r="FY103" s="81"/>
      <c r="FZ103" s="81"/>
      <c r="GA103" s="81"/>
      <c r="GB103" s="81"/>
      <c r="GC103" s="81"/>
      <c r="GD103" s="81"/>
      <c r="GE103" s="81"/>
      <c r="GF103" s="81"/>
      <c r="GG103" s="81"/>
      <c r="GH103" s="81"/>
      <c r="GI103" s="81"/>
      <c r="GJ103" s="81"/>
      <c r="GK103" s="81"/>
      <c r="GL103" s="81"/>
      <c r="GM103" s="81"/>
      <c r="GN103" s="81"/>
      <c r="GO103" s="81"/>
      <c r="GP103" s="81"/>
      <c r="GQ103" s="81"/>
      <c r="GR103" s="81"/>
      <c r="GS103" s="81"/>
      <c r="GT103" s="81"/>
      <c r="GU103" s="81"/>
      <c r="GV103" s="81"/>
      <c r="GW103" s="81"/>
      <c r="GX103" s="81"/>
      <c r="GY103" s="81"/>
      <c r="GZ103" s="81"/>
      <c r="HA103" s="81"/>
      <c r="HB103" s="81"/>
      <c r="HC103" s="81"/>
      <c r="HD103" s="81"/>
      <c r="HE103" s="81"/>
      <c r="HF103" s="81"/>
      <c r="HG103" s="81"/>
      <c r="HH103" s="81"/>
      <c r="HI103" s="81"/>
      <c r="HJ103" s="81"/>
      <c r="HK103" s="81"/>
      <c r="HL103" s="81"/>
      <c r="HM103" s="81"/>
      <c r="HN103" s="81"/>
      <c r="HO103" s="81"/>
      <c r="HP103" s="81"/>
      <c r="HQ103" s="81"/>
      <c r="HR103" s="81"/>
      <c r="HS103" s="81"/>
      <c r="HT103" s="81"/>
      <c r="HU103" s="81"/>
      <c r="HV103" s="81"/>
      <c r="HW103" s="81"/>
      <c r="HX103" s="81"/>
      <c r="HY103" s="81"/>
      <c r="HZ103" s="81"/>
      <c r="IA103" s="81"/>
      <c r="IB103" s="81"/>
      <c r="IC103" s="81"/>
      <c r="ID103" s="81"/>
      <c r="IE103" s="81"/>
      <c r="IF103" s="81"/>
      <c r="IG103" s="81"/>
      <c r="IH103" s="81"/>
      <c r="II103" s="81"/>
      <c r="IJ103" s="81"/>
      <c r="IK103" s="81"/>
      <c r="IL103" s="81"/>
      <c r="IM103" s="81"/>
      <c r="IN103" s="81"/>
      <c r="IO103" s="81"/>
      <c r="IP103" s="81"/>
      <c r="IQ103" s="81"/>
      <c r="IR103" s="81"/>
      <c r="IS103" s="81"/>
      <c r="IT103" s="81"/>
      <c r="IU103" s="81"/>
      <c r="IV103" s="81"/>
      <c r="IW103" s="81"/>
      <c r="IX103" s="81"/>
    </row>
    <row r="104" spans="1:258" ht="16.5" customHeight="1" x14ac:dyDescent="0.3">
      <c r="A104" s="194">
        <v>89</v>
      </c>
      <c r="B104" s="69" t="s">
        <v>104</v>
      </c>
      <c r="C104" s="69" t="s">
        <v>126</v>
      </c>
      <c r="D104" s="31"/>
      <c r="E104" s="60"/>
      <c r="F104" s="60"/>
      <c r="G104" s="31">
        <v>424327830.31999999</v>
      </c>
      <c r="H104" s="31">
        <v>1820390000</v>
      </c>
      <c r="I104" s="83"/>
      <c r="J104" s="31">
        <v>2246720942.9499998</v>
      </c>
      <c r="K104" s="31">
        <v>21253745.989999998</v>
      </c>
      <c r="L104" s="32">
        <v>5349665.91</v>
      </c>
      <c r="M104" s="61">
        <v>15904080.08</v>
      </c>
      <c r="N104" s="31">
        <v>2576733464.5599999</v>
      </c>
      <c r="O104" s="31">
        <v>269553149.79000002</v>
      </c>
      <c r="P104" s="41">
        <v>2435757807.8499999</v>
      </c>
      <c r="Q104" s="34">
        <f>(P104/$P$108)</f>
        <v>4.8772460129201958E-2</v>
      </c>
      <c r="R104" s="41">
        <v>2307180312.5999999</v>
      </c>
      <c r="S104" s="34">
        <f>(R104/$R$108)</f>
        <v>5.0722922195298628E-2</v>
      </c>
      <c r="T104" s="35">
        <f>((R104-P104)/P104)</f>
        <v>-5.278747124842148E-2</v>
      </c>
      <c r="U104" s="70">
        <f>(L104/R104)</f>
        <v>2.3187029989742642E-3</v>
      </c>
      <c r="V104" s="36">
        <f>M104/R104</f>
        <v>6.8932974129262692E-3</v>
      </c>
      <c r="W104" s="37">
        <f>R104/AE104</f>
        <v>115.35901563</v>
      </c>
      <c r="X104" s="37">
        <f>M104/AE104</f>
        <v>0.79520400400000002</v>
      </c>
      <c r="Y104" s="31">
        <v>68.599999999999994</v>
      </c>
      <c r="Z104" s="31">
        <v>68.599999999999994</v>
      </c>
      <c r="AA104" s="31">
        <v>2648</v>
      </c>
      <c r="AB104" s="31">
        <v>20000000</v>
      </c>
      <c r="AC104" s="31">
        <v>0</v>
      </c>
      <c r="AD104" s="31">
        <v>0</v>
      </c>
      <c r="AE104" s="170">
        <f t="shared" ref="AE104:AE107" si="88">(AB104+AC104)-AD104</f>
        <v>20000000</v>
      </c>
      <c r="AF104" s="13"/>
      <c r="AG104" s="4"/>
      <c r="AH104" s="5"/>
      <c r="AI104" s="6"/>
      <c r="AJ104" s="6"/>
      <c r="AK104" s="6"/>
      <c r="AL104" s="7"/>
      <c r="AM104" s="5"/>
      <c r="AN104" s="6"/>
      <c r="AO104" s="6"/>
      <c r="AP104" s="6"/>
      <c r="AQ104" s="7"/>
      <c r="AR104" s="5"/>
      <c r="AS104" s="6"/>
      <c r="AT104" s="6"/>
      <c r="AU104" s="6"/>
      <c r="AV104" s="7"/>
    </row>
    <row r="105" spans="1:258" ht="16.5" customHeight="1" x14ac:dyDescent="0.3">
      <c r="A105" s="194">
        <v>90</v>
      </c>
      <c r="B105" s="69" t="s">
        <v>104</v>
      </c>
      <c r="C105" s="69" t="s">
        <v>127</v>
      </c>
      <c r="D105" s="31"/>
      <c r="E105" s="60"/>
      <c r="F105" s="60"/>
      <c r="G105" s="31">
        <v>394471145.99000001</v>
      </c>
      <c r="H105" s="31">
        <v>9932058627.3999996</v>
      </c>
      <c r="I105" s="83"/>
      <c r="J105" s="31">
        <v>10499401821.07</v>
      </c>
      <c r="K105" s="31">
        <v>71796673.340000004</v>
      </c>
      <c r="L105" s="32">
        <v>17316165.039999999</v>
      </c>
      <c r="M105" s="61">
        <v>54480508.299999997</v>
      </c>
      <c r="N105" s="31">
        <v>11153352806.15</v>
      </c>
      <c r="O105" s="31">
        <v>1124657320.5799999</v>
      </c>
      <c r="P105" s="41">
        <v>9974214977</v>
      </c>
      <c r="Q105" s="34">
        <f t="shared" ref="Q105:Q107" si="89">(P105/$P$108)</f>
        <v>0.19971895428930897</v>
      </c>
      <c r="R105" s="41">
        <v>10028695486</v>
      </c>
      <c r="S105" s="34">
        <f t="shared" ref="S105:S107" si="90">(R105/$R$108)</f>
        <v>0.22047897083668994</v>
      </c>
      <c r="T105" s="35">
        <f>((R105-P105)/P105)</f>
        <v>5.4621350277319174E-3</v>
      </c>
      <c r="U105" s="70">
        <f>(L105/R105)</f>
        <v>1.726661764152004E-3</v>
      </c>
      <c r="V105" s="36">
        <f>M105/R105</f>
        <v>5.4324621159406493E-3</v>
      </c>
      <c r="W105" s="37">
        <f>R105/AE105</f>
        <v>53.308094891566533</v>
      </c>
      <c r="X105" s="37">
        <f>M105/AE105</f>
        <v>0.28959420597140445</v>
      </c>
      <c r="Y105" s="100">
        <v>36.6</v>
      </c>
      <c r="Z105" s="100">
        <v>36.6</v>
      </c>
      <c r="AA105" s="38">
        <v>5251</v>
      </c>
      <c r="AB105" s="38">
        <v>188127066</v>
      </c>
      <c r="AC105" s="38">
        <v>0</v>
      </c>
      <c r="AD105" s="38">
        <v>0</v>
      </c>
      <c r="AE105" s="170">
        <f t="shared" si="88"/>
        <v>188127066</v>
      </c>
      <c r="AF105" s="13"/>
      <c r="AG105" s="4"/>
      <c r="AH105" s="5"/>
      <c r="AI105" s="6"/>
      <c r="AJ105" s="6"/>
      <c r="AK105" s="6"/>
      <c r="AL105" s="7"/>
      <c r="AM105" s="5"/>
      <c r="AN105" s="6"/>
      <c r="AO105" s="6"/>
      <c r="AP105" s="6"/>
      <c r="AQ105" s="7"/>
      <c r="AR105" s="5"/>
      <c r="AS105" s="6"/>
      <c r="AT105" s="6"/>
      <c r="AU105" s="6"/>
      <c r="AV105" s="7"/>
    </row>
    <row r="106" spans="1:258" ht="16.5" customHeight="1" x14ac:dyDescent="0.3">
      <c r="A106" s="194">
        <v>91</v>
      </c>
      <c r="B106" s="68" t="s">
        <v>195</v>
      </c>
      <c r="C106" s="69" t="s">
        <v>128</v>
      </c>
      <c r="D106" s="31"/>
      <c r="E106" s="60"/>
      <c r="F106" s="31">
        <v>2573677789.6500001</v>
      </c>
      <c r="G106" s="31">
        <v>1621377849.8499999</v>
      </c>
      <c r="H106" s="31">
        <v>21480000000</v>
      </c>
      <c r="I106" s="83"/>
      <c r="J106" s="31">
        <v>25675055639.5</v>
      </c>
      <c r="K106" s="31">
        <v>136611928.63</v>
      </c>
      <c r="L106" s="60" t="s">
        <v>216</v>
      </c>
      <c r="M106" s="61">
        <v>-4957990337.1300001</v>
      </c>
      <c r="N106" s="31">
        <v>25773030666.27</v>
      </c>
      <c r="O106" s="31">
        <v>134768457.24000001</v>
      </c>
      <c r="P106" s="41">
        <v>30067688260.93</v>
      </c>
      <c r="Q106" s="34">
        <f t="shared" si="89"/>
        <v>0.60206114177579662</v>
      </c>
      <c r="R106" s="41">
        <v>25638262209.029999</v>
      </c>
      <c r="S106" s="34">
        <f t="shared" si="90"/>
        <v>0.56365233880909715</v>
      </c>
      <c r="T106" s="35">
        <f>((R106-P106)/P106)</f>
        <v>-0.14731515151617441</v>
      </c>
      <c r="U106" s="70">
        <f>(L106/R106)</f>
        <v>2.0429335394484072E-3</v>
      </c>
      <c r="V106" s="36">
        <f>M106/R106</f>
        <v>-0.19338246472039577</v>
      </c>
      <c r="W106" s="37">
        <f>R106/AE106</f>
        <v>9.6085729754921676</v>
      </c>
      <c r="X106" s="37">
        <f>M106/AE106</f>
        <v>-1.8581295244464624</v>
      </c>
      <c r="Y106" s="100">
        <v>9.61</v>
      </c>
      <c r="Z106" s="100">
        <v>9.61</v>
      </c>
      <c r="AA106" s="38">
        <v>28836</v>
      </c>
      <c r="AB106" s="38">
        <v>2668269500</v>
      </c>
      <c r="AC106" s="38">
        <v>0</v>
      </c>
      <c r="AD106" s="38">
        <v>0</v>
      </c>
      <c r="AE106" s="170">
        <f t="shared" si="88"/>
        <v>2668269500</v>
      </c>
      <c r="AF106" s="13"/>
      <c r="AG106" s="4"/>
      <c r="AH106" s="5"/>
      <c r="AI106" s="6"/>
      <c r="AJ106" s="6"/>
      <c r="AK106" s="6"/>
      <c r="AL106" s="7"/>
      <c r="AM106" s="5"/>
      <c r="AN106" s="6"/>
      <c r="AO106" s="6"/>
      <c r="AP106" s="6"/>
      <c r="AQ106" s="7"/>
      <c r="AR106" s="5"/>
      <c r="AS106" s="6"/>
      <c r="AT106" s="6"/>
      <c r="AU106" s="6"/>
      <c r="AV106" s="7"/>
    </row>
    <row r="107" spans="1:258" ht="16.5" customHeight="1" x14ac:dyDescent="0.3">
      <c r="A107" s="194">
        <v>92</v>
      </c>
      <c r="B107" s="69" t="s">
        <v>29</v>
      </c>
      <c r="C107" s="69" t="s">
        <v>129</v>
      </c>
      <c r="D107" s="31"/>
      <c r="E107" s="60"/>
      <c r="F107" s="31">
        <v>6918060906</v>
      </c>
      <c r="G107" s="203"/>
      <c r="H107" s="31">
        <v>730060000</v>
      </c>
      <c r="I107" s="83"/>
      <c r="J107" s="31">
        <v>7719446969</v>
      </c>
      <c r="K107" s="31">
        <v>61415773</v>
      </c>
      <c r="L107" s="83">
        <v>13396611</v>
      </c>
      <c r="M107" s="61">
        <v>-97314838</v>
      </c>
      <c r="N107" s="31">
        <v>7793973992</v>
      </c>
      <c r="O107" s="31">
        <v>282161807</v>
      </c>
      <c r="P107" s="41">
        <v>7463592715</v>
      </c>
      <c r="Q107" s="34">
        <f t="shared" si="89"/>
        <v>0.14944744380569253</v>
      </c>
      <c r="R107" s="41">
        <v>7511812185</v>
      </c>
      <c r="S107" s="34">
        <f t="shared" si="90"/>
        <v>0.16514576815891438</v>
      </c>
      <c r="T107" s="35">
        <f>((R107-P107)/P107)</f>
        <v>6.4606245063574584E-3</v>
      </c>
      <c r="U107" s="70">
        <f>(L107/R107)</f>
        <v>1.7834060104366149E-3</v>
      </c>
      <c r="V107" s="36">
        <f>M107/R107</f>
        <v>-1.2954908296871908E-2</v>
      </c>
      <c r="W107" s="37">
        <f>R107/AE107</f>
        <v>101.30562623061363</v>
      </c>
      <c r="X107" s="37">
        <f>M107/AE107</f>
        <v>-1.3124050977747808</v>
      </c>
      <c r="Y107" s="100">
        <v>101.31</v>
      </c>
      <c r="Z107" s="100">
        <v>101.31</v>
      </c>
      <c r="AA107" s="38">
        <v>57</v>
      </c>
      <c r="AB107" s="38">
        <v>74150000</v>
      </c>
      <c r="AC107" s="38">
        <v>0</v>
      </c>
      <c r="AD107" s="38">
        <v>0</v>
      </c>
      <c r="AE107" s="170">
        <f t="shared" si="88"/>
        <v>74150000</v>
      </c>
      <c r="AF107" s="13"/>
      <c r="AG107" s="4"/>
      <c r="AH107" s="5"/>
      <c r="AI107" s="6"/>
      <c r="AJ107" s="6"/>
      <c r="AK107" s="6"/>
      <c r="AL107" s="7"/>
      <c r="AM107" s="5"/>
      <c r="AN107" s="6"/>
      <c r="AO107" s="6"/>
      <c r="AP107" s="6"/>
      <c r="AQ107" s="7"/>
      <c r="AR107" s="5"/>
      <c r="AS107" s="6"/>
      <c r="AT107" s="6"/>
      <c r="AU107" s="6"/>
      <c r="AV107" s="7"/>
    </row>
    <row r="108" spans="1:258" ht="16.5" customHeight="1" x14ac:dyDescent="0.3">
      <c r="A108" s="136"/>
      <c r="B108" s="55"/>
      <c r="C108" s="46" t="s">
        <v>52</v>
      </c>
      <c r="D108" s="47"/>
      <c r="E108" s="47"/>
      <c r="F108" s="47">
        <f>SUM(F104:F107)</f>
        <v>9491738695.6499996</v>
      </c>
      <c r="G108" s="47">
        <f>SUM(G104:G107)</f>
        <v>2440176826.1599998</v>
      </c>
      <c r="H108" s="47">
        <f t="shared" ref="H108:J108" si="91">SUM(H104:H107)</f>
        <v>33962508627.400002</v>
      </c>
      <c r="I108" s="47">
        <f t="shared" si="91"/>
        <v>0</v>
      </c>
      <c r="J108" s="47">
        <f t="shared" si="91"/>
        <v>46140625372.520004</v>
      </c>
      <c r="K108" s="47">
        <f>SUM(K104:K107)</f>
        <v>291078120.95999998</v>
      </c>
      <c r="L108" s="47">
        <f t="shared" ref="L108" si="92">SUM(L104:L107)</f>
        <v>36062441.950000003</v>
      </c>
      <c r="M108" s="47">
        <f t="shared" ref="M108" si="93">SUM(M104:M107)</f>
        <v>-4984920586.75</v>
      </c>
      <c r="N108" s="47">
        <f t="shared" ref="N108" si="94">SUM(N104:N107)</f>
        <v>47297090928.979996</v>
      </c>
      <c r="O108" s="47">
        <f>SUM(O104:O107)</f>
        <v>1811140734.6099999</v>
      </c>
      <c r="P108" s="48">
        <f>SUM(P104:P107)</f>
        <v>49941253760.779999</v>
      </c>
      <c r="Q108" s="102">
        <f>(P108/$P$150)</f>
        <v>3.6050069392447787E-2</v>
      </c>
      <c r="R108" s="48">
        <f>SUM(R104:R107)</f>
        <v>45485950192.629997</v>
      </c>
      <c r="S108" s="102">
        <f>(R108/$R$150)</f>
        <v>3.2197139075559753E-2</v>
      </c>
      <c r="T108" s="49">
        <f>((R108-P108)/P108)</f>
        <v>-8.92108874456983E-2</v>
      </c>
      <c r="U108" s="62"/>
      <c r="V108" s="50"/>
      <c r="W108" s="51"/>
      <c r="X108" s="51"/>
      <c r="Y108" s="47"/>
      <c r="Z108" s="47"/>
      <c r="AA108" s="52">
        <f>SUM(AA104:AA107)</f>
        <v>36792</v>
      </c>
      <c r="AB108" s="52"/>
      <c r="AC108" s="52"/>
      <c r="AD108" s="52"/>
      <c r="AE108" s="130"/>
      <c r="AF108" s="13"/>
      <c r="AG108" s="4"/>
      <c r="AH108" s="5"/>
      <c r="AI108" s="6"/>
      <c r="AJ108" s="6"/>
      <c r="AK108" s="6"/>
      <c r="AL108" s="7"/>
      <c r="AM108" s="5"/>
      <c r="AN108" s="6"/>
      <c r="AO108" s="6"/>
      <c r="AP108" s="6"/>
      <c r="AQ108" s="7"/>
      <c r="AR108" s="5"/>
      <c r="AS108" s="6"/>
      <c r="AT108" s="6"/>
      <c r="AU108" s="6"/>
      <c r="AV108" s="7"/>
    </row>
    <row r="109" spans="1:258" ht="16.5" customHeight="1" x14ac:dyDescent="0.3">
      <c r="A109" s="225" t="s">
        <v>183</v>
      </c>
      <c r="B109" s="223"/>
      <c r="C109" s="223"/>
      <c r="D109" s="56"/>
      <c r="E109" s="56"/>
      <c r="F109" s="56"/>
      <c r="G109" s="56"/>
      <c r="H109" s="56"/>
      <c r="I109" s="56"/>
      <c r="J109" s="56"/>
      <c r="K109" s="56"/>
      <c r="L109" s="56"/>
      <c r="M109" s="188"/>
      <c r="N109" s="56"/>
      <c r="O109" s="56"/>
      <c r="P109" s="56"/>
      <c r="Q109" s="35"/>
      <c r="R109" s="56"/>
      <c r="S109" s="35"/>
      <c r="T109" s="35"/>
      <c r="U109" s="35"/>
      <c r="V109" s="57"/>
      <c r="W109" s="58"/>
      <c r="X109" s="58"/>
      <c r="Y109" s="56"/>
      <c r="Z109" s="56"/>
      <c r="AA109" s="56"/>
      <c r="AB109" s="56"/>
      <c r="AC109" s="56"/>
      <c r="AD109" s="56"/>
      <c r="AE109" s="133"/>
      <c r="AF109" s="13"/>
      <c r="AG109" s="4"/>
      <c r="AH109" s="5"/>
      <c r="AI109" s="6"/>
      <c r="AJ109" s="6"/>
      <c r="AK109" s="6"/>
      <c r="AL109" s="7"/>
      <c r="AM109" s="5"/>
      <c r="AN109" s="6"/>
      <c r="AO109" s="6"/>
      <c r="AP109" s="6"/>
      <c r="AQ109" s="7"/>
      <c r="AR109" s="5"/>
      <c r="AS109" s="6"/>
      <c r="AT109" s="6"/>
      <c r="AU109" s="6"/>
      <c r="AV109" s="7"/>
    </row>
    <row r="110" spans="1:258" s="217" customFormat="1" ht="16.5" customHeight="1" x14ac:dyDescent="0.3">
      <c r="A110" s="194">
        <v>93</v>
      </c>
      <c r="B110" s="69" t="s">
        <v>23</v>
      </c>
      <c r="C110" s="69" t="s">
        <v>130</v>
      </c>
      <c r="D110" s="31">
        <v>908222664.39999998</v>
      </c>
      <c r="E110" s="31"/>
      <c r="F110" s="31">
        <v>377868874.70999998</v>
      </c>
      <c r="G110" s="31">
        <v>326758857.13999999</v>
      </c>
      <c r="H110" s="40"/>
      <c r="I110" s="39"/>
      <c r="J110" s="39">
        <v>1640219396.25</v>
      </c>
      <c r="K110" s="39">
        <v>35090889.649999999</v>
      </c>
      <c r="L110" s="31">
        <v>3225823.32</v>
      </c>
      <c r="M110" s="172">
        <v>7666885.3700000001</v>
      </c>
      <c r="N110" s="31">
        <v>1689270572.72</v>
      </c>
      <c r="O110" s="31">
        <v>11248179.75</v>
      </c>
      <c r="P110" s="94">
        <v>1699888892.8499999</v>
      </c>
      <c r="Q110" s="34">
        <f t="shared" ref="Q110:Q132" si="95">(P110/$P$150)</f>
        <v>1.2270639587911023E-3</v>
      </c>
      <c r="R110" s="94">
        <v>1678022392.97</v>
      </c>
      <c r="S110" s="34">
        <f t="shared" ref="S110:S131" si="96">(R110/$R$132)</f>
        <v>5.6317833447912892E-2</v>
      </c>
      <c r="T110" s="35">
        <f t="shared" ref="T110:T132" si="97">((R110-P110)/P110)</f>
        <v>-1.2863487709093114E-2</v>
      </c>
      <c r="U110" s="70">
        <f t="shared" ref="U110:U128" si="98">(L110/R110)</f>
        <v>1.922395871184105E-3</v>
      </c>
      <c r="V110" s="36">
        <f t="shared" ref="V110:V131" si="99">M110/R110</f>
        <v>4.5690006296221523E-3</v>
      </c>
      <c r="W110" s="37">
        <f t="shared" ref="W110:W131" si="100">R110/AE110</f>
        <v>3553.186367283442</v>
      </c>
      <c r="X110" s="37">
        <f>M110/AE110</f>
        <v>16.234510749282894</v>
      </c>
      <c r="Y110" s="31">
        <v>3527.7</v>
      </c>
      <c r="Z110" s="31">
        <v>3567.13</v>
      </c>
      <c r="AA110" s="38">
        <v>1383</v>
      </c>
      <c r="AB110" s="38">
        <v>477271.91</v>
      </c>
      <c r="AC110" s="38">
        <v>3906.18</v>
      </c>
      <c r="AD110" s="38">
        <v>8919.61</v>
      </c>
      <c r="AE110" s="128">
        <f t="shared" ref="AE110:AE131" si="101">(AB110+AC110)-AD110</f>
        <v>472258.48</v>
      </c>
      <c r="AF110" s="212"/>
      <c r="AG110" s="213"/>
      <c r="AH110" s="214"/>
      <c r="AI110" s="215"/>
      <c r="AJ110" s="215"/>
      <c r="AK110" s="215"/>
      <c r="AL110" s="216"/>
      <c r="AM110" s="214"/>
      <c r="AN110" s="215"/>
      <c r="AO110" s="215"/>
      <c r="AP110" s="215"/>
      <c r="AQ110" s="216"/>
      <c r="AR110" s="214"/>
      <c r="AS110" s="215"/>
      <c r="AT110" s="215"/>
      <c r="AU110" s="215"/>
      <c r="AV110" s="216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  <c r="GT110" s="88"/>
      <c r="GU110" s="88"/>
      <c r="GV110" s="88"/>
      <c r="GW110" s="88"/>
      <c r="GX110" s="88"/>
      <c r="GY110" s="88"/>
      <c r="GZ110" s="88"/>
      <c r="HA110" s="88"/>
      <c r="HB110" s="88"/>
      <c r="HC110" s="88"/>
      <c r="HD110" s="88"/>
      <c r="HE110" s="88"/>
      <c r="HF110" s="88"/>
      <c r="HG110" s="88"/>
      <c r="HH110" s="88"/>
      <c r="HI110" s="88"/>
      <c r="HJ110" s="88"/>
      <c r="HK110" s="88"/>
      <c r="HL110" s="88"/>
      <c r="HM110" s="88"/>
      <c r="HN110" s="88"/>
      <c r="HO110" s="88"/>
      <c r="HP110" s="88"/>
      <c r="HQ110" s="88"/>
      <c r="HR110" s="88"/>
      <c r="HS110" s="88"/>
      <c r="HT110" s="88"/>
      <c r="HU110" s="88"/>
      <c r="HV110" s="88"/>
      <c r="HW110" s="88"/>
      <c r="HX110" s="88"/>
      <c r="HY110" s="88"/>
      <c r="HZ110" s="88"/>
      <c r="IA110" s="88"/>
      <c r="IB110" s="88"/>
      <c r="IC110" s="88"/>
      <c r="ID110" s="88"/>
      <c r="IE110" s="88"/>
      <c r="IF110" s="88"/>
      <c r="IG110" s="88"/>
      <c r="IH110" s="88"/>
      <c r="II110" s="88"/>
      <c r="IJ110" s="88"/>
      <c r="IK110" s="88"/>
      <c r="IL110" s="88"/>
      <c r="IM110" s="88"/>
      <c r="IN110" s="88"/>
      <c r="IO110" s="88"/>
      <c r="IP110" s="88"/>
      <c r="IQ110" s="88"/>
      <c r="IR110" s="88"/>
      <c r="IS110" s="88"/>
      <c r="IT110" s="88"/>
      <c r="IU110" s="88"/>
      <c r="IV110" s="88"/>
      <c r="IW110" s="88"/>
      <c r="IX110" s="88"/>
    </row>
    <row r="111" spans="1:258" ht="16.5" customHeight="1" x14ac:dyDescent="0.3">
      <c r="A111" s="194">
        <v>94</v>
      </c>
      <c r="B111" s="69" t="s">
        <v>29</v>
      </c>
      <c r="C111" s="69" t="s">
        <v>175</v>
      </c>
      <c r="D111" s="31">
        <v>99612679.150000006</v>
      </c>
      <c r="E111" s="47"/>
      <c r="F111" s="31">
        <v>31543034.300000001</v>
      </c>
      <c r="G111" s="31">
        <v>53600011.020000003</v>
      </c>
      <c r="H111" s="40"/>
      <c r="I111" s="39"/>
      <c r="J111" s="39">
        <v>190204630.30000001</v>
      </c>
      <c r="K111" s="39">
        <v>3198030.21</v>
      </c>
      <c r="L111" s="31">
        <v>1014569.97</v>
      </c>
      <c r="M111" s="172">
        <v>2183460.2400000002</v>
      </c>
      <c r="N111" s="31">
        <v>190204630.30000001</v>
      </c>
      <c r="O111" s="31">
        <v>1955289.79</v>
      </c>
      <c r="P111" s="94">
        <v>200288730.77000001</v>
      </c>
      <c r="Q111" s="34">
        <f t="shared" si="95"/>
        <v>1.4457832150890362E-4</v>
      </c>
      <c r="R111" s="94">
        <v>188249340.50999999</v>
      </c>
      <c r="S111" s="34">
        <f t="shared" si="96"/>
        <v>6.3180295149441196E-3</v>
      </c>
      <c r="T111" s="35">
        <f t="shared" si="97"/>
        <v>-6.0110173017299505E-2</v>
      </c>
      <c r="U111" s="70">
        <f t="shared" si="98"/>
        <v>5.3895007932105079E-3</v>
      </c>
      <c r="V111" s="36">
        <f t="shared" si="99"/>
        <v>1.1598767008078908E-2</v>
      </c>
      <c r="W111" s="37">
        <f t="shared" si="100"/>
        <v>139.50171997886531</v>
      </c>
      <c r="X111" s="37">
        <f t="shared" ref="X111:X131" si="102">M111/AE111</f>
        <v>1.6180479472611253</v>
      </c>
      <c r="Y111" s="31">
        <v>142.77000000000001</v>
      </c>
      <c r="Z111" s="31">
        <v>144.4</v>
      </c>
      <c r="AA111" s="38">
        <v>708</v>
      </c>
      <c r="AB111" s="38">
        <v>1355021</v>
      </c>
      <c r="AC111" s="38">
        <v>0</v>
      </c>
      <c r="AD111" s="38">
        <v>5580</v>
      </c>
      <c r="AE111" s="128">
        <f t="shared" si="101"/>
        <v>1349441</v>
      </c>
      <c r="AF111" s="13"/>
      <c r="AG111" s="4"/>
      <c r="AH111" s="5"/>
      <c r="AI111" s="6"/>
      <c r="AJ111" s="6"/>
      <c r="AK111" s="6"/>
      <c r="AL111" s="7"/>
      <c r="AM111" s="5"/>
      <c r="AN111" s="6"/>
      <c r="AO111" s="6"/>
      <c r="AP111" s="6"/>
      <c r="AQ111" s="7"/>
      <c r="AR111" s="5"/>
      <c r="AS111" s="6"/>
      <c r="AT111" s="6"/>
      <c r="AU111" s="6"/>
      <c r="AV111" s="7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  <c r="IQ111" s="26"/>
      <c r="IR111" s="26"/>
      <c r="IS111" s="26"/>
      <c r="IT111" s="26"/>
      <c r="IU111" s="26"/>
      <c r="IV111" s="26"/>
      <c r="IW111" s="26"/>
      <c r="IX111" s="26"/>
    </row>
    <row r="112" spans="1:258" s="217" customFormat="1" ht="16.5" customHeight="1" x14ac:dyDescent="0.3">
      <c r="A112" s="194">
        <v>95</v>
      </c>
      <c r="B112" s="69" t="s">
        <v>33</v>
      </c>
      <c r="C112" s="69" t="s">
        <v>131</v>
      </c>
      <c r="D112" s="31">
        <v>473989091.89999998</v>
      </c>
      <c r="E112" s="31"/>
      <c r="F112" s="31"/>
      <c r="G112" s="31">
        <v>296711221</v>
      </c>
      <c r="H112" s="40"/>
      <c r="I112" s="39"/>
      <c r="J112" s="39">
        <v>770700313</v>
      </c>
      <c r="K112" s="39">
        <v>-11590591</v>
      </c>
      <c r="L112" s="31">
        <v>-1854522</v>
      </c>
      <c r="M112" s="172">
        <v>1642699</v>
      </c>
      <c r="N112" s="31">
        <v>1012256025</v>
      </c>
      <c r="O112" s="31">
        <v>11943614</v>
      </c>
      <c r="P112" s="94">
        <v>924977010.94000006</v>
      </c>
      <c r="Q112" s="34">
        <f t="shared" si="95"/>
        <v>6.6769419907901676E-4</v>
      </c>
      <c r="R112" s="94">
        <v>1000312411.23</v>
      </c>
      <c r="S112" s="34">
        <f t="shared" si="96"/>
        <v>3.3572512504926065E-2</v>
      </c>
      <c r="T112" s="35">
        <f t="shared" si="97"/>
        <v>8.1445700162257009E-2</v>
      </c>
      <c r="U112" s="70">
        <f t="shared" si="98"/>
        <v>-1.8539428074471757E-3</v>
      </c>
      <c r="V112" s="36">
        <f t="shared" si="99"/>
        <v>1.6421859626635155E-3</v>
      </c>
      <c r="W112" s="37">
        <f t="shared" si="100"/>
        <v>1.3796400540864049</v>
      </c>
      <c r="X112" s="37">
        <f t="shared" si="102"/>
        <v>2.2656255303490276E-3</v>
      </c>
      <c r="Y112" s="31">
        <v>1.38</v>
      </c>
      <c r="Z112" s="31">
        <v>1.4</v>
      </c>
      <c r="AA112" s="38">
        <v>1309</v>
      </c>
      <c r="AB112" s="38">
        <v>725009195</v>
      </c>
      <c r="AC112" s="38">
        <v>236640</v>
      </c>
      <c r="AD112" s="38">
        <v>192653</v>
      </c>
      <c r="AE112" s="128">
        <f t="shared" si="101"/>
        <v>725053182</v>
      </c>
      <c r="AF112" s="212"/>
      <c r="AG112" s="213"/>
      <c r="AH112" s="214"/>
      <c r="AI112" s="215"/>
      <c r="AJ112" s="215"/>
      <c r="AK112" s="215"/>
      <c r="AL112" s="216"/>
      <c r="AM112" s="214"/>
      <c r="AN112" s="215"/>
      <c r="AO112" s="215"/>
      <c r="AP112" s="215"/>
      <c r="AQ112" s="216"/>
      <c r="AR112" s="214"/>
      <c r="AS112" s="215"/>
      <c r="AT112" s="215"/>
      <c r="AU112" s="215"/>
      <c r="AV112" s="216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  <c r="GT112" s="88"/>
      <c r="GU112" s="88"/>
      <c r="GV112" s="88"/>
      <c r="GW112" s="88"/>
      <c r="GX112" s="88"/>
      <c r="GY112" s="88"/>
      <c r="GZ112" s="88"/>
      <c r="HA112" s="88"/>
      <c r="HB112" s="88"/>
      <c r="HC112" s="88"/>
      <c r="HD112" s="88"/>
      <c r="HE112" s="88"/>
      <c r="HF112" s="88"/>
      <c r="HG112" s="88"/>
      <c r="HH112" s="88"/>
      <c r="HI112" s="88"/>
      <c r="HJ112" s="88"/>
      <c r="HK112" s="88"/>
      <c r="HL112" s="88"/>
      <c r="HM112" s="88"/>
      <c r="HN112" s="88"/>
      <c r="HO112" s="88"/>
      <c r="HP112" s="88"/>
      <c r="HQ112" s="88"/>
      <c r="HR112" s="88"/>
      <c r="HS112" s="88"/>
      <c r="HT112" s="88"/>
      <c r="HU112" s="88"/>
      <c r="HV112" s="88"/>
      <c r="HW112" s="88"/>
      <c r="HX112" s="88"/>
      <c r="HY112" s="88"/>
      <c r="HZ112" s="88"/>
      <c r="IA112" s="88"/>
      <c r="IB112" s="88"/>
      <c r="IC112" s="88"/>
      <c r="ID112" s="88"/>
      <c r="IE112" s="88"/>
      <c r="IF112" s="88"/>
      <c r="IG112" s="88"/>
      <c r="IH112" s="88"/>
      <c r="II112" s="88"/>
      <c r="IJ112" s="88"/>
      <c r="IK112" s="88"/>
      <c r="IL112" s="88"/>
      <c r="IM112" s="88"/>
      <c r="IN112" s="88"/>
      <c r="IO112" s="88"/>
      <c r="IP112" s="88"/>
      <c r="IQ112" s="88"/>
      <c r="IR112" s="88"/>
      <c r="IS112" s="88"/>
      <c r="IT112" s="88"/>
      <c r="IU112" s="88"/>
      <c r="IV112" s="88"/>
      <c r="IW112" s="88"/>
      <c r="IX112" s="88"/>
    </row>
    <row r="113" spans="1:258" s="217" customFormat="1" ht="16.5" customHeight="1" x14ac:dyDescent="0.3">
      <c r="A113" s="194">
        <v>96</v>
      </c>
      <c r="B113" s="68" t="s">
        <v>35</v>
      </c>
      <c r="C113" s="69" t="s">
        <v>168</v>
      </c>
      <c r="D113" s="31">
        <v>2771012641.4499998</v>
      </c>
      <c r="E113" s="31"/>
      <c r="F113" s="31">
        <v>97326733.700000003</v>
      </c>
      <c r="G113" s="31">
        <v>521489669</v>
      </c>
      <c r="H113" s="90">
        <v>62191760.799999997</v>
      </c>
      <c r="I113" s="39"/>
      <c r="J113" s="39">
        <v>3452020804.9499998</v>
      </c>
      <c r="K113" s="39">
        <v>76741221.359999999</v>
      </c>
      <c r="L113" s="31">
        <v>14991091.960000001</v>
      </c>
      <c r="M113" s="172">
        <v>27136583.399999999</v>
      </c>
      <c r="N113" s="31">
        <v>4763133206</v>
      </c>
      <c r="O113" s="31">
        <v>2815258</v>
      </c>
      <c r="P113" s="94">
        <v>4763904739</v>
      </c>
      <c r="Q113" s="34">
        <f t="shared" si="95"/>
        <v>3.4388222859321059E-3</v>
      </c>
      <c r="R113" s="94">
        <v>4760317948</v>
      </c>
      <c r="S113" s="34">
        <f t="shared" si="96"/>
        <v>0.15976592116870961</v>
      </c>
      <c r="T113" s="35">
        <f t="shared" si="97"/>
        <v>-7.5290989146708045E-4</v>
      </c>
      <c r="U113" s="70">
        <f t="shared" si="98"/>
        <v>3.1491787153205509E-3</v>
      </c>
      <c r="V113" s="36">
        <f t="shared" si="99"/>
        <v>5.7005821242257912E-3</v>
      </c>
      <c r="W113" s="37">
        <f t="shared" si="100"/>
        <v>489.97854407865481</v>
      </c>
      <c r="X113" s="37">
        <f t="shared" si="102"/>
        <v>2.7931629296289584</v>
      </c>
      <c r="Y113" s="31">
        <v>479.61</v>
      </c>
      <c r="Z113" s="31">
        <v>494.07</v>
      </c>
      <c r="AA113" s="38">
        <v>35690</v>
      </c>
      <c r="AB113" s="38">
        <v>9786625</v>
      </c>
      <c r="AC113" s="38">
        <v>50193</v>
      </c>
      <c r="AD113" s="38">
        <v>121458</v>
      </c>
      <c r="AE113" s="128">
        <f t="shared" si="101"/>
        <v>9715360</v>
      </c>
      <c r="AF113" s="212"/>
      <c r="AG113" s="213"/>
      <c r="AH113" s="214"/>
      <c r="AI113" s="215"/>
      <c r="AJ113" s="215"/>
      <c r="AK113" s="215"/>
      <c r="AL113" s="216"/>
      <c r="AM113" s="214"/>
      <c r="AN113" s="215"/>
      <c r="AO113" s="215"/>
      <c r="AP113" s="215"/>
      <c r="AQ113" s="216"/>
      <c r="AR113" s="214"/>
      <c r="AS113" s="215"/>
      <c r="AT113" s="215"/>
      <c r="AU113" s="215"/>
      <c r="AV113" s="216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  <c r="GT113" s="88"/>
      <c r="GU113" s="88"/>
      <c r="GV113" s="88"/>
      <c r="GW113" s="88"/>
      <c r="GX113" s="88"/>
      <c r="GY113" s="88"/>
      <c r="GZ113" s="88"/>
      <c r="HA113" s="88"/>
      <c r="HB113" s="88"/>
      <c r="HC113" s="88"/>
      <c r="HD113" s="88"/>
      <c r="HE113" s="88"/>
      <c r="HF113" s="88"/>
      <c r="HG113" s="88"/>
      <c r="HH113" s="88"/>
      <c r="HI113" s="88"/>
      <c r="HJ113" s="88"/>
      <c r="HK113" s="88"/>
      <c r="HL113" s="88"/>
      <c r="HM113" s="88"/>
      <c r="HN113" s="88"/>
      <c r="HO113" s="88"/>
      <c r="HP113" s="88"/>
      <c r="HQ113" s="88"/>
      <c r="HR113" s="88"/>
      <c r="HS113" s="88"/>
      <c r="HT113" s="88"/>
      <c r="HU113" s="88"/>
      <c r="HV113" s="88"/>
      <c r="HW113" s="88"/>
      <c r="HX113" s="88"/>
      <c r="HY113" s="88"/>
      <c r="HZ113" s="88"/>
      <c r="IA113" s="88"/>
      <c r="IB113" s="88"/>
      <c r="IC113" s="88"/>
      <c r="ID113" s="88"/>
      <c r="IE113" s="88"/>
      <c r="IF113" s="88"/>
      <c r="IG113" s="88"/>
      <c r="IH113" s="88"/>
      <c r="II113" s="88"/>
      <c r="IJ113" s="88"/>
      <c r="IK113" s="88"/>
      <c r="IL113" s="88"/>
      <c r="IM113" s="88"/>
      <c r="IN113" s="88"/>
      <c r="IO113" s="88"/>
      <c r="IP113" s="88"/>
      <c r="IQ113" s="88"/>
      <c r="IR113" s="88"/>
      <c r="IS113" s="88"/>
      <c r="IT113" s="88"/>
      <c r="IU113" s="88"/>
      <c r="IV113" s="88"/>
      <c r="IW113" s="88"/>
      <c r="IX113" s="88"/>
    </row>
    <row r="114" spans="1:258" s="217" customFormat="1" ht="16.5" customHeight="1" x14ac:dyDescent="0.3">
      <c r="A114" s="194">
        <v>97</v>
      </c>
      <c r="B114" s="69" t="s">
        <v>74</v>
      </c>
      <c r="C114" s="69" t="s">
        <v>215</v>
      </c>
      <c r="D114" s="31">
        <v>1105761489.6500001</v>
      </c>
      <c r="E114" s="31"/>
      <c r="F114" s="31">
        <v>352934655.51999998</v>
      </c>
      <c r="G114" s="31">
        <v>1045185103.35</v>
      </c>
      <c r="H114" s="40"/>
      <c r="I114" s="39"/>
      <c r="J114" s="39">
        <v>2503881248.52</v>
      </c>
      <c r="K114" s="39">
        <v>11310912.27</v>
      </c>
      <c r="L114" s="31">
        <v>18512944.789999999</v>
      </c>
      <c r="M114" s="172">
        <v>-35416881.170000002</v>
      </c>
      <c r="N114" s="31">
        <v>2508843710.0900002</v>
      </c>
      <c r="O114" s="31">
        <v>27647537.789999999</v>
      </c>
      <c r="P114" s="94">
        <v>2479712070.8299999</v>
      </c>
      <c r="Q114" s="34">
        <f t="shared" si="95"/>
        <v>1.7899789351486981E-3</v>
      </c>
      <c r="R114" s="94">
        <v>2481196172.3000002</v>
      </c>
      <c r="S114" s="34">
        <f t="shared" si="96"/>
        <v>8.3273973797135498E-2</v>
      </c>
      <c r="T114" s="35">
        <f t="shared" si="97"/>
        <v>5.984974979387482E-4</v>
      </c>
      <c r="U114" s="70">
        <f t="shared" si="98"/>
        <v>7.4612983030837949E-3</v>
      </c>
      <c r="V114" s="36">
        <f t="shared" si="99"/>
        <v>-1.4274115672671513E-2</v>
      </c>
      <c r="W114" s="37">
        <f t="shared" si="100"/>
        <v>13.461312554331258</v>
      </c>
      <c r="X114" s="37">
        <f t="shared" si="102"/>
        <v>-0.19214833250650959</v>
      </c>
      <c r="Y114" s="31">
        <v>13.461399999999999</v>
      </c>
      <c r="Z114" s="31">
        <v>13.5871</v>
      </c>
      <c r="AA114" s="38">
        <v>6410</v>
      </c>
      <c r="AB114" s="38">
        <v>184732494.97</v>
      </c>
      <c r="AC114" s="38">
        <v>0</v>
      </c>
      <c r="AD114" s="38">
        <v>411971.82</v>
      </c>
      <c r="AE114" s="128">
        <f t="shared" si="101"/>
        <v>184320523.15000001</v>
      </c>
      <c r="AF114" s="212"/>
      <c r="AG114" s="213"/>
      <c r="AH114" s="214"/>
      <c r="AI114" s="215"/>
      <c r="AJ114" s="215"/>
      <c r="AK114" s="215"/>
      <c r="AL114" s="216"/>
      <c r="AM114" s="214"/>
      <c r="AN114" s="215"/>
      <c r="AO114" s="215"/>
      <c r="AP114" s="215"/>
      <c r="AQ114" s="216"/>
      <c r="AR114" s="214"/>
      <c r="AS114" s="215"/>
      <c r="AT114" s="215"/>
      <c r="AU114" s="215"/>
      <c r="AV114" s="216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  <c r="GT114" s="88"/>
      <c r="GU114" s="88"/>
      <c r="GV114" s="88"/>
      <c r="GW114" s="88"/>
      <c r="GX114" s="88"/>
      <c r="GY114" s="88"/>
      <c r="GZ114" s="88"/>
      <c r="HA114" s="88"/>
      <c r="HB114" s="88"/>
      <c r="HC114" s="88"/>
      <c r="HD114" s="88"/>
      <c r="HE114" s="88"/>
      <c r="HF114" s="88"/>
      <c r="HG114" s="88"/>
      <c r="HH114" s="88"/>
      <c r="HI114" s="88"/>
      <c r="HJ114" s="88"/>
      <c r="HK114" s="88"/>
      <c r="HL114" s="88"/>
      <c r="HM114" s="88"/>
      <c r="HN114" s="88"/>
      <c r="HO114" s="88"/>
      <c r="HP114" s="88"/>
      <c r="HQ114" s="88"/>
      <c r="HR114" s="88"/>
      <c r="HS114" s="88"/>
      <c r="HT114" s="88"/>
      <c r="HU114" s="88"/>
      <c r="HV114" s="88"/>
      <c r="HW114" s="88"/>
      <c r="HX114" s="88"/>
      <c r="HY114" s="88"/>
      <c r="HZ114" s="88"/>
      <c r="IA114" s="88"/>
      <c r="IB114" s="88"/>
      <c r="IC114" s="88"/>
      <c r="ID114" s="88"/>
      <c r="IE114" s="88"/>
      <c r="IF114" s="88"/>
      <c r="IG114" s="88"/>
      <c r="IH114" s="88"/>
      <c r="II114" s="88"/>
      <c r="IJ114" s="88"/>
      <c r="IK114" s="88"/>
      <c r="IL114" s="88"/>
      <c r="IM114" s="88"/>
      <c r="IN114" s="88"/>
      <c r="IO114" s="88"/>
      <c r="IP114" s="88"/>
      <c r="IQ114" s="88"/>
      <c r="IR114" s="88"/>
      <c r="IS114" s="88"/>
      <c r="IT114" s="88"/>
      <c r="IU114" s="88"/>
      <c r="IV114" s="88"/>
      <c r="IW114" s="88"/>
      <c r="IX114" s="88"/>
    </row>
    <row r="115" spans="1:258" ht="16.5" customHeight="1" x14ac:dyDescent="0.3">
      <c r="A115" s="194">
        <v>98</v>
      </c>
      <c r="B115" s="68" t="s">
        <v>55</v>
      </c>
      <c r="C115" s="68" t="s">
        <v>134</v>
      </c>
      <c r="D115" s="31">
        <v>2433412</v>
      </c>
      <c r="E115" s="31"/>
      <c r="F115" s="31">
        <v>1258877333.79</v>
      </c>
      <c r="G115" s="31">
        <v>1127209917.1500001</v>
      </c>
      <c r="H115" s="209"/>
      <c r="I115" s="210"/>
      <c r="J115" s="39">
        <v>4360094062.2799997</v>
      </c>
      <c r="K115" s="39">
        <v>23054821.91</v>
      </c>
      <c r="L115" s="31">
        <v>12454943.789999999</v>
      </c>
      <c r="M115" s="172">
        <v>68438488.349999994</v>
      </c>
      <c r="N115" s="31">
        <v>4389936905.8800001</v>
      </c>
      <c r="O115" s="31">
        <v>29842843.600000001</v>
      </c>
      <c r="P115" s="94">
        <v>4295185852.79</v>
      </c>
      <c r="Q115" s="34">
        <f t="shared" si="95"/>
        <v>3.1004777891287193E-3</v>
      </c>
      <c r="R115" s="94">
        <v>4360094062.2799997</v>
      </c>
      <c r="S115" s="34">
        <f t="shared" si="96"/>
        <v>0.14633359616977945</v>
      </c>
      <c r="T115" s="35">
        <f t="shared" ref="T115:T124" si="103">((R115-P115)/P115)</f>
        <v>1.5111851201464939E-2</v>
      </c>
      <c r="U115" s="70">
        <f t="shared" ref="U115:U124" si="104">(L115/R115)</f>
        <v>2.8565768563917184E-3</v>
      </c>
      <c r="V115" s="36">
        <f>M115/R115</f>
        <v>1.5696562361366084E-2</v>
      </c>
      <c r="W115" s="37">
        <f t="shared" ref="W115:W124" si="105">R115/AE115</f>
        <v>185.73543565531969</v>
      </c>
      <c r="X115" s="37">
        <f t="shared" ref="X115:X120" si="106">M115/AE115</f>
        <v>2.9154078484792234</v>
      </c>
      <c r="Y115" s="31">
        <v>185.74</v>
      </c>
      <c r="Z115" s="31">
        <v>187.15</v>
      </c>
      <c r="AA115" s="38">
        <v>5473</v>
      </c>
      <c r="AB115" s="38">
        <v>23453371.460000001</v>
      </c>
      <c r="AC115" s="38">
        <v>41086</v>
      </c>
      <c r="AD115" s="38">
        <v>19701.3</v>
      </c>
      <c r="AE115" s="128">
        <f t="shared" si="101"/>
        <v>23474756.16</v>
      </c>
      <c r="AF115" s="13"/>
      <c r="AG115" s="4"/>
      <c r="AH115" s="5"/>
      <c r="AI115" s="6"/>
      <c r="AJ115" s="6"/>
      <c r="AK115" s="6"/>
      <c r="AL115" s="7"/>
      <c r="AM115" s="5"/>
      <c r="AN115" s="6"/>
      <c r="AO115" s="6"/>
      <c r="AP115" s="6"/>
      <c r="AQ115" s="7"/>
      <c r="AR115" s="5"/>
      <c r="AS115" s="6"/>
      <c r="AT115" s="6"/>
      <c r="AU115" s="6"/>
      <c r="AV115" s="7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  <c r="IQ115" s="26"/>
      <c r="IR115" s="26"/>
      <c r="IS115" s="26"/>
      <c r="IT115" s="26"/>
      <c r="IU115" s="26"/>
      <c r="IV115" s="26"/>
      <c r="IW115" s="26"/>
      <c r="IX115" s="26"/>
    </row>
    <row r="116" spans="1:258" ht="16.5" customHeight="1" x14ac:dyDescent="0.3">
      <c r="A116" s="194">
        <v>99</v>
      </c>
      <c r="B116" s="69" t="s">
        <v>87</v>
      </c>
      <c r="C116" s="72" t="s">
        <v>135</v>
      </c>
      <c r="D116" s="47">
        <v>3118820365.3499999</v>
      </c>
      <c r="E116" s="47"/>
      <c r="F116" s="47">
        <v>391438895.47000003</v>
      </c>
      <c r="G116" s="47">
        <v>967294201.95000005</v>
      </c>
      <c r="H116" s="209"/>
      <c r="I116" s="210"/>
      <c r="J116" s="210">
        <v>4477553462.7700005</v>
      </c>
      <c r="K116" s="210">
        <v>88972854.989999995</v>
      </c>
      <c r="L116" s="47">
        <v>7308298.8700000001</v>
      </c>
      <c r="M116" s="191">
        <v>111133622.78</v>
      </c>
      <c r="N116" s="31">
        <v>5039105264.5100002</v>
      </c>
      <c r="O116" s="31">
        <v>21381315.850000001</v>
      </c>
      <c r="P116" s="94">
        <v>4918741217.1400003</v>
      </c>
      <c r="Q116" s="34">
        <f t="shared" si="95"/>
        <v>3.5505909213005035E-3</v>
      </c>
      <c r="R116" s="94">
        <v>5017723948.6599998</v>
      </c>
      <c r="S116" s="34">
        <f t="shared" si="96"/>
        <v>0.16840498840308971</v>
      </c>
      <c r="T116" s="35">
        <f t="shared" si="103"/>
        <v>2.0123589989870003E-2</v>
      </c>
      <c r="U116" s="70">
        <f t="shared" si="104"/>
        <v>1.4564967991018529E-3</v>
      </c>
      <c r="V116" s="36">
        <f>M116/R116</f>
        <v>2.2148213795156788E-2</v>
      </c>
      <c r="W116" s="37">
        <f t="shared" si="105"/>
        <v>182.84331563455021</v>
      </c>
      <c r="X116" s="37">
        <f t="shared" si="106"/>
        <v>4.0496528456893524</v>
      </c>
      <c r="Y116" s="31">
        <v>180.45670000000001</v>
      </c>
      <c r="Z116" s="31">
        <v>184.3776</v>
      </c>
      <c r="AA116" s="38">
        <v>25</v>
      </c>
      <c r="AB116" s="38">
        <v>27442753</v>
      </c>
      <c r="AC116" s="38">
        <v>0</v>
      </c>
      <c r="AD116" s="38">
        <v>0</v>
      </c>
      <c r="AE116" s="128">
        <f t="shared" si="101"/>
        <v>27442753</v>
      </c>
      <c r="AF116" s="13"/>
      <c r="AG116" s="4"/>
      <c r="AH116" s="5"/>
      <c r="AI116" s="6"/>
      <c r="AJ116" s="6"/>
      <c r="AK116" s="6"/>
      <c r="AL116" s="7"/>
      <c r="AM116" s="5"/>
      <c r="AN116" s="6"/>
      <c r="AO116" s="6"/>
      <c r="AP116" s="6"/>
      <c r="AQ116" s="7"/>
      <c r="AR116" s="5"/>
      <c r="AS116" s="6"/>
      <c r="AT116" s="6"/>
      <c r="AU116" s="6"/>
      <c r="AV116" s="7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  <c r="IQ116" s="26"/>
      <c r="IR116" s="26"/>
      <c r="IS116" s="26"/>
      <c r="IT116" s="26"/>
      <c r="IU116" s="26"/>
      <c r="IV116" s="26"/>
      <c r="IW116" s="26"/>
      <c r="IX116" s="26"/>
    </row>
    <row r="117" spans="1:258" s="217" customFormat="1" ht="16.5" customHeight="1" x14ac:dyDescent="0.3">
      <c r="A117" s="194">
        <v>100</v>
      </c>
      <c r="B117" s="69" t="s">
        <v>82</v>
      </c>
      <c r="C117" s="69" t="s">
        <v>174</v>
      </c>
      <c r="D117" s="31">
        <v>1072413472.7</v>
      </c>
      <c r="E117" s="31"/>
      <c r="F117" s="31">
        <v>509649272.82999998</v>
      </c>
      <c r="G117" s="31">
        <v>534347025.89999998</v>
      </c>
      <c r="H117" s="40"/>
      <c r="I117" s="39"/>
      <c r="J117" s="39">
        <v>2116409771.4300001</v>
      </c>
      <c r="K117" s="39">
        <v>37760191.170000002</v>
      </c>
      <c r="L117" s="31">
        <v>5243983.82</v>
      </c>
      <c r="M117" s="172">
        <v>32905889.960000001</v>
      </c>
      <c r="N117" s="31">
        <v>2210881557.1100001</v>
      </c>
      <c r="O117" s="31">
        <v>30906098.059999999</v>
      </c>
      <c r="P117" s="94">
        <v>2218649089.4299998</v>
      </c>
      <c r="Q117" s="34">
        <f t="shared" si="95"/>
        <v>1.6015307508009465E-3</v>
      </c>
      <c r="R117" s="94">
        <v>2204449432.75</v>
      </c>
      <c r="S117" s="34">
        <f t="shared" si="96"/>
        <v>7.3985792155146834E-2</v>
      </c>
      <c r="T117" s="35">
        <f t="shared" si="103"/>
        <v>-6.4001363476762826E-3</v>
      </c>
      <c r="U117" s="70">
        <f t="shared" si="104"/>
        <v>2.3788179225586732E-3</v>
      </c>
      <c r="V117" s="36">
        <f>M117/R117</f>
        <v>1.4927033240653953E-2</v>
      </c>
      <c r="W117" s="37">
        <f t="shared" si="105"/>
        <v>4039.8046950149633</v>
      </c>
      <c r="X117" s="37">
        <f t="shared" si="106"/>
        <v>60.302298968238262</v>
      </c>
      <c r="Y117" s="31">
        <v>4005.03</v>
      </c>
      <c r="Z117" s="31">
        <v>4068.62</v>
      </c>
      <c r="AA117" s="38">
        <v>810</v>
      </c>
      <c r="AB117" s="38">
        <v>547860.9</v>
      </c>
      <c r="AC117" s="38">
        <v>63.08</v>
      </c>
      <c r="AD117" s="38">
        <v>2241.8000000000002</v>
      </c>
      <c r="AE117" s="128">
        <f t="shared" si="101"/>
        <v>545682.17999999993</v>
      </c>
      <c r="AF117" s="212"/>
      <c r="AG117" s="213"/>
      <c r="AH117" s="214"/>
      <c r="AI117" s="215"/>
      <c r="AJ117" s="215"/>
      <c r="AK117" s="215"/>
      <c r="AL117" s="216"/>
      <c r="AM117" s="214"/>
      <c r="AN117" s="215"/>
      <c r="AO117" s="215"/>
      <c r="AP117" s="215"/>
      <c r="AQ117" s="216"/>
      <c r="AR117" s="214"/>
      <c r="AS117" s="215"/>
      <c r="AT117" s="215"/>
      <c r="AU117" s="215"/>
      <c r="AV117" s="216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  <c r="GT117" s="88"/>
      <c r="GU117" s="88"/>
      <c r="GV117" s="88"/>
      <c r="GW117" s="88"/>
      <c r="GX117" s="88"/>
      <c r="GY117" s="88"/>
      <c r="GZ117" s="88"/>
      <c r="HA117" s="88"/>
      <c r="HB117" s="88"/>
      <c r="HC117" s="88"/>
      <c r="HD117" s="88"/>
      <c r="HE117" s="88"/>
      <c r="HF117" s="88"/>
      <c r="HG117" s="88"/>
      <c r="HH117" s="88"/>
      <c r="HI117" s="88"/>
      <c r="HJ117" s="88"/>
      <c r="HK117" s="88"/>
      <c r="HL117" s="88"/>
      <c r="HM117" s="88"/>
      <c r="HN117" s="88"/>
      <c r="HO117" s="88"/>
      <c r="HP117" s="88"/>
      <c r="HQ117" s="88"/>
      <c r="HR117" s="88"/>
      <c r="HS117" s="88"/>
      <c r="HT117" s="88"/>
      <c r="HU117" s="88"/>
      <c r="HV117" s="88"/>
      <c r="HW117" s="88"/>
      <c r="HX117" s="88"/>
      <c r="HY117" s="88"/>
      <c r="HZ117" s="88"/>
      <c r="IA117" s="88"/>
      <c r="IB117" s="88"/>
      <c r="IC117" s="88"/>
      <c r="ID117" s="88"/>
      <c r="IE117" s="88"/>
      <c r="IF117" s="88"/>
      <c r="IG117" s="88"/>
      <c r="IH117" s="88"/>
      <c r="II117" s="88"/>
      <c r="IJ117" s="88"/>
      <c r="IK117" s="88"/>
      <c r="IL117" s="88"/>
      <c r="IM117" s="88"/>
      <c r="IN117" s="88"/>
      <c r="IO117" s="88"/>
      <c r="IP117" s="88"/>
      <c r="IQ117" s="88"/>
      <c r="IR117" s="88"/>
      <c r="IS117" s="88"/>
      <c r="IT117" s="88"/>
      <c r="IU117" s="88"/>
      <c r="IV117" s="88"/>
      <c r="IW117" s="88"/>
      <c r="IX117" s="88"/>
    </row>
    <row r="118" spans="1:258" s="217" customFormat="1" ht="16.5" customHeight="1" x14ac:dyDescent="0.3">
      <c r="A118" s="194">
        <v>101</v>
      </c>
      <c r="B118" s="69" t="s">
        <v>78</v>
      </c>
      <c r="C118" s="218" t="s">
        <v>176</v>
      </c>
      <c r="D118" s="31">
        <v>848517544.29999995</v>
      </c>
      <c r="E118" s="31"/>
      <c r="F118" s="31"/>
      <c r="G118" s="31">
        <v>613416540.34000003</v>
      </c>
      <c r="H118" s="40"/>
      <c r="I118" s="39"/>
      <c r="J118" s="39">
        <v>2003006167.4400001</v>
      </c>
      <c r="K118" s="39">
        <v>11712722.08</v>
      </c>
      <c r="L118" s="31">
        <v>7443228.1699999999</v>
      </c>
      <c r="M118" s="172">
        <v>60315035.310000002</v>
      </c>
      <c r="N118" s="31">
        <v>2009220992.6099999</v>
      </c>
      <c r="O118" s="31">
        <v>115298031.64</v>
      </c>
      <c r="P118" s="94">
        <v>1902441803.4000001</v>
      </c>
      <c r="Q118" s="34">
        <f t="shared" si="95"/>
        <v>1.3732766773573359E-3</v>
      </c>
      <c r="R118" s="94">
        <v>1893922960.97</v>
      </c>
      <c r="S118" s="34">
        <f t="shared" si="96"/>
        <v>6.3563894216156269E-2</v>
      </c>
      <c r="T118" s="35">
        <f t="shared" si="103"/>
        <v>-4.477846531113534E-3</v>
      </c>
      <c r="U118" s="70">
        <f t="shared" si="104"/>
        <v>3.9300585733370291E-3</v>
      </c>
      <c r="V118" s="36">
        <f>M118/R118</f>
        <v>3.1846614964269077E-2</v>
      </c>
      <c r="W118" s="37">
        <f t="shared" si="105"/>
        <v>1.2556996327580827</v>
      </c>
      <c r="X118" s="37">
        <f t="shared" si="106"/>
        <v>3.9989782715220745E-2</v>
      </c>
      <c r="Y118" s="31">
        <v>1.2457</v>
      </c>
      <c r="Z118" s="31">
        <v>1.2457</v>
      </c>
      <c r="AA118" s="38">
        <v>10342</v>
      </c>
      <c r="AB118" s="38">
        <v>1502151318.01</v>
      </c>
      <c r="AC118" s="38">
        <v>14480327.43</v>
      </c>
      <c r="AD118" s="38">
        <v>8370504.3499999996</v>
      </c>
      <c r="AE118" s="128">
        <f t="shared" si="101"/>
        <v>1508261141.0900002</v>
      </c>
      <c r="AF118" s="212"/>
      <c r="AG118" s="213"/>
      <c r="AH118" s="214"/>
      <c r="AI118" s="215"/>
      <c r="AJ118" s="215"/>
      <c r="AK118" s="215"/>
      <c r="AL118" s="216"/>
      <c r="AM118" s="214"/>
      <c r="AN118" s="215"/>
      <c r="AO118" s="215"/>
      <c r="AP118" s="215"/>
      <c r="AQ118" s="216"/>
      <c r="AR118" s="214"/>
      <c r="AS118" s="215"/>
      <c r="AT118" s="215"/>
      <c r="AU118" s="215"/>
      <c r="AV118" s="216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  <c r="GT118" s="88"/>
      <c r="GU118" s="88"/>
      <c r="GV118" s="88"/>
      <c r="GW118" s="88"/>
      <c r="GX118" s="88"/>
      <c r="GY118" s="88"/>
      <c r="GZ118" s="88"/>
      <c r="HA118" s="88"/>
      <c r="HB118" s="88"/>
      <c r="HC118" s="88"/>
      <c r="HD118" s="88"/>
      <c r="HE118" s="88"/>
      <c r="HF118" s="88"/>
      <c r="HG118" s="88"/>
      <c r="HH118" s="88"/>
      <c r="HI118" s="88"/>
      <c r="HJ118" s="88"/>
      <c r="HK118" s="88"/>
      <c r="HL118" s="88"/>
      <c r="HM118" s="88"/>
      <c r="HN118" s="88"/>
      <c r="HO118" s="88"/>
      <c r="HP118" s="88"/>
      <c r="HQ118" s="88"/>
      <c r="HR118" s="88"/>
      <c r="HS118" s="88"/>
      <c r="HT118" s="88"/>
      <c r="HU118" s="88"/>
      <c r="HV118" s="88"/>
      <c r="HW118" s="88"/>
      <c r="HX118" s="88"/>
      <c r="HY118" s="88"/>
      <c r="HZ118" s="88"/>
      <c r="IA118" s="88"/>
      <c r="IB118" s="88"/>
      <c r="IC118" s="88"/>
      <c r="ID118" s="88"/>
      <c r="IE118" s="88"/>
      <c r="IF118" s="88"/>
      <c r="IG118" s="88"/>
      <c r="IH118" s="88"/>
      <c r="II118" s="88"/>
      <c r="IJ118" s="88"/>
      <c r="IK118" s="88"/>
      <c r="IL118" s="88"/>
      <c r="IM118" s="88"/>
      <c r="IN118" s="88"/>
      <c r="IO118" s="88"/>
      <c r="IP118" s="88"/>
      <c r="IQ118" s="88"/>
      <c r="IR118" s="88"/>
      <c r="IS118" s="88"/>
      <c r="IT118" s="88"/>
      <c r="IU118" s="88"/>
      <c r="IV118" s="88"/>
      <c r="IW118" s="88"/>
      <c r="IX118" s="88"/>
    </row>
    <row r="119" spans="1:258" s="217" customFormat="1" ht="16.5" customHeight="1" x14ac:dyDescent="0.3">
      <c r="A119" s="194">
        <v>102</v>
      </c>
      <c r="B119" s="68" t="s">
        <v>27</v>
      </c>
      <c r="C119" s="69" t="s">
        <v>137</v>
      </c>
      <c r="D119" s="31">
        <v>171989458.68000001</v>
      </c>
      <c r="E119" s="31"/>
      <c r="F119" s="31">
        <v>1051877765.2</v>
      </c>
      <c r="G119" s="31"/>
      <c r="H119" s="40"/>
      <c r="I119" s="39"/>
      <c r="J119" s="39">
        <f>SUM(D119:F119)</f>
        <v>1223867223.8800001</v>
      </c>
      <c r="K119" s="39">
        <v>36852150.340000004</v>
      </c>
      <c r="L119" s="31">
        <v>2138414.9</v>
      </c>
      <c r="M119" s="172">
        <v>34713735.439999998</v>
      </c>
      <c r="N119" s="31">
        <v>1229634973.21</v>
      </c>
      <c r="O119" s="31">
        <v>23013314.260000002</v>
      </c>
      <c r="P119" s="94">
        <v>1193157158.3199999</v>
      </c>
      <c r="Q119" s="34">
        <f t="shared" si="95"/>
        <v>8.6127990617871123E-4</v>
      </c>
      <c r="R119" s="94">
        <v>1206621658.98</v>
      </c>
      <c r="S119" s="34">
        <f t="shared" si="96"/>
        <v>4.0496669120609813E-2</v>
      </c>
      <c r="T119" s="35">
        <f t="shared" si="103"/>
        <v>1.1284767112287618E-2</v>
      </c>
      <c r="U119" s="70">
        <f t="shared" si="104"/>
        <v>1.7722331470559527E-3</v>
      </c>
      <c r="V119" s="36">
        <f>M119/R119</f>
        <v>2.8769362112515656E-2</v>
      </c>
      <c r="W119" s="37">
        <f t="shared" si="105"/>
        <v>1617.5637227428113</v>
      </c>
      <c r="X119" s="37">
        <f t="shared" si="106"/>
        <v>46.536276479656813</v>
      </c>
      <c r="Y119" s="31">
        <v>0</v>
      </c>
      <c r="Z119" s="31">
        <v>0</v>
      </c>
      <c r="AA119" s="38">
        <v>830</v>
      </c>
      <c r="AB119" s="38">
        <v>745950</v>
      </c>
      <c r="AC119" s="38">
        <v>0</v>
      </c>
      <c r="AD119" s="38">
        <v>0</v>
      </c>
      <c r="AE119" s="128">
        <f t="shared" si="101"/>
        <v>745950</v>
      </c>
      <c r="AF119" s="212"/>
      <c r="AG119" s="213"/>
      <c r="AH119" s="214"/>
      <c r="AI119" s="215"/>
      <c r="AJ119" s="215"/>
      <c r="AK119" s="215"/>
      <c r="AL119" s="216"/>
      <c r="AM119" s="214"/>
      <c r="AN119" s="215"/>
      <c r="AO119" s="215"/>
      <c r="AP119" s="215"/>
      <c r="AQ119" s="216"/>
      <c r="AR119" s="214"/>
      <c r="AS119" s="215"/>
      <c r="AT119" s="215"/>
      <c r="AU119" s="215"/>
      <c r="AV119" s="216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  <c r="GT119" s="88"/>
      <c r="GU119" s="88"/>
      <c r="GV119" s="88"/>
      <c r="GW119" s="88"/>
      <c r="GX119" s="88"/>
      <c r="GY119" s="88"/>
      <c r="GZ119" s="88"/>
      <c r="HA119" s="88"/>
      <c r="HB119" s="88"/>
      <c r="HC119" s="88"/>
      <c r="HD119" s="88"/>
      <c r="HE119" s="88"/>
      <c r="HF119" s="88"/>
      <c r="HG119" s="88"/>
      <c r="HH119" s="88"/>
      <c r="HI119" s="88"/>
      <c r="HJ119" s="88"/>
      <c r="HK119" s="88"/>
      <c r="HL119" s="88"/>
      <c r="HM119" s="88"/>
      <c r="HN119" s="88"/>
      <c r="HO119" s="88"/>
      <c r="HP119" s="88"/>
      <c r="HQ119" s="88"/>
      <c r="HR119" s="88"/>
      <c r="HS119" s="88"/>
      <c r="HT119" s="88"/>
      <c r="HU119" s="88"/>
      <c r="HV119" s="88"/>
      <c r="HW119" s="88"/>
      <c r="HX119" s="88"/>
      <c r="HY119" s="88"/>
      <c r="HZ119" s="88"/>
      <c r="IA119" s="88"/>
      <c r="IB119" s="88"/>
      <c r="IC119" s="88"/>
      <c r="ID119" s="88"/>
      <c r="IE119" s="88"/>
      <c r="IF119" s="88"/>
      <c r="IG119" s="88"/>
      <c r="IH119" s="88"/>
      <c r="II119" s="88"/>
      <c r="IJ119" s="88"/>
      <c r="IK119" s="88"/>
      <c r="IL119" s="88"/>
      <c r="IM119" s="88"/>
      <c r="IN119" s="88"/>
      <c r="IO119" s="88"/>
      <c r="IP119" s="88"/>
      <c r="IQ119" s="88"/>
      <c r="IR119" s="88"/>
      <c r="IS119" s="88"/>
      <c r="IT119" s="88"/>
      <c r="IU119" s="88"/>
      <c r="IV119" s="88"/>
      <c r="IW119" s="88"/>
      <c r="IX119" s="88"/>
    </row>
    <row r="120" spans="1:258" s="217" customFormat="1" ht="16.5" customHeight="1" x14ac:dyDescent="0.3">
      <c r="A120" s="194">
        <v>103</v>
      </c>
      <c r="B120" s="68" t="s">
        <v>44</v>
      </c>
      <c r="C120" s="69" t="s">
        <v>140</v>
      </c>
      <c r="D120" s="31">
        <v>1094835107.4000001</v>
      </c>
      <c r="E120" s="31"/>
      <c r="F120" s="31">
        <v>460735398.75</v>
      </c>
      <c r="G120" s="31">
        <v>514915997</v>
      </c>
      <c r="H120" s="40"/>
      <c r="I120" s="39"/>
      <c r="J120" s="39">
        <v>2070486503.1500001</v>
      </c>
      <c r="K120" s="39">
        <v>7924332.6600000001</v>
      </c>
      <c r="L120" s="31">
        <v>4697501.7300000004</v>
      </c>
      <c r="M120" s="172">
        <v>-18783905.670000002</v>
      </c>
      <c r="N120" s="31">
        <v>2086300045.45</v>
      </c>
      <c r="O120" s="31">
        <v>74783588.359999999</v>
      </c>
      <c r="P120" s="94">
        <v>2098442844.8</v>
      </c>
      <c r="Q120" s="34">
        <f t="shared" si="95"/>
        <v>1.5147599324095147E-3</v>
      </c>
      <c r="R120" s="94">
        <v>2011516457.0899999</v>
      </c>
      <c r="S120" s="34">
        <f t="shared" si="96"/>
        <v>6.7510570349197802E-2</v>
      </c>
      <c r="T120" s="35">
        <f t="shared" si="103"/>
        <v>-4.1424234129324063E-2</v>
      </c>
      <c r="U120" s="70">
        <f t="shared" si="104"/>
        <v>2.3353036528449456E-3</v>
      </c>
      <c r="V120" s="36">
        <f ca="1">V120/R120</f>
        <v>0</v>
      </c>
      <c r="W120" s="37">
        <f t="shared" si="105"/>
        <v>2.8799867269746691</v>
      </c>
      <c r="X120" s="37">
        <f t="shared" si="106"/>
        <v>-2.6893838635854518E-2</v>
      </c>
      <c r="Y120" s="31">
        <v>2.98</v>
      </c>
      <c r="Z120" s="31">
        <v>3.05</v>
      </c>
      <c r="AA120" s="38">
        <v>2027</v>
      </c>
      <c r="AB120" s="38">
        <v>705353711.27999997</v>
      </c>
      <c r="AC120" s="38">
        <v>44132.800000000003</v>
      </c>
      <c r="AD120" s="38">
        <v>6951410.8899999997</v>
      </c>
      <c r="AE120" s="128">
        <f t="shared" si="101"/>
        <v>698446433.18999994</v>
      </c>
      <c r="AF120" s="212"/>
      <c r="AG120" s="213"/>
      <c r="AH120" s="214"/>
      <c r="AI120" s="215"/>
      <c r="AJ120" s="215"/>
      <c r="AK120" s="215"/>
      <c r="AL120" s="216"/>
      <c r="AM120" s="214"/>
      <c r="AN120" s="215"/>
      <c r="AO120" s="215"/>
      <c r="AP120" s="215"/>
      <c r="AQ120" s="216"/>
      <c r="AR120" s="214"/>
      <c r="AS120" s="215"/>
      <c r="AT120" s="215"/>
      <c r="AU120" s="215"/>
      <c r="AV120" s="216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  <c r="GT120" s="88"/>
      <c r="GU120" s="88"/>
      <c r="GV120" s="88"/>
      <c r="GW120" s="88"/>
      <c r="GX120" s="88"/>
      <c r="GY120" s="88"/>
      <c r="GZ120" s="88"/>
      <c r="HA120" s="88"/>
      <c r="HB120" s="88"/>
      <c r="HC120" s="88"/>
      <c r="HD120" s="88"/>
      <c r="HE120" s="88"/>
      <c r="HF120" s="88"/>
      <c r="HG120" s="88"/>
      <c r="HH120" s="88"/>
      <c r="HI120" s="88"/>
      <c r="HJ120" s="88"/>
      <c r="HK120" s="88"/>
      <c r="HL120" s="88"/>
      <c r="HM120" s="88"/>
      <c r="HN120" s="88"/>
      <c r="HO120" s="88"/>
      <c r="HP120" s="88"/>
      <c r="HQ120" s="88"/>
      <c r="HR120" s="88"/>
      <c r="HS120" s="88"/>
      <c r="HT120" s="88"/>
      <c r="HU120" s="88"/>
      <c r="HV120" s="88"/>
      <c r="HW120" s="88"/>
      <c r="HX120" s="88"/>
      <c r="HY120" s="88"/>
      <c r="HZ120" s="88"/>
      <c r="IA120" s="88"/>
      <c r="IB120" s="88"/>
      <c r="IC120" s="88"/>
      <c r="ID120" s="88"/>
      <c r="IE120" s="88"/>
      <c r="IF120" s="88"/>
      <c r="IG120" s="88"/>
      <c r="IH120" s="88"/>
      <c r="II120" s="88"/>
      <c r="IJ120" s="88"/>
      <c r="IK120" s="88"/>
      <c r="IL120" s="88"/>
      <c r="IM120" s="88"/>
      <c r="IN120" s="88"/>
      <c r="IO120" s="88"/>
      <c r="IP120" s="88"/>
      <c r="IQ120" s="88"/>
      <c r="IR120" s="88"/>
      <c r="IS120" s="88"/>
      <c r="IT120" s="88"/>
      <c r="IU120" s="88"/>
      <c r="IV120" s="88"/>
      <c r="IW120" s="88"/>
      <c r="IX120" s="88"/>
    </row>
    <row r="121" spans="1:258" s="217" customFormat="1" ht="16.5" customHeight="1" x14ac:dyDescent="0.3">
      <c r="A121" s="194">
        <v>104</v>
      </c>
      <c r="B121" s="68" t="s">
        <v>46</v>
      </c>
      <c r="C121" s="68" t="s">
        <v>141</v>
      </c>
      <c r="D121" s="31">
        <v>71771161.680000007</v>
      </c>
      <c r="E121" s="31"/>
      <c r="F121" s="31">
        <v>29221178.07</v>
      </c>
      <c r="G121" s="31">
        <v>48442812</v>
      </c>
      <c r="H121" s="90" t="s">
        <v>217</v>
      </c>
      <c r="I121" s="39"/>
      <c r="J121" s="39">
        <v>150275151.80000001</v>
      </c>
      <c r="K121" s="39">
        <v>2679360.23</v>
      </c>
      <c r="L121" s="31">
        <v>322911.15000000002</v>
      </c>
      <c r="M121" s="172">
        <v>2356449.08</v>
      </c>
      <c r="N121" s="31">
        <v>154976885.06</v>
      </c>
      <c r="O121" s="31">
        <v>2549439.81</v>
      </c>
      <c r="P121" s="94">
        <v>166124922.61000001</v>
      </c>
      <c r="Q121" s="34">
        <f t="shared" si="95"/>
        <v>1.1991719344075961E-4</v>
      </c>
      <c r="R121" s="94">
        <v>152427445.25999999</v>
      </c>
      <c r="S121" s="34">
        <f t="shared" si="96"/>
        <v>5.1157740868104208E-3</v>
      </c>
      <c r="T121" s="35">
        <f t="shared" si="103"/>
        <v>-8.2452874227406825E-2</v>
      </c>
      <c r="U121" s="70">
        <f t="shared" si="104"/>
        <v>2.1184580601557742E-3</v>
      </c>
      <c r="V121" s="36">
        <f>M120/R121</f>
        <v>-0.12323178176974454</v>
      </c>
      <c r="W121" s="37">
        <f t="shared" si="105"/>
        <v>1.5455893821066502</v>
      </c>
      <c r="X121" s="37">
        <f>M120/AE121</f>
        <v>-0.19046573344140103</v>
      </c>
      <c r="Y121" s="31">
        <v>1.5578000000000001</v>
      </c>
      <c r="Z121" s="31">
        <v>1.5837000000000001</v>
      </c>
      <c r="AA121" s="38">
        <v>100</v>
      </c>
      <c r="AB121" s="38">
        <v>101792097</v>
      </c>
      <c r="AC121" s="38">
        <v>69753</v>
      </c>
      <c r="AD121" s="38">
        <v>3240931</v>
      </c>
      <c r="AE121" s="128">
        <f t="shared" si="101"/>
        <v>98620919</v>
      </c>
      <c r="AF121" s="212"/>
      <c r="AG121" s="213"/>
      <c r="AH121" s="214"/>
      <c r="AI121" s="215"/>
      <c r="AJ121" s="215"/>
      <c r="AK121" s="215"/>
      <c r="AL121" s="216"/>
      <c r="AM121" s="214"/>
      <c r="AN121" s="215"/>
      <c r="AO121" s="215"/>
      <c r="AP121" s="215"/>
      <c r="AQ121" s="216"/>
      <c r="AR121" s="214"/>
      <c r="AS121" s="215"/>
      <c r="AT121" s="215"/>
      <c r="AU121" s="215"/>
      <c r="AV121" s="216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  <c r="GT121" s="88"/>
      <c r="GU121" s="88"/>
      <c r="GV121" s="88"/>
      <c r="GW121" s="88"/>
      <c r="GX121" s="88"/>
      <c r="GY121" s="88"/>
      <c r="GZ121" s="88"/>
      <c r="HA121" s="88"/>
      <c r="HB121" s="88"/>
      <c r="HC121" s="88"/>
      <c r="HD121" s="88"/>
      <c r="HE121" s="88"/>
      <c r="HF121" s="88"/>
      <c r="HG121" s="88"/>
      <c r="HH121" s="88"/>
      <c r="HI121" s="88"/>
      <c r="HJ121" s="88"/>
      <c r="HK121" s="88"/>
      <c r="HL121" s="88"/>
      <c r="HM121" s="88"/>
      <c r="HN121" s="88"/>
      <c r="HO121" s="88"/>
      <c r="HP121" s="88"/>
      <c r="HQ121" s="88"/>
      <c r="HR121" s="88"/>
      <c r="HS121" s="88"/>
      <c r="HT121" s="88"/>
      <c r="HU121" s="88"/>
      <c r="HV121" s="88"/>
      <c r="HW121" s="88"/>
      <c r="HX121" s="88"/>
      <c r="HY121" s="88"/>
      <c r="HZ121" s="88"/>
      <c r="IA121" s="88"/>
      <c r="IB121" s="88"/>
      <c r="IC121" s="88"/>
      <c r="ID121" s="88"/>
      <c r="IE121" s="88"/>
      <c r="IF121" s="88"/>
      <c r="IG121" s="88"/>
      <c r="IH121" s="88"/>
      <c r="II121" s="88"/>
      <c r="IJ121" s="88"/>
      <c r="IK121" s="88"/>
      <c r="IL121" s="88"/>
      <c r="IM121" s="88"/>
      <c r="IN121" s="88"/>
      <c r="IO121" s="88"/>
      <c r="IP121" s="88"/>
      <c r="IQ121" s="88"/>
      <c r="IR121" s="88"/>
      <c r="IS121" s="88"/>
      <c r="IT121" s="88"/>
      <c r="IU121" s="88"/>
      <c r="IV121" s="88"/>
      <c r="IW121" s="88"/>
      <c r="IX121" s="88"/>
    </row>
    <row r="122" spans="1:258" s="217" customFormat="1" ht="16.5" customHeight="1" x14ac:dyDescent="0.3">
      <c r="A122" s="194">
        <v>105</v>
      </c>
      <c r="B122" s="69" t="s">
        <v>33</v>
      </c>
      <c r="C122" s="69" t="s">
        <v>136</v>
      </c>
      <c r="D122" s="31">
        <v>281841536</v>
      </c>
      <c r="E122" s="31"/>
      <c r="F122" s="31"/>
      <c r="G122" s="31"/>
      <c r="H122" s="40"/>
      <c r="I122" s="39"/>
      <c r="J122" s="39">
        <v>281841536.35000002</v>
      </c>
      <c r="K122" s="39">
        <v>-959886.88</v>
      </c>
      <c r="L122" s="31">
        <v>-1159217</v>
      </c>
      <c r="M122" s="172">
        <v>1337216</v>
      </c>
      <c r="N122" s="31">
        <v>612385025</v>
      </c>
      <c r="O122" s="31">
        <v>8179929</v>
      </c>
      <c r="P122" s="94">
        <v>603430248</v>
      </c>
      <c r="Q122" s="34">
        <f t="shared" si="95"/>
        <v>4.3558582686175278E-4</v>
      </c>
      <c r="R122" s="94">
        <v>604205097</v>
      </c>
      <c r="S122" s="34">
        <f t="shared" si="96"/>
        <v>2.0278347990934351E-2</v>
      </c>
      <c r="T122" s="35">
        <f t="shared" si="103"/>
        <v>1.2840738470902772E-3</v>
      </c>
      <c r="U122" s="70">
        <f t="shared" si="104"/>
        <v>-1.9185819612508167E-3</v>
      </c>
      <c r="V122" s="36">
        <f>M122/R122</f>
        <v>2.2131822565541848E-3</v>
      </c>
      <c r="W122" s="37">
        <f t="shared" si="105"/>
        <v>1.1474813617610498</v>
      </c>
      <c r="X122" s="37">
        <f>M122/AE122</f>
        <v>2.5395853895761886E-3</v>
      </c>
      <c r="Y122" s="31">
        <v>1.1499999999999999</v>
      </c>
      <c r="Z122" s="31">
        <v>1.1599999999999999</v>
      </c>
      <c r="AA122" s="38">
        <v>253</v>
      </c>
      <c r="AB122" s="38">
        <v>526038713</v>
      </c>
      <c r="AC122" s="38">
        <v>558989</v>
      </c>
      <c r="AD122" s="38">
        <v>48760</v>
      </c>
      <c r="AE122" s="128">
        <f t="shared" si="101"/>
        <v>526548942</v>
      </c>
      <c r="AF122" s="212"/>
      <c r="AG122" s="213"/>
      <c r="AH122" s="214"/>
      <c r="AI122" s="215"/>
      <c r="AJ122" s="215"/>
      <c r="AK122" s="215"/>
      <c r="AL122" s="216"/>
      <c r="AM122" s="214"/>
      <c r="AN122" s="215"/>
      <c r="AO122" s="215"/>
      <c r="AP122" s="215"/>
      <c r="AQ122" s="216"/>
      <c r="AR122" s="214"/>
      <c r="AS122" s="215"/>
      <c r="AT122" s="215"/>
      <c r="AU122" s="215"/>
      <c r="AV122" s="216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  <c r="GT122" s="88"/>
      <c r="GU122" s="88"/>
      <c r="GV122" s="88"/>
      <c r="GW122" s="88"/>
      <c r="GX122" s="88"/>
      <c r="GY122" s="88"/>
      <c r="GZ122" s="88"/>
      <c r="HA122" s="88"/>
      <c r="HB122" s="88"/>
      <c r="HC122" s="88"/>
      <c r="HD122" s="88"/>
      <c r="HE122" s="88"/>
      <c r="HF122" s="88"/>
      <c r="HG122" s="88"/>
      <c r="HH122" s="88"/>
      <c r="HI122" s="88"/>
      <c r="HJ122" s="88"/>
      <c r="HK122" s="88"/>
      <c r="HL122" s="88"/>
      <c r="HM122" s="88"/>
      <c r="HN122" s="88"/>
      <c r="HO122" s="88"/>
      <c r="HP122" s="88"/>
      <c r="HQ122" s="88"/>
      <c r="HR122" s="88"/>
      <c r="HS122" s="88"/>
      <c r="HT122" s="88"/>
      <c r="HU122" s="88"/>
      <c r="HV122" s="88"/>
      <c r="HW122" s="88"/>
      <c r="HX122" s="88"/>
      <c r="HY122" s="88"/>
      <c r="HZ122" s="88"/>
      <c r="IA122" s="88"/>
      <c r="IB122" s="88"/>
      <c r="IC122" s="88"/>
      <c r="ID122" s="88"/>
      <c r="IE122" s="88"/>
      <c r="IF122" s="88"/>
      <c r="IG122" s="88"/>
      <c r="IH122" s="88"/>
      <c r="II122" s="88"/>
      <c r="IJ122" s="88"/>
      <c r="IK122" s="88"/>
      <c r="IL122" s="88"/>
      <c r="IM122" s="88"/>
      <c r="IN122" s="88"/>
      <c r="IO122" s="88"/>
      <c r="IP122" s="88"/>
      <c r="IQ122" s="88"/>
      <c r="IR122" s="88"/>
      <c r="IS122" s="88"/>
      <c r="IT122" s="88"/>
      <c r="IU122" s="88"/>
      <c r="IV122" s="88"/>
      <c r="IW122" s="88"/>
      <c r="IX122" s="88"/>
    </row>
    <row r="123" spans="1:258" s="217" customFormat="1" ht="16.5" customHeight="1" x14ac:dyDescent="0.3">
      <c r="A123" s="194">
        <v>106</v>
      </c>
      <c r="B123" s="68" t="s">
        <v>72</v>
      </c>
      <c r="C123" s="69" t="s">
        <v>138</v>
      </c>
      <c r="D123" s="31">
        <v>58111244.299999997</v>
      </c>
      <c r="E123" s="31"/>
      <c r="F123" s="31">
        <v>60185320.780000001</v>
      </c>
      <c r="G123" s="31">
        <v>3699742.81</v>
      </c>
      <c r="H123" s="40"/>
      <c r="I123" s="39"/>
      <c r="J123" s="39">
        <v>121996307.89</v>
      </c>
      <c r="K123" s="39">
        <v>8681525.5999999996</v>
      </c>
      <c r="L123" s="31">
        <v>595930.81000000006</v>
      </c>
      <c r="M123" s="172">
        <v>516923.5</v>
      </c>
      <c r="N123" s="31">
        <v>138984356.11000001</v>
      </c>
      <c r="O123" s="31">
        <v>1260644.32</v>
      </c>
      <c r="P123" s="94">
        <v>117036288.3</v>
      </c>
      <c r="Q123" s="34">
        <f t="shared" si="95"/>
        <v>8.4482586978281514E-5</v>
      </c>
      <c r="R123" s="94">
        <v>137723711.78999999</v>
      </c>
      <c r="S123" s="34">
        <f t="shared" si="96"/>
        <v>4.6222869819331699E-3</v>
      </c>
      <c r="T123" s="35">
        <f t="shared" si="103"/>
        <v>0.17676076190122986</v>
      </c>
      <c r="U123" s="70">
        <f t="shared" si="104"/>
        <v>4.3270022442371478E-3</v>
      </c>
      <c r="V123" s="36">
        <f>M123/R123</f>
        <v>3.7533369764837649E-3</v>
      </c>
      <c r="W123" s="37">
        <f t="shared" si="105"/>
        <v>1.1589691346045752</v>
      </c>
      <c r="X123" s="37">
        <f>M123/AE123</f>
        <v>4.3500017075147413E-3</v>
      </c>
      <c r="Y123" s="31">
        <v>1.1528</v>
      </c>
      <c r="Z123" s="31">
        <v>1.1634</v>
      </c>
      <c r="AA123" s="38">
        <v>99</v>
      </c>
      <c r="AB123" s="38">
        <v>101469779.87</v>
      </c>
      <c r="AC123" s="38">
        <v>17363161.989999998</v>
      </c>
      <c r="AD123" s="38">
        <v>0</v>
      </c>
      <c r="AE123" s="128">
        <f t="shared" si="101"/>
        <v>118832941.86</v>
      </c>
      <c r="AF123" s="212"/>
      <c r="AG123" s="213"/>
      <c r="AH123" s="214"/>
      <c r="AI123" s="215"/>
      <c r="AJ123" s="215"/>
      <c r="AK123" s="215"/>
      <c r="AL123" s="216"/>
      <c r="AM123" s="214"/>
      <c r="AN123" s="215"/>
      <c r="AO123" s="215"/>
      <c r="AP123" s="215"/>
      <c r="AQ123" s="216"/>
      <c r="AR123" s="214"/>
      <c r="AS123" s="215"/>
      <c r="AT123" s="215"/>
      <c r="AU123" s="215"/>
      <c r="AV123" s="216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  <c r="GT123" s="88"/>
      <c r="GU123" s="88"/>
      <c r="GV123" s="88"/>
      <c r="GW123" s="88"/>
      <c r="GX123" s="88"/>
      <c r="GY123" s="88"/>
      <c r="GZ123" s="88"/>
      <c r="HA123" s="88"/>
      <c r="HB123" s="88"/>
      <c r="HC123" s="88"/>
      <c r="HD123" s="88"/>
      <c r="HE123" s="88"/>
      <c r="HF123" s="88"/>
      <c r="HG123" s="88"/>
      <c r="HH123" s="88"/>
      <c r="HI123" s="88"/>
      <c r="HJ123" s="88"/>
      <c r="HK123" s="88"/>
      <c r="HL123" s="88"/>
      <c r="HM123" s="88"/>
      <c r="HN123" s="88"/>
      <c r="HO123" s="88"/>
      <c r="HP123" s="88"/>
      <c r="HQ123" s="88"/>
      <c r="HR123" s="88"/>
      <c r="HS123" s="88"/>
      <c r="HT123" s="88"/>
      <c r="HU123" s="88"/>
      <c r="HV123" s="88"/>
      <c r="HW123" s="88"/>
      <c r="HX123" s="88"/>
      <c r="HY123" s="88"/>
      <c r="HZ123" s="88"/>
      <c r="IA123" s="88"/>
      <c r="IB123" s="88"/>
      <c r="IC123" s="88"/>
      <c r="ID123" s="88"/>
      <c r="IE123" s="88"/>
      <c r="IF123" s="88"/>
      <c r="IG123" s="88"/>
      <c r="IH123" s="88"/>
      <c r="II123" s="88"/>
      <c r="IJ123" s="88"/>
      <c r="IK123" s="88"/>
      <c r="IL123" s="88"/>
      <c r="IM123" s="88"/>
      <c r="IN123" s="88"/>
      <c r="IO123" s="88"/>
      <c r="IP123" s="88"/>
      <c r="IQ123" s="88"/>
      <c r="IR123" s="88"/>
      <c r="IS123" s="88"/>
      <c r="IT123" s="88"/>
      <c r="IU123" s="88"/>
      <c r="IV123" s="88"/>
      <c r="IW123" s="88"/>
      <c r="IX123" s="88"/>
    </row>
    <row r="124" spans="1:258" s="217" customFormat="1" ht="16.5" customHeight="1" x14ac:dyDescent="0.3">
      <c r="A124" s="194">
        <v>107</v>
      </c>
      <c r="B124" s="68" t="s">
        <v>63</v>
      </c>
      <c r="C124" s="69" t="s">
        <v>205</v>
      </c>
      <c r="D124" s="31">
        <v>55708021.799999997</v>
      </c>
      <c r="E124" s="31"/>
      <c r="F124" s="31"/>
      <c r="G124" s="31"/>
      <c r="H124" s="40"/>
      <c r="I124" s="39"/>
      <c r="J124" s="39">
        <v>55708021.799999997</v>
      </c>
      <c r="K124" s="39">
        <v>1618245.15</v>
      </c>
      <c r="L124" s="31">
        <v>326929.43</v>
      </c>
      <c r="M124" s="172">
        <v>1291315.72</v>
      </c>
      <c r="N124" s="31">
        <v>226982825.68000001</v>
      </c>
      <c r="O124" s="31">
        <v>948077.06</v>
      </c>
      <c r="P124" s="94">
        <v>225582986.56</v>
      </c>
      <c r="Q124" s="34">
        <f t="shared" si="95"/>
        <v>1.6283696757389142E-4</v>
      </c>
      <c r="R124" s="94">
        <v>224448392.86000001</v>
      </c>
      <c r="S124" s="34">
        <f t="shared" si="96"/>
        <v>7.5329430999835235E-3</v>
      </c>
      <c r="T124" s="35">
        <f t="shared" si="103"/>
        <v>-5.0296066973038837E-3</v>
      </c>
      <c r="U124" s="70">
        <f t="shared" si="104"/>
        <v>1.4565906480066564E-3</v>
      </c>
      <c r="V124" s="36">
        <f>M124/R124</f>
        <v>5.7532856597706178E-3</v>
      </c>
      <c r="W124" s="37">
        <f t="shared" si="105"/>
        <v>147.09786377899707</v>
      </c>
      <c r="X124" s="37">
        <f>M124/AE124</f>
        <v>0.84629603026259559</v>
      </c>
      <c r="Y124" s="31">
        <v>146.62</v>
      </c>
      <c r="Z124" s="31">
        <v>148.27000000000001</v>
      </c>
      <c r="AA124" s="38">
        <v>39</v>
      </c>
      <c r="AB124" s="38">
        <v>1525844</v>
      </c>
      <c r="AC124" s="38">
        <v>0</v>
      </c>
      <c r="AD124" s="38">
        <v>0</v>
      </c>
      <c r="AE124" s="128">
        <f t="shared" si="101"/>
        <v>1525844</v>
      </c>
      <c r="AF124" s="212"/>
      <c r="AG124" s="213"/>
      <c r="AH124" s="214"/>
      <c r="AI124" s="215"/>
      <c r="AJ124" s="215"/>
      <c r="AK124" s="215"/>
      <c r="AL124" s="216"/>
      <c r="AM124" s="214"/>
      <c r="AN124" s="215"/>
      <c r="AO124" s="215"/>
      <c r="AP124" s="215"/>
      <c r="AQ124" s="216"/>
      <c r="AR124" s="214"/>
      <c r="AS124" s="215"/>
      <c r="AT124" s="215"/>
      <c r="AU124" s="215"/>
      <c r="AV124" s="216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  <c r="GT124" s="88"/>
      <c r="GU124" s="88"/>
      <c r="GV124" s="88"/>
      <c r="GW124" s="88"/>
      <c r="GX124" s="88"/>
      <c r="GY124" s="88"/>
      <c r="GZ124" s="88"/>
      <c r="HA124" s="88"/>
      <c r="HB124" s="88"/>
      <c r="HC124" s="88"/>
      <c r="HD124" s="88"/>
      <c r="HE124" s="88"/>
      <c r="HF124" s="88"/>
      <c r="HG124" s="88"/>
      <c r="HH124" s="88"/>
      <c r="HI124" s="88"/>
      <c r="HJ124" s="88"/>
      <c r="HK124" s="88"/>
      <c r="HL124" s="88"/>
      <c r="HM124" s="88"/>
      <c r="HN124" s="88"/>
      <c r="HO124" s="88"/>
      <c r="HP124" s="88"/>
      <c r="HQ124" s="88"/>
      <c r="HR124" s="88"/>
      <c r="HS124" s="88"/>
      <c r="HT124" s="88"/>
      <c r="HU124" s="88"/>
      <c r="HV124" s="88"/>
      <c r="HW124" s="88"/>
      <c r="HX124" s="88"/>
      <c r="HY124" s="88"/>
      <c r="HZ124" s="88"/>
      <c r="IA124" s="88"/>
      <c r="IB124" s="88"/>
      <c r="IC124" s="88"/>
      <c r="ID124" s="88"/>
      <c r="IE124" s="88"/>
      <c r="IF124" s="88"/>
      <c r="IG124" s="88"/>
      <c r="IH124" s="88"/>
      <c r="II124" s="88"/>
      <c r="IJ124" s="88"/>
      <c r="IK124" s="88"/>
      <c r="IL124" s="88"/>
      <c r="IM124" s="88"/>
      <c r="IN124" s="88"/>
      <c r="IO124" s="88"/>
      <c r="IP124" s="88"/>
      <c r="IQ124" s="88"/>
      <c r="IR124" s="88"/>
      <c r="IS124" s="88"/>
      <c r="IT124" s="88"/>
      <c r="IU124" s="88"/>
      <c r="IV124" s="88"/>
      <c r="IW124" s="88"/>
      <c r="IX124" s="88"/>
    </row>
    <row r="125" spans="1:258" s="217" customFormat="1" ht="16.5" customHeight="1" x14ac:dyDescent="0.3">
      <c r="A125" s="194">
        <v>108</v>
      </c>
      <c r="B125" s="69" t="s">
        <v>58</v>
      </c>
      <c r="C125" s="69" t="s">
        <v>133</v>
      </c>
      <c r="D125" s="31">
        <v>73209851.230000004</v>
      </c>
      <c r="E125" s="31"/>
      <c r="F125" s="31">
        <v>56311344.259999998</v>
      </c>
      <c r="G125" s="31">
        <v>33471481.09</v>
      </c>
      <c r="H125" s="40"/>
      <c r="I125" s="39"/>
      <c r="J125" s="39">
        <v>164429132.44</v>
      </c>
      <c r="K125" s="39">
        <v>963988.03</v>
      </c>
      <c r="L125" s="31">
        <v>420641.74</v>
      </c>
      <c r="M125" s="172">
        <v>543346.29</v>
      </c>
      <c r="N125" s="31">
        <v>164429132.44</v>
      </c>
      <c r="O125" s="31">
        <v>11143397.470000001</v>
      </c>
      <c r="P125" s="94">
        <v>156332991.06</v>
      </c>
      <c r="Q125" s="34">
        <f t="shared" si="95"/>
        <v>1.1284889248150701E-4</v>
      </c>
      <c r="R125" s="94">
        <v>153285734.97</v>
      </c>
      <c r="S125" s="34">
        <f t="shared" si="96"/>
        <v>5.1445800295322483E-3</v>
      </c>
      <c r="T125" s="35">
        <f t="shared" ref="T125:T126" si="107">((R125-P125)/P125)</f>
        <v>-1.9492085895231662E-2</v>
      </c>
      <c r="U125" s="70">
        <f t="shared" ref="U125:U126" si="108">(L125/R125)</f>
        <v>2.7441675514184344E-3</v>
      </c>
      <c r="V125" s="36">
        <f t="shared" ref="V125:V126" si="109">M125/R125</f>
        <v>3.544663109756038E-3</v>
      </c>
      <c r="W125" s="37">
        <f t="shared" ref="W125:W126" si="110">R125/AE125</f>
        <v>3.4924753713821572</v>
      </c>
      <c r="X125" s="37">
        <f t="shared" ref="X125:X126" si="111">M125/AE125</f>
        <v>1.2379648610669852E-2</v>
      </c>
      <c r="Y125" s="31">
        <v>3.4575</v>
      </c>
      <c r="Z125" s="31">
        <v>3.5150000000000001</v>
      </c>
      <c r="AA125" s="38">
        <v>11817</v>
      </c>
      <c r="AB125" s="38">
        <v>43870626.32</v>
      </c>
      <c r="AC125" s="38">
        <v>19657.41</v>
      </c>
      <c r="AD125" s="38">
        <v>0</v>
      </c>
      <c r="AE125" s="128">
        <f t="shared" si="101"/>
        <v>43890283.729999997</v>
      </c>
      <c r="AF125" s="212"/>
      <c r="AG125" s="213"/>
      <c r="AH125" s="214"/>
      <c r="AI125" s="215"/>
      <c r="AJ125" s="215"/>
      <c r="AK125" s="215"/>
      <c r="AL125" s="216"/>
      <c r="AM125" s="214"/>
      <c r="AN125" s="215"/>
      <c r="AO125" s="215"/>
      <c r="AP125" s="215"/>
      <c r="AQ125" s="216"/>
      <c r="AR125" s="214"/>
      <c r="AS125" s="215"/>
      <c r="AT125" s="215"/>
      <c r="AU125" s="215"/>
      <c r="AV125" s="216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  <c r="GT125" s="88"/>
      <c r="GU125" s="88"/>
      <c r="GV125" s="88"/>
      <c r="GW125" s="88"/>
      <c r="GX125" s="88"/>
      <c r="GY125" s="88"/>
      <c r="GZ125" s="88"/>
      <c r="HA125" s="88"/>
      <c r="HB125" s="88"/>
      <c r="HC125" s="88"/>
      <c r="HD125" s="88"/>
      <c r="HE125" s="88"/>
      <c r="HF125" s="88"/>
      <c r="HG125" s="88"/>
      <c r="HH125" s="88"/>
      <c r="HI125" s="88"/>
      <c r="HJ125" s="88"/>
      <c r="HK125" s="88"/>
      <c r="HL125" s="88"/>
      <c r="HM125" s="88"/>
      <c r="HN125" s="88"/>
      <c r="HO125" s="88"/>
      <c r="HP125" s="88"/>
      <c r="HQ125" s="88"/>
      <c r="HR125" s="88"/>
      <c r="HS125" s="88"/>
      <c r="HT125" s="88"/>
      <c r="HU125" s="88"/>
      <c r="HV125" s="88"/>
      <c r="HW125" s="88"/>
      <c r="HX125" s="88"/>
      <c r="HY125" s="88"/>
      <c r="HZ125" s="88"/>
      <c r="IA125" s="88"/>
      <c r="IB125" s="88"/>
      <c r="IC125" s="88"/>
      <c r="ID125" s="88"/>
      <c r="IE125" s="88"/>
      <c r="IF125" s="88"/>
      <c r="IG125" s="88"/>
      <c r="IH125" s="88"/>
      <c r="II125" s="88"/>
      <c r="IJ125" s="88"/>
      <c r="IK125" s="88"/>
      <c r="IL125" s="88"/>
      <c r="IM125" s="88"/>
      <c r="IN125" s="88"/>
      <c r="IO125" s="88"/>
      <c r="IP125" s="88"/>
      <c r="IQ125" s="88"/>
      <c r="IR125" s="88"/>
      <c r="IS125" s="88"/>
      <c r="IT125" s="88"/>
      <c r="IU125" s="88"/>
      <c r="IV125" s="88"/>
      <c r="IW125" s="88"/>
      <c r="IX125" s="88"/>
    </row>
    <row r="126" spans="1:258" ht="16.5" customHeight="1" x14ac:dyDescent="0.3">
      <c r="A126" s="194">
        <v>109</v>
      </c>
      <c r="B126" s="68" t="s">
        <v>65</v>
      </c>
      <c r="C126" s="69" t="s">
        <v>139</v>
      </c>
      <c r="D126" s="31">
        <v>144580109.84</v>
      </c>
      <c r="E126" s="31"/>
      <c r="F126" s="31"/>
      <c r="G126" s="31">
        <v>131963938.63</v>
      </c>
      <c r="H126" s="40"/>
      <c r="I126" s="39"/>
      <c r="J126" s="39">
        <v>276544048.47000003</v>
      </c>
      <c r="K126" s="39">
        <v>1764106.69</v>
      </c>
      <c r="L126" s="31">
        <v>327224.15999999997</v>
      </c>
      <c r="M126" s="172">
        <v>8298350.9199999999</v>
      </c>
      <c r="N126" s="31">
        <v>364952166.50999999</v>
      </c>
      <c r="O126" s="31">
        <v>7587813.7000000002</v>
      </c>
      <c r="P126" s="94">
        <v>354574037.00999999</v>
      </c>
      <c r="Q126" s="34">
        <f t="shared" si="95"/>
        <v>2.5594909371316532E-4</v>
      </c>
      <c r="R126" s="94">
        <v>357364352.81</v>
      </c>
      <c r="S126" s="34">
        <f t="shared" si="96"/>
        <v>1.1993872183167329E-2</v>
      </c>
      <c r="T126" s="35">
        <f t="shared" si="107"/>
        <v>7.8694870711058778E-3</v>
      </c>
      <c r="U126" s="70">
        <f t="shared" si="108"/>
        <v>9.1565976692133957E-4</v>
      </c>
      <c r="V126" s="36">
        <f t="shared" si="109"/>
        <v>2.3220981205173494E-2</v>
      </c>
      <c r="W126" s="37">
        <f t="shared" si="110"/>
        <v>142.41016497555992</v>
      </c>
      <c r="X126" s="37">
        <f t="shared" si="111"/>
        <v>3.3069037643231334</v>
      </c>
      <c r="Y126" s="31">
        <v>139.19</v>
      </c>
      <c r="Z126" s="31">
        <v>140.08000000000001</v>
      </c>
      <c r="AA126" s="38">
        <f>SUM(582,29,3)</f>
        <v>614</v>
      </c>
      <c r="AB126" s="38">
        <v>2521776</v>
      </c>
      <c r="AC126" s="38">
        <v>5301</v>
      </c>
      <c r="AD126" s="38">
        <v>17675</v>
      </c>
      <c r="AE126" s="128">
        <f t="shared" si="101"/>
        <v>2509402</v>
      </c>
      <c r="AF126" s="13"/>
      <c r="AG126" s="4"/>
      <c r="AH126" s="5"/>
      <c r="AI126" s="6"/>
      <c r="AJ126" s="6"/>
      <c r="AK126" s="6"/>
      <c r="AL126" s="7"/>
      <c r="AM126" s="5"/>
      <c r="AN126" s="6"/>
      <c r="AO126" s="6"/>
      <c r="AP126" s="6"/>
      <c r="AQ126" s="7"/>
      <c r="AR126" s="5"/>
      <c r="AS126" s="6"/>
      <c r="AT126" s="6"/>
      <c r="AU126" s="6"/>
      <c r="AV126" s="7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  <c r="IQ126" s="26"/>
      <c r="IR126" s="26"/>
      <c r="IS126" s="26"/>
      <c r="IT126" s="26"/>
      <c r="IU126" s="26"/>
      <c r="IV126" s="26"/>
      <c r="IW126" s="26"/>
      <c r="IX126" s="26"/>
    </row>
    <row r="127" spans="1:258" ht="16.5" customHeight="1" x14ac:dyDescent="0.3">
      <c r="A127" s="194">
        <v>110</v>
      </c>
      <c r="B127" s="73" t="s">
        <v>114</v>
      </c>
      <c r="C127" s="73" t="s">
        <v>142</v>
      </c>
      <c r="D127" s="31">
        <v>58829946.5</v>
      </c>
      <c r="E127" s="31"/>
      <c r="F127" s="31">
        <v>64969316.350000001</v>
      </c>
      <c r="G127" s="31">
        <v>40030168.509999998</v>
      </c>
      <c r="H127" s="40"/>
      <c r="I127" s="210"/>
      <c r="J127" s="39">
        <v>166073652.21000001</v>
      </c>
      <c r="K127" s="39">
        <v>1031265.68</v>
      </c>
      <c r="L127" s="31">
        <v>1131660.24</v>
      </c>
      <c r="M127" s="172">
        <v>100394.56</v>
      </c>
      <c r="N127" s="31">
        <v>166073652.21000001</v>
      </c>
      <c r="O127" s="31">
        <v>5623565.1799999997</v>
      </c>
      <c r="P127" s="94">
        <v>133464665.16</v>
      </c>
      <c r="Q127" s="34">
        <f t="shared" si="95"/>
        <v>9.6341402710965139E-5</v>
      </c>
      <c r="R127" s="94">
        <v>160450087.03</v>
      </c>
      <c r="S127" s="34">
        <f t="shared" si="96"/>
        <v>5.3850302093198703E-3</v>
      </c>
      <c r="T127" s="35">
        <f>((R127-P127)/P127)</f>
        <v>0.20219150767470451</v>
      </c>
      <c r="U127" s="70">
        <f>(L127/R127)</f>
        <v>7.0530359998396816E-3</v>
      </c>
      <c r="V127" s="36">
        <f>M127/R127</f>
        <v>6.2570586191847198E-4</v>
      </c>
      <c r="W127" s="37">
        <f>R127/AE127</f>
        <v>134.55192199355571</v>
      </c>
      <c r="X127" s="37">
        <f>M127/AE127</f>
        <v>8.4189926323764791E-2</v>
      </c>
      <c r="Y127" s="31">
        <v>134.55189999999999</v>
      </c>
      <c r="Z127" s="31">
        <v>139.26779999999999</v>
      </c>
      <c r="AA127" s="38">
        <v>129</v>
      </c>
      <c r="AB127" s="38">
        <v>962435.79</v>
      </c>
      <c r="AC127" s="38">
        <v>230884.33</v>
      </c>
      <c r="AD127" s="38">
        <v>843.0104</v>
      </c>
      <c r="AE127" s="128">
        <f t="shared" si="101"/>
        <v>1192477.1096000001</v>
      </c>
      <c r="AF127" s="13"/>
      <c r="AG127" s="4"/>
      <c r="AH127" s="5"/>
      <c r="AI127" s="6"/>
      <c r="AJ127" s="6"/>
      <c r="AK127" s="6"/>
      <c r="AL127" s="7"/>
      <c r="AM127" s="5"/>
      <c r="AN127" s="6"/>
      <c r="AO127" s="6"/>
      <c r="AP127" s="6"/>
      <c r="AQ127" s="7"/>
      <c r="AR127" s="5"/>
      <c r="AS127" s="6"/>
      <c r="AT127" s="6"/>
      <c r="AU127" s="6"/>
      <c r="AV127" s="7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  <c r="GN127" s="26"/>
      <c r="GO127" s="26"/>
      <c r="GP127" s="26"/>
      <c r="GQ127" s="26"/>
      <c r="GR127" s="26"/>
      <c r="GS127" s="26"/>
      <c r="GT127" s="26"/>
      <c r="GU127" s="26"/>
      <c r="GV127" s="26"/>
      <c r="GW127" s="26"/>
      <c r="GX127" s="26"/>
      <c r="GY127" s="26"/>
      <c r="GZ127" s="26"/>
      <c r="HA127" s="26"/>
      <c r="HB127" s="26"/>
      <c r="HC127" s="26"/>
      <c r="HD127" s="26"/>
      <c r="HE127" s="26"/>
      <c r="HF127" s="26"/>
      <c r="HG127" s="26"/>
      <c r="HH127" s="26"/>
      <c r="HI127" s="26"/>
      <c r="HJ127" s="26"/>
      <c r="HK127" s="26"/>
      <c r="HL127" s="26"/>
      <c r="HM127" s="26"/>
      <c r="HN127" s="26"/>
      <c r="HO127" s="26"/>
      <c r="HP127" s="26"/>
      <c r="HQ127" s="26"/>
      <c r="HR127" s="26"/>
      <c r="HS127" s="26"/>
      <c r="HT127" s="26"/>
      <c r="HU127" s="26"/>
      <c r="HV127" s="26"/>
      <c r="HW127" s="26"/>
      <c r="HX127" s="26"/>
      <c r="HY127" s="26"/>
      <c r="HZ127" s="26"/>
      <c r="IA127" s="26"/>
      <c r="IB127" s="26"/>
      <c r="IC127" s="26"/>
      <c r="ID127" s="26"/>
      <c r="IE127" s="26"/>
      <c r="IF127" s="26"/>
      <c r="IG127" s="26"/>
      <c r="IH127" s="26"/>
      <c r="II127" s="26"/>
      <c r="IJ127" s="26"/>
      <c r="IK127" s="26"/>
      <c r="IL127" s="26"/>
      <c r="IM127" s="26"/>
      <c r="IN127" s="26"/>
      <c r="IO127" s="26"/>
      <c r="IP127" s="26"/>
      <c r="IQ127" s="26"/>
      <c r="IR127" s="26"/>
      <c r="IS127" s="26"/>
      <c r="IT127" s="26"/>
      <c r="IU127" s="26"/>
      <c r="IV127" s="26"/>
      <c r="IW127" s="26"/>
      <c r="IX127" s="26"/>
    </row>
    <row r="128" spans="1:258" s="217" customFormat="1" ht="17.25" customHeight="1" x14ac:dyDescent="0.3">
      <c r="A128" s="194">
        <v>111</v>
      </c>
      <c r="B128" s="69" t="s">
        <v>101</v>
      </c>
      <c r="C128" s="69" t="s">
        <v>132</v>
      </c>
      <c r="D128" s="31">
        <v>482151164.24000001</v>
      </c>
      <c r="E128" s="31"/>
      <c r="F128" s="31">
        <v>226046449.40000001</v>
      </c>
      <c r="G128" s="31">
        <v>307962224.02999997</v>
      </c>
      <c r="H128" s="32">
        <v>23299660.609999999</v>
      </c>
      <c r="I128" s="39"/>
      <c r="J128" s="39">
        <v>1039459498.28</v>
      </c>
      <c r="K128" s="39">
        <v>-60614.29</v>
      </c>
      <c r="L128" s="31">
        <v>1542280.68</v>
      </c>
      <c r="M128" s="172">
        <v>-31705240.23</v>
      </c>
      <c r="N128" s="31">
        <v>1043423351.64</v>
      </c>
      <c r="O128" s="31">
        <v>63540136.909999996</v>
      </c>
      <c r="P128" s="94">
        <v>1160533710.5599999</v>
      </c>
      <c r="Q128" s="34">
        <f t="shared" si="95"/>
        <v>8.3773068650548599E-4</v>
      </c>
      <c r="R128" s="94">
        <v>979883214.72000003</v>
      </c>
      <c r="S128" s="34">
        <f t="shared" si="96"/>
        <v>3.288686725290503E-2</v>
      </c>
      <c r="T128" s="35">
        <f t="shared" si="97"/>
        <v>-0.15566156691202829</v>
      </c>
      <c r="U128" s="70">
        <f t="shared" si="98"/>
        <v>1.573943360628648E-3</v>
      </c>
      <c r="V128" s="36">
        <f t="shared" si="99"/>
        <v>-3.2356141786814584E-2</v>
      </c>
      <c r="W128" s="37">
        <f t="shared" si="100"/>
        <v>2.2686310108511347</v>
      </c>
      <c r="X128" s="37">
        <f t="shared" si="102"/>
        <v>-7.3404146649063806E-2</v>
      </c>
      <c r="Y128" s="31">
        <v>2.2553999999999998</v>
      </c>
      <c r="Z128" s="31">
        <v>2.3043999999999998</v>
      </c>
      <c r="AA128" s="38">
        <v>2776</v>
      </c>
      <c r="AB128" s="38">
        <v>498253100.54350001</v>
      </c>
      <c r="AC128" s="38">
        <v>0</v>
      </c>
      <c r="AD128" s="38">
        <v>66326000</v>
      </c>
      <c r="AE128" s="128">
        <f t="shared" si="101"/>
        <v>431927100.54350001</v>
      </c>
      <c r="AF128" s="212"/>
      <c r="AG128" s="213"/>
      <c r="AH128" s="214"/>
      <c r="AI128" s="215"/>
      <c r="AJ128" s="215"/>
      <c r="AK128" s="215"/>
      <c r="AL128" s="216"/>
      <c r="AM128" s="214"/>
      <c r="AN128" s="215"/>
      <c r="AO128" s="215"/>
      <c r="AP128" s="215"/>
      <c r="AQ128" s="216"/>
      <c r="AR128" s="214"/>
      <c r="AS128" s="215"/>
      <c r="AT128" s="215"/>
      <c r="AU128" s="215"/>
      <c r="AV128" s="216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  <c r="GT128" s="88"/>
      <c r="GU128" s="88"/>
      <c r="GV128" s="88"/>
      <c r="GW128" s="88"/>
      <c r="GX128" s="88"/>
      <c r="GY128" s="88"/>
      <c r="GZ128" s="88"/>
      <c r="HA128" s="88"/>
      <c r="HB128" s="88"/>
      <c r="HC128" s="88"/>
      <c r="HD128" s="88"/>
      <c r="HE128" s="88"/>
      <c r="HF128" s="88"/>
      <c r="HG128" s="88"/>
      <c r="HH128" s="88"/>
      <c r="HI128" s="88"/>
      <c r="HJ128" s="88"/>
      <c r="HK128" s="88"/>
      <c r="HL128" s="88"/>
      <c r="HM128" s="88"/>
      <c r="HN128" s="88"/>
      <c r="HO128" s="88"/>
      <c r="HP128" s="88"/>
      <c r="HQ128" s="88"/>
      <c r="HR128" s="88"/>
      <c r="HS128" s="88"/>
      <c r="HT128" s="88"/>
      <c r="HU128" s="88"/>
      <c r="HV128" s="88"/>
      <c r="HW128" s="88"/>
      <c r="HX128" s="88"/>
      <c r="HY128" s="88"/>
      <c r="HZ128" s="88"/>
      <c r="IA128" s="88"/>
      <c r="IB128" s="88"/>
      <c r="IC128" s="88"/>
      <c r="ID128" s="88"/>
      <c r="IE128" s="88"/>
      <c r="IF128" s="88"/>
      <c r="IG128" s="88"/>
      <c r="IH128" s="88"/>
      <c r="II128" s="88"/>
      <c r="IJ128" s="88"/>
      <c r="IK128" s="88"/>
      <c r="IL128" s="88"/>
      <c r="IM128" s="88"/>
      <c r="IN128" s="88"/>
      <c r="IO128" s="88"/>
      <c r="IP128" s="88"/>
      <c r="IQ128" s="88"/>
      <c r="IR128" s="88"/>
      <c r="IS128" s="88"/>
      <c r="IT128" s="88"/>
      <c r="IU128" s="88"/>
      <c r="IV128" s="88"/>
      <c r="IW128" s="88"/>
      <c r="IX128" s="88"/>
    </row>
    <row r="129" spans="1:258" ht="15.75" customHeight="1" x14ac:dyDescent="0.3">
      <c r="A129" s="194">
        <v>112</v>
      </c>
      <c r="B129" s="68" t="s">
        <v>89</v>
      </c>
      <c r="C129" s="69" t="s">
        <v>192</v>
      </c>
      <c r="D129" s="31">
        <v>8988195.6300000008</v>
      </c>
      <c r="E129" s="31"/>
      <c r="F129" s="31">
        <v>5232429.57</v>
      </c>
      <c r="G129" s="31">
        <v>3780266.37</v>
      </c>
      <c r="H129" s="40"/>
      <c r="I129" s="210"/>
      <c r="J129" s="39">
        <f>SUM(D129:G129)</f>
        <v>18000891.57</v>
      </c>
      <c r="K129" s="39">
        <v>171865.25</v>
      </c>
      <c r="L129" s="31">
        <v>8213.49</v>
      </c>
      <c r="M129" s="172">
        <v>205924.45</v>
      </c>
      <c r="N129" s="31">
        <v>18421858.91</v>
      </c>
      <c r="O129" s="31">
        <v>327317.39</v>
      </c>
      <c r="P129" s="94">
        <v>18294415.289999999</v>
      </c>
      <c r="Q129" s="34">
        <f t="shared" si="95"/>
        <v>1.320581465290905E-5</v>
      </c>
      <c r="R129" s="94">
        <v>17831901.219999999</v>
      </c>
      <c r="S129" s="34">
        <f t="shared" si="96"/>
        <v>5.9847475646026659E-4</v>
      </c>
      <c r="T129" s="35">
        <f>((R129-P129)/P129)</f>
        <v>-2.5281708251851994E-2</v>
      </c>
      <c r="U129" s="70">
        <f>(L129/R129)</f>
        <v>4.6060652191073546E-4</v>
      </c>
      <c r="V129" s="36">
        <f>M129/R129</f>
        <v>1.1548092795009327E-2</v>
      </c>
      <c r="W129" s="37">
        <f>R129/AE129</f>
        <v>0.99995479486181316</v>
      </c>
      <c r="X129" s="37">
        <f>M129/AE129</f>
        <v>1.1547570761878734E-2</v>
      </c>
      <c r="Y129" s="31">
        <v>1.1534</v>
      </c>
      <c r="Z129" s="31">
        <v>1.1534</v>
      </c>
      <c r="AA129" s="38">
        <v>7</v>
      </c>
      <c r="AB129" s="38">
        <v>15460121.15</v>
      </c>
      <c r="AC129" s="38">
        <v>2372586.2000000002</v>
      </c>
      <c r="AD129" s="38"/>
      <c r="AE129" s="128">
        <f t="shared" si="101"/>
        <v>17832707.350000001</v>
      </c>
      <c r="AF129" s="116"/>
    </row>
    <row r="130" spans="1:258" ht="15.75" customHeight="1" x14ac:dyDescent="0.3">
      <c r="A130" s="194">
        <v>113</v>
      </c>
      <c r="B130" s="68" t="s">
        <v>159</v>
      </c>
      <c r="C130" s="69" t="s">
        <v>193</v>
      </c>
      <c r="D130" s="31">
        <v>92580299.900000006</v>
      </c>
      <c r="E130" s="31"/>
      <c r="F130" s="31"/>
      <c r="G130" s="31">
        <v>73219740.590000004</v>
      </c>
      <c r="H130" s="40"/>
      <c r="I130" s="39"/>
      <c r="J130" s="39">
        <v>165800040.49000001</v>
      </c>
      <c r="K130" s="39">
        <v>825390.37</v>
      </c>
      <c r="L130" s="31">
        <v>391414.77</v>
      </c>
      <c r="M130" s="172">
        <v>433975.6</v>
      </c>
      <c r="N130" s="31">
        <v>205121868.09999999</v>
      </c>
      <c r="O130" s="31">
        <v>199752669.78999999</v>
      </c>
      <c r="P130" s="94">
        <v>205556607.53</v>
      </c>
      <c r="Q130" s="34">
        <f t="shared" si="95"/>
        <v>1.4838093574959777E-4</v>
      </c>
      <c r="R130" s="94">
        <v>201273766.06</v>
      </c>
      <c r="S130" s="34">
        <f t="shared" si="96"/>
        <v>6.7551556414801178E-3</v>
      </c>
      <c r="T130" s="35">
        <f>((R130-P130)/P130)</f>
        <v>-2.08353383598965E-2</v>
      </c>
      <c r="U130" s="70">
        <f>(L130/R130)</f>
        <v>1.9446884592168793E-3</v>
      </c>
      <c r="V130" s="36">
        <f>M130/R130</f>
        <v>2.1561458728338754E-3</v>
      </c>
      <c r="W130" s="37">
        <f>R130/AE130</f>
        <v>1.0159064989102238</v>
      </c>
      <c r="X130" s="37">
        <f>M130/AE130</f>
        <v>2.1904426048103913E-3</v>
      </c>
      <c r="Y130" s="31">
        <v>1.02</v>
      </c>
      <c r="Z130" s="31">
        <v>1.02</v>
      </c>
      <c r="AA130" s="38">
        <v>80</v>
      </c>
      <c r="AB130" s="38">
        <v>196176390.28</v>
      </c>
      <c r="AC130" s="38">
        <v>3500388.61</v>
      </c>
      <c r="AD130" s="38">
        <v>1554445.51</v>
      </c>
      <c r="AE130" s="128">
        <f t="shared" si="101"/>
        <v>198122333.38000003</v>
      </c>
      <c r="AF130" s="116"/>
    </row>
    <row r="131" spans="1:258" ht="15.75" customHeight="1" x14ac:dyDescent="0.3">
      <c r="A131" s="194">
        <v>114</v>
      </c>
      <c r="B131" s="68" t="s">
        <v>155</v>
      </c>
      <c r="C131" s="69" t="s">
        <v>157</v>
      </c>
      <c r="D131" s="31">
        <v>541490.75</v>
      </c>
      <c r="E131" s="31"/>
      <c r="F131" s="31">
        <v>2665602.7400000002</v>
      </c>
      <c r="G131" s="31">
        <v>943753.65</v>
      </c>
      <c r="H131" s="209"/>
      <c r="I131" s="210"/>
      <c r="J131" s="39">
        <v>4150847.14</v>
      </c>
      <c r="K131" s="39">
        <v>9256.24</v>
      </c>
      <c r="L131" s="39">
        <v>8629.6</v>
      </c>
      <c r="M131" s="172">
        <v>626.64</v>
      </c>
      <c r="N131" s="31">
        <v>4464391.6399999997</v>
      </c>
      <c r="O131" s="31">
        <v>206993.29</v>
      </c>
      <c r="P131" s="94">
        <v>4391354.76</v>
      </c>
      <c r="Q131" s="34">
        <f t="shared" si="95"/>
        <v>3.1698972673605415E-6</v>
      </c>
      <c r="R131" s="94">
        <v>4257398.3499999996</v>
      </c>
      <c r="S131" s="34">
        <f t="shared" si="96"/>
        <v>1.4288691986544052E-4</v>
      </c>
      <c r="T131" s="35">
        <f t="shared" si="97"/>
        <v>-3.0504574856985628E-2</v>
      </c>
      <c r="U131" s="70">
        <f>(L131/R131)</f>
        <v>2.0269655997776203E-3</v>
      </c>
      <c r="V131" s="36">
        <f t="shared" si="99"/>
        <v>1.4718848190468247E-4</v>
      </c>
      <c r="W131" s="37">
        <f t="shared" si="100"/>
        <v>104.88269486598344</v>
      </c>
      <c r="X131" s="37">
        <f t="shared" si="102"/>
        <v>1.5437524635396136E-2</v>
      </c>
      <c r="Y131" s="31">
        <v>99.96</v>
      </c>
      <c r="Z131" s="31">
        <v>99.76</v>
      </c>
      <c r="AA131" s="38">
        <v>87</v>
      </c>
      <c r="AB131" s="38">
        <v>41292</v>
      </c>
      <c r="AC131" s="38"/>
      <c r="AD131" s="38">
        <v>700</v>
      </c>
      <c r="AE131" s="128">
        <f t="shared" si="101"/>
        <v>40592</v>
      </c>
      <c r="AF131" s="116"/>
    </row>
    <row r="132" spans="1:258" ht="15.75" customHeight="1" x14ac:dyDescent="0.3">
      <c r="A132" s="135"/>
      <c r="B132" s="67"/>
      <c r="C132" s="92" t="s">
        <v>52</v>
      </c>
      <c r="D132" s="47">
        <f>SUM(D110:D131)</f>
        <v>12995920948.849997</v>
      </c>
      <c r="E132" s="47"/>
      <c r="F132" s="47">
        <f t="shared" ref="F132:J132" si="112">SUM(F110:F131)</f>
        <v>4976883605.4399986</v>
      </c>
      <c r="G132" s="47">
        <f t="shared" si="112"/>
        <v>6644442671.5299997</v>
      </c>
      <c r="H132" s="47">
        <f t="shared" si="112"/>
        <v>85491421.409999996</v>
      </c>
      <c r="I132" s="47"/>
      <c r="J132" s="47">
        <f t="shared" si="112"/>
        <v>27252722712.409996</v>
      </c>
      <c r="K132" s="47">
        <f>SUM(K110:K131)</f>
        <v>337752037.71000004</v>
      </c>
      <c r="L132" s="47">
        <f t="shared" ref="L132" si="113">SUM(L110:L131)</f>
        <v>79092898.390000001</v>
      </c>
      <c r="M132" s="47">
        <f t="shared" ref="M132" si="114">SUM(M110:M131)</f>
        <v>275314895.54000002</v>
      </c>
      <c r="N132" s="47">
        <f t="shared" ref="N132" si="115">SUM(N110:N131)</f>
        <v>30229003396.179996</v>
      </c>
      <c r="O132" s="47">
        <f t="shared" ref="O132:P132" si="116">SUM(O110:O131)</f>
        <v>651955055.01999998</v>
      </c>
      <c r="P132" s="181">
        <f t="shared" si="116"/>
        <v>29840711637.110001</v>
      </c>
      <c r="Q132" s="102">
        <f t="shared" si="95"/>
        <v>2.1540502975571234E-2</v>
      </c>
      <c r="R132" s="181">
        <f t="shared" ref="R132" si="117">SUM(R110:R131)</f>
        <v>29795577887.810005</v>
      </c>
      <c r="S132" s="102">
        <f>(R132/$R$150)</f>
        <v>2.1090740350103328E-2</v>
      </c>
      <c r="T132" s="49">
        <f t="shared" si="97"/>
        <v>-1.5124890401027485E-3</v>
      </c>
      <c r="U132" s="62"/>
      <c r="V132" s="50"/>
      <c r="W132" s="51"/>
      <c r="X132" s="51"/>
      <c r="Y132" s="47"/>
      <c r="Z132" s="47"/>
      <c r="AA132" s="52">
        <f>SUM(AA110:AA131)</f>
        <v>81008</v>
      </c>
      <c r="AB132" s="52"/>
      <c r="AC132" s="52"/>
      <c r="AD132" s="52"/>
      <c r="AE132" s="137"/>
      <c r="AF132" s="116"/>
    </row>
    <row r="133" spans="1:258" ht="15.75" customHeight="1" x14ac:dyDescent="0.3">
      <c r="A133" s="225" t="s">
        <v>143</v>
      </c>
      <c r="B133" s="223"/>
      <c r="C133" s="223"/>
      <c r="D133" s="56"/>
      <c r="E133" s="56"/>
      <c r="F133" s="56"/>
      <c r="G133" s="56"/>
      <c r="H133" s="56"/>
      <c r="I133" s="56"/>
      <c r="J133" s="56"/>
      <c r="K133" s="56"/>
      <c r="L133" s="56"/>
      <c r="M133" s="188"/>
      <c r="N133" s="56"/>
      <c r="O133" s="56"/>
      <c r="P133" s="56"/>
      <c r="Q133" s="35"/>
      <c r="R133" s="56"/>
      <c r="S133" s="35"/>
      <c r="T133" s="35"/>
      <c r="U133" s="35"/>
      <c r="V133" s="57"/>
      <c r="W133" s="58"/>
      <c r="X133" s="58"/>
      <c r="Y133" s="56"/>
      <c r="Z133" s="56"/>
      <c r="AA133" s="56"/>
      <c r="AB133" s="56"/>
      <c r="AC133" s="56"/>
      <c r="AD133" s="56"/>
      <c r="AE133" s="133"/>
      <c r="AF133" s="116"/>
    </row>
    <row r="134" spans="1:258" ht="15.75" customHeight="1" x14ac:dyDescent="0.3">
      <c r="A134" s="194">
        <v>115</v>
      </c>
      <c r="B134" s="69" t="s">
        <v>74</v>
      </c>
      <c r="C134" s="68" t="s">
        <v>214</v>
      </c>
      <c r="D134" s="31">
        <v>303845104.80000001</v>
      </c>
      <c r="E134" s="31"/>
      <c r="F134" s="31">
        <v>35569990.829999998</v>
      </c>
      <c r="G134" s="31">
        <v>243401425</v>
      </c>
      <c r="H134" s="40"/>
      <c r="I134" s="31"/>
      <c r="J134" s="31">
        <v>582816520.63</v>
      </c>
      <c r="K134" s="31">
        <v>2666247.7200000002</v>
      </c>
      <c r="L134" s="32">
        <v>4875869.3099999996</v>
      </c>
      <c r="M134" s="172">
        <v>-415815.79</v>
      </c>
      <c r="N134" s="31">
        <v>586030497.11000001</v>
      </c>
      <c r="O134" s="31">
        <v>6964291.0199999996</v>
      </c>
      <c r="P134" s="41">
        <v>571738140.22000003</v>
      </c>
      <c r="Q134" s="34">
        <f>(P134/$P$137)</f>
        <v>0.21512080338611642</v>
      </c>
      <c r="R134" s="41">
        <v>579066206.09000003</v>
      </c>
      <c r="S134" s="34">
        <f>(R134/$R$137)</f>
        <v>0.21528091196700341</v>
      </c>
      <c r="T134" s="35">
        <f t="shared" ref="T134:T149" si="118">((R134-P134)/P134)</f>
        <v>1.2817171628921287E-2</v>
      </c>
      <c r="U134" s="70">
        <f t="shared" ref="U134:U149" si="119">(L134/R134)</f>
        <v>8.4202277023262845E-3</v>
      </c>
      <c r="V134" s="36">
        <f t="shared" ref="V134:V148" si="120">M134/R134</f>
        <v>-7.18079876924078E-4</v>
      </c>
      <c r="W134" s="37">
        <f t="shared" ref="W134:W148" si="121">R134/AE134</f>
        <v>15.477969436197352</v>
      </c>
      <c r="X134" s="37">
        <f t="shared" ref="X134:X148" si="122">M134/AE134</f>
        <v>-1.1114418387779235E-2</v>
      </c>
      <c r="Y134" s="31">
        <v>15.4781</v>
      </c>
      <c r="Z134" s="31">
        <v>15.648199999999999</v>
      </c>
      <c r="AA134" s="38">
        <v>1534</v>
      </c>
      <c r="AB134" s="38">
        <v>37422701.18</v>
      </c>
      <c r="AC134" s="38">
        <v>0</v>
      </c>
      <c r="AD134" s="38">
        <v>10416.030000000001</v>
      </c>
      <c r="AE134" s="128">
        <f t="shared" ref="AE134:AE136" si="123">(AB134+AC134)-AD134</f>
        <v>37412285.149999999</v>
      </c>
      <c r="AF134" s="116"/>
    </row>
    <row r="135" spans="1:258" ht="15.75" customHeight="1" x14ac:dyDescent="0.3">
      <c r="A135" s="194">
        <v>116</v>
      </c>
      <c r="B135" s="69" t="s">
        <v>23</v>
      </c>
      <c r="C135" s="68" t="s">
        <v>144</v>
      </c>
      <c r="D135" s="31">
        <v>1312951522.9000001</v>
      </c>
      <c r="E135" s="31"/>
      <c r="F135" s="31">
        <v>324733370.47000003</v>
      </c>
      <c r="G135" s="31">
        <v>12285550.4</v>
      </c>
      <c r="H135" s="40"/>
      <c r="I135" s="31"/>
      <c r="J135" s="31">
        <v>1681320048.1900001</v>
      </c>
      <c r="K135" s="31">
        <v>39813067.840000004</v>
      </c>
      <c r="L135" s="31">
        <v>5591470.5800000001</v>
      </c>
      <c r="M135" s="172">
        <v>29232425.940000001</v>
      </c>
      <c r="N135" s="31">
        <v>1697272267.25</v>
      </c>
      <c r="O135" s="31">
        <v>24895589.82</v>
      </c>
      <c r="P135" s="41">
        <v>1647463022.9300001</v>
      </c>
      <c r="Q135" s="34">
        <f t="shared" ref="Q135:Q136" si="124">(P135/$P$137)</f>
        <v>0.61987043387598739</v>
      </c>
      <c r="R135" s="41">
        <v>1672376677.4300001</v>
      </c>
      <c r="S135" s="34">
        <f>(R135/$R$137)</f>
        <v>0.62174371856457555</v>
      </c>
      <c r="T135" s="35">
        <f>((R135-P135)/P135)</f>
        <v>1.5122436226636067E-2</v>
      </c>
      <c r="U135" s="70">
        <f t="shared" si="119"/>
        <v>3.3434277429607601E-3</v>
      </c>
      <c r="V135" s="36">
        <f t="shared" si="120"/>
        <v>1.7479570442779969E-2</v>
      </c>
      <c r="W135" s="37">
        <f t="shared" si="121"/>
        <v>1.3708432564536366</v>
      </c>
      <c r="X135" s="37">
        <f>M135/AE135</f>
        <v>2.3961751267191227E-2</v>
      </c>
      <c r="Y135" s="31">
        <v>1.36</v>
      </c>
      <c r="Z135" s="31">
        <v>1.38</v>
      </c>
      <c r="AA135" s="38">
        <v>9471</v>
      </c>
      <c r="AB135" s="38">
        <v>1221483153.71</v>
      </c>
      <c r="AC135" s="38">
        <v>3238907.12</v>
      </c>
      <c r="AD135" s="38">
        <v>4760063.3099999996</v>
      </c>
      <c r="AE135" s="128">
        <f t="shared" si="123"/>
        <v>1219961997.52</v>
      </c>
      <c r="AF135" s="116"/>
    </row>
    <row r="136" spans="1:258" ht="15.75" customHeight="1" x14ac:dyDescent="0.3">
      <c r="A136" s="194">
        <v>117</v>
      </c>
      <c r="B136" s="68" t="s">
        <v>35</v>
      </c>
      <c r="C136" s="68" t="s">
        <v>145</v>
      </c>
      <c r="D136" s="31">
        <v>170262863.90000001</v>
      </c>
      <c r="E136" s="31"/>
      <c r="F136" s="31">
        <v>122717180.23999999</v>
      </c>
      <c r="G136" s="31">
        <v>158405200.44</v>
      </c>
      <c r="H136" s="32">
        <v>1092913.2</v>
      </c>
      <c r="I136" s="31"/>
      <c r="J136" s="31">
        <v>452478157.77999997</v>
      </c>
      <c r="K136" s="31">
        <v>1787413.72</v>
      </c>
      <c r="L136" s="32">
        <v>1124384.31</v>
      </c>
      <c r="M136" s="172">
        <v>1886198.81</v>
      </c>
      <c r="N136" s="31">
        <v>438631954</v>
      </c>
      <c r="O136" s="31">
        <v>258073</v>
      </c>
      <c r="P136" s="41">
        <v>438552672</v>
      </c>
      <c r="Q136" s="34">
        <f t="shared" si="124"/>
        <v>0.16500876273789619</v>
      </c>
      <c r="R136" s="41">
        <v>438373881</v>
      </c>
      <c r="S136" s="34">
        <f t="shared" ref="S136" si="125">(R136/$R$137)</f>
        <v>0.16297536946842109</v>
      </c>
      <c r="T136" s="35">
        <f t="shared" si="118"/>
        <v>-4.07684210848908E-4</v>
      </c>
      <c r="U136" s="70">
        <f t="shared" si="119"/>
        <v>2.564898044187993E-3</v>
      </c>
      <c r="V136" s="36">
        <f t="shared" si="120"/>
        <v>4.3027171365622487E-3</v>
      </c>
      <c r="W136" s="37">
        <f t="shared" si="121"/>
        <v>35.096859252408372</v>
      </c>
      <c r="X136" s="37">
        <f t="shared" si="122"/>
        <v>0.15101185774485082</v>
      </c>
      <c r="Y136" s="31">
        <v>39.899099999999997</v>
      </c>
      <c r="Z136" s="31">
        <v>41.1021</v>
      </c>
      <c r="AA136" s="38">
        <v>2105</v>
      </c>
      <c r="AB136" s="38">
        <v>12452664</v>
      </c>
      <c r="AC136" s="38">
        <v>95357</v>
      </c>
      <c r="AD136" s="38">
        <v>57619</v>
      </c>
      <c r="AE136" s="128">
        <f t="shared" si="123"/>
        <v>12490402</v>
      </c>
      <c r="AF136" s="116"/>
    </row>
    <row r="137" spans="1:258" ht="15" customHeight="1" x14ac:dyDescent="0.3">
      <c r="A137" s="126"/>
      <c r="B137" s="101"/>
      <c r="C137" s="92" t="s">
        <v>52</v>
      </c>
      <c r="D137" s="47">
        <f>SUM(D134:D136)</f>
        <v>1787059491.6000001</v>
      </c>
      <c r="E137" s="47"/>
      <c r="F137" s="47">
        <f t="shared" ref="F137:H137" si="126">SUM(F134:F136)</f>
        <v>483020541.54000002</v>
      </c>
      <c r="G137" s="47">
        <f t="shared" si="126"/>
        <v>414092175.84000003</v>
      </c>
      <c r="H137" s="47">
        <f t="shared" si="126"/>
        <v>1092913.2</v>
      </c>
      <c r="I137" s="47"/>
      <c r="J137" s="47">
        <f t="shared" ref="J137" si="127">SUM(J134:J136)</f>
        <v>2716614726.6000004</v>
      </c>
      <c r="K137" s="47">
        <f t="shared" ref="K137" si="128">SUM(K134:K136)</f>
        <v>44266729.280000001</v>
      </c>
      <c r="L137" s="47">
        <f t="shared" ref="L137" si="129">SUM(L134:L136)</f>
        <v>11591724.200000001</v>
      </c>
      <c r="M137" s="47">
        <f t="shared" ref="M137:N137" si="130">SUM(M134:M136)</f>
        <v>30702808.960000001</v>
      </c>
      <c r="N137" s="47">
        <f t="shared" si="130"/>
        <v>2721934718.3600001</v>
      </c>
      <c r="O137" s="47">
        <f t="shared" ref="O137" si="131">SUM(O134:O136)</f>
        <v>32117953.84</v>
      </c>
      <c r="P137" s="48">
        <f>SUM(P134:P136)</f>
        <v>2657753835.1500001</v>
      </c>
      <c r="Q137" s="102">
        <f>(P137/$P$150)</f>
        <v>1.9184982948995415E-3</v>
      </c>
      <c r="R137" s="48">
        <f>SUM(R134:R136)</f>
        <v>2689816764.52</v>
      </c>
      <c r="S137" s="102">
        <f>(R137/$R$150)</f>
        <v>1.9039814291722755E-3</v>
      </c>
      <c r="T137" s="49">
        <f t="shared" si="118"/>
        <v>1.2063919895798136E-2</v>
      </c>
      <c r="U137" s="62"/>
      <c r="V137" s="50"/>
      <c r="W137" s="51"/>
      <c r="X137" s="51"/>
      <c r="Y137" s="47"/>
      <c r="Z137" s="47"/>
      <c r="AA137" s="52">
        <f>SUM(AA134:AA136)</f>
        <v>13110</v>
      </c>
      <c r="AB137" s="52"/>
      <c r="AC137" s="52"/>
      <c r="AD137" s="52"/>
      <c r="AE137" s="137"/>
      <c r="AF137" s="11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  <c r="GN137" s="26"/>
      <c r="GO137" s="26"/>
      <c r="GP137" s="26"/>
      <c r="GQ137" s="26"/>
      <c r="GR137" s="26"/>
      <c r="GS137" s="26"/>
      <c r="GT137" s="26"/>
      <c r="GU137" s="26"/>
      <c r="GV137" s="26"/>
      <c r="GW137" s="26"/>
      <c r="GX137" s="26"/>
      <c r="GY137" s="26"/>
      <c r="GZ137" s="26"/>
      <c r="HA137" s="26"/>
      <c r="HB137" s="26"/>
      <c r="HC137" s="26"/>
      <c r="HD137" s="26"/>
      <c r="HE137" s="26"/>
      <c r="HF137" s="26"/>
      <c r="HG137" s="26"/>
      <c r="HH137" s="26"/>
      <c r="HI137" s="26"/>
      <c r="HJ137" s="26"/>
      <c r="HK137" s="26"/>
      <c r="HL137" s="26"/>
      <c r="HM137" s="26"/>
      <c r="HN137" s="26"/>
      <c r="HO137" s="26"/>
      <c r="HP137" s="26"/>
      <c r="HQ137" s="26"/>
      <c r="HR137" s="26"/>
      <c r="HS137" s="26"/>
      <c r="HT137" s="26"/>
      <c r="HU137" s="26"/>
      <c r="HV137" s="26"/>
      <c r="HW137" s="26"/>
      <c r="HX137" s="26"/>
      <c r="HY137" s="26"/>
      <c r="HZ137" s="26"/>
      <c r="IA137" s="26"/>
      <c r="IB137" s="26"/>
      <c r="IC137" s="26"/>
      <c r="ID137" s="26"/>
      <c r="IE137" s="26"/>
      <c r="IF137" s="26"/>
      <c r="IG137" s="26"/>
      <c r="IH137" s="26"/>
      <c r="II137" s="26"/>
      <c r="IJ137" s="26"/>
      <c r="IK137" s="26"/>
      <c r="IL137" s="26"/>
      <c r="IM137" s="26"/>
      <c r="IN137" s="26"/>
      <c r="IO137" s="26"/>
      <c r="IP137" s="26"/>
      <c r="IQ137" s="26"/>
      <c r="IR137" s="26"/>
      <c r="IS137" s="26"/>
      <c r="IT137" s="26"/>
      <c r="IU137" s="26"/>
      <c r="IV137" s="26"/>
      <c r="IW137" s="26"/>
      <c r="IX137" s="26"/>
    </row>
    <row r="138" spans="1:258" ht="15.75" customHeight="1" x14ac:dyDescent="0.3">
      <c r="A138" s="225" t="s">
        <v>184</v>
      </c>
      <c r="B138" s="223"/>
      <c r="C138" s="223"/>
      <c r="D138" s="223"/>
      <c r="E138" s="223"/>
      <c r="F138" s="223"/>
      <c r="G138" s="223"/>
      <c r="H138" s="223"/>
      <c r="I138" s="223"/>
      <c r="J138" s="223"/>
      <c r="K138" s="223"/>
      <c r="L138" s="223"/>
      <c r="M138" s="223"/>
      <c r="N138" s="223"/>
      <c r="O138" s="223"/>
      <c r="P138" s="223"/>
      <c r="Q138" s="223"/>
      <c r="R138" s="223"/>
      <c r="S138" s="223"/>
      <c r="T138" s="35"/>
      <c r="U138" s="223"/>
      <c r="V138" s="223"/>
      <c r="W138" s="223"/>
      <c r="X138" s="223"/>
      <c r="Y138" s="223"/>
      <c r="Z138" s="223"/>
      <c r="AA138" s="223"/>
      <c r="AB138" s="223"/>
      <c r="AC138" s="223"/>
      <c r="AD138" s="223"/>
      <c r="AE138" s="224"/>
      <c r="AF138" s="11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  <c r="GN138" s="26"/>
      <c r="GO138" s="26"/>
      <c r="GP138" s="26"/>
      <c r="GQ138" s="26"/>
      <c r="GR138" s="26"/>
      <c r="GS138" s="26"/>
      <c r="GT138" s="26"/>
      <c r="GU138" s="26"/>
      <c r="GV138" s="26"/>
      <c r="GW138" s="26"/>
      <c r="GX138" s="26"/>
      <c r="GY138" s="26"/>
      <c r="GZ138" s="26"/>
      <c r="HA138" s="26"/>
      <c r="HB138" s="26"/>
      <c r="HC138" s="26"/>
      <c r="HD138" s="26"/>
      <c r="HE138" s="26"/>
      <c r="HF138" s="26"/>
      <c r="HG138" s="26"/>
      <c r="HH138" s="26"/>
      <c r="HI138" s="26"/>
      <c r="HJ138" s="26"/>
      <c r="HK138" s="26"/>
      <c r="HL138" s="26"/>
      <c r="HM138" s="26"/>
      <c r="HN138" s="26"/>
      <c r="HO138" s="26"/>
      <c r="HP138" s="26"/>
      <c r="HQ138" s="26"/>
      <c r="HR138" s="26"/>
      <c r="HS138" s="26"/>
      <c r="HT138" s="26"/>
      <c r="HU138" s="26"/>
      <c r="HV138" s="26"/>
      <c r="HW138" s="26"/>
      <c r="HX138" s="26"/>
      <c r="HY138" s="26"/>
      <c r="HZ138" s="26"/>
      <c r="IA138" s="26"/>
      <c r="IB138" s="26"/>
      <c r="IC138" s="26"/>
      <c r="ID138" s="26"/>
      <c r="IE138" s="26"/>
      <c r="IF138" s="26"/>
      <c r="IG138" s="26"/>
      <c r="IH138" s="26"/>
      <c r="II138" s="26"/>
      <c r="IJ138" s="26"/>
      <c r="IK138" s="26"/>
      <c r="IL138" s="26"/>
      <c r="IM138" s="26"/>
      <c r="IN138" s="26"/>
      <c r="IO138" s="26"/>
      <c r="IP138" s="26"/>
      <c r="IQ138" s="26"/>
      <c r="IR138" s="26"/>
      <c r="IS138" s="26"/>
      <c r="IT138" s="26"/>
      <c r="IU138" s="26"/>
      <c r="IV138" s="26"/>
      <c r="IW138" s="26"/>
      <c r="IX138" s="26"/>
    </row>
    <row r="139" spans="1:258" ht="15.75" customHeight="1" x14ac:dyDescent="0.3">
      <c r="A139" s="221" t="s">
        <v>185</v>
      </c>
      <c r="B139" s="222"/>
      <c r="C139" s="222"/>
      <c r="D139" s="122"/>
      <c r="E139" s="122"/>
      <c r="F139" s="122"/>
      <c r="G139" s="122"/>
      <c r="H139" s="122"/>
      <c r="I139" s="122"/>
      <c r="J139" s="122"/>
      <c r="K139" s="122"/>
      <c r="L139" s="107"/>
      <c r="M139" s="189"/>
      <c r="N139" s="107"/>
      <c r="O139" s="112"/>
      <c r="P139" s="107"/>
      <c r="Q139" s="108"/>
      <c r="R139" s="107"/>
      <c r="S139" s="108"/>
      <c r="T139" s="108"/>
      <c r="U139" s="113"/>
      <c r="V139" s="110"/>
      <c r="W139" s="111"/>
      <c r="X139" s="111"/>
      <c r="Y139" s="107"/>
      <c r="Z139" s="107"/>
      <c r="AA139" s="114"/>
      <c r="AB139" s="114"/>
      <c r="AC139" s="114"/>
      <c r="AD139" s="114"/>
      <c r="AE139" s="134"/>
      <c r="AF139" s="11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  <c r="GN139" s="26"/>
      <c r="GO139" s="26"/>
      <c r="GP139" s="26"/>
      <c r="GQ139" s="26"/>
      <c r="GR139" s="26"/>
      <c r="GS139" s="26"/>
      <c r="GT139" s="26"/>
      <c r="GU139" s="26"/>
      <c r="GV139" s="26"/>
      <c r="GW139" s="26"/>
      <c r="GX139" s="26"/>
      <c r="GY139" s="26"/>
      <c r="GZ139" s="26"/>
      <c r="HA139" s="26"/>
      <c r="HB139" s="26"/>
      <c r="HC139" s="26"/>
      <c r="HD139" s="26"/>
      <c r="HE139" s="26"/>
      <c r="HF139" s="26"/>
      <c r="HG139" s="26"/>
      <c r="HH139" s="26"/>
      <c r="HI139" s="26"/>
      <c r="HJ139" s="26"/>
      <c r="HK139" s="26"/>
      <c r="HL139" s="26"/>
      <c r="HM139" s="26"/>
      <c r="HN139" s="26"/>
      <c r="HO139" s="26"/>
      <c r="HP139" s="26"/>
      <c r="HQ139" s="26"/>
      <c r="HR139" s="26"/>
      <c r="HS139" s="26"/>
      <c r="HT139" s="26"/>
      <c r="HU139" s="26"/>
      <c r="HV139" s="26"/>
      <c r="HW139" s="26"/>
      <c r="HX139" s="26"/>
      <c r="HY139" s="26"/>
      <c r="HZ139" s="26"/>
      <c r="IA139" s="26"/>
      <c r="IB139" s="26"/>
      <c r="IC139" s="26"/>
      <c r="ID139" s="26"/>
      <c r="IE139" s="26"/>
      <c r="IF139" s="26"/>
      <c r="IG139" s="26"/>
      <c r="IH139" s="26"/>
      <c r="II139" s="26"/>
      <c r="IJ139" s="26"/>
      <c r="IK139" s="26"/>
      <c r="IL139" s="26"/>
      <c r="IM139" s="26"/>
      <c r="IN139" s="26"/>
      <c r="IO139" s="26"/>
      <c r="IP139" s="26"/>
      <c r="IQ139" s="26"/>
      <c r="IR139" s="26"/>
      <c r="IS139" s="26"/>
      <c r="IT139" s="26"/>
      <c r="IU139" s="26"/>
      <c r="IV139" s="26"/>
      <c r="IW139" s="26"/>
      <c r="IX139" s="26"/>
    </row>
    <row r="140" spans="1:258" ht="15.75" customHeight="1" x14ac:dyDescent="0.3">
      <c r="A140" s="194">
        <v>118</v>
      </c>
      <c r="B140" s="69" t="s">
        <v>108</v>
      </c>
      <c r="C140" s="68" t="s">
        <v>167</v>
      </c>
      <c r="D140" s="32">
        <v>1263273837.1500001</v>
      </c>
      <c r="E140" s="158"/>
      <c r="F140" s="32">
        <v>1038226867.63</v>
      </c>
      <c r="G140" s="31">
        <v>891227288.07000005</v>
      </c>
      <c r="H140" s="31"/>
      <c r="I140" s="32"/>
      <c r="J140" s="201">
        <v>3192729427.21</v>
      </c>
      <c r="K140" s="39">
        <v>45809955.710000001</v>
      </c>
      <c r="L140" s="32">
        <v>23422277.66</v>
      </c>
      <c r="M140" s="172">
        <v>40372806.950000003</v>
      </c>
      <c r="N140" s="32">
        <v>3247807187.6799998</v>
      </c>
      <c r="O140" s="32">
        <v>271389387.18000001</v>
      </c>
      <c r="P140" s="33">
        <v>3065642615.2800002</v>
      </c>
      <c r="Q140" s="34">
        <f>(P140/$P$149)</f>
        <v>0.16550395655957428</v>
      </c>
      <c r="R140" s="33">
        <v>2976417800.5</v>
      </c>
      <c r="S140" s="34">
        <f>(R140/$R$149)</f>
        <v>0.16056063998321898</v>
      </c>
      <c r="T140" s="35">
        <f>((R140-P140)/P140)</f>
        <v>-2.9104767246931968E-2</v>
      </c>
      <c r="U140" s="70">
        <f>(L140/R140)</f>
        <v>7.8692842302130299E-3</v>
      </c>
      <c r="V140" s="36">
        <f>M140/R140</f>
        <v>1.356422708640497E-2</v>
      </c>
      <c r="W140" s="37">
        <f>R140/AE140</f>
        <v>1.5023803738856676</v>
      </c>
      <c r="X140" s="37">
        <f>M140/AE140</f>
        <v>2.0378628561543197E-2</v>
      </c>
      <c r="Y140" s="39">
        <v>1.49</v>
      </c>
      <c r="Z140" s="39">
        <v>1.52</v>
      </c>
      <c r="AA140" s="42">
        <f>SUM(14785,32,264)</f>
        <v>15081</v>
      </c>
      <c r="AB140" s="42">
        <v>1973498630.5599999</v>
      </c>
      <c r="AC140" s="42">
        <v>9725875</v>
      </c>
      <c r="AD140" s="42">
        <v>2089866</v>
      </c>
      <c r="AE140" s="170">
        <f t="shared" ref="AE140:AE141" si="132">(AB140+AC140)-AD140</f>
        <v>1981134639.5599999</v>
      </c>
      <c r="AF140" s="11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  <c r="GN140" s="26"/>
      <c r="GO140" s="26"/>
      <c r="GP140" s="26"/>
      <c r="GQ140" s="26"/>
      <c r="GR140" s="26"/>
      <c r="GS140" s="26"/>
      <c r="GT140" s="26"/>
      <c r="GU140" s="26"/>
      <c r="GV140" s="26"/>
      <c r="GW140" s="26"/>
      <c r="GX140" s="26"/>
      <c r="GY140" s="26"/>
      <c r="GZ140" s="26"/>
      <c r="HA140" s="26"/>
      <c r="HB140" s="26"/>
      <c r="HC140" s="26"/>
      <c r="HD140" s="26"/>
      <c r="HE140" s="26"/>
      <c r="HF140" s="26"/>
      <c r="HG140" s="26"/>
      <c r="HH140" s="26"/>
      <c r="HI140" s="26"/>
      <c r="HJ140" s="26"/>
      <c r="HK140" s="26"/>
      <c r="HL140" s="26"/>
      <c r="HM140" s="26"/>
      <c r="HN140" s="26"/>
      <c r="HO140" s="26"/>
      <c r="HP140" s="26"/>
      <c r="HQ140" s="26"/>
      <c r="HR140" s="26"/>
      <c r="HS140" s="26"/>
      <c r="HT140" s="26"/>
      <c r="HU140" s="26"/>
      <c r="HV140" s="26"/>
      <c r="HW140" s="26"/>
      <c r="HX140" s="26"/>
      <c r="HY140" s="26"/>
      <c r="HZ140" s="26"/>
      <c r="IA140" s="26"/>
      <c r="IB140" s="26"/>
      <c r="IC140" s="26"/>
      <c r="ID140" s="26"/>
      <c r="IE140" s="26"/>
      <c r="IF140" s="26"/>
      <c r="IG140" s="26"/>
      <c r="IH140" s="26"/>
      <c r="II140" s="26"/>
      <c r="IJ140" s="26"/>
      <c r="IK140" s="26"/>
      <c r="IL140" s="26"/>
      <c r="IM140" s="26"/>
      <c r="IN140" s="26"/>
      <c r="IO140" s="26"/>
      <c r="IP140" s="26"/>
      <c r="IQ140" s="26"/>
      <c r="IR140" s="26"/>
      <c r="IS140" s="26"/>
      <c r="IT140" s="26"/>
      <c r="IU140" s="26"/>
      <c r="IV140" s="26"/>
      <c r="IW140" s="26"/>
      <c r="IX140" s="26"/>
    </row>
    <row r="141" spans="1:258" ht="15.75" customHeight="1" x14ac:dyDescent="0.3">
      <c r="A141" s="194">
        <v>119</v>
      </c>
      <c r="B141" s="69" t="s">
        <v>23</v>
      </c>
      <c r="C141" s="69" t="s">
        <v>146</v>
      </c>
      <c r="D141" s="64">
        <v>219371626</v>
      </c>
      <c r="E141" s="64"/>
      <c r="F141" s="64">
        <v>49869566.420000002</v>
      </c>
      <c r="G141" s="64">
        <v>23578755.43</v>
      </c>
      <c r="H141" s="64"/>
      <c r="I141" s="64"/>
      <c r="J141" s="64">
        <v>292819947.85000002</v>
      </c>
      <c r="K141" s="64">
        <v>587696.01</v>
      </c>
      <c r="L141" s="64">
        <v>770828.88</v>
      </c>
      <c r="M141" s="172">
        <v>9685185</v>
      </c>
      <c r="N141" s="31">
        <v>302280804.89999998</v>
      </c>
      <c r="O141" s="31">
        <v>6182000.5899999999</v>
      </c>
      <c r="P141" s="41">
        <v>284233472.13</v>
      </c>
      <c r="Q141" s="34">
        <f>(P141/$P$149)</f>
        <v>1.5344829821229481E-2</v>
      </c>
      <c r="R141" s="41">
        <v>296098804.31</v>
      </c>
      <c r="S141" s="34">
        <f>(R141/$R$149)</f>
        <v>1.5972829321976606E-2</v>
      </c>
      <c r="T141" s="35">
        <f t="shared" si="118"/>
        <v>4.1745020708092939E-2</v>
      </c>
      <c r="U141" s="70">
        <f t="shared" si="119"/>
        <v>2.6032826501824788E-3</v>
      </c>
      <c r="V141" s="36">
        <f t="shared" si="120"/>
        <v>3.2709301283973161E-2</v>
      </c>
      <c r="W141" s="37">
        <f t="shared" si="121"/>
        <v>255.1388249988494</v>
      </c>
      <c r="X141" s="37">
        <f t="shared" si="122"/>
        <v>8.3454126961262673</v>
      </c>
      <c r="Y141" s="31">
        <v>252.63</v>
      </c>
      <c r="Z141" s="31">
        <v>256.51</v>
      </c>
      <c r="AA141" s="38">
        <v>471</v>
      </c>
      <c r="AB141" s="38">
        <v>1146998.1200000001</v>
      </c>
      <c r="AC141" s="38">
        <v>24638.33</v>
      </c>
      <c r="AD141" s="38">
        <v>11096.48</v>
      </c>
      <c r="AE141" s="170">
        <f t="shared" si="132"/>
        <v>1160539.9700000002</v>
      </c>
      <c r="AF141" s="116"/>
    </row>
    <row r="142" spans="1:258" ht="4.5" customHeight="1" x14ac:dyDescent="0.3">
      <c r="A142" s="194"/>
      <c r="B142" s="69"/>
      <c r="C142" s="69"/>
      <c r="D142" s="64"/>
      <c r="E142" s="64"/>
      <c r="F142" s="64"/>
      <c r="G142" s="64"/>
      <c r="H142" s="64"/>
      <c r="I142" s="64"/>
      <c r="J142" s="64"/>
      <c r="K142" s="64"/>
      <c r="L142" s="64"/>
      <c r="M142" s="172"/>
      <c r="N142" s="31"/>
      <c r="O142" s="31"/>
      <c r="P142" s="41"/>
      <c r="Q142" s="34"/>
      <c r="R142" s="41"/>
      <c r="S142" s="34"/>
      <c r="T142" s="35"/>
      <c r="U142" s="70"/>
      <c r="V142" s="36"/>
      <c r="W142" s="37"/>
      <c r="X142" s="37"/>
      <c r="Y142" s="31"/>
      <c r="Z142" s="31"/>
      <c r="AA142" s="38"/>
      <c r="AB142" s="38"/>
      <c r="AC142" s="38"/>
      <c r="AD142" s="38"/>
      <c r="AE142" s="128"/>
      <c r="AF142" s="11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  <c r="GN142" s="26"/>
      <c r="GO142" s="26"/>
      <c r="GP142" s="26"/>
      <c r="GQ142" s="26"/>
      <c r="GR142" s="26"/>
      <c r="GS142" s="26"/>
      <c r="GT142" s="26"/>
      <c r="GU142" s="26"/>
      <c r="GV142" s="26"/>
      <c r="GW142" s="26"/>
      <c r="GX142" s="26"/>
      <c r="GY142" s="26"/>
      <c r="GZ142" s="26"/>
      <c r="HA142" s="26"/>
      <c r="HB142" s="26"/>
      <c r="HC142" s="26"/>
      <c r="HD142" s="26"/>
      <c r="HE142" s="26"/>
      <c r="HF142" s="26"/>
      <c r="HG142" s="26"/>
      <c r="HH142" s="26"/>
      <c r="HI142" s="26"/>
      <c r="HJ142" s="26"/>
      <c r="HK142" s="26"/>
      <c r="HL142" s="26"/>
      <c r="HM142" s="26"/>
      <c r="HN142" s="26"/>
      <c r="HO142" s="26"/>
      <c r="HP142" s="26"/>
      <c r="HQ142" s="26"/>
      <c r="HR142" s="26"/>
      <c r="HS142" s="26"/>
      <c r="HT142" s="26"/>
      <c r="HU142" s="26"/>
      <c r="HV142" s="26"/>
      <c r="HW142" s="26"/>
      <c r="HX142" s="26"/>
      <c r="HY142" s="26"/>
      <c r="HZ142" s="26"/>
      <c r="IA142" s="26"/>
      <c r="IB142" s="26"/>
      <c r="IC142" s="26"/>
      <c r="ID142" s="26"/>
      <c r="IE142" s="26"/>
      <c r="IF142" s="26"/>
      <c r="IG142" s="26"/>
      <c r="IH142" s="26"/>
      <c r="II142" s="26"/>
      <c r="IJ142" s="26"/>
      <c r="IK142" s="26"/>
      <c r="IL142" s="26"/>
      <c r="IM142" s="26"/>
      <c r="IN142" s="26"/>
      <c r="IO142" s="26"/>
      <c r="IP142" s="26"/>
      <c r="IQ142" s="26"/>
      <c r="IR142" s="26"/>
      <c r="IS142" s="26"/>
      <c r="IT142" s="26"/>
      <c r="IU142" s="26"/>
      <c r="IV142" s="26"/>
      <c r="IW142" s="26"/>
      <c r="IX142" s="26"/>
    </row>
    <row r="143" spans="1:258" ht="15.75" customHeight="1" x14ac:dyDescent="0.3">
      <c r="A143" s="221" t="s">
        <v>186</v>
      </c>
      <c r="B143" s="222"/>
      <c r="C143" s="222"/>
      <c r="D143" s="122"/>
      <c r="E143" s="122"/>
      <c r="F143" s="122"/>
      <c r="G143" s="122"/>
      <c r="H143" s="122"/>
      <c r="I143" s="122"/>
      <c r="J143" s="122"/>
      <c r="K143" s="122"/>
      <c r="L143" s="107"/>
      <c r="M143" s="189"/>
      <c r="N143" s="107"/>
      <c r="O143" s="107"/>
      <c r="P143" s="107"/>
      <c r="Q143" s="108"/>
      <c r="R143" s="107"/>
      <c r="S143" s="108"/>
      <c r="T143" s="108"/>
      <c r="U143" s="113"/>
      <c r="V143" s="110"/>
      <c r="W143" s="111"/>
      <c r="X143" s="111"/>
      <c r="Y143" s="107"/>
      <c r="Z143" s="107"/>
      <c r="AA143" s="114"/>
      <c r="AB143" s="114"/>
      <c r="AC143" s="114"/>
      <c r="AD143" s="114"/>
      <c r="AE143" s="134"/>
      <c r="AF143" s="11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  <c r="GN143" s="26"/>
      <c r="GO143" s="26"/>
      <c r="GP143" s="26"/>
      <c r="GQ143" s="26"/>
      <c r="GR143" s="26"/>
      <c r="GS143" s="26"/>
      <c r="GT143" s="26"/>
      <c r="GU143" s="26"/>
      <c r="GV143" s="26"/>
      <c r="GW143" s="26"/>
      <c r="GX143" s="26"/>
      <c r="GY143" s="26"/>
      <c r="GZ143" s="26"/>
      <c r="HA143" s="26"/>
      <c r="HB143" s="26"/>
      <c r="HC143" s="26"/>
      <c r="HD143" s="26"/>
      <c r="HE143" s="26"/>
      <c r="HF143" s="26"/>
      <c r="HG143" s="26"/>
      <c r="HH143" s="26"/>
      <c r="HI143" s="26"/>
      <c r="HJ143" s="26"/>
      <c r="HK143" s="26"/>
      <c r="HL143" s="26"/>
      <c r="HM143" s="26"/>
      <c r="HN143" s="26"/>
      <c r="HO143" s="26"/>
      <c r="HP143" s="26"/>
      <c r="HQ143" s="26"/>
      <c r="HR143" s="26"/>
      <c r="HS143" s="26"/>
      <c r="HT143" s="26"/>
      <c r="HU143" s="26"/>
      <c r="HV143" s="26"/>
      <c r="HW143" s="26"/>
      <c r="HX143" s="26"/>
      <c r="HY143" s="26"/>
      <c r="HZ143" s="26"/>
      <c r="IA143" s="26"/>
      <c r="IB143" s="26"/>
      <c r="IC143" s="26"/>
      <c r="ID143" s="26"/>
      <c r="IE143" s="26"/>
      <c r="IF143" s="26"/>
      <c r="IG143" s="26"/>
      <c r="IH143" s="26"/>
      <c r="II143" s="26"/>
      <c r="IJ143" s="26"/>
      <c r="IK143" s="26"/>
      <c r="IL143" s="26"/>
      <c r="IM143" s="26"/>
      <c r="IN143" s="26"/>
      <c r="IO143" s="26"/>
      <c r="IP143" s="26"/>
      <c r="IQ143" s="26"/>
      <c r="IR143" s="26"/>
      <c r="IS143" s="26"/>
      <c r="IT143" s="26"/>
      <c r="IU143" s="26"/>
      <c r="IV143" s="26"/>
      <c r="IW143" s="26"/>
      <c r="IX143" s="26"/>
    </row>
    <row r="144" spans="1:258" ht="15.75" customHeight="1" x14ac:dyDescent="0.3">
      <c r="A144" s="194">
        <v>120</v>
      </c>
      <c r="B144" s="68" t="s">
        <v>23</v>
      </c>
      <c r="C144" s="68" t="s">
        <v>117</v>
      </c>
      <c r="D144" s="87"/>
      <c r="E144" s="87"/>
      <c r="F144" s="87">
        <v>378774202.98000002</v>
      </c>
      <c r="G144" s="87">
        <v>6839497081.46</v>
      </c>
      <c r="H144" s="87"/>
      <c r="I144" s="64"/>
      <c r="J144" s="64">
        <v>7218481558.96</v>
      </c>
      <c r="K144" s="64">
        <v>34059543.640000001</v>
      </c>
      <c r="L144" s="64">
        <v>12150132.310000001</v>
      </c>
      <c r="M144" s="172">
        <v>21909411.329999998</v>
      </c>
      <c r="N144" s="31">
        <v>7283060370.6400003</v>
      </c>
      <c r="O144" s="31">
        <v>44263548.140000001</v>
      </c>
      <c r="P144" s="41">
        <v>7248613003.6000004</v>
      </c>
      <c r="Q144" s="34">
        <f>(P144/$P$149)</f>
        <v>0.39132876274797201</v>
      </c>
      <c r="R144" s="41">
        <v>7238796822.5</v>
      </c>
      <c r="S144" s="34">
        <f>(R144/$R$149)</f>
        <v>0.39049149965903518</v>
      </c>
      <c r="T144" s="35">
        <f>((R144-P144)/P144)</f>
        <v>-1.3542150884762654E-3</v>
      </c>
      <c r="U144" s="70">
        <f>(L144/R144)</f>
        <v>1.6784740072043928E-3</v>
      </c>
      <c r="V144" s="36">
        <f>M144/R144</f>
        <v>3.026664771402347E-3</v>
      </c>
      <c r="W144" s="37">
        <f>R144/AE144</f>
        <v>117.90083818349936</v>
      </c>
      <c r="X144" s="37">
        <f>M144/AE144</f>
        <v>0.35684631344880618</v>
      </c>
      <c r="Y144" s="31">
        <v>117.9</v>
      </c>
      <c r="Z144" s="31">
        <v>117.9</v>
      </c>
      <c r="AA144" s="38">
        <v>964</v>
      </c>
      <c r="AB144" s="38">
        <v>61652795.979999997</v>
      </c>
      <c r="AC144" s="38">
        <v>955796.51</v>
      </c>
      <c r="AD144" s="38">
        <v>1211261.19</v>
      </c>
      <c r="AE144" s="170">
        <f t="shared" ref="AE144:AE148" si="133">(AB144+AC144)-AD144</f>
        <v>61397331.299999997</v>
      </c>
      <c r="AF144" s="11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  <c r="GN144" s="26"/>
      <c r="GO144" s="26"/>
      <c r="GP144" s="26"/>
      <c r="GQ144" s="26"/>
      <c r="GR144" s="26"/>
      <c r="GS144" s="26"/>
      <c r="GT144" s="26"/>
      <c r="GU144" s="26"/>
      <c r="GV144" s="26"/>
      <c r="GW144" s="26"/>
      <c r="GX144" s="26"/>
      <c r="GY144" s="26"/>
      <c r="GZ144" s="26"/>
      <c r="HA144" s="26"/>
      <c r="HB144" s="26"/>
      <c r="HC144" s="26"/>
      <c r="HD144" s="26"/>
      <c r="HE144" s="26"/>
      <c r="HF144" s="26"/>
      <c r="HG144" s="26"/>
      <c r="HH144" s="26"/>
      <c r="HI144" s="26"/>
      <c r="HJ144" s="26"/>
      <c r="HK144" s="26"/>
      <c r="HL144" s="26"/>
      <c r="HM144" s="26"/>
      <c r="HN144" s="26"/>
      <c r="HO144" s="26"/>
      <c r="HP144" s="26"/>
      <c r="HQ144" s="26"/>
      <c r="HR144" s="26"/>
      <c r="HS144" s="26"/>
      <c r="HT144" s="26"/>
      <c r="HU144" s="26"/>
      <c r="HV144" s="26"/>
      <c r="HW144" s="26"/>
      <c r="HX144" s="26"/>
      <c r="HY144" s="26"/>
      <c r="HZ144" s="26"/>
      <c r="IA144" s="26"/>
      <c r="IB144" s="26"/>
      <c r="IC144" s="26"/>
      <c r="ID144" s="26"/>
      <c r="IE144" s="26"/>
      <c r="IF144" s="26"/>
      <c r="IG144" s="26"/>
      <c r="IH144" s="26"/>
      <c r="II144" s="26"/>
      <c r="IJ144" s="26"/>
      <c r="IK144" s="26"/>
      <c r="IL144" s="26"/>
      <c r="IM144" s="26"/>
      <c r="IN144" s="26"/>
      <c r="IO144" s="26"/>
      <c r="IP144" s="26"/>
      <c r="IQ144" s="26"/>
      <c r="IR144" s="26"/>
      <c r="IS144" s="26"/>
      <c r="IT144" s="26"/>
      <c r="IU144" s="26"/>
      <c r="IV144" s="26"/>
      <c r="IW144" s="26"/>
      <c r="IX144" s="26"/>
    </row>
    <row r="145" spans="1:258" ht="15.75" customHeight="1" x14ac:dyDescent="0.3">
      <c r="A145" s="194">
        <v>121</v>
      </c>
      <c r="B145" s="69" t="s">
        <v>55</v>
      </c>
      <c r="C145" s="69" t="s">
        <v>187</v>
      </c>
      <c r="D145" s="87"/>
      <c r="E145" s="87"/>
      <c r="F145" s="87">
        <v>540211786</v>
      </c>
      <c r="G145" s="87">
        <v>4816582445.0799999</v>
      </c>
      <c r="H145" s="87"/>
      <c r="I145" s="64"/>
      <c r="J145" s="64">
        <v>5349697050.8999996</v>
      </c>
      <c r="K145" s="64">
        <v>48028527.020000003</v>
      </c>
      <c r="L145" s="64">
        <v>9167534.5099999998</v>
      </c>
      <c r="M145" s="172">
        <v>38860992.509999998</v>
      </c>
      <c r="N145" s="31">
        <v>5350502668.54</v>
      </c>
      <c r="O145" s="31">
        <v>805617.64</v>
      </c>
      <c r="P145" s="41">
        <v>5299824366.9200001</v>
      </c>
      <c r="Q145" s="34">
        <f t="shared" ref="Q145:Q147" si="134">(P145/$P$149)</f>
        <v>0.28612007721454097</v>
      </c>
      <c r="R145" s="41">
        <v>5349697050.8999996</v>
      </c>
      <c r="S145" s="34">
        <f t="shared" ref="S145:S147" si="135">(R145/$R$149)</f>
        <v>0.28858542038841134</v>
      </c>
      <c r="T145" s="35">
        <f>((R145-P145)/P145)</f>
        <v>9.4102522135055423E-3</v>
      </c>
      <c r="U145" s="70">
        <f t="shared" si="119"/>
        <v>1.7136548897582361E-3</v>
      </c>
      <c r="V145" s="36">
        <f>M145/R145</f>
        <v>7.2641482574162339E-3</v>
      </c>
      <c r="W145" s="37">
        <f>R145/AE145</f>
        <v>115.82594248143356</v>
      </c>
      <c r="X145" s="37">
        <f>M145/AE145</f>
        <v>0.84137681824009847</v>
      </c>
      <c r="Y145" s="31">
        <v>118.06</v>
      </c>
      <c r="Z145" s="31">
        <v>118.06</v>
      </c>
      <c r="AA145" s="38">
        <v>379</v>
      </c>
      <c r="AB145" s="38">
        <v>46521510</v>
      </c>
      <c r="AC145" s="38">
        <v>571018</v>
      </c>
      <c r="AD145" s="38">
        <v>905146</v>
      </c>
      <c r="AE145" s="170">
        <f t="shared" si="133"/>
        <v>46187382</v>
      </c>
      <c r="AF145" s="116"/>
    </row>
    <row r="146" spans="1:258" ht="15.75" customHeight="1" x14ac:dyDescent="0.3">
      <c r="A146" s="194">
        <v>122</v>
      </c>
      <c r="B146" s="69" t="s">
        <v>33</v>
      </c>
      <c r="C146" s="69" t="s">
        <v>158</v>
      </c>
      <c r="D146" s="87"/>
      <c r="E146" s="87"/>
      <c r="F146" s="87"/>
      <c r="G146" s="87">
        <v>1453374304</v>
      </c>
      <c r="H146" s="87"/>
      <c r="I146" s="64"/>
      <c r="J146" s="64">
        <v>1453374304</v>
      </c>
      <c r="K146" s="64">
        <v>14332068</v>
      </c>
      <c r="L146" s="64">
        <v>3225434</v>
      </c>
      <c r="M146" s="172">
        <v>11106633</v>
      </c>
      <c r="N146" s="31">
        <v>1886095090</v>
      </c>
      <c r="O146" s="31">
        <v>18980920.02</v>
      </c>
      <c r="P146" s="41">
        <v>1835653574</v>
      </c>
      <c r="Q146" s="34">
        <f t="shared" si="134"/>
        <v>9.9100895797658073E-2</v>
      </c>
      <c r="R146" s="41">
        <v>1867114170</v>
      </c>
      <c r="S146" s="34">
        <f t="shared" si="135"/>
        <v>0.10072008237774169</v>
      </c>
      <c r="T146" s="35">
        <f>((R146-P146)/P146)</f>
        <v>1.7138634677917718E-2</v>
      </c>
      <c r="U146" s="70">
        <f t="shared" si="119"/>
        <v>1.7274969318025154E-3</v>
      </c>
      <c r="V146" s="36">
        <f>M146/R146</f>
        <v>5.948555893612012E-3</v>
      </c>
      <c r="W146" s="37">
        <f>R146/AE146</f>
        <v>1.0939597506230365</v>
      </c>
      <c r="X146" s="37">
        <f>M146/AE146</f>
        <v>6.5074807219429901E-3</v>
      </c>
      <c r="Y146" s="31">
        <v>1.0900000000000001</v>
      </c>
      <c r="Z146" s="31">
        <v>1.0900000000000001</v>
      </c>
      <c r="AA146" s="38">
        <v>41</v>
      </c>
      <c r="AB146" s="38">
        <v>1683497265</v>
      </c>
      <c r="AC146" s="38">
        <v>68894091</v>
      </c>
      <c r="AD146" s="38">
        <v>45642850</v>
      </c>
      <c r="AE146" s="170">
        <f t="shared" si="133"/>
        <v>1706748506</v>
      </c>
      <c r="AF146" s="116"/>
    </row>
    <row r="147" spans="1:258" ht="15.75" customHeight="1" x14ac:dyDescent="0.3">
      <c r="A147" s="194">
        <v>123</v>
      </c>
      <c r="B147" s="69" t="s">
        <v>188</v>
      </c>
      <c r="C147" s="69" t="s">
        <v>154</v>
      </c>
      <c r="D147" s="87"/>
      <c r="E147" s="87"/>
      <c r="F147" s="87"/>
      <c r="G147" s="87">
        <v>226362593.34</v>
      </c>
      <c r="H147" s="87"/>
      <c r="I147" s="64"/>
      <c r="J147" s="64">
        <v>277823369.80000001</v>
      </c>
      <c r="K147" s="64">
        <v>1335005.3700000001</v>
      </c>
      <c r="L147" s="64">
        <v>610933.92000000004</v>
      </c>
      <c r="M147" s="172">
        <v>724071.45</v>
      </c>
      <c r="N147" s="31">
        <v>291627842.29000002</v>
      </c>
      <c r="O147" s="31">
        <v>4558977.6399999997</v>
      </c>
      <c r="P147" s="41">
        <v>281973802.35000002</v>
      </c>
      <c r="Q147" s="34">
        <f t="shared" si="134"/>
        <v>1.5222837685797888E-2</v>
      </c>
      <c r="R147" s="41">
        <v>287068864.64999998</v>
      </c>
      <c r="S147" s="34">
        <f t="shared" si="135"/>
        <v>1.5485715956851625E-2</v>
      </c>
      <c r="T147" s="35">
        <f>((R147-P147)/P147)</f>
        <v>1.8069275434587025E-2</v>
      </c>
      <c r="U147" s="70">
        <f t="shared" si="119"/>
        <v>2.128178967596722E-3</v>
      </c>
      <c r="V147" s="36">
        <f t="shared" si="120"/>
        <v>2.5222918231930245E-3</v>
      </c>
      <c r="W147" s="37">
        <f t="shared" si="121"/>
        <v>102.35213117682419</v>
      </c>
      <c r="X147" s="37">
        <f t="shared" si="122"/>
        <v>0.25816194355368344</v>
      </c>
      <c r="Y147" s="31">
        <v>102.35</v>
      </c>
      <c r="Z147" s="31">
        <v>102.35</v>
      </c>
      <c r="AA147" s="38">
        <v>212</v>
      </c>
      <c r="AB147" s="38">
        <v>2755188</v>
      </c>
      <c r="AC147" s="38">
        <v>166155</v>
      </c>
      <c r="AD147" s="38">
        <v>116625</v>
      </c>
      <c r="AE147" s="170">
        <f t="shared" si="133"/>
        <v>2804718</v>
      </c>
      <c r="AF147" s="116"/>
    </row>
    <row r="148" spans="1:258" ht="16.5" customHeight="1" x14ac:dyDescent="0.3">
      <c r="A148" s="194">
        <v>124</v>
      </c>
      <c r="B148" s="69" t="s">
        <v>203</v>
      </c>
      <c r="C148" s="68" t="s">
        <v>211</v>
      </c>
      <c r="D148" s="31"/>
      <c r="E148" s="31"/>
      <c r="F148" s="31">
        <v>100001182</v>
      </c>
      <c r="G148" s="31">
        <v>248422682</v>
      </c>
      <c r="H148" s="31"/>
      <c r="I148" s="31"/>
      <c r="J148" s="31">
        <v>348423864</v>
      </c>
      <c r="K148" s="31">
        <v>3388858</v>
      </c>
      <c r="L148" s="31">
        <v>768337</v>
      </c>
      <c r="M148" s="172">
        <v>2620521</v>
      </c>
      <c r="N148" s="31">
        <v>515356863</v>
      </c>
      <c r="O148" s="31">
        <v>7104934.5999999996</v>
      </c>
      <c r="P148" s="41">
        <v>507136674</v>
      </c>
      <c r="Q148" s="34">
        <f>(P148/$P$81)</f>
        <v>1.2508527276015485E-3</v>
      </c>
      <c r="R148" s="41">
        <v>522461798</v>
      </c>
      <c r="S148" s="34">
        <f>(R148/$R$149)</f>
        <v>2.8183812312764484E-2</v>
      </c>
      <c r="T148" s="35">
        <f t="shared" ref="T148" si="136">((R148-P148)/P148)</f>
        <v>3.0218922798708893E-2</v>
      </c>
      <c r="U148" s="70">
        <f t="shared" si="119"/>
        <v>1.4706089573270581E-3</v>
      </c>
      <c r="V148" s="36">
        <f t="shared" si="120"/>
        <v>5.0157179147479027E-3</v>
      </c>
      <c r="W148" s="37">
        <f t="shared" si="121"/>
        <v>1043.1835658122252</v>
      </c>
      <c r="X148" s="37">
        <f t="shared" si="122"/>
        <v>5.2323144994149757</v>
      </c>
      <c r="Y148" s="87">
        <v>1043.18</v>
      </c>
      <c r="Z148" s="87">
        <v>1043.18</v>
      </c>
      <c r="AA148" s="169">
        <v>17</v>
      </c>
      <c r="AB148" s="169">
        <v>500687</v>
      </c>
      <c r="AC148" s="169">
        <v>147</v>
      </c>
      <c r="AD148" s="169">
        <v>0</v>
      </c>
      <c r="AE148" s="170">
        <f t="shared" si="133"/>
        <v>500834</v>
      </c>
      <c r="AF148" s="13"/>
      <c r="AG148" s="4"/>
      <c r="AH148" s="5"/>
      <c r="AI148" s="6"/>
      <c r="AJ148" s="6"/>
      <c r="AK148" s="6"/>
      <c r="AL148" s="7"/>
      <c r="AM148" s="5"/>
      <c r="AN148" s="6"/>
      <c r="AO148" s="6"/>
      <c r="AP148" s="6"/>
      <c r="AQ148" s="7"/>
      <c r="AR148" s="5"/>
      <c r="AS148" s="6"/>
      <c r="AT148" s="6"/>
      <c r="AU148" s="6"/>
      <c r="AV148" s="7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  <c r="GN148" s="26"/>
      <c r="GO148" s="26"/>
      <c r="GP148" s="26"/>
      <c r="GQ148" s="26"/>
      <c r="GR148" s="26"/>
      <c r="GS148" s="26"/>
      <c r="GT148" s="26"/>
      <c r="GU148" s="26"/>
      <c r="GV148" s="26"/>
      <c r="GW148" s="26"/>
      <c r="GX148" s="26"/>
      <c r="GY148" s="26"/>
      <c r="GZ148" s="26"/>
      <c r="HA148" s="26"/>
      <c r="HB148" s="26"/>
      <c r="HC148" s="26"/>
      <c r="HD148" s="26"/>
      <c r="HE148" s="26"/>
      <c r="HF148" s="26"/>
      <c r="HG148" s="26"/>
      <c r="HH148" s="26"/>
      <c r="HI148" s="26"/>
      <c r="HJ148" s="26"/>
      <c r="HK148" s="26"/>
      <c r="HL148" s="26"/>
      <c r="HM148" s="26"/>
      <c r="HN148" s="26"/>
      <c r="HO148" s="26"/>
      <c r="HP148" s="26"/>
      <c r="HQ148" s="26"/>
      <c r="HR148" s="26"/>
      <c r="HS148" s="26"/>
      <c r="HT148" s="26"/>
      <c r="HU148" s="26"/>
      <c r="HV148" s="26"/>
      <c r="HW148" s="26"/>
      <c r="HX148" s="26"/>
      <c r="HY148" s="26"/>
      <c r="HZ148" s="26"/>
      <c r="IA148" s="26"/>
      <c r="IB148" s="26"/>
      <c r="IC148" s="26"/>
      <c r="ID148" s="26"/>
      <c r="IE148" s="26"/>
      <c r="IF148" s="26"/>
      <c r="IG148" s="26"/>
      <c r="IH148" s="26"/>
      <c r="II148" s="26"/>
      <c r="IJ148" s="26"/>
      <c r="IK148" s="26"/>
      <c r="IL148" s="26"/>
      <c r="IM148" s="26"/>
      <c r="IN148" s="26"/>
      <c r="IO148" s="26"/>
      <c r="IP148" s="26"/>
      <c r="IQ148" s="26"/>
      <c r="IR148" s="26"/>
      <c r="IS148" s="26"/>
      <c r="IT148" s="26"/>
      <c r="IU148" s="26"/>
      <c r="IV148" s="26"/>
      <c r="IW148" s="26"/>
      <c r="IX148" s="26"/>
    </row>
    <row r="149" spans="1:258" ht="15.75" customHeight="1" x14ac:dyDescent="0.3">
      <c r="A149" s="138"/>
      <c r="B149" s="64"/>
      <c r="C149" s="92" t="s">
        <v>52</v>
      </c>
      <c r="D149" s="47">
        <f>SUM(D140:D148)</f>
        <v>1482645463.1500001</v>
      </c>
      <c r="E149" s="47"/>
      <c r="F149" s="47">
        <f t="shared" ref="F149" si="137">SUM(F140:F148)</f>
        <v>2107083605.03</v>
      </c>
      <c r="G149" s="47">
        <f>SUM(G140:G148)</f>
        <v>14499045149.380001</v>
      </c>
      <c r="H149" s="47"/>
      <c r="I149" s="47">
        <f t="shared" ref="I149:L149" si="138">SUM(I140:I148)</f>
        <v>0</v>
      </c>
      <c r="J149" s="47">
        <f t="shared" si="138"/>
        <v>18133349522.719997</v>
      </c>
      <c r="K149" s="47">
        <f t="shared" si="138"/>
        <v>147541653.75</v>
      </c>
      <c r="L149" s="47">
        <f t="shared" si="138"/>
        <v>50115478.280000001</v>
      </c>
      <c r="M149" s="47">
        <f t="shared" ref="M149" si="139">SUM(M140:M148)</f>
        <v>125279621.23999999</v>
      </c>
      <c r="N149" s="47">
        <f t="shared" ref="N149" si="140">SUM(N140:N148)</f>
        <v>18876730827.050003</v>
      </c>
      <c r="O149" s="47">
        <f t="shared" ref="O149" si="141">SUM(O140:O148)</f>
        <v>353285385.80999994</v>
      </c>
      <c r="P149" s="48">
        <f>SUM(P140:P148)</f>
        <v>18523077508.279999</v>
      </c>
      <c r="Q149" s="102">
        <f>(P149/$P$150)</f>
        <v>1.3370874362381116E-2</v>
      </c>
      <c r="R149" s="48">
        <f>SUM(R140:R148)</f>
        <v>18537655310.860001</v>
      </c>
      <c r="S149" s="102">
        <f>(R149/$R$150)</f>
        <v>1.3121842319461018E-2</v>
      </c>
      <c r="T149" s="49">
        <f t="shared" si="118"/>
        <v>7.8700758950478987E-4</v>
      </c>
      <c r="U149" s="70">
        <f t="shared" si="119"/>
        <v>2.7034421257493453E-3</v>
      </c>
      <c r="V149" s="50"/>
      <c r="W149" s="51"/>
      <c r="X149" s="51"/>
      <c r="Y149" s="47"/>
      <c r="Z149" s="47"/>
      <c r="AA149" s="52">
        <f>SUM(AA140:AA148)</f>
        <v>17165</v>
      </c>
      <c r="AB149" s="52"/>
      <c r="AC149" s="52"/>
      <c r="AD149" s="52"/>
      <c r="AE149" s="130"/>
      <c r="AF149" s="116"/>
    </row>
    <row r="150" spans="1:258" ht="15.75" customHeight="1" thickBot="1" x14ac:dyDescent="0.35">
      <c r="A150" s="139"/>
      <c r="B150" s="140"/>
      <c r="C150" s="141" t="s">
        <v>147</v>
      </c>
      <c r="D150" s="142">
        <f>SUM(D149,D137,D132,D108,D102,D81,D51,D20)</f>
        <v>28232981943.169998</v>
      </c>
      <c r="E150" s="142"/>
      <c r="F150" s="142">
        <f t="shared" ref="F150:O150" si="142">SUM(F149,F137,F132,F108,F102,F81,F51,F20)</f>
        <v>679028439228.38416</v>
      </c>
      <c r="G150" s="142">
        <f t="shared" si="142"/>
        <v>471312294538.04303</v>
      </c>
      <c r="H150" s="142">
        <f t="shared" si="142"/>
        <v>34049092962.010002</v>
      </c>
      <c r="I150" s="142">
        <f t="shared" si="142"/>
        <v>6950594489.3800001</v>
      </c>
      <c r="J150" s="142">
        <f t="shared" si="142"/>
        <v>1227084199299.072</v>
      </c>
      <c r="K150" s="142">
        <f t="shared" si="142"/>
        <v>9607143803.1552029</v>
      </c>
      <c r="L150" s="142">
        <f t="shared" si="142"/>
        <v>2258481294.8688002</v>
      </c>
      <c r="M150" s="142">
        <f t="shared" si="142"/>
        <v>2161519035.0956011</v>
      </c>
      <c r="N150" s="142">
        <f t="shared" si="142"/>
        <v>1428470501062.5452</v>
      </c>
      <c r="O150" s="142">
        <f t="shared" si="142"/>
        <v>19752828277.621696</v>
      </c>
      <c r="P150" s="142">
        <f>SUM(P20,P51,P81,P102,P108,P132,P137,P149)</f>
        <v>1385330308718.9705</v>
      </c>
      <c r="Q150" s="143"/>
      <c r="R150" s="142">
        <f>SUM(R20,R51,R81,R102,R108,R132,R137,R149)</f>
        <v>1412732668138.1306</v>
      </c>
      <c r="S150" s="143"/>
      <c r="T150" s="144"/>
      <c r="U150" s="145"/>
      <c r="V150" s="146"/>
      <c r="W150" s="147"/>
      <c r="X150" s="147"/>
      <c r="Y150" s="142"/>
      <c r="Z150" s="142"/>
      <c r="AA150" s="149">
        <f>SUM(AA20,AA51,AA81,AA102,AA108,AA132,AA137,AA149)</f>
        <v>901103</v>
      </c>
      <c r="AB150" s="142">
        <f>SUM(AB4:AB148)</f>
        <v>251949842143.33301</v>
      </c>
      <c r="AC150" s="142">
        <f>SUM(AC4:AC148)</f>
        <v>37486819152.548424</v>
      </c>
      <c r="AD150" s="142">
        <f ca="1">SUM(AD4:AD148)</f>
        <v>28849467664.84639</v>
      </c>
      <c r="AE150" s="148">
        <f ca="1">SUM(AE4:AE148)</f>
        <v>260587193631.03253</v>
      </c>
      <c r="AF150" s="116"/>
    </row>
    <row r="151" spans="1:258" ht="6" customHeight="1" x14ac:dyDescent="0.25">
      <c r="A151" s="165"/>
      <c r="B151" s="165"/>
      <c r="C151" s="165"/>
      <c r="D151" s="6"/>
      <c r="E151" s="6"/>
      <c r="F151" s="6"/>
      <c r="G151" s="6"/>
      <c r="H151" s="6"/>
      <c r="I151" s="166"/>
      <c r="J151" s="6"/>
      <c r="K151" s="6"/>
      <c r="L151" s="6"/>
      <c r="M151" s="192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</row>
    <row r="152" spans="1:258" ht="15.75" customHeight="1" x14ac:dyDescent="0.3">
      <c r="A152" s="159" t="s">
        <v>164</v>
      </c>
      <c r="B152" s="160" t="s">
        <v>165</v>
      </c>
      <c r="C152" s="161"/>
      <c r="D152" s="6"/>
      <c r="E152" s="6"/>
      <c r="F152" s="6"/>
      <c r="G152" s="6"/>
      <c r="H152" s="162"/>
      <c r="I152" s="6"/>
      <c r="J152" s="6"/>
      <c r="K152" s="6"/>
      <c r="L152" s="6"/>
      <c r="M152" s="192"/>
      <c r="N152" s="6"/>
      <c r="O152" s="6"/>
      <c r="P152" s="163"/>
      <c r="Q152" s="6"/>
      <c r="R152" s="163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164"/>
    </row>
    <row r="155" spans="1:258" ht="15.75" customHeight="1" x14ac:dyDescent="0.25">
      <c r="E155" s="88"/>
    </row>
  </sheetData>
  <mergeCells count="24">
    <mergeCell ref="A83:C83"/>
    <mergeCell ref="A94:C94"/>
    <mergeCell ref="A103:C103"/>
    <mergeCell ref="A109:C109"/>
    <mergeCell ref="A133:C133"/>
    <mergeCell ref="A1:AE1"/>
    <mergeCell ref="A3:C3"/>
    <mergeCell ref="A21:C21"/>
    <mergeCell ref="A52:C52"/>
    <mergeCell ref="A82:C82"/>
    <mergeCell ref="AA138:AE138"/>
    <mergeCell ref="J138:K138"/>
    <mergeCell ref="A139:C139"/>
    <mergeCell ref="L138:M138"/>
    <mergeCell ref="N138:O138"/>
    <mergeCell ref="P138:Q138"/>
    <mergeCell ref="A138:C138"/>
    <mergeCell ref="D138:F138"/>
    <mergeCell ref="G138:I138"/>
    <mergeCell ref="A143:C143"/>
    <mergeCell ref="R138:S138"/>
    <mergeCell ref="U138:V138"/>
    <mergeCell ref="W138:X138"/>
    <mergeCell ref="Y138:Z138"/>
  </mergeCells>
  <phoneticPr fontId="15" type="noConversion"/>
  <pageMargins left="0.7" right="0.7" top="0.75" bottom="0.75" header="0.3" footer="0.3"/>
  <pageSetup orientation="landscape" r:id="rId1"/>
  <headerFooter>
    <oddFooter>&amp;C&amp;"Helvetica,Regular"&amp;12&amp;K000000&amp;P</oddFooter>
  </headerFooter>
  <rowBreaks count="4" manualBreakCount="4">
    <brk id="60" max="16383" man="1"/>
    <brk id="94" max="16383" man="1"/>
    <brk id="95" max="16383" man="1"/>
    <brk id="1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M1" sqref="M1"/>
    </sheetView>
  </sheetViews>
  <sheetFormatPr defaultColWidth="10" defaultRowHeight="12.95" customHeight="1" x14ac:dyDescent="0.25"/>
  <cols>
    <col min="1" max="256" width="10" style="21" customWidth="1"/>
  </cols>
  <sheetData>
    <row r="1" spans="1:12" ht="12.95" customHeight="1" x14ac:dyDescent="0.25">
      <c r="A1" s="22"/>
      <c r="B1" s="2"/>
      <c r="C1" s="2"/>
      <c r="D1" s="2"/>
      <c r="E1" s="2"/>
      <c r="F1" s="2"/>
      <c r="G1" s="2"/>
      <c r="H1" s="2"/>
      <c r="I1" s="2"/>
      <c r="J1" s="2"/>
      <c r="K1" s="3"/>
      <c r="L1" s="9"/>
    </row>
    <row r="2" spans="1:12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7"/>
      <c r="L2" s="23"/>
    </row>
    <row r="3" spans="1:12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7"/>
      <c r="L3" s="23"/>
    </row>
    <row r="4" spans="1:12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7"/>
      <c r="L4" s="23"/>
    </row>
    <row r="5" spans="1:12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7"/>
      <c r="L5" s="23"/>
    </row>
    <row r="6" spans="1:12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7"/>
      <c r="L6" s="23"/>
    </row>
    <row r="7" spans="1:12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7"/>
      <c r="L7" s="23"/>
    </row>
    <row r="8" spans="1:12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7"/>
      <c r="L8" s="23"/>
    </row>
    <row r="9" spans="1:12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7"/>
      <c r="L9" s="23"/>
    </row>
    <row r="10" spans="1:12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7"/>
      <c r="L10" s="23"/>
    </row>
    <row r="11" spans="1:12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7"/>
      <c r="L11" s="23"/>
    </row>
    <row r="12" spans="1:12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7"/>
      <c r="L12" s="23"/>
    </row>
    <row r="13" spans="1:12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23"/>
    </row>
    <row r="14" spans="1:12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23"/>
    </row>
    <row r="15" spans="1:12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23"/>
    </row>
    <row r="16" spans="1:12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23"/>
    </row>
    <row r="17" spans="1:12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23"/>
    </row>
    <row r="18" spans="1:12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23"/>
    </row>
    <row r="19" spans="1:12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23"/>
    </row>
    <row r="20" spans="1:12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23"/>
    </row>
    <row r="21" spans="1:12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23"/>
    </row>
    <row r="22" spans="1:12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23"/>
    </row>
    <row r="23" spans="1:12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23"/>
    </row>
    <row r="24" spans="1:12" ht="12.95" customHeigh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20"/>
      <c r="L24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4"/>
  <sheetViews>
    <sheetView showGridLines="0" zoomScale="80" zoomScaleNormal="80" workbookViewId="0">
      <selection activeCell="O1" sqref="O1"/>
    </sheetView>
  </sheetViews>
  <sheetFormatPr defaultColWidth="10" defaultRowHeight="12.95" customHeight="1" x14ac:dyDescent="0.25"/>
  <cols>
    <col min="1" max="256" width="10" style="24" customWidth="1"/>
  </cols>
  <sheetData>
    <row r="1" spans="1:14" ht="12.95" customHeight="1" x14ac:dyDescent="0.25">
      <c r="A1" s="2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 ht="12.9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7"/>
    </row>
    <row r="3" spans="1:14" ht="12.9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7"/>
    </row>
    <row r="4" spans="1:14" ht="12.9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2.9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7"/>
    </row>
    <row r="6" spans="1:14" ht="12.9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2.9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7"/>
    </row>
    <row r="8" spans="1:14" ht="12.9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7"/>
    </row>
    <row r="9" spans="1:14" ht="12.9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ht="12.9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7"/>
    </row>
    <row r="11" spans="1:14" ht="12.9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7"/>
    </row>
    <row r="12" spans="1:14" ht="12.9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ht="12.9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7"/>
    </row>
    <row r="14" spans="1:14" ht="12.9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7"/>
    </row>
    <row r="15" spans="1:14" ht="12.9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ht="12.9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7"/>
    </row>
    <row r="17" spans="1:14" ht="12.9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7"/>
    </row>
    <row r="18" spans="1:14" ht="12.9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ht="12.9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7"/>
    </row>
    <row r="20" spans="1:14" ht="12.9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7"/>
    </row>
    <row r="21" spans="1:14" ht="12.9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ht="12.95" customHeight="1" x14ac:dyDescent="0.25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7"/>
    </row>
    <row r="23" spans="1:14" ht="12.95" customHeight="1" x14ac:dyDescent="0.25">
      <c r="A23" s="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</row>
    <row r="24" spans="1:14" ht="12.95" customHeigh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20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showGridLines="0" zoomScale="80" zoomScaleNormal="80" workbookViewId="0">
      <selection activeCell="P2" sqref="P2"/>
    </sheetView>
  </sheetViews>
  <sheetFormatPr defaultColWidth="8.85546875" defaultRowHeight="15" customHeight="1" x14ac:dyDescent="0.25"/>
  <cols>
    <col min="1" max="3" width="8.85546875" style="25" customWidth="1"/>
    <col min="4" max="4" width="10.42578125" style="25" customWidth="1"/>
    <col min="5" max="256" width="8.85546875" style="25" customWidth="1"/>
  </cols>
  <sheetData>
    <row r="1" spans="1:14" ht="15" customHeight="1" x14ac:dyDescent="0.25">
      <c r="A1" s="2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9"/>
    </row>
    <row r="2" spans="1:14" ht="15" customHeigh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23"/>
    </row>
    <row r="3" spans="1:14" ht="15" customHeigh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7"/>
      <c r="N3" s="23"/>
    </row>
    <row r="4" spans="1:14" ht="15" customHeight="1" x14ac:dyDescent="0.2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7"/>
      <c r="N4" s="23"/>
    </row>
    <row r="5" spans="1:14" ht="15" customHeight="1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7"/>
      <c r="N5" s="23"/>
    </row>
    <row r="6" spans="1:14" ht="15" customHeight="1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7"/>
      <c r="N6" s="23"/>
    </row>
    <row r="7" spans="1:14" ht="15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7"/>
      <c r="N7" s="23"/>
    </row>
    <row r="8" spans="1:14" ht="15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7"/>
      <c r="N8" s="23"/>
    </row>
    <row r="9" spans="1:14" ht="15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7"/>
      <c r="N9" s="23"/>
    </row>
    <row r="10" spans="1:14" ht="15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7"/>
      <c r="N10" s="23"/>
    </row>
    <row r="11" spans="1:14" ht="15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  <c r="N11" s="23"/>
    </row>
    <row r="12" spans="1:14" ht="15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7"/>
      <c r="N12" s="23"/>
    </row>
    <row r="13" spans="1:14" ht="15" customHeight="1" x14ac:dyDescent="0.25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7"/>
      <c r="N13" s="23"/>
    </row>
    <row r="14" spans="1:14" ht="15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7"/>
      <c r="N14" s="23"/>
    </row>
    <row r="15" spans="1:14" ht="15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7"/>
      <c r="N15" s="23"/>
    </row>
    <row r="16" spans="1:14" ht="15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7"/>
      <c r="N16" s="23"/>
    </row>
    <row r="17" spans="1:14" ht="15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7"/>
      <c r="N17" s="23"/>
    </row>
    <row r="18" spans="1:14" ht="15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7"/>
      <c r="N18" s="23"/>
    </row>
    <row r="19" spans="1:14" ht="15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7"/>
      <c r="N19" s="23"/>
    </row>
    <row r="20" spans="1:14" ht="15" customHeight="1" x14ac:dyDescent="0.25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7"/>
      <c r="N20" s="23"/>
    </row>
    <row r="21" spans="1:14" ht="15" customHeight="1" x14ac:dyDescent="0.25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7"/>
      <c r="N21" s="23"/>
    </row>
    <row r="22" spans="1:14" ht="15" customHeight="1" x14ac:dyDescent="0.25">
      <c r="A22" s="18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20"/>
      <c r="N22" s="12"/>
    </row>
  </sheetData>
  <pageMargins left="0.7" right="0.7" top="0.75" bottom="0.75" header="0.3" footer="0.3"/>
  <pageSetup orientation="portrait"/>
  <headerFooter>
    <oddFooter>&amp;C&amp;"Helvetica,Regular"&amp;12&amp;K000000&amp;P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MARCH 2022</vt:lpstr>
      <vt:lpstr>Market Share</vt:lpstr>
      <vt:lpstr>Unit Holders</vt:lpstr>
      <vt:lpstr>NAV Comparison Jan - Mar '22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Isaac, Tunde</dc:creator>
  <cp:lastModifiedBy>Isaac, Tunde</cp:lastModifiedBy>
  <cp:lastPrinted>2021-12-13T00:24:01Z</cp:lastPrinted>
  <dcterms:created xsi:type="dcterms:W3CDTF">2021-07-14T13:16:57Z</dcterms:created>
  <dcterms:modified xsi:type="dcterms:W3CDTF">2022-05-08T17:37:53Z</dcterms:modified>
</cp:coreProperties>
</file>