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0" yWindow="465" windowWidth="28800" windowHeight="16515"/>
  </bookViews>
  <sheets>
    <sheet name="FEBRUARY 2022" sheetId="1" r:id="rId1"/>
    <sheet name="Market Share" sheetId="2" r:id="rId2"/>
    <sheet name="Unit Holders" sheetId="3" r:id="rId3"/>
    <sheet name="NAV Comparison Jan &amp; Feb '22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8" i="1" l="1"/>
  <c r="AA80" i="1"/>
  <c r="R149" i="1"/>
  <c r="R80" i="1"/>
  <c r="R148" i="1"/>
  <c r="Q148" i="1"/>
  <c r="P148" i="1"/>
  <c r="P80" i="1"/>
  <c r="X17" i="1"/>
  <c r="W17" i="1"/>
  <c r="V17" i="1"/>
  <c r="U17" i="1"/>
  <c r="T17" i="1"/>
  <c r="J76" i="1" l="1"/>
  <c r="J80" i="1" s="1"/>
  <c r="G107" i="1"/>
  <c r="O107" i="1"/>
  <c r="K107" i="1"/>
  <c r="L107" i="1"/>
  <c r="M107" i="1"/>
  <c r="N107" i="1"/>
  <c r="H107" i="1"/>
  <c r="I107" i="1"/>
  <c r="J107" i="1"/>
  <c r="F107" i="1"/>
  <c r="O80" i="1"/>
  <c r="L80" i="1"/>
  <c r="M80" i="1"/>
  <c r="N80" i="1"/>
  <c r="F80" i="1"/>
  <c r="G80" i="1"/>
  <c r="I80" i="1"/>
  <c r="K80" i="1"/>
  <c r="D80" i="1"/>
  <c r="O51" i="1"/>
  <c r="N51" i="1"/>
  <c r="I51" i="1"/>
  <c r="K51" i="1"/>
  <c r="L51" i="1"/>
  <c r="M51" i="1"/>
  <c r="F51" i="1"/>
  <c r="O20" i="1"/>
  <c r="K20" i="1"/>
  <c r="L20" i="1"/>
  <c r="M20" i="1"/>
  <c r="N20" i="1"/>
  <c r="F20" i="1"/>
  <c r="G20" i="1"/>
  <c r="H20" i="1"/>
  <c r="D20" i="1"/>
  <c r="L131" i="1"/>
  <c r="M131" i="1"/>
  <c r="N131" i="1"/>
  <c r="O131" i="1"/>
  <c r="F131" i="1"/>
  <c r="G131" i="1"/>
  <c r="H131" i="1"/>
  <c r="D131" i="1"/>
  <c r="J136" i="1"/>
  <c r="K136" i="1"/>
  <c r="L136" i="1"/>
  <c r="M136" i="1"/>
  <c r="N136" i="1"/>
  <c r="O136" i="1"/>
  <c r="F136" i="1"/>
  <c r="G136" i="1"/>
  <c r="H136" i="1"/>
  <c r="H149" i="1" s="1"/>
  <c r="D136" i="1"/>
  <c r="M148" i="1"/>
  <c r="N148" i="1"/>
  <c r="O148" i="1"/>
  <c r="J148" i="1"/>
  <c r="K148" i="1"/>
  <c r="L148" i="1"/>
  <c r="G148" i="1"/>
  <c r="F148" i="1"/>
  <c r="D148" i="1"/>
  <c r="Y98" i="1"/>
  <c r="Z98" i="1"/>
  <c r="R98" i="1"/>
  <c r="O98" i="1"/>
  <c r="N98" i="1"/>
  <c r="M99" i="1"/>
  <c r="N99" i="1"/>
  <c r="M98" i="1"/>
  <c r="L98" i="1"/>
  <c r="K98" i="1"/>
  <c r="F98" i="1"/>
  <c r="J98" i="1"/>
  <c r="G98" i="1"/>
  <c r="F100" i="1"/>
  <c r="J47" i="1" l="1"/>
  <c r="J51" i="1" s="1"/>
  <c r="J128" i="1"/>
  <c r="J131" i="1" s="1"/>
  <c r="R99" i="1"/>
  <c r="O99" i="1"/>
  <c r="L99" i="1"/>
  <c r="K99" i="1"/>
  <c r="J99" i="1"/>
  <c r="G99" i="1"/>
  <c r="D97" i="1" l="1"/>
  <c r="D101" i="1" s="1"/>
  <c r="D149" i="1" s="1"/>
  <c r="Z91" i="1"/>
  <c r="Y91" i="1"/>
  <c r="R91" i="1"/>
  <c r="W91" i="1" s="1"/>
  <c r="O91" i="1"/>
  <c r="N91" i="1"/>
  <c r="M91" i="1"/>
  <c r="X91" i="1" s="1"/>
  <c r="L91" i="1"/>
  <c r="K91" i="1"/>
  <c r="J91" i="1"/>
  <c r="G91" i="1"/>
  <c r="U91" i="1"/>
  <c r="J6" i="1"/>
  <c r="J20" i="1" s="1"/>
  <c r="K118" i="1"/>
  <c r="K131" i="1" s="1"/>
  <c r="Z89" i="1"/>
  <c r="Y89" i="1"/>
  <c r="R89" i="1"/>
  <c r="O89" i="1"/>
  <c r="N89" i="1"/>
  <c r="M89" i="1"/>
  <c r="L89" i="1"/>
  <c r="K89" i="1"/>
  <c r="J89" i="1"/>
  <c r="G89" i="1"/>
  <c r="Z95" i="1"/>
  <c r="Y95" i="1"/>
  <c r="R95" i="1"/>
  <c r="O95" i="1"/>
  <c r="N95" i="1"/>
  <c r="M95" i="1"/>
  <c r="L95" i="1"/>
  <c r="K95" i="1"/>
  <c r="J95" i="1"/>
  <c r="F95" i="1"/>
  <c r="G95" i="1"/>
  <c r="G94" i="1"/>
  <c r="G96" i="1"/>
  <c r="Z94" i="1"/>
  <c r="Y94" i="1"/>
  <c r="R94" i="1"/>
  <c r="O94" i="1"/>
  <c r="N94" i="1"/>
  <c r="M94" i="1"/>
  <c r="L94" i="1"/>
  <c r="K94" i="1"/>
  <c r="J94" i="1"/>
  <c r="F94" i="1"/>
  <c r="Z100" i="1"/>
  <c r="Y100" i="1"/>
  <c r="R100" i="1"/>
  <c r="O100" i="1"/>
  <c r="N100" i="1"/>
  <c r="M100" i="1"/>
  <c r="L100" i="1"/>
  <c r="K100" i="1"/>
  <c r="J100" i="1"/>
  <c r="G100" i="1"/>
  <c r="Z85" i="1"/>
  <c r="Y85" i="1"/>
  <c r="R85" i="1"/>
  <c r="O85" i="1"/>
  <c r="O101" i="1" s="1"/>
  <c r="O149" i="1" s="1"/>
  <c r="N85" i="1"/>
  <c r="M85" i="1"/>
  <c r="L85" i="1"/>
  <c r="K85" i="1"/>
  <c r="G85" i="1"/>
  <c r="Z86" i="1"/>
  <c r="Y86" i="1"/>
  <c r="R86" i="1"/>
  <c r="O86" i="1"/>
  <c r="N86" i="1"/>
  <c r="M86" i="1"/>
  <c r="L86" i="1"/>
  <c r="K86" i="1"/>
  <c r="J86" i="1"/>
  <c r="F86" i="1"/>
  <c r="F101" i="1" s="1"/>
  <c r="F149" i="1" s="1"/>
  <c r="G86" i="1"/>
  <c r="Z97" i="1"/>
  <c r="Y97" i="1"/>
  <c r="R97" i="1"/>
  <c r="O97" i="1"/>
  <c r="N97" i="1"/>
  <c r="M97" i="1"/>
  <c r="L97" i="1"/>
  <c r="K97" i="1"/>
  <c r="AA96" i="1"/>
  <c r="Z96" i="1"/>
  <c r="Y96" i="1"/>
  <c r="R96" i="1"/>
  <c r="O96" i="1"/>
  <c r="N96" i="1"/>
  <c r="L96" i="1"/>
  <c r="K96" i="1"/>
  <c r="J96" i="1"/>
  <c r="Z88" i="1"/>
  <c r="Y88" i="1"/>
  <c r="G101" i="1" l="1"/>
  <c r="G149" i="1" s="1"/>
  <c r="J101" i="1"/>
  <c r="J149" i="1" s="1"/>
  <c r="K101" i="1"/>
  <c r="L101" i="1"/>
  <c r="L149" i="1" s="1"/>
  <c r="M101" i="1"/>
  <c r="M149" i="1" s="1"/>
  <c r="N101" i="1"/>
  <c r="N149" i="1" s="1"/>
  <c r="K149" i="1"/>
  <c r="T91" i="1"/>
  <c r="V91" i="1"/>
  <c r="AA146" i="1"/>
  <c r="I146" i="1"/>
  <c r="I148" i="1" s="1"/>
  <c r="I149" i="1" s="1"/>
  <c r="AA30" i="1" l="1"/>
  <c r="AA43" i="1" l="1"/>
  <c r="AA125" i="1"/>
  <c r="R20" i="1"/>
  <c r="S17" i="1" s="1"/>
  <c r="P136" i="1"/>
  <c r="P131" i="1"/>
  <c r="P107" i="1"/>
  <c r="P100" i="1"/>
  <c r="P97" i="1"/>
  <c r="P96" i="1"/>
  <c r="P95" i="1"/>
  <c r="P94" i="1"/>
  <c r="P86" i="1"/>
  <c r="P85" i="1"/>
  <c r="P51" i="1"/>
  <c r="P20" i="1"/>
  <c r="Q17" i="1" s="1"/>
  <c r="P101" i="1" l="1"/>
  <c r="Q91" i="1" s="1"/>
  <c r="P149" i="1"/>
  <c r="X147" i="1" l="1"/>
  <c r="W147" i="1"/>
  <c r="V147" i="1"/>
  <c r="U147" i="1"/>
  <c r="T147" i="1"/>
  <c r="X79" i="1" l="1"/>
  <c r="W79" i="1"/>
  <c r="V79" i="1"/>
  <c r="U79" i="1"/>
  <c r="T79" i="1"/>
  <c r="Q147" i="1"/>
  <c r="Q79" i="1" l="1"/>
  <c r="X35" i="1" l="1"/>
  <c r="V34" i="1"/>
  <c r="V35" i="1"/>
  <c r="V42" i="1" l="1"/>
  <c r="V48" i="1"/>
  <c r="V120" i="1"/>
  <c r="X119" i="1"/>
  <c r="X121" i="1"/>
  <c r="X97" i="1"/>
  <c r="W97" i="1"/>
  <c r="X96" i="1"/>
  <c r="W100" i="1"/>
  <c r="X100" i="1"/>
  <c r="U100" i="1"/>
  <c r="V100" i="1" l="1"/>
  <c r="T76" i="1" l="1"/>
  <c r="T70" i="1"/>
  <c r="T134" i="1"/>
  <c r="R131" i="1" l="1"/>
  <c r="AA136" i="1" l="1"/>
  <c r="R136" i="1"/>
  <c r="S134" i="1" s="1"/>
  <c r="S135" i="1" l="1"/>
  <c r="S133" i="1"/>
  <c r="Q134" i="1"/>
  <c r="Q135" i="1"/>
  <c r="Q133" i="1"/>
  <c r="T136" i="1"/>
  <c r="AA101" i="1"/>
  <c r="R101" i="1"/>
  <c r="S91" i="1" s="1"/>
  <c r="S147" i="1"/>
  <c r="S79" i="1" l="1"/>
  <c r="S95" i="1"/>
  <c r="S86" i="1"/>
  <c r="S96" i="1"/>
  <c r="S87" i="1"/>
  <c r="S88" i="1"/>
  <c r="S98" i="1"/>
  <c r="S89" i="1"/>
  <c r="S97" i="1"/>
  <c r="S99" i="1"/>
  <c r="S90" i="1"/>
  <c r="S100" i="1"/>
  <c r="S83" i="1"/>
  <c r="S84" i="1"/>
  <c r="S85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4" i="1"/>
  <c r="S145" i="1"/>
  <c r="S146" i="1"/>
  <c r="S143" i="1"/>
  <c r="S140" i="1"/>
  <c r="Q144" i="1"/>
  <c r="Q145" i="1"/>
  <c r="Q146" i="1"/>
  <c r="Q143" i="1"/>
  <c r="Q140" i="1"/>
  <c r="Q100" i="1"/>
  <c r="Q90" i="1"/>
  <c r="Q94" i="1"/>
  <c r="Q83" i="1"/>
  <c r="Q98" i="1"/>
  <c r="Q84" i="1"/>
  <c r="Q95" i="1"/>
  <c r="Q85" i="1"/>
  <c r="Q89" i="1"/>
  <c r="Q96" i="1"/>
  <c r="Q86" i="1"/>
  <c r="Q97" i="1"/>
  <c r="Q87" i="1"/>
  <c r="Q88" i="1"/>
  <c r="Q99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5" i="1"/>
  <c r="W125" i="1"/>
  <c r="V125" i="1"/>
  <c r="U125" i="1"/>
  <c r="T125" i="1"/>
  <c r="X124" i="1"/>
  <c r="W124" i="1"/>
  <c r="V124" i="1"/>
  <c r="U124" i="1"/>
  <c r="T124" i="1"/>
  <c r="X99" i="1" l="1"/>
  <c r="W99" i="1"/>
  <c r="V99" i="1"/>
  <c r="U99" i="1"/>
  <c r="T99" i="1"/>
  <c r="W98" i="1"/>
  <c r="X98" i="1"/>
  <c r="X90" i="1"/>
  <c r="W90" i="1"/>
  <c r="V90" i="1"/>
  <c r="U90" i="1"/>
  <c r="T90" i="1"/>
  <c r="W89" i="1"/>
  <c r="X89" i="1"/>
  <c r="X88" i="1"/>
  <c r="W88" i="1"/>
  <c r="V88" i="1"/>
  <c r="U88" i="1"/>
  <c r="T88" i="1"/>
  <c r="X87" i="1"/>
  <c r="W87" i="1"/>
  <c r="V87" i="1"/>
  <c r="U87" i="1"/>
  <c r="T87" i="1"/>
  <c r="X85" i="1"/>
  <c r="X86" i="1"/>
  <c r="X84" i="1"/>
  <c r="W84" i="1"/>
  <c r="V84" i="1"/>
  <c r="U84" i="1"/>
  <c r="T84" i="1"/>
  <c r="X83" i="1"/>
  <c r="W83" i="1"/>
  <c r="V83" i="1"/>
  <c r="U83" i="1"/>
  <c r="T83" i="1"/>
  <c r="U97" i="1" l="1"/>
  <c r="W96" i="1"/>
  <c r="U98" i="1"/>
  <c r="V97" i="1"/>
  <c r="V96" i="1"/>
  <c r="T98" i="1"/>
  <c r="T97" i="1"/>
  <c r="T96" i="1"/>
  <c r="U96" i="1"/>
  <c r="V98" i="1"/>
  <c r="U86" i="1"/>
  <c r="U89" i="1"/>
  <c r="T85" i="1"/>
  <c r="W85" i="1"/>
  <c r="U85" i="1"/>
  <c r="T89" i="1"/>
  <c r="V86" i="1"/>
  <c r="V89" i="1"/>
  <c r="W86" i="1"/>
  <c r="V85" i="1"/>
  <c r="T86" i="1"/>
  <c r="T146" i="1" l="1"/>
  <c r="U139" i="1"/>
  <c r="U134" i="1"/>
  <c r="U135" i="1"/>
  <c r="U140" i="1"/>
  <c r="U144" i="1"/>
  <c r="U145" i="1"/>
  <c r="U146" i="1"/>
  <c r="T126" i="1"/>
  <c r="Q139" i="1"/>
  <c r="T50" i="1"/>
  <c r="T45" i="1"/>
  <c r="T58" i="1"/>
  <c r="S110" i="1" l="1"/>
  <c r="S118" i="1"/>
  <c r="S126" i="1"/>
  <c r="S111" i="1"/>
  <c r="S119" i="1"/>
  <c r="S127" i="1"/>
  <c r="S112" i="1"/>
  <c r="S120" i="1"/>
  <c r="S128" i="1"/>
  <c r="S113" i="1"/>
  <c r="S121" i="1"/>
  <c r="S129" i="1"/>
  <c r="S114" i="1"/>
  <c r="S122" i="1"/>
  <c r="S130" i="1"/>
  <c r="S124" i="1"/>
  <c r="S115" i="1"/>
  <c r="S123" i="1"/>
  <c r="S116" i="1"/>
  <c r="S117" i="1"/>
  <c r="S125" i="1"/>
  <c r="Q105" i="1"/>
  <c r="Q104" i="1"/>
  <c r="Q106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39" i="1"/>
  <c r="Q120" i="1" l="1"/>
  <c r="Q136" i="1"/>
  <c r="Q113" i="1"/>
  <c r="Q121" i="1"/>
  <c r="Q129" i="1"/>
  <c r="Q114" i="1"/>
  <c r="Q122" i="1"/>
  <c r="Q130" i="1"/>
  <c r="Q115" i="1"/>
  <c r="Q123" i="1"/>
  <c r="Q109" i="1"/>
  <c r="Q51" i="1"/>
  <c r="Q117" i="1"/>
  <c r="Q118" i="1"/>
  <c r="Q116" i="1"/>
  <c r="Q124" i="1"/>
  <c r="Q131" i="1"/>
  <c r="Q110" i="1"/>
  <c r="Q126" i="1"/>
  <c r="Q125" i="1"/>
  <c r="Q111" i="1"/>
  <c r="Q119" i="1"/>
  <c r="Q127" i="1"/>
  <c r="Q107" i="1"/>
  <c r="Q112" i="1"/>
  <c r="Q128" i="1"/>
  <c r="Q101" i="1"/>
  <c r="Q80" i="1"/>
  <c r="Q20" i="1"/>
  <c r="U148" i="1"/>
  <c r="U130" i="1"/>
  <c r="U129" i="1"/>
  <c r="U45" i="1"/>
  <c r="U44" i="1"/>
  <c r="X109" i="1" l="1"/>
  <c r="W122" i="1"/>
  <c r="T19" i="1" l="1"/>
  <c r="U64" i="1"/>
  <c r="U65" i="1"/>
  <c r="X134" i="1" l="1"/>
  <c r="T100" i="1" l="1"/>
  <c r="T57" i="1" l="1"/>
  <c r="X111" i="1"/>
  <c r="T129" i="1"/>
  <c r="T130" i="1"/>
  <c r="T56" i="1"/>
  <c r="AA107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29" i="1" l="1"/>
  <c r="W129" i="1"/>
  <c r="V129" i="1"/>
  <c r="X56" i="1"/>
  <c r="W56" i="1"/>
  <c r="V56" i="1"/>
  <c r="U56" i="1"/>
  <c r="X48" i="1"/>
  <c r="W48" i="1"/>
  <c r="U48" i="1"/>
  <c r="X145" i="1" l="1"/>
  <c r="W145" i="1"/>
  <c r="V145" i="1"/>
  <c r="T145" i="1"/>
  <c r="X128" i="1" l="1"/>
  <c r="W128" i="1"/>
  <c r="V128" i="1"/>
  <c r="U128" i="1"/>
  <c r="T128" i="1"/>
  <c r="X47" i="1" l="1"/>
  <c r="W47" i="1"/>
  <c r="V47" i="1"/>
  <c r="U47" i="1"/>
  <c r="T47" i="1"/>
  <c r="X105" i="1" l="1"/>
  <c r="W105" i="1"/>
  <c r="V105" i="1"/>
  <c r="U105" i="1"/>
  <c r="T105" i="1"/>
  <c r="X77" i="1" l="1"/>
  <c r="W77" i="1"/>
  <c r="V77" i="1"/>
  <c r="U77" i="1"/>
  <c r="T77" i="1"/>
  <c r="X144" i="1"/>
  <c r="W144" i="1"/>
  <c r="V144" i="1"/>
  <c r="T144" i="1"/>
  <c r="T148" i="1" l="1"/>
  <c r="X146" i="1"/>
  <c r="W146" i="1"/>
  <c r="V146" i="1"/>
  <c r="X140" i="1"/>
  <c r="W140" i="1"/>
  <c r="V140" i="1"/>
  <c r="T140" i="1"/>
  <c r="X135" i="1"/>
  <c r="W135" i="1"/>
  <c r="V135" i="1"/>
  <c r="T135" i="1"/>
  <c r="W134" i="1"/>
  <c r="V134" i="1"/>
  <c r="X139" i="1"/>
  <c r="W139" i="1"/>
  <c r="V139" i="1"/>
  <c r="T139" i="1"/>
  <c r="X133" i="1"/>
  <c r="W133" i="1"/>
  <c r="V133" i="1"/>
  <c r="U133" i="1"/>
  <c r="T133" i="1"/>
  <c r="AA131" i="1"/>
  <c r="X130" i="1"/>
  <c r="W130" i="1"/>
  <c r="V130" i="1"/>
  <c r="X126" i="1"/>
  <c r="W126" i="1"/>
  <c r="V126" i="1"/>
  <c r="U126" i="1"/>
  <c r="X120" i="1"/>
  <c r="W120" i="1"/>
  <c r="U120" i="1"/>
  <c r="T120" i="1"/>
  <c r="W119" i="1"/>
  <c r="U119" i="1"/>
  <c r="T119" i="1"/>
  <c r="X123" i="1"/>
  <c r="W123" i="1"/>
  <c r="V123" i="1"/>
  <c r="U123" i="1"/>
  <c r="T123" i="1"/>
  <c r="X122" i="1"/>
  <c r="V122" i="1"/>
  <c r="U122" i="1"/>
  <c r="T122" i="1"/>
  <c r="X118" i="1"/>
  <c r="W118" i="1"/>
  <c r="V118" i="1"/>
  <c r="U118" i="1"/>
  <c r="T118" i="1"/>
  <c r="W121" i="1"/>
  <c r="V121" i="1"/>
  <c r="U121" i="1"/>
  <c r="T121" i="1"/>
  <c r="X116" i="1"/>
  <c r="W116" i="1"/>
  <c r="V116" i="1"/>
  <c r="U116" i="1"/>
  <c r="T116" i="1"/>
  <c r="X117" i="1"/>
  <c r="W117" i="1"/>
  <c r="V117" i="1"/>
  <c r="U117" i="1"/>
  <c r="T117" i="1"/>
  <c r="X115" i="1"/>
  <c r="W115" i="1"/>
  <c r="V115" i="1"/>
  <c r="U115" i="1"/>
  <c r="T115" i="1"/>
  <c r="X114" i="1"/>
  <c r="W114" i="1"/>
  <c r="V114" i="1"/>
  <c r="U114" i="1"/>
  <c r="T114" i="1"/>
  <c r="X127" i="1"/>
  <c r="W127" i="1"/>
  <c r="V127" i="1"/>
  <c r="U127" i="1"/>
  <c r="T127" i="1"/>
  <c r="X113" i="1"/>
  <c r="W113" i="1"/>
  <c r="V113" i="1"/>
  <c r="U113" i="1"/>
  <c r="T113" i="1"/>
  <c r="X112" i="1"/>
  <c r="W112" i="1"/>
  <c r="V112" i="1"/>
  <c r="U112" i="1"/>
  <c r="T112" i="1"/>
  <c r="W111" i="1"/>
  <c r="V111" i="1"/>
  <c r="U111" i="1"/>
  <c r="T111" i="1"/>
  <c r="X110" i="1"/>
  <c r="W110" i="1"/>
  <c r="V110" i="1"/>
  <c r="U110" i="1"/>
  <c r="T110" i="1"/>
  <c r="W109" i="1"/>
  <c r="V109" i="1"/>
  <c r="U109" i="1"/>
  <c r="T109" i="1"/>
  <c r="R107" i="1"/>
  <c r="Q103" i="1"/>
  <c r="X106" i="1"/>
  <c r="W106" i="1"/>
  <c r="V106" i="1"/>
  <c r="U106" i="1"/>
  <c r="T106" i="1"/>
  <c r="X104" i="1"/>
  <c r="W104" i="1"/>
  <c r="V104" i="1"/>
  <c r="U104" i="1"/>
  <c r="T104" i="1"/>
  <c r="X103" i="1"/>
  <c r="W103" i="1"/>
  <c r="V103" i="1"/>
  <c r="U103" i="1"/>
  <c r="T103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3" i="1"/>
  <c r="W143" i="1"/>
  <c r="V143" i="1"/>
  <c r="U143" i="1"/>
  <c r="T143" i="1"/>
  <c r="X73" i="1"/>
  <c r="W73" i="1"/>
  <c r="V73" i="1"/>
  <c r="U73" i="1"/>
  <c r="T73" i="1"/>
  <c r="X72" i="1"/>
  <c r="W72" i="1"/>
  <c r="V72" i="1"/>
  <c r="U72" i="1"/>
  <c r="T72" i="1"/>
  <c r="X95" i="1"/>
  <c r="W95" i="1"/>
  <c r="V95" i="1"/>
  <c r="U95" i="1"/>
  <c r="T95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4" i="1"/>
  <c r="W94" i="1"/>
  <c r="V94" i="1"/>
  <c r="U94" i="1"/>
  <c r="T94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S51" i="1" l="1"/>
  <c r="AA149" i="1"/>
  <c r="S104" i="1"/>
  <c r="S106" i="1"/>
  <c r="S105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80" i="1"/>
  <c r="S94" i="1"/>
  <c r="S103" i="1"/>
  <c r="S109" i="1"/>
  <c r="Q4" i="1"/>
  <c r="Q22" i="1"/>
  <c r="T131" i="1"/>
  <c r="S22" i="1"/>
  <c r="T101" i="1"/>
  <c r="T51" i="1"/>
  <c r="S4" i="1"/>
  <c r="T107" i="1"/>
  <c r="S80" i="1" l="1"/>
  <c r="S101" i="1"/>
  <c r="S107" i="1"/>
  <c r="S20" i="1"/>
  <c r="S131" i="1"/>
  <c r="S148" i="1"/>
  <c r="S136" i="1"/>
  <c r="V119" i="1"/>
</calcChain>
</file>

<file path=xl/sharedStrings.xml><?xml version="1.0" encoding="utf-8"?>
<sst xmlns="http://schemas.openxmlformats.org/spreadsheetml/2006/main" count="311" uniqueCount="217">
  <si>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</si>
  <si>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</si>
  <si>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</si>
  <si>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</si>
  <si>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</si>
  <si>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</si>
  <si>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</si>
  <si>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</si>
  <si>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</si>
  <si>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</si>
  <si>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</si>
  <si>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</si>
  <si>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</si>
  <si>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</si>
  <si>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</si>
  <si>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</si>
  <si>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</si>
  <si>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</si>
  <si>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</si>
  <si>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</si>
  <si>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</si>
  <si>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</si>
  <si>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</si>
  <si>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</si>
  <si>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</si>
  <si>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</si>
  <si>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</si>
  <si>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</si>
  <si>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</si>
  <si>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</si>
  <si>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</si>
  <si>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</si>
  <si>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</si>
  <si>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</si>
  <si>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</si>
  <si>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</si>
  <si>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</si>
  <si>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</si>
  <si>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</si>
  <si>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</si>
  <si>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</si>
  <si>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</si>
  <si>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</si>
  <si>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</si>
  <si>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</si>
  <si>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</si>
  <si>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</si>
  <si>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</si>
  <si>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</si>
  <si>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</si>
  <si>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</si>
  <si>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</si>
  <si>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</si>
  <si>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</si>
  <si>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</si>
  <si>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</si>
  <si>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</si>
  <si>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</si>
  <si>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</si>
  <si>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</si>
  <si>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</si>
  <si>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</si>
  <si>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</si>
  <si>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</si>
  <si>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</si>
  <si>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</si>
  <si>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</si>
  <si>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</si>
  <si>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</si>
  <si>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</si>
  <si>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</si>
  <si>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</si>
  <si>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</si>
  <si>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</si>
  <si>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</si>
  <si>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</si>
  <si>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</si>
  <si>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</si>
  <si>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</si>
  <si>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</si>
  <si>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</si>
  <si>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</si>
  <si>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</si>
  <si>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</si>
  <si>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</si>
  <si>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</si>
  <si>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</si>
  <si>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</si>
  <si>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</si>
  <si>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</si>
  <si>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</si>
  <si>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</si>
  <si>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</si>
  <si>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</si>
  <si>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</si>
  <si>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</si>
  <si>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</si>
  <si>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</si>
  <si>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</si>
  <si>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</si>
  <si>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</si>
  <si>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</si>
  <si>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</si>
  <si>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</si>
  <si>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</si>
  <si>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</si>
  <si>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</si>
  <si>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</si>
  <si>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</si>
  <si>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</si>
  <si>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</si>
  <si>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</si>
  <si>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</si>
  <si>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</si>
  <si>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</si>
  <si>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</si>
  <si>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</si>
  <si>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</si>
  <si>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</si>
  <si>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</si>
  <si>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</si>
  <si>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</si>
  <si>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</si>
  <si>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</si>
  <si>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</si>
  <si>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</si>
  <si>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</si>
  <si>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</si>
  <si>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</si>
  <si>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</si>
  <si>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</si>
  <si>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</si>
  <si>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</si>
  <si>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</si>
  <si>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</si>
  <si>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</si>
  <si>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</si>
  <si>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</si>
  <si>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</si>
  <si>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</si>
  <si>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</si>
  <si>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</si>
  <si>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</si>
  <si>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</si>
  <si>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</si>
  <si>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</si>
  <si>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</si>
  <si>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</si>
  <si>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</si>
  <si>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</si>
  <si>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</si>
  <si>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</si>
  <si>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</si>
  <si>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</si>
  <si>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</si>
  <si>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</si>
  <si>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</si>
  <si>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</si>
  <si>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</si>
  <si>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</si>
  <si>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</si>
  <si>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</si>
  <si>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</si>
  <si>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</si>
  <si>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</si>
  <si>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</si>
  <si>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</si>
  <si>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</si>
  <si>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</si>
  <si>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</si>
  <si>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</si>
  <si>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</si>
  <si>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</si>
  <si>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</si>
  <si>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</si>
  <si>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</si>
  <si>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</si>
  <si>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</si>
  <si>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</si>
  <si>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</si>
  <si>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</si>
  <si>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</si>
  <si>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</si>
  <si>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</si>
  <si>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</si>
  <si>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ESG Impact Fund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</si>
  <si>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</si>
  <si>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</si>
  <si>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</si>
  <si>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</si>
  <si>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</si>
  <si>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</si>
  <si>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</si>
  <si>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</si>
  <si>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Balanced Strategy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</si>
  <si>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</si>
  <si>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</si>
  <si>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</si>
  <si>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</si>
  <si>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</si>
  <si>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</si>
  <si>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(Institutional)</t>
  </si>
  <si>
    <t>FBN Dollar Fund (Retail)</t>
  </si>
  <si>
    <t>-</t>
  </si>
  <si>
    <t>Halal Fixed Income Fund</t>
  </si>
  <si>
    <t xml:space="preserve">AXA Mansard Investments Limited </t>
  </si>
  <si>
    <t>EDC Nigeria Fixed Income Fund</t>
  </si>
  <si>
    <t xml:space="preserve">Capital Trust Investments &amp; Asset Mgt. Ltd </t>
  </si>
  <si>
    <t>NET ASSET VALUE  (N) PREVIOUS (JANUARY)</t>
  </si>
  <si>
    <t>SPREADSHEET OF REGISTERED MUTUAL FUNDS AS AT 28TH FEBRUARY, 2022</t>
  </si>
  <si>
    <t xml:space="preserve">NET ASSET VALUE  (N) </t>
  </si>
  <si>
    <t>Nigerian Entertainment Fund</t>
  </si>
  <si>
    <t>28,479,108.01</t>
  </si>
  <si>
    <t>920,216,839.546095458.91</t>
  </si>
  <si>
    <t>AXA Mansard Dollar Bond Fund</t>
  </si>
  <si>
    <t>73a</t>
  </si>
  <si>
    <t>73b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</si>
</sst>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5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10"/>
      <color indexed="8"/>
      <name val="BookAntiqua"/>
    </font>
    <font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9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4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6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6" fontId="3" fillId="2" borderId="13" xfId="0" applyNumberFormat="1" applyFont="1" applyFill="1" applyBorder="1" applyAlignment="1"/>
    <xf numFmtId="165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166" fontId="2" fillId="2" borderId="10" xfId="0" applyNumberFormat="1" applyFont="1" applyFill="1" applyBorder="1" applyAlignment="1"/>
    <xf numFmtId="166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6" fontId="5" fillId="2" borderId="1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5" fillId="2" borderId="6" xfId="0" applyNumberFormat="1" applyFont="1" applyFill="1" applyBorder="1" applyAlignment="1"/>
    <xf numFmtId="166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4" fontId="2" fillId="2" borderId="11" xfId="0" applyNumberFormat="1" applyFont="1" applyFill="1" applyBorder="1" applyAlignment="1"/>
    <xf numFmtId="166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6" fontId="3" fillId="3" borderId="19" xfId="0" applyNumberFormat="1" applyFont="1" applyFill="1" applyBorder="1" applyAlignment="1">
      <alignment horizontal="right" vertical="center"/>
    </xf>
    <xf numFmtId="165" fontId="3" fillId="2" borderId="19" xfId="0" applyNumberFormat="1" applyFont="1" applyFill="1" applyBorder="1" applyAlignment="1"/>
    <xf numFmtId="166" fontId="3" fillId="2" borderId="19" xfId="0" applyNumberFormat="1" applyFont="1" applyFill="1" applyBorder="1" applyAlignment="1">
      <alignment horizontal="left"/>
    </xf>
    <xf numFmtId="0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0" fontId="6" fillId="3" borderId="19" xfId="0" applyNumberFormat="1" applyFont="1" applyFill="1" applyBorder="1" applyAlignment="1">
      <alignment horizontal="right" vertical="center"/>
    </xf>
    <xf numFmtId="166" fontId="6" fillId="3" borderId="19" xfId="0" applyNumberFormat="1" applyFont="1" applyFill="1" applyBorder="1" applyAlignment="1">
      <alignment horizontal="right" vertical="center"/>
    </xf>
    <xf numFmtId="166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6" fontId="4" fillId="2" borderId="19" xfId="0" applyNumberFormat="1" applyFont="1" applyFill="1" applyBorder="1" applyAlignment="1"/>
    <xf numFmtId="166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6" fontId="4" fillId="3" borderId="19" xfId="0" applyNumberFormat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Font="1" applyBorder="1" applyAlignment="1"/>
    <xf numFmtId="3" fontId="3" fillId="2" borderId="19" xfId="0" applyNumberFormat="1" applyFont="1" applyFill="1" applyBorder="1" applyAlignment="1"/>
    <xf numFmtId="166" fontId="4" fillId="2" borderId="19" xfId="0" applyNumberFormat="1" applyFont="1" applyFill="1" applyBorder="1" applyAlignment="1">
      <alignment wrapText="1"/>
    </xf>
    <xf numFmtId="166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6" fontId="3" fillId="4" borderId="19" xfId="0" applyNumberFormat="1" applyFont="1" applyFill="1" applyBorder="1" applyAlignment="1">
      <alignment horizontal="right" vertical="center"/>
    </xf>
    <xf numFmtId="166" fontId="6" fillId="2" borderId="19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10" fontId="10" fillId="9" borderId="19" xfId="0" applyNumberFormat="1" applyFont="1" applyFill="1" applyBorder="1" applyAlignment="1">
      <alignment horizontal="right" vertical="center"/>
    </xf>
    <xf numFmtId="166" fontId="3" fillId="0" borderId="19" xfId="0" applyNumberFormat="1" applyFont="1" applyFill="1" applyBorder="1" applyAlignment="1">
      <alignment horizontal="right"/>
    </xf>
    <xf numFmtId="166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6" fontId="3" fillId="0" borderId="19" xfId="0" applyNumberFormat="1" applyFont="1" applyFill="1" applyBorder="1" applyAlignment="1">
      <alignment horizontal="left"/>
    </xf>
    <xf numFmtId="166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3" fillId="0" borderId="19" xfId="0" applyNumberFormat="1" applyFont="1" applyFill="1" applyBorder="1" applyAlignment="1">
      <alignment wrapText="1"/>
    </xf>
    <xf numFmtId="10" fontId="13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1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9" xfId="0" applyNumberFormat="1" applyFont="1" applyFill="1" applyBorder="1" applyAlignment="1">
      <alignment horizontal="right"/>
    </xf>
    <xf numFmtId="10" fontId="3" fillId="12" borderId="19" xfId="0" applyNumberFormat="1" applyFont="1" applyFill="1" applyBorder="1" applyAlignment="1"/>
    <xf numFmtId="10" fontId="3" fillId="10" borderId="19" xfId="0" applyNumberFormat="1" applyFont="1" applyFill="1" applyBorder="1" applyAlignment="1">
      <alignment horizontal="right" vertical="center"/>
    </xf>
    <xf numFmtId="166" fontId="3" fillId="10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9" fillId="0" borderId="0" xfId="0" applyNumberFormat="1" applyFont="1" applyAlignment="1"/>
    <xf numFmtId="49" fontId="6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6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6" fontId="3" fillId="12" borderId="19" xfId="0" applyNumberFormat="1" applyFont="1" applyFill="1" applyBorder="1" applyAlignment="1"/>
    <xf numFmtId="166" fontId="3" fillId="7" borderId="19" xfId="0" applyNumberFormat="1" applyFont="1" applyFill="1" applyBorder="1"/>
    <xf numFmtId="0" fontId="18" fillId="13" borderId="23" xfId="0" applyFont="1" applyFill="1" applyBorder="1" applyAlignment="1"/>
    <xf numFmtId="0" fontId="18" fillId="13" borderId="24" xfId="0" applyFont="1" applyFill="1" applyBorder="1" applyAlignment="1"/>
    <xf numFmtId="0" fontId="18" fillId="13" borderId="6" xfId="0" applyFont="1" applyFill="1" applyBorder="1" applyAlignment="1"/>
    <xf numFmtId="0" fontId="18" fillId="13" borderId="25" xfId="0" applyFont="1" applyFill="1" applyBorder="1" applyAlignment="1"/>
    <xf numFmtId="0" fontId="18" fillId="0" borderId="6" xfId="0" applyFont="1" applyBorder="1" applyAlignment="1"/>
    <xf numFmtId="43" fontId="4" fillId="2" borderId="19" xfId="1" applyFont="1" applyFill="1" applyBorder="1" applyAlignment="1"/>
    <xf numFmtId="43" fontId="3" fillId="2" borderId="19" xfId="1" applyFont="1" applyFill="1" applyBorder="1" applyAlignment="1">
      <alignment horizontal="right"/>
    </xf>
    <xf numFmtId="49" fontId="3" fillId="16" borderId="19" xfId="0" applyNumberFormat="1" applyFont="1" applyFill="1" applyBorder="1" applyAlignment="1">
      <alignment wrapText="1"/>
    </xf>
    <xf numFmtId="49" fontId="3" fillId="16" borderId="19" xfId="0" applyNumberFormat="1" applyFont="1" applyFill="1" applyBorder="1" applyAlignment="1"/>
    <xf numFmtId="10" fontId="10" fillId="6" borderId="19" xfId="0" applyNumberFormat="1" applyFont="1" applyFill="1" applyBorder="1" applyAlignment="1"/>
    <xf numFmtId="166" fontId="4" fillId="16" borderId="19" xfId="0" applyNumberFormat="1" applyFont="1" applyFill="1" applyBorder="1" applyAlignment="1">
      <alignment wrapText="1"/>
    </xf>
    <xf numFmtId="166" fontId="3" fillId="2" borderId="15" xfId="0" applyNumberFormat="1" applyFont="1" applyFill="1" applyBorder="1" applyAlignment="1"/>
    <xf numFmtId="165" fontId="3" fillId="2" borderId="15" xfId="0" applyNumberFormat="1" applyFont="1" applyFill="1" applyBorder="1" applyAlignment="1"/>
    <xf numFmtId="166" fontId="3" fillId="2" borderId="26" xfId="0" applyNumberFormat="1" applyFont="1" applyFill="1" applyBorder="1" applyAlignment="1"/>
    <xf numFmtId="166" fontId="3" fillId="17" borderId="19" xfId="0" applyNumberFormat="1" applyFont="1" applyFill="1" applyBorder="1" applyAlignment="1"/>
    <xf numFmtId="10" fontId="3" fillId="17" borderId="19" xfId="0" applyNumberFormat="1" applyFont="1" applyFill="1" applyBorder="1" applyAlignment="1"/>
    <xf numFmtId="10" fontId="10" fillId="17" borderId="19" xfId="0" applyNumberFormat="1" applyFont="1" applyFill="1" applyBorder="1" applyAlignment="1">
      <alignment horizontal="right" vertical="center"/>
    </xf>
    <xf numFmtId="10" fontId="3" fillId="17" borderId="19" xfId="0" applyNumberFormat="1" applyFont="1" applyFill="1" applyBorder="1" applyAlignment="1">
      <alignment horizontal="right" vertical="center"/>
    </xf>
    <xf numFmtId="166" fontId="3" fillId="17" borderId="19" xfId="0" applyNumberFormat="1" applyFont="1" applyFill="1" applyBorder="1" applyAlignment="1">
      <alignment horizontal="right" vertical="center"/>
    </xf>
    <xf numFmtId="3" fontId="3" fillId="17" borderId="19" xfId="0" applyNumberFormat="1" applyFont="1" applyFill="1" applyBorder="1" applyAlignment="1"/>
    <xf numFmtId="10" fontId="13" fillId="17" borderId="19" xfId="0" applyNumberFormat="1" applyFont="1" applyFill="1" applyBorder="1" applyAlignment="1">
      <alignment horizontal="right" vertical="center"/>
    </xf>
    <xf numFmtId="165" fontId="3" fillId="17" borderId="19" xfId="0" applyNumberFormat="1" applyFont="1" applyFill="1" applyBorder="1" applyAlignment="1"/>
    <xf numFmtId="9" fontId="13" fillId="9" borderId="19" xfId="2" applyFont="1" applyFill="1" applyBorder="1" applyAlignment="1">
      <alignment horizontal="right" vertical="center"/>
    </xf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49" fontId="17" fillId="0" borderId="19" xfId="0" applyNumberFormat="1" applyFont="1" applyBorder="1" applyAlignment="1">
      <alignment wrapText="1"/>
    </xf>
    <xf numFmtId="10" fontId="13" fillId="14" borderId="19" xfId="0" applyNumberFormat="1" applyFont="1" applyFill="1" applyBorder="1" applyAlignment="1">
      <alignment horizontal="right" vertical="center"/>
    </xf>
    <xf numFmtId="10" fontId="17" fillId="15" borderId="19" xfId="0" applyNumberFormat="1" applyFont="1" applyFill="1" applyBorder="1" applyAlignment="1">
      <alignment horizontal="right" vertical="center"/>
    </xf>
    <xf numFmtId="166" fontId="17" fillId="15" borderId="19" xfId="0" applyNumberFormat="1" applyFont="1" applyFill="1" applyBorder="1" applyAlignment="1">
      <alignment horizontal="right" vertical="center"/>
    </xf>
    <xf numFmtId="0" fontId="21" fillId="17" borderId="19" xfId="0" applyFont="1" applyFill="1" applyBorder="1" applyAlignment="1">
      <alignment wrapText="1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0" fontId="4" fillId="4" borderId="27" xfId="0" applyNumberFormat="1" applyFont="1" applyFill="1" applyBorder="1" applyAlignment="1">
      <alignment vertical="top" wrapText="1"/>
    </xf>
    <xf numFmtId="165" fontId="3" fillId="16" borderId="31" xfId="0" applyNumberFormat="1" applyFont="1" applyFill="1" applyBorder="1" applyAlignment="1">
      <alignment horizontal="center" wrapText="1"/>
    </xf>
    <xf numFmtId="4" fontId="3" fillId="2" borderId="27" xfId="0" applyNumberFormat="1" applyFont="1" applyFill="1" applyBorder="1" applyAlignment="1"/>
    <xf numFmtId="166" fontId="3" fillId="2" borderId="27" xfId="0" applyNumberFormat="1" applyFont="1" applyFill="1" applyBorder="1" applyAlignment="1"/>
    <xf numFmtId="165" fontId="4" fillId="2" borderId="31" xfId="0" applyNumberFormat="1" applyFont="1" applyFill="1" applyBorder="1" applyAlignment="1">
      <alignment horizontal="center"/>
    </xf>
    <xf numFmtId="166" fontId="4" fillId="2" borderId="27" xfId="0" applyNumberFormat="1" applyFont="1" applyFill="1" applyBorder="1" applyAlignment="1"/>
    <xf numFmtId="0" fontId="3" fillId="4" borderId="27" xfId="0" applyNumberFormat="1" applyFont="1" applyFill="1" applyBorder="1" applyAlignment="1">
      <alignment vertical="top" wrapText="1"/>
    </xf>
    <xf numFmtId="49" fontId="4" fillId="16" borderId="31" xfId="0" applyNumberFormat="1" applyFont="1" applyFill="1" applyBorder="1" applyAlignment="1">
      <alignment horizontal="center" wrapText="1"/>
    </xf>
    <xf numFmtId="166" fontId="3" fillId="4" borderId="27" xfId="0" applyNumberFormat="1" applyFont="1" applyFill="1" applyBorder="1" applyAlignment="1"/>
    <xf numFmtId="166" fontId="3" fillId="2" borderId="27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/>
    <xf numFmtId="166" fontId="3" fillId="17" borderId="27" xfId="0" applyNumberFormat="1" applyFont="1" applyFill="1" applyBorder="1" applyAlignment="1"/>
    <xf numFmtId="165" fontId="4" fillId="0" borderId="31" xfId="0" applyNumberFormat="1" applyFont="1" applyFill="1" applyBorder="1" applyAlignment="1">
      <alignment horizontal="center" wrapText="1"/>
    </xf>
    <xf numFmtId="165" fontId="4" fillId="2" borderId="31" xfId="0" applyNumberFormat="1" applyFont="1" applyFill="1" applyBorder="1" applyAlignment="1">
      <alignment horizontal="center" wrapText="1"/>
    </xf>
    <xf numFmtId="166" fontId="4" fillId="2" borderId="27" xfId="0" applyNumberFormat="1" applyFont="1" applyFill="1" applyBorder="1" applyAlignment="1">
      <alignment wrapText="1"/>
    </xf>
    <xf numFmtId="165" fontId="3" fillId="0" borderId="31" xfId="0" applyNumberFormat="1" applyFont="1" applyFill="1" applyBorder="1" applyAlignment="1">
      <alignment horizontal="center"/>
    </xf>
    <xf numFmtId="165" fontId="3" fillId="8" borderId="32" xfId="0" applyNumberFormat="1" applyFont="1" applyFill="1" applyBorder="1" applyAlignment="1">
      <alignment horizontal="center" wrapText="1"/>
    </xf>
    <xf numFmtId="166" fontId="3" fillId="8" borderId="22" xfId="0" applyNumberFormat="1" applyFont="1" applyFill="1" applyBorder="1" applyAlignment="1">
      <alignment wrapText="1"/>
    </xf>
    <xf numFmtId="49" fontId="4" fillId="8" borderId="22" xfId="0" applyNumberFormat="1" applyFont="1" applyFill="1" applyBorder="1" applyAlignment="1">
      <alignment horizontal="right"/>
    </xf>
    <xf numFmtId="166" fontId="4" fillId="8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10" fillId="9" borderId="22" xfId="0" applyNumberFormat="1" applyFont="1" applyFill="1" applyBorder="1" applyAlignment="1">
      <alignment horizontal="right" vertical="center"/>
    </xf>
    <xf numFmtId="10" fontId="4" fillId="3" borderId="22" xfId="0" applyNumberFormat="1" applyFont="1" applyFill="1" applyBorder="1" applyAlignment="1">
      <alignment horizontal="right" vertical="center"/>
    </xf>
    <xf numFmtId="166" fontId="4" fillId="3" borderId="22" xfId="0" applyNumberFormat="1" applyFont="1" applyFill="1" applyBorder="1" applyAlignment="1">
      <alignment horizontal="right" vertical="center"/>
    </xf>
    <xf numFmtId="166" fontId="4" fillId="8" borderId="33" xfId="0" applyNumberFormat="1" applyFont="1" applyFill="1" applyBorder="1" applyAlignment="1"/>
    <xf numFmtId="165" fontId="4" fillId="8" borderId="22" xfId="0" applyNumberFormat="1" applyFont="1" applyFill="1" applyBorder="1" applyAlignment="1"/>
    <xf numFmtId="168" fontId="4" fillId="2" borderId="19" xfId="1" applyNumberFormat="1" applyFont="1" applyFill="1" applyBorder="1" applyAlignment="1"/>
    <xf numFmtId="166" fontId="5" fillId="16" borderId="16" xfId="0" applyNumberFormat="1" applyFont="1" applyFill="1" applyBorder="1" applyAlignment="1"/>
    <xf numFmtId="0" fontId="0" fillId="16" borderId="10" xfId="0" applyNumberFormat="1" applyFont="1" applyFill="1" applyBorder="1" applyAlignment="1"/>
    <xf numFmtId="0" fontId="0" fillId="16" borderId="5" xfId="0" applyNumberFormat="1" applyFont="1" applyFill="1" applyBorder="1" applyAlignment="1"/>
    <xf numFmtId="0" fontId="0" fillId="16" borderId="6" xfId="0" applyNumberFormat="1" applyFont="1" applyFill="1" applyBorder="1" applyAlignment="1"/>
    <xf numFmtId="0" fontId="0" fillId="16" borderId="7" xfId="0" applyNumberFormat="1" applyFont="1" applyFill="1" applyBorder="1" applyAlignment="1"/>
    <xf numFmtId="0" fontId="0" fillId="16" borderId="0" xfId="0" applyNumberFormat="1" applyFont="1" applyFill="1" applyAlignment="1"/>
    <xf numFmtId="0" fontId="0" fillId="16" borderId="11" xfId="0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0" borderId="19" xfId="0" applyNumberFormat="1" applyFont="1" applyBorder="1" applyAlignment="1"/>
    <xf numFmtId="0" fontId="14" fillId="2" borderId="6" xfId="0" applyNumberFormat="1" applyFont="1" applyFill="1" applyBorder="1" applyAlignment="1"/>
    <xf numFmtId="0" fontId="1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6" fontId="2" fillId="2" borderId="6" xfId="0" applyNumberFormat="1" applyFont="1" applyFill="1" applyBorder="1" applyAlignment="1"/>
    <xf numFmtId="167" fontId="2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4" fontId="0" fillId="2" borderId="6" xfId="0" applyNumberFormat="1" applyFont="1" applyFill="1" applyBorder="1" applyAlignment="1"/>
    <xf numFmtId="10" fontId="3" fillId="9" borderId="19" xfId="0" applyNumberFormat="1" applyFont="1" applyFill="1" applyBorder="1" applyAlignment="1"/>
    <xf numFmtId="2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/>
    <xf numFmtId="166" fontId="3" fillId="0" borderId="27" xfId="0" applyNumberFormat="1" applyFont="1" applyFill="1" applyBorder="1" applyAlignment="1"/>
    <xf numFmtId="4" fontId="3" fillId="0" borderId="27" xfId="0" applyNumberFormat="1" applyFont="1" applyFill="1" applyBorder="1" applyAlignment="1"/>
    <xf numFmtId="166" fontId="22" fillId="2" borderId="19" xfId="0" applyNumberFormat="1" applyFont="1" applyFill="1" applyBorder="1" applyAlignment="1">
      <alignment horizontal="left"/>
    </xf>
    <xf numFmtId="43" fontId="3" fillId="5" borderId="19" xfId="1" applyFont="1" applyFill="1" applyBorder="1" applyAlignment="1"/>
    <xf numFmtId="43" fontId="3" fillId="11" borderId="19" xfId="1" applyFont="1" applyFill="1" applyBorder="1" applyAlignment="1">
      <alignment horizontal="left"/>
    </xf>
    <xf numFmtId="166" fontId="3" fillId="16" borderId="19" xfId="0" applyNumberFormat="1" applyFont="1" applyFill="1" applyBorder="1" applyAlignment="1"/>
    <xf numFmtId="2" fontId="3" fillId="16" borderId="19" xfId="0" applyNumberFormat="1" applyFont="1" applyFill="1" applyBorder="1" applyAlignment="1"/>
    <xf numFmtId="166" fontId="3" fillId="16" borderId="27" xfId="0" applyNumberFormat="1" applyFont="1" applyFill="1" applyBorder="1" applyAlignment="1"/>
    <xf numFmtId="165" fontId="3" fillId="16" borderId="19" xfId="0" applyNumberFormat="1" applyFont="1" applyFill="1" applyBorder="1" applyAlignment="1"/>
    <xf numFmtId="4" fontId="3" fillId="16" borderId="27" xfId="0" applyNumberFormat="1" applyFont="1" applyFill="1" applyBorder="1" applyAlignment="1"/>
    <xf numFmtId="4" fontId="3" fillId="16" borderId="19" xfId="0" applyNumberFormat="1" applyFont="1" applyFill="1" applyBorder="1" applyAlignment="1"/>
    <xf numFmtId="166" fontId="6" fillId="2" borderId="19" xfId="0" applyNumberFormat="1" applyFont="1" applyFill="1" applyBorder="1" applyAlignment="1"/>
    <xf numFmtId="165" fontId="6" fillId="2" borderId="19" xfId="0" applyNumberFormat="1" applyFont="1" applyFill="1" applyBorder="1" applyAlignment="1"/>
    <xf numFmtId="166" fontId="6" fillId="2" borderId="27" xfId="0" applyNumberFormat="1" applyFont="1" applyFill="1" applyBorder="1" applyAlignment="1"/>
    <xf numFmtId="166" fontId="4" fillId="7" borderId="19" xfId="0" applyNumberFormat="1" applyFont="1" applyFill="1" applyBorder="1"/>
    <xf numFmtId="166" fontId="4" fillId="7" borderId="19" xfId="0" applyNumberFormat="1" applyFont="1" applyFill="1" applyBorder="1" applyAlignment="1">
      <alignment horizontal="left"/>
    </xf>
    <xf numFmtId="166" fontId="17" fillId="13" borderId="19" xfId="0" applyNumberFormat="1" applyFont="1" applyFill="1" applyBorder="1" applyAlignment="1"/>
    <xf numFmtId="164" fontId="3" fillId="2" borderId="19" xfId="0" applyNumberFormat="1" applyFont="1" applyFill="1" applyBorder="1" applyAlignment="1"/>
    <xf numFmtId="43" fontId="1" fillId="3" borderId="19" xfId="1" applyFont="1" applyFill="1" applyBorder="1" applyAlignment="1">
      <alignment horizontal="center" vertical="top" wrapText="1"/>
    </xf>
    <xf numFmtId="43" fontId="4" fillId="4" borderId="19" xfId="1" applyFont="1" applyFill="1" applyBorder="1" applyAlignment="1">
      <alignment vertical="top" wrapText="1"/>
    </xf>
    <xf numFmtId="43" fontId="3" fillId="4" borderId="19" xfId="1" applyFont="1" applyFill="1" applyBorder="1" applyAlignment="1">
      <alignment vertical="top" wrapText="1"/>
    </xf>
    <xf numFmtId="43" fontId="3" fillId="4" borderId="19" xfId="1" applyFont="1" applyFill="1" applyBorder="1" applyAlignment="1"/>
    <xf numFmtId="43" fontId="3" fillId="17" borderId="19" xfId="1" applyFont="1" applyFill="1" applyBorder="1" applyAlignment="1"/>
    <xf numFmtId="43" fontId="3" fillId="5" borderId="19" xfId="1" applyFont="1" applyFill="1" applyBorder="1" applyAlignment="1">
      <alignment horizontal="left"/>
    </xf>
    <xf numFmtId="43" fontId="3" fillId="11" borderId="19" xfId="1" applyFont="1" applyFill="1" applyBorder="1" applyAlignment="1"/>
    <xf numFmtId="43" fontId="0" fillId="2" borderId="6" xfId="1" applyFont="1" applyFill="1" applyBorder="1" applyAlignment="1"/>
    <xf numFmtId="43" fontId="0" fillId="0" borderId="0" xfId="1" applyFont="1" applyAlignment="1"/>
    <xf numFmtId="165" fontId="3" fillId="0" borderId="31" xfId="0" applyNumberFormat="1" applyFont="1" applyFill="1" applyBorder="1" applyAlignment="1">
      <alignment horizontal="center" wrapText="1"/>
    </xf>
    <xf numFmtId="165" fontId="11" fillId="0" borderId="31" xfId="0" applyNumberFormat="1" applyFont="1" applyFill="1" applyBorder="1" applyAlignment="1">
      <alignment horizontal="center" wrapText="1"/>
    </xf>
    <xf numFmtId="165" fontId="17" fillId="0" borderId="31" xfId="0" applyNumberFormat="1" applyFont="1" applyFill="1" applyBorder="1" applyAlignment="1">
      <alignment horizontal="center" wrapText="1"/>
    </xf>
    <xf numFmtId="49" fontId="17" fillId="0" borderId="19" xfId="0" applyNumberFormat="1" applyFont="1" applyFill="1" applyBorder="1" applyAlignment="1">
      <alignment wrapText="1"/>
    </xf>
    <xf numFmtId="165" fontId="22" fillId="0" borderId="31" xfId="0" applyNumberFormat="1" applyFont="1" applyFill="1" applyBorder="1" applyAlignment="1">
      <alignment horizontal="center" wrapText="1"/>
    </xf>
    <xf numFmtId="49" fontId="22" fillId="0" borderId="19" xfId="0" applyNumberFormat="1" applyFont="1" applyFill="1" applyBorder="1" applyAlignment="1">
      <alignment wrapText="1"/>
    </xf>
    <xf numFmtId="165" fontId="3" fillId="0" borderId="31" xfId="0" applyNumberFormat="1" applyFont="1" applyFill="1" applyBorder="1" applyAlignment="1">
      <alignment horizontal="right" wrapText="1"/>
    </xf>
    <xf numFmtId="166" fontId="3" fillId="2" borderId="19" xfId="0" applyNumberFormat="1" applyFont="1" applyFill="1" applyBorder="1" applyAlignment="1">
      <alignment horizontal="left" wrapText="1"/>
    </xf>
    <xf numFmtId="0" fontId="23" fillId="0" borderId="0" xfId="0" applyFont="1" applyAlignment="1"/>
    <xf numFmtId="166" fontId="17" fillId="13" borderId="19" xfId="0" applyNumberFormat="1" applyFont="1" applyFill="1" applyBorder="1" applyAlignment="1">
      <alignment horizontal="left"/>
    </xf>
    <xf numFmtId="2" fontId="3" fillId="2" borderId="19" xfId="0" applyNumberFormat="1" applyFont="1" applyFill="1" applyBorder="1" applyAlignment="1">
      <alignment horizontal="right"/>
    </xf>
    <xf numFmtId="166" fontId="4" fillId="17" borderId="31" xfId="0" applyNumberFormat="1" applyFont="1" applyFill="1" applyBorder="1" applyAlignment="1">
      <alignment horizontal="center" wrapText="1"/>
    </xf>
    <xf numFmtId="166" fontId="4" fillId="17" borderId="19" xfId="0" applyNumberFormat="1" applyFont="1" applyFill="1" applyBorder="1" applyAlignment="1">
      <alignment horizontal="center" wrapText="1"/>
    </xf>
    <xf numFmtId="49" fontId="19" fillId="12" borderId="31" xfId="0" applyNumberFormat="1" applyFont="1" applyFill="1" applyBorder="1" applyAlignment="1">
      <alignment horizontal="center" vertical="top" wrapText="1"/>
    </xf>
    <xf numFmtId="49" fontId="19" fillId="12" borderId="19" xfId="0" applyNumberFormat="1" applyFont="1" applyFill="1" applyBorder="1" applyAlignment="1">
      <alignment horizontal="center" vertical="top" wrapText="1"/>
    </xf>
    <xf numFmtId="49" fontId="19" fillId="4" borderId="31" xfId="0" applyNumberFormat="1" applyFont="1" applyFill="1" applyBorder="1" applyAlignment="1">
      <alignment horizontal="center" vertical="top" wrapText="1"/>
    </xf>
    <xf numFmtId="49" fontId="19" fillId="4" borderId="19" xfId="0" applyNumberFormat="1" applyFont="1" applyFill="1" applyBorder="1" applyAlignment="1">
      <alignment horizontal="center" vertical="top" wrapText="1"/>
    </xf>
    <xf numFmtId="49" fontId="12" fillId="2" borderId="28" xfId="0" applyNumberFormat="1" applyFont="1" applyFill="1" applyBorder="1" applyAlignment="1">
      <alignment horizontal="center"/>
    </xf>
    <xf numFmtId="0" fontId="12" fillId="2" borderId="29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center"/>
    </xf>
    <xf numFmtId="49" fontId="19" fillId="4" borderId="27" xfId="0" applyNumberFormat="1" applyFont="1" applyFill="1" applyBorder="1" applyAlignment="1">
      <alignment horizontal="center" vertical="top" wrapText="1"/>
    </xf>
    <xf numFmtId="0" fontId="21" fillId="17" borderId="31" xfId="0" applyFont="1" applyFill="1" applyBorder="1" applyAlignment="1">
      <alignment horizontal="center" wrapText="1"/>
    </xf>
    <xf numFmtId="0" fontId="21" fillId="17" borderId="19" xfId="0" applyFont="1" applyFill="1" applyBorder="1" applyAlignment="1">
      <alignment horizontal="center" wrapText="1"/>
    </xf>
    <xf numFmtId="166" fontId="6" fillId="5" borderId="19" xfId="0" applyNumberFormat="1" applyFont="1" applyFill="1" applyBorder="1" applyAlignment="1"/>
    <xf numFmtId="3" fontId="24" fillId="0" borderId="19" xfId="0" applyNumberFormat="1" applyFont="1" applyBorder="1" applyAlignment="1"/>
    <xf numFmtId="4" fontId="24" fillId="0" borderId="19" xfId="0" applyNumberFormat="1" applyFont="1" applyBorder="1" applyAlignment="1"/>
    <xf numFmtId="4" fontId="3" fillId="0" borderId="19" xfId="0" applyNumberFormat="1" applyFont="1" applyBorder="1" applyAlignment="1"/>
    <xf numFmtId="3" fontId="24" fillId="0" borderId="27" xfId="0" applyNumberFormat="1" applyFont="1" applyBorder="1" applyAlignment="1"/>
    <xf numFmtId="165" fontId="3" fillId="0" borderId="27" xfId="0" applyNumberFormat="1" applyFont="1" applyFill="1" applyBorder="1" applyAlignment="1"/>
    <xf numFmtId="49" fontId="11" fillId="0" borderId="19" xfId="0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11909</xdr:rowOff>
    </xdr:from>
    <xdr:to>
      <xdr:col>12</xdr:col>
      <xdr:colOff>11906</xdr:colOff>
      <xdr:row>26</xdr:row>
      <xdr:rowOff>23816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9"/>
          <a:ext cx="8012906" cy="434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11908</xdr:rowOff>
    </xdr:from>
    <xdr:to>
      <xdr:col>14</xdr:col>
      <xdr:colOff>511968</xdr:colOff>
      <xdr:row>27</xdr:row>
      <xdr:rowOff>71436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8"/>
          <a:ext cx="9846468" cy="456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11910</xdr:rowOff>
    </xdr:from>
    <xdr:to>
      <xdr:col>16</xdr:col>
      <xdr:colOff>166686</xdr:colOff>
      <xdr:row>26</xdr:row>
      <xdr:rowOff>83344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0"/>
          <a:ext cx="9786936" cy="502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4"/>
  <sheetViews>
    <sheetView showGridLines="0" tabSelected="1" view="pageBreakPreview" zoomScaleNormal="160" zoomScaleSheetLayoutView="100" workbookViewId="0">
      <pane ySplit="2" topLeftCell="A3" activePane="bottomLeft" state="frozen"/>
      <selection pane="bottomLeft" activeCell="A3" sqref="A3:C3"/>
    </sheetView>
  </sheetViews>
  <sheetFormatPr defaultColWidth="8.85546875" defaultRowHeight="15.75" customHeight="1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31" customWidth="1"/>
    <col min="12" max="12" width="19.7109375" style="1" customWidth="1"/>
    <col min="13" max="13" width="17.7109375" style="216" customWidth="1"/>
    <col min="14" max="14" width="22.42578125" style="1" customWidth="1"/>
    <col min="15" max="15" width="19.42578125" style="1" customWidth="1"/>
    <col min="16" max="16" width="21" style="31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9" customHeight="1">
      <c r="A1" s="234" t="s">
        <v>209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6"/>
      <c r="AC1" s="132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ht="54" customHeight="1">
      <c r="A2" s="140" t="s">
        <v>197</v>
      </c>
      <c r="B2" s="133" t="s">
        <v>0</v>
      </c>
      <c r="C2" s="133" t="s">
        <v>1</v>
      </c>
      <c r="D2" s="133" t="s">
        <v>2</v>
      </c>
      <c r="E2" s="133" t="s">
        <v>3</v>
      </c>
      <c r="F2" s="133" t="s">
        <v>4</v>
      </c>
      <c r="G2" s="133" t="s">
        <v>5</v>
      </c>
      <c r="H2" s="133" t="s">
        <v>6</v>
      </c>
      <c r="I2" s="133" t="s">
        <v>7</v>
      </c>
      <c r="J2" s="133" t="s">
        <v>8</v>
      </c>
      <c r="K2" s="133" t="s">
        <v>167</v>
      </c>
      <c r="L2" s="133" t="s">
        <v>9</v>
      </c>
      <c r="M2" s="208" t="s">
        <v>10</v>
      </c>
      <c r="N2" s="133" t="s">
        <v>11</v>
      </c>
      <c r="O2" s="133" t="s">
        <v>12</v>
      </c>
      <c r="P2" s="133" t="s">
        <v>208</v>
      </c>
      <c r="Q2" s="133" t="s">
        <v>13</v>
      </c>
      <c r="R2" s="133" t="s">
        <v>210</v>
      </c>
      <c r="S2" s="133" t="s">
        <v>13</v>
      </c>
      <c r="T2" s="133" t="s">
        <v>14</v>
      </c>
      <c r="U2" s="133" t="s">
        <v>15</v>
      </c>
      <c r="V2" s="133" t="s">
        <v>16</v>
      </c>
      <c r="W2" s="133" t="s">
        <v>17</v>
      </c>
      <c r="X2" s="133" t="s">
        <v>18</v>
      </c>
      <c r="Y2" s="133" t="s">
        <v>19</v>
      </c>
      <c r="Z2" s="133" t="s">
        <v>20</v>
      </c>
      <c r="AA2" s="133" t="s">
        <v>21</v>
      </c>
      <c r="AB2" s="141" t="s">
        <v>22</v>
      </c>
      <c r="AC2" s="39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>
      <c r="A3" s="232" t="s">
        <v>23</v>
      </c>
      <c r="B3" s="233"/>
      <c r="C3" s="233"/>
      <c r="D3" s="134"/>
      <c r="E3" s="134"/>
      <c r="F3" s="134"/>
      <c r="G3" s="134"/>
      <c r="H3" s="134"/>
      <c r="I3" s="134"/>
      <c r="J3" s="134"/>
      <c r="K3" s="134"/>
      <c r="L3" s="134"/>
      <c r="M3" s="209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42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>
      <c r="A4" s="217">
        <v>1</v>
      </c>
      <c r="B4" s="83" t="s">
        <v>24</v>
      </c>
      <c r="C4" s="83" t="s">
        <v>25</v>
      </c>
      <c r="D4" s="77">
        <v>4925537821.8000002</v>
      </c>
      <c r="E4" s="101"/>
      <c r="F4" s="78">
        <v>1887445558.55</v>
      </c>
      <c r="G4" s="78">
        <v>60958730.619999997</v>
      </c>
      <c r="H4" s="78"/>
      <c r="I4" s="78"/>
      <c r="J4" s="79">
        <v>6873942110.9700003</v>
      </c>
      <c r="K4" s="101">
        <v>1621677.87</v>
      </c>
      <c r="L4" s="79">
        <v>16416115.960000001</v>
      </c>
      <c r="M4" s="193">
        <v>59407816.520000003</v>
      </c>
      <c r="N4" s="45">
        <v>6996728963.6300001</v>
      </c>
      <c r="O4" s="45">
        <v>49551651.590000004</v>
      </c>
      <c r="P4" s="46">
        <v>7054354581.0900002</v>
      </c>
      <c r="Q4" s="47">
        <f t="shared" ref="Q4:Q19" si="0">(P4/$P$20)</f>
        <v>0.45251935753566747</v>
      </c>
      <c r="R4" s="46">
        <v>6947177312.04</v>
      </c>
      <c r="S4" s="47">
        <f t="shared" ref="S4:S19" si="1">(R4/$R$20)</f>
        <v>0.44368261549250909</v>
      </c>
      <c r="T4" s="48">
        <f t="shared" ref="T4:T17" si="2">((R4-P4)/P4)</f>
        <v>-1.519306519370334E-2</v>
      </c>
      <c r="U4" s="84">
        <f t="shared" ref="U4:U16" si="3">(L4/R4)</f>
        <v>2.3629907835445042E-3</v>
      </c>
      <c r="V4" s="49">
        <f t="shared" ref="V4:V18" si="4">M4/R4</f>
        <v>8.5513603369589582E-3</v>
      </c>
      <c r="W4" s="50">
        <f t="shared" ref="W4:W18" si="5">R4/AB4</f>
        <v>11396.963534059794</v>
      </c>
      <c r="X4" s="50">
        <f t="shared" ref="X4:X18" si="6">M4/AB4</f>
        <v>97.459541926926519</v>
      </c>
      <c r="Y4" s="78">
        <v>11295.53</v>
      </c>
      <c r="Z4" s="78">
        <v>11453.21</v>
      </c>
      <c r="AA4" s="189">
        <v>17160</v>
      </c>
      <c r="AB4" s="191">
        <v>609563.88</v>
      </c>
      <c r="AC4" s="35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>
      <c r="A5" s="217">
        <v>2</v>
      </c>
      <c r="B5" s="82" t="s">
        <v>26</v>
      </c>
      <c r="C5" s="83" t="s">
        <v>27</v>
      </c>
      <c r="D5" s="77">
        <v>739483974.25</v>
      </c>
      <c r="E5" s="101"/>
      <c r="F5" s="78">
        <v>64879867.939999998</v>
      </c>
      <c r="G5" s="78"/>
      <c r="H5" s="78"/>
      <c r="I5" s="78"/>
      <c r="J5" s="79">
        <v>906373698.44000006</v>
      </c>
      <c r="K5" s="200">
        <v>872090.94</v>
      </c>
      <c r="L5" s="79">
        <v>1299465.73</v>
      </c>
      <c r="M5" s="193">
        <v>427374.79</v>
      </c>
      <c r="N5" s="45">
        <v>906373698.44000006</v>
      </c>
      <c r="O5" s="45">
        <v>2645275.7000000002</v>
      </c>
      <c r="P5" s="46">
        <v>891940047.45000005</v>
      </c>
      <c r="Q5" s="47">
        <f t="shared" si="0"/>
        <v>5.7215742785932035E-2</v>
      </c>
      <c r="R5" s="46">
        <v>903728422.74000001</v>
      </c>
      <c r="S5" s="47">
        <f t="shared" si="1"/>
        <v>5.7716763555364176E-2</v>
      </c>
      <c r="T5" s="48">
        <f t="shared" si="2"/>
        <v>1.3216555668401905E-2</v>
      </c>
      <c r="U5" s="84">
        <f t="shared" si="3"/>
        <v>1.4378940589919373E-3</v>
      </c>
      <c r="V5" s="49">
        <f t="shared" si="4"/>
        <v>4.7290179134152829E-4</v>
      </c>
      <c r="W5" s="50">
        <f t="shared" si="5"/>
        <v>1.653401691777951</v>
      </c>
      <c r="X5" s="50">
        <f t="shared" si="6"/>
        <v>7.8189662184890659E-4</v>
      </c>
      <c r="Y5" s="78">
        <v>1.82</v>
      </c>
      <c r="Z5" s="78">
        <v>1.85</v>
      </c>
      <c r="AA5" s="198">
        <v>3689</v>
      </c>
      <c r="AB5" s="199">
        <v>546587334</v>
      </c>
      <c r="AC5" s="36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>
      <c r="A6" s="217">
        <v>3</v>
      </c>
      <c r="B6" s="82" t="s">
        <v>28</v>
      </c>
      <c r="C6" s="83" t="s">
        <v>29</v>
      </c>
      <c r="D6" s="77">
        <v>113982768.84999999</v>
      </c>
      <c r="E6" s="101"/>
      <c r="F6" s="78">
        <v>159058002.80000001</v>
      </c>
      <c r="G6" s="78"/>
      <c r="H6" s="78"/>
      <c r="I6" s="78"/>
      <c r="J6" s="79">
        <f>SUM(D6:F6)</f>
        <v>273040771.64999998</v>
      </c>
      <c r="K6" s="79">
        <v>1110581.6000000001</v>
      </c>
      <c r="L6" s="79">
        <v>674773.62</v>
      </c>
      <c r="M6" s="193">
        <v>3902804.36</v>
      </c>
      <c r="N6" s="45">
        <v>284340037.50999999</v>
      </c>
      <c r="O6" s="45">
        <v>23821699.329999998</v>
      </c>
      <c r="P6" s="46">
        <v>261338208.75</v>
      </c>
      <c r="Q6" s="47">
        <f t="shared" si="0"/>
        <v>1.6764198193280944E-2</v>
      </c>
      <c r="R6" s="46">
        <v>260518588.18000001</v>
      </c>
      <c r="S6" s="47">
        <f t="shared" si="1"/>
        <v>1.6638062251239219E-2</v>
      </c>
      <c r="T6" s="48">
        <f t="shared" si="2"/>
        <v>-3.1362446919656283E-3</v>
      </c>
      <c r="U6" s="84">
        <f t="shared" si="3"/>
        <v>2.5901169844117951E-3</v>
      </c>
      <c r="V6" s="49">
        <f t="shared" si="4"/>
        <v>1.4980905536396645E-2</v>
      </c>
      <c r="W6" s="50">
        <f t="shared" si="5"/>
        <v>130.34147438960264</v>
      </c>
      <c r="X6" s="50">
        <f t="shared" si="6"/>
        <v>1.9526333153052999</v>
      </c>
      <c r="Y6" s="78">
        <v>130.34</v>
      </c>
      <c r="Z6" s="78">
        <v>132.65</v>
      </c>
      <c r="AA6" s="189">
        <v>2470</v>
      </c>
      <c r="AB6" s="191">
        <v>1998739</v>
      </c>
      <c r="AC6" s="37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89" customFormat="1" ht="18" customHeight="1">
      <c r="A7" s="217">
        <v>4</v>
      </c>
      <c r="B7" s="83" t="s">
        <v>30</v>
      </c>
      <c r="C7" s="83" t="s">
        <v>31</v>
      </c>
      <c r="D7" s="77">
        <v>526432533.89999998</v>
      </c>
      <c r="E7" s="101"/>
      <c r="F7" s="78">
        <v>122738706.72</v>
      </c>
      <c r="G7" s="78">
        <v>10405205.48</v>
      </c>
      <c r="H7" s="78"/>
      <c r="I7" s="78"/>
      <c r="J7" s="79">
        <v>659576446.10000002</v>
      </c>
      <c r="K7" s="79">
        <v>1053593.58</v>
      </c>
      <c r="L7" s="79">
        <v>1046083.56</v>
      </c>
      <c r="M7" s="193">
        <v>7510.02</v>
      </c>
      <c r="N7" s="45">
        <v>659668342.38999999</v>
      </c>
      <c r="O7" s="45">
        <v>3258443.9</v>
      </c>
      <c r="P7" s="46">
        <v>636180814.90999997</v>
      </c>
      <c r="Q7" s="47">
        <f t="shared" si="0"/>
        <v>4.0809422085373581E-2</v>
      </c>
      <c r="R7" s="46">
        <v>656409898.49000001</v>
      </c>
      <c r="S7" s="47">
        <f t="shared" si="1"/>
        <v>4.1921725546356502E-2</v>
      </c>
      <c r="T7" s="98">
        <f t="shared" si="2"/>
        <v>3.1797695098463218E-2</v>
      </c>
      <c r="U7" s="84">
        <f t="shared" si="3"/>
        <v>1.5936437924022812E-3</v>
      </c>
      <c r="V7" s="99">
        <f t="shared" si="4"/>
        <v>1.1441052332202773E-5</v>
      </c>
      <c r="W7" s="100">
        <f t="shared" si="5"/>
        <v>18.828789415884597</v>
      </c>
      <c r="X7" s="100">
        <f t="shared" si="6"/>
        <v>2.1542116505916134E-4</v>
      </c>
      <c r="Y7" s="78">
        <v>18.55</v>
      </c>
      <c r="Z7" s="78">
        <v>18.89</v>
      </c>
      <c r="AA7" s="189">
        <v>8762</v>
      </c>
      <c r="AB7" s="191">
        <v>34862034.090000004</v>
      </c>
      <c r="AC7" s="170"/>
      <c r="AD7" s="171"/>
      <c r="AE7" s="171"/>
      <c r="AF7" s="171"/>
      <c r="AG7" s="172"/>
      <c r="AH7" s="173"/>
      <c r="AI7" s="173"/>
      <c r="AJ7" s="173"/>
      <c r="AK7" s="174"/>
      <c r="AL7" s="172"/>
      <c r="AM7" s="173"/>
      <c r="AN7" s="173"/>
      <c r="AO7" s="173"/>
      <c r="AP7" s="174"/>
      <c r="AQ7" s="172"/>
      <c r="AR7" s="173"/>
      <c r="AS7" s="173"/>
      <c r="AT7" s="173"/>
      <c r="AU7" s="174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pans="1:257" s="89" customFormat="1" ht="16.5" customHeight="1">
      <c r="A8" s="217">
        <v>5</v>
      </c>
      <c r="B8" s="83" t="s">
        <v>32</v>
      </c>
      <c r="C8" s="83" t="s">
        <v>33</v>
      </c>
      <c r="D8" s="77">
        <v>332689149.44999999</v>
      </c>
      <c r="E8" s="101"/>
      <c r="F8" s="78">
        <v>46321443.350000001</v>
      </c>
      <c r="G8" s="78"/>
      <c r="H8" s="78"/>
      <c r="I8" s="78"/>
      <c r="J8" s="79">
        <v>379010592.80000001</v>
      </c>
      <c r="K8" s="79">
        <v>317393.81</v>
      </c>
      <c r="L8" s="79">
        <v>713408.87</v>
      </c>
      <c r="M8" s="193">
        <v>-396015.06</v>
      </c>
      <c r="N8" s="45">
        <v>380576487.19999999</v>
      </c>
      <c r="O8" s="45">
        <v>6857763.6900000004</v>
      </c>
      <c r="P8" s="46">
        <v>360796282.48000002</v>
      </c>
      <c r="Q8" s="47">
        <f t="shared" si="0"/>
        <v>2.3144187051039846E-2</v>
      </c>
      <c r="R8" s="46">
        <v>373718723.50999999</v>
      </c>
      <c r="S8" s="47">
        <f t="shared" si="1"/>
        <v>2.3867607412016479E-2</v>
      </c>
      <c r="T8" s="98">
        <f t="shared" si="2"/>
        <v>3.5816447279265688E-2</v>
      </c>
      <c r="U8" s="84">
        <f t="shared" si="3"/>
        <v>1.9089460204177074E-3</v>
      </c>
      <c r="V8" s="99">
        <f t="shared" si="4"/>
        <v>-1.0596607423909372E-3</v>
      </c>
      <c r="W8" s="100">
        <f t="shared" si="5"/>
        <v>176.64034758564239</v>
      </c>
      <c r="X8" s="100">
        <f t="shared" si="6"/>
        <v>-0.18717884185879502</v>
      </c>
      <c r="Y8" s="78">
        <v>176.6403</v>
      </c>
      <c r="Z8" s="78">
        <v>179.8817</v>
      </c>
      <c r="AA8" s="189">
        <v>1798</v>
      </c>
      <c r="AB8" s="191">
        <v>2115704.19</v>
      </c>
      <c r="AC8" s="176"/>
      <c r="AD8" s="177"/>
      <c r="AE8" s="177"/>
      <c r="AF8" s="177"/>
      <c r="AG8" s="172"/>
      <c r="AH8" s="173"/>
      <c r="AI8" s="173"/>
      <c r="AJ8" s="173"/>
      <c r="AK8" s="174"/>
      <c r="AL8" s="172"/>
      <c r="AM8" s="173"/>
      <c r="AN8" s="173"/>
      <c r="AO8" s="173"/>
      <c r="AP8" s="174"/>
      <c r="AQ8" s="172"/>
      <c r="AR8" s="173"/>
      <c r="AS8" s="173"/>
      <c r="AT8" s="173"/>
      <c r="AU8" s="174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pans="1:257" ht="18" customHeight="1">
      <c r="A9" s="218">
        <v>6</v>
      </c>
      <c r="B9" s="246" t="s">
        <v>34</v>
      </c>
      <c r="C9" s="246" t="s">
        <v>35</v>
      </c>
      <c r="D9" s="241">
        <v>1370432851</v>
      </c>
      <c r="E9" s="101"/>
      <c r="F9" s="78"/>
      <c r="G9" s="78"/>
      <c r="H9" s="78"/>
      <c r="I9" s="78"/>
      <c r="J9" s="241">
        <v>1370432851</v>
      </c>
      <c r="K9" s="242">
        <v>11700797</v>
      </c>
      <c r="L9" s="241">
        <v>2893477</v>
      </c>
      <c r="M9" s="193">
        <v>21506058</v>
      </c>
      <c r="N9" s="241">
        <v>1842878007</v>
      </c>
      <c r="O9" s="242">
        <v>12868388.32</v>
      </c>
      <c r="P9" s="46">
        <v>1772267263</v>
      </c>
      <c r="Q9" s="47">
        <f t="shared" si="0"/>
        <v>0.11368655119549398</v>
      </c>
      <c r="R9" s="46">
        <v>1830009619</v>
      </c>
      <c r="S9" s="47">
        <f t="shared" si="1"/>
        <v>0.11687386368089507</v>
      </c>
      <c r="T9" s="48">
        <f t="shared" si="2"/>
        <v>3.2581065624524827E-2</v>
      </c>
      <c r="U9" s="84">
        <f t="shared" si="3"/>
        <v>1.5811266618265792E-3</v>
      </c>
      <c r="V9" s="49">
        <f t="shared" si="4"/>
        <v>1.1751882491061376E-2</v>
      </c>
      <c r="W9" s="50">
        <f t="shared" si="5"/>
        <v>0.98455472241651754</v>
      </c>
      <c r="X9" s="50">
        <f t="shared" si="6"/>
        <v>1.1570371403858467E-2</v>
      </c>
      <c r="Y9" s="78">
        <v>0.98</v>
      </c>
      <c r="Z9" s="78">
        <v>1.01</v>
      </c>
      <c r="AA9" s="189">
        <v>2722</v>
      </c>
      <c r="AB9" s="244">
        <v>1858718035</v>
      </c>
      <c r="AC9" s="35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>
      <c r="A10" s="217">
        <v>7</v>
      </c>
      <c r="B10" s="82" t="s">
        <v>36</v>
      </c>
      <c r="C10" s="83" t="s">
        <v>37</v>
      </c>
      <c r="D10" s="77">
        <v>1994613557.51</v>
      </c>
      <c r="E10" s="101"/>
      <c r="F10" s="78"/>
      <c r="G10" s="78">
        <v>59549044.850000001</v>
      </c>
      <c r="H10" s="78">
        <v>1320537.3999999999</v>
      </c>
      <c r="I10" s="78"/>
      <c r="J10" s="79">
        <v>2055483139.76</v>
      </c>
      <c r="K10" s="79">
        <v>51340865.479999997</v>
      </c>
      <c r="L10" s="79">
        <v>79121802.629999995</v>
      </c>
      <c r="M10" s="193">
        <v>17084158.550000001</v>
      </c>
      <c r="N10" s="45">
        <v>2350448877</v>
      </c>
      <c r="O10" s="45">
        <v>1027095</v>
      </c>
      <c r="P10" s="46">
        <v>2315051408</v>
      </c>
      <c r="Q10" s="47">
        <f t="shared" si="0"/>
        <v>0.14850480845099964</v>
      </c>
      <c r="R10" s="46">
        <v>2349421783</v>
      </c>
      <c r="S10" s="47">
        <f t="shared" si="1"/>
        <v>0.15004620650317327</v>
      </c>
      <c r="T10" s="48">
        <f t="shared" si="2"/>
        <v>1.4846484566704706E-2</v>
      </c>
      <c r="U10" s="84">
        <f t="shared" si="3"/>
        <v>3.3677138435725486E-2</v>
      </c>
      <c r="V10" s="49">
        <f t="shared" si="4"/>
        <v>7.2716438885592812E-3</v>
      </c>
      <c r="W10" s="50">
        <f t="shared" si="5"/>
        <v>21.824225477550758</v>
      </c>
      <c r="X10" s="50">
        <f t="shared" si="6"/>
        <v>0.15869799581637176</v>
      </c>
      <c r="Y10" s="78">
        <v>21.12</v>
      </c>
      <c r="Z10" s="78">
        <v>21.76</v>
      </c>
      <c r="AA10" s="189">
        <v>12299</v>
      </c>
      <c r="AB10" s="191">
        <v>107652012</v>
      </c>
      <c r="AC10" s="35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>
      <c r="A11" s="217">
        <v>8</v>
      </c>
      <c r="B11" s="83" t="s">
        <v>38</v>
      </c>
      <c r="C11" s="83" t="s">
        <v>39</v>
      </c>
      <c r="D11" s="77">
        <v>274015240.82999998</v>
      </c>
      <c r="E11" s="77"/>
      <c r="F11" s="78">
        <v>87034071.480000004</v>
      </c>
      <c r="G11" s="78"/>
      <c r="H11" s="78"/>
      <c r="I11" s="78"/>
      <c r="J11" s="79">
        <v>376408381.07999998</v>
      </c>
      <c r="K11" s="79">
        <v>732195.26</v>
      </c>
      <c r="L11" s="79">
        <v>634155.29</v>
      </c>
      <c r="M11" s="193">
        <v>-11912473.439999999</v>
      </c>
      <c r="N11" s="45">
        <v>383489116.72000003</v>
      </c>
      <c r="O11" s="45">
        <v>7080735.6399999997</v>
      </c>
      <c r="P11" s="46">
        <v>353318405.06</v>
      </c>
      <c r="Q11" s="47">
        <f t="shared" si="0"/>
        <v>2.2664499753367033E-2</v>
      </c>
      <c r="R11" s="46">
        <v>376408381.07999998</v>
      </c>
      <c r="S11" s="47">
        <f t="shared" si="1"/>
        <v>2.4039382832714128E-2</v>
      </c>
      <c r="T11" s="48">
        <f t="shared" si="2"/>
        <v>6.535174983618211E-2</v>
      </c>
      <c r="U11" s="84">
        <f t="shared" si="3"/>
        <v>1.684753373929843E-3</v>
      </c>
      <c r="V11" s="49">
        <f t="shared" si="4"/>
        <v>-3.1647736976048314E-2</v>
      </c>
      <c r="W11" s="50">
        <f t="shared" si="5"/>
        <v>155.40066431066228</v>
      </c>
      <c r="X11" s="50">
        <f t="shared" si="6"/>
        <v>-4.9180793500070186</v>
      </c>
      <c r="Y11" s="78">
        <v>155.4</v>
      </c>
      <c r="Z11" s="78">
        <v>157.38999999999999</v>
      </c>
      <c r="AA11" s="189">
        <v>1444</v>
      </c>
      <c r="AB11" s="191">
        <v>2422180</v>
      </c>
      <c r="AC11" s="38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>
      <c r="A12" s="218">
        <v>9</v>
      </c>
      <c r="B12" s="83" t="s">
        <v>40</v>
      </c>
      <c r="C12" s="83" t="s">
        <v>41</v>
      </c>
      <c r="D12" s="243">
        <v>209197104.80000001</v>
      </c>
      <c r="E12" s="77"/>
      <c r="F12" s="78">
        <v>43631056.520000003</v>
      </c>
      <c r="G12" s="78"/>
      <c r="H12" s="78"/>
      <c r="I12" s="78"/>
      <c r="J12" s="79">
        <v>252828161.31999999</v>
      </c>
      <c r="K12" s="79">
        <v>424577.11</v>
      </c>
      <c r="L12" s="79">
        <v>461476.72</v>
      </c>
      <c r="M12" s="193">
        <v>6399327.7000000002</v>
      </c>
      <c r="N12" s="45">
        <v>261241548.91</v>
      </c>
      <c r="O12" s="45">
        <v>1933224.02</v>
      </c>
      <c r="P12" s="46">
        <v>253185789.44</v>
      </c>
      <c r="Q12" s="47">
        <f t="shared" si="0"/>
        <v>1.6241240705658803E-2</v>
      </c>
      <c r="R12" s="46">
        <v>259308324.88999999</v>
      </c>
      <c r="S12" s="47">
        <f t="shared" si="1"/>
        <v>1.6560768588241563E-2</v>
      </c>
      <c r="T12" s="48">
        <f t="shared" si="2"/>
        <v>2.4181986925656061E-2</v>
      </c>
      <c r="U12" s="84">
        <f t="shared" si="3"/>
        <v>1.7796448309006698E-3</v>
      </c>
      <c r="V12" s="49">
        <f t="shared" si="4"/>
        <v>2.4678450654118528E-2</v>
      </c>
      <c r="W12" s="50">
        <f t="shared" si="5"/>
        <v>12.510627106768343</v>
      </c>
      <c r="X12" s="50">
        <f t="shared" si="6"/>
        <v>0.30874289370646019</v>
      </c>
      <c r="Y12" s="78">
        <v>12.51</v>
      </c>
      <c r="Z12" s="78">
        <v>12.59</v>
      </c>
      <c r="AA12" s="51">
        <v>139</v>
      </c>
      <c r="AB12" s="191">
        <v>20727044.510000002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>
      <c r="A13" s="217">
        <v>10</v>
      </c>
      <c r="B13" s="83" t="s">
        <v>24</v>
      </c>
      <c r="C13" s="82" t="s">
        <v>42</v>
      </c>
      <c r="D13" s="77">
        <v>259163828.91999999</v>
      </c>
      <c r="E13" s="77"/>
      <c r="F13" s="78">
        <v>86269808.859999999</v>
      </c>
      <c r="G13" s="78"/>
      <c r="H13" s="78"/>
      <c r="I13" s="78"/>
      <c r="J13" s="79">
        <v>346505824.88</v>
      </c>
      <c r="K13" s="101">
        <v>3858817.18</v>
      </c>
      <c r="L13" s="79">
        <v>686162.19</v>
      </c>
      <c r="M13" s="193">
        <v>9426483.25</v>
      </c>
      <c r="N13" s="45">
        <v>352870568.30000001</v>
      </c>
      <c r="O13" s="45">
        <v>5098277.88</v>
      </c>
      <c r="P13" s="46">
        <v>369989806.18000001</v>
      </c>
      <c r="Q13" s="47">
        <f t="shared" si="0"/>
        <v>2.3733928804220917E-2</v>
      </c>
      <c r="R13" s="46">
        <v>347772290.42000002</v>
      </c>
      <c r="S13" s="47">
        <f t="shared" si="1"/>
        <v>2.2210534218257427E-2</v>
      </c>
      <c r="T13" s="48">
        <f t="shared" si="2"/>
        <v>-6.0048994293618922E-2</v>
      </c>
      <c r="U13" s="84">
        <f t="shared" si="3"/>
        <v>1.9730214536969894E-3</v>
      </c>
      <c r="V13" s="49">
        <f t="shared" si="4"/>
        <v>2.7105331591012499E-2</v>
      </c>
      <c r="W13" s="50">
        <f t="shared" si="5"/>
        <v>3039.0277064663046</v>
      </c>
      <c r="X13" s="50">
        <f t="shared" si="6"/>
        <v>82.373853698043376</v>
      </c>
      <c r="Y13" s="78">
        <v>3010.3</v>
      </c>
      <c r="Z13" s="78">
        <v>3054.92</v>
      </c>
      <c r="AA13" s="189">
        <v>21</v>
      </c>
      <c r="AB13" s="191">
        <v>114435.38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>
      <c r="A14" s="217">
        <v>11</v>
      </c>
      <c r="B14" s="85" t="s">
        <v>43</v>
      </c>
      <c r="C14" s="85" t="s">
        <v>44</v>
      </c>
      <c r="D14" s="77">
        <v>224870036.49000001</v>
      </c>
      <c r="E14" s="101"/>
      <c r="F14" s="78"/>
      <c r="G14" s="78"/>
      <c r="H14" s="78"/>
      <c r="I14" s="78"/>
      <c r="J14" s="79">
        <v>224870036.49000001</v>
      </c>
      <c r="K14" s="79">
        <v>713246.84</v>
      </c>
      <c r="L14" s="79">
        <v>456359.99</v>
      </c>
      <c r="M14" s="193">
        <v>256886.85</v>
      </c>
      <c r="N14" s="45">
        <v>245418508.93000001</v>
      </c>
      <c r="O14" s="45">
        <v>3644327.87</v>
      </c>
      <c r="P14" s="46">
        <v>239487228.72999999</v>
      </c>
      <c r="Q14" s="47">
        <f t="shared" si="0"/>
        <v>1.5362511996973065E-2</v>
      </c>
      <c r="R14" s="46">
        <v>241774181.06</v>
      </c>
      <c r="S14" s="47">
        <f t="shared" si="1"/>
        <v>1.5440947624202889E-2</v>
      </c>
      <c r="T14" s="48">
        <f t="shared" si="2"/>
        <v>9.5493707206338891E-3</v>
      </c>
      <c r="U14" s="84">
        <f t="shared" si="3"/>
        <v>1.8875464203795492E-3</v>
      </c>
      <c r="V14" s="49">
        <f t="shared" si="4"/>
        <v>1.0625073730939432E-3</v>
      </c>
      <c r="W14" s="50">
        <f t="shared" si="5"/>
        <v>143.12100863516153</v>
      </c>
      <c r="X14" s="50">
        <f t="shared" si="6"/>
        <v>0.15206712691950106</v>
      </c>
      <c r="Y14" s="78">
        <v>142.38</v>
      </c>
      <c r="Z14" s="78">
        <v>143.38</v>
      </c>
      <c r="AA14" s="189">
        <v>581</v>
      </c>
      <c r="AB14" s="191">
        <v>1689299.03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>
      <c r="A15" s="217">
        <v>12</v>
      </c>
      <c r="B15" s="83" t="s">
        <v>45</v>
      </c>
      <c r="C15" s="82" t="s">
        <v>46</v>
      </c>
      <c r="D15" s="77">
        <v>274697385.5</v>
      </c>
      <c r="E15" s="101"/>
      <c r="F15" s="78">
        <v>49285799.259999998</v>
      </c>
      <c r="G15" s="78"/>
      <c r="H15" s="78"/>
      <c r="I15" s="78"/>
      <c r="J15" s="79">
        <v>323983184.75999999</v>
      </c>
      <c r="K15" s="79">
        <v>448236.28</v>
      </c>
      <c r="L15" s="79">
        <v>658311.43999999994</v>
      </c>
      <c r="M15" s="193">
        <v>63834.54</v>
      </c>
      <c r="N15" s="45">
        <v>332810519.20999998</v>
      </c>
      <c r="O15" s="45">
        <v>3861474.05</v>
      </c>
      <c r="P15" s="46">
        <v>323663612.29000002</v>
      </c>
      <c r="Q15" s="47">
        <f t="shared" si="0"/>
        <v>2.0762218316011178E-2</v>
      </c>
      <c r="R15" s="46">
        <v>328949045.16000003</v>
      </c>
      <c r="S15" s="47">
        <f t="shared" si="1"/>
        <v>2.1008384580513201E-2</v>
      </c>
      <c r="T15" s="48">
        <f t="shared" si="2"/>
        <v>1.6330018788965065E-2</v>
      </c>
      <c r="U15" s="84">
        <f t="shared" si="3"/>
        <v>2.0012565766220685E-3</v>
      </c>
      <c r="V15" s="49">
        <f t="shared" si="4"/>
        <v>1.9405601244092694E-4</v>
      </c>
      <c r="W15" s="50">
        <f t="shared" si="5"/>
        <v>1.2500158478681413</v>
      </c>
      <c r="X15" s="50">
        <f t="shared" si="6"/>
        <v>2.4257309092525587E-4</v>
      </c>
      <c r="Y15" s="78">
        <v>1.28</v>
      </c>
      <c r="Z15" s="78">
        <v>1.32</v>
      </c>
      <c r="AA15" s="189">
        <v>96</v>
      </c>
      <c r="AB15" s="191">
        <v>263155899.75999999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>
      <c r="A16" s="217">
        <v>13</v>
      </c>
      <c r="B16" s="85" t="s">
        <v>47</v>
      </c>
      <c r="C16" s="85" t="s">
        <v>48</v>
      </c>
      <c r="D16" s="77">
        <v>231270364.69999999</v>
      </c>
      <c r="E16" s="101"/>
      <c r="F16" s="78">
        <v>48972019.18</v>
      </c>
      <c r="G16" s="78">
        <v>6539163.5800000001</v>
      </c>
      <c r="H16" s="78"/>
      <c r="I16" s="78"/>
      <c r="J16" s="79">
        <v>286781547.45999998</v>
      </c>
      <c r="K16" s="79">
        <v>334898.64</v>
      </c>
      <c r="L16" s="79">
        <v>347382.38</v>
      </c>
      <c r="M16" s="193">
        <v>-12483.74</v>
      </c>
      <c r="N16" s="45">
        <v>303002461.69999999</v>
      </c>
      <c r="O16" s="45">
        <v>2288174.52</v>
      </c>
      <c r="P16" s="46">
        <v>290991109.24000001</v>
      </c>
      <c r="Q16" s="47">
        <f t="shared" si="0"/>
        <v>1.8666358245566058E-2</v>
      </c>
      <c r="R16" s="46">
        <v>300714287.18000001</v>
      </c>
      <c r="S16" s="47">
        <f t="shared" si="1"/>
        <v>1.9205167143316996E-2</v>
      </c>
      <c r="T16" s="48">
        <f t="shared" si="2"/>
        <v>3.3414003491016066E-2</v>
      </c>
      <c r="U16" s="84">
        <f t="shared" si="3"/>
        <v>1.1551908067210176E-3</v>
      </c>
      <c r="V16" s="49">
        <f t="shared" si="4"/>
        <v>-4.1513624500745943E-5</v>
      </c>
      <c r="W16" s="50">
        <f t="shared" si="5"/>
        <v>1.5164676282574643</v>
      </c>
      <c r="X16" s="50">
        <f t="shared" si="6"/>
        <v>-6.2954067687017159E-5</v>
      </c>
      <c r="Y16" s="78">
        <v>1.5165</v>
      </c>
      <c r="Z16" s="78">
        <v>1.528</v>
      </c>
      <c r="AA16" s="189">
        <v>11</v>
      </c>
      <c r="AB16" s="191">
        <v>198299180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257" ht="15.95" customHeight="1">
      <c r="A17" s="217">
        <v>14</v>
      </c>
      <c r="B17" s="103" t="s">
        <v>49</v>
      </c>
      <c r="C17" s="103" t="s">
        <v>50</v>
      </c>
      <c r="D17" s="201">
        <v>3621932.74</v>
      </c>
      <c r="E17" s="201"/>
      <c r="F17" s="44"/>
      <c r="G17" s="201"/>
      <c r="H17" s="201"/>
      <c r="I17" s="201">
        <v>1882545.57</v>
      </c>
      <c r="J17" s="201">
        <v>3621932.74</v>
      </c>
      <c r="K17" s="201">
        <v>0</v>
      </c>
      <c r="L17" s="201">
        <v>0</v>
      </c>
      <c r="M17" s="240">
        <v>0</v>
      </c>
      <c r="N17" s="201">
        <v>5504478.3099999996</v>
      </c>
      <c r="O17" s="201">
        <v>0</v>
      </c>
      <c r="P17" s="46">
        <v>5504478.3099999996</v>
      </c>
      <c r="Q17" s="47">
        <f t="shared" si="0"/>
        <v>3.5309863712937133E-4</v>
      </c>
      <c r="R17" s="54">
        <v>5504478.3099999996</v>
      </c>
      <c r="S17" s="47">
        <f t="shared" si="1"/>
        <v>3.5154440772225453E-4</v>
      </c>
      <c r="T17" s="48">
        <f t="shared" si="2"/>
        <v>0</v>
      </c>
      <c r="U17" s="84">
        <f>(L17/R17)</f>
        <v>0</v>
      </c>
      <c r="V17" s="56">
        <f t="shared" si="4"/>
        <v>0</v>
      </c>
      <c r="W17" s="57">
        <f t="shared" si="5"/>
        <v>1.3927630965032134</v>
      </c>
      <c r="X17" s="57">
        <f t="shared" si="6"/>
        <v>0</v>
      </c>
      <c r="Y17" s="201">
        <v>1.39</v>
      </c>
      <c r="Z17" s="201">
        <v>1.45</v>
      </c>
      <c r="AA17" s="202">
        <v>2420</v>
      </c>
      <c r="AB17" s="203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257" ht="16.5" customHeight="1">
      <c r="A18" s="217">
        <v>15</v>
      </c>
      <c r="B18" s="83" t="s">
        <v>51</v>
      </c>
      <c r="C18" s="83" t="s">
        <v>52</v>
      </c>
      <c r="D18" s="77">
        <v>368529787.25</v>
      </c>
      <c r="E18" s="101"/>
      <c r="F18" s="78">
        <v>16278426.449999999</v>
      </c>
      <c r="G18" s="78">
        <v>53501027.100000001</v>
      </c>
      <c r="H18" s="78"/>
      <c r="I18" s="78"/>
      <c r="J18" s="79">
        <v>438309240.80000001</v>
      </c>
      <c r="K18" s="79">
        <v>4247483.21</v>
      </c>
      <c r="L18" s="79">
        <v>3919963.42</v>
      </c>
      <c r="M18" s="193">
        <v>327519.78999999998</v>
      </c>
      <c r="N18" s="45">
        <v>454825439.75</v>
      </c>
      <c r="O18" s="45">
        <v>3919963.42</v>
      </c>
      <c r="P18" s="46">
        <v>436137685.92000002</v>
      </c>
      <c r="Q18" s="47">
        <f t="shared" si="0"/>
        <v>2.7977151298668634E-2</v>
      </c>
      <c r="R18" s="46">
        <v>450905476.32999998</v>
      </c>
      <c r="S18" s="47">
        <f t="shared" si="1"/>
        <v>2.8797152007517115E-2</v>
      </c>
      <c r="T18" s="48">
        <f>((R18-P18)/P18)</f>
        <v>3.3860386035773106E-2</v>
      </c>
      <c r="U18" s="84">
        <f>(L18/R18)</f>
        <v>8.6935369512592328E-3</v>
      </c>
      <c r="V18" s="49">
        <f t="shared" si="4"/>
        <v>7.2636019563510719E-4</v>
      </c>
      <c r="W18" s="50">
        <f t="shared" si="5"/>
        <v>147.12948952198366</v>
      </c>
      <c r="X18" s="50">
        <f t="shared" si="6"/>
        <v>0.1068690047928815</v>
      </c>
      <c r="Y18" s="78">
        <v>146.6112</v>
      </c>
      <c r="Z18" s="78">
        <v>148.39429999999999</v>
      </c>
      <c r="AA18" s="189">
        <v>141</v>
      </c>
      <c r="AB18" s="191">
        <v>3064684.57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257" ht="16.5" customHeight="1">
      <c r="A19" s="219">
        <v>16</v>
      </c>
      <c r="B19" s="220" t="s">
        <v>172</v>
      </c>
      <c r="C19" s="135" t="s">
        <v>173</v>
      </c>
      <c r="D19" s="77">
        <v>19586900.75</v>
      </c>
      <c r="E19" s="101"/>
      <c r="F19" s="78">
        <v>5561088.7599999998</v>
      </c>
      <c r="G19" s="78"/>
      <c r="H19" s="78"/>
      <c r="I19" s="78"/>
      <c r="J19" s="79">
        <v>25147989.510000002</v>
      </c>
      <c r="K19" s="79">
        <v>27139.63</v>
      </c>
      <c r="L19" s="79">
        <v>28907.56</v>
      </c>
      <c r="M19" s="193">
        <v>1767.93</v>
      </c>
      <c r="N19" s="45">
        <v>26078781.890000001</v>
      </c>
      <c r="O19" s="45">
        <v>411045.93</v>
      </c>
      <c r="P19" s="46">
        <v>24860274</v>
      </c>
      <c r="Q19" s="47">
        <f t="shared" si="0"/>
        <v>1.5947249446174574E-3</v>
      </c>
      <c r="R19" s="46">
        <v>25667735.960000001</v>
      </c>
      <c r="S19" s="47">
        <f t="shared" si="1"/>
        <v>1.6392741559607335E-3</v>
      </c>
      <c r="T19" s="48">
        <f>((R19-P19)/P19)</f>
        <v>3.2480010477760661E-2</v>
      </c>
      <c r="U19" s="136">
        <f>(L18/R19)</f>
        <v>0.15271948511971525</v>
      </c>
      <c r="V19" s="137" t="e">
        <v>#DIV/0!</v>
      </c>
      <c r="W19" s="138" t="e">
        <v>#DIV/0!</v>
      </c>
      <c r="X19" s="138" t="e">
        <v>#DIV/0!</v>
      </c>
      <c r="Y19" s="78">
        <v>99.77</v>
      </c>
      <c r="Z19" s="78">
        <v>102.89</v>
      </c>
      <c r="AA19" s="189">
        <v>3</v>
      </c>
      <c r="AB19" s="191">
        <v>253000</v>
      </c>
      <c r="AC19" s="109"/>
      <c r="AD19" s="109"/>
      <c r="AE19" s="110"/>
      <c r="AF19" s="110"/>
      <c r="AG19" s="111"/>
      <c r="AH19" s="111"/>
      <c r="AI19" s="111"/>
      <c r="AJ19" s="111"/>
      <c r="AK19" s="112"/>
      <c r="AL19" s="111"/>
      <c r="AM19" s="111"/>
      <c r="AN19" s="111"/>
      <c r="AO19" s="111"/>
      <c r="AP19" s="112"/>
      <c r="AQ19" s="111"/>
      <c r="AR19" s="111"/>
      <c r="AS19" s="111"/>
      <c r="AT19" s="111"/>
      <c r="AU19" s="112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pans="1:257" ht="16.5" customHeight="1">
      <c r="A20" s="146"/>
      <c r="B20" s="58"/>
      <c r="C20" s="59" t="s">
        <v>53</v>
      </c>
      <c r="D20" s="60">
        <f>SUM(D4:D19)</f>
        <v>11868125238.74</v>
      </c>
      <c r="E20" s="60"/>
      <c r="F20" s="60">
        <f t="shared" ref="F20:H20" si="7">SUM(F4:F19)</f>
        <v>2617475849.8699999</v>
      </c>
      <c r="G20" s="60">
        <f t="shared" si="7"/>
        <v>190953171.63</v>
      </c>
      <c r="H20" s="60">
        <f t="shared" si="7"/>
        <v>1320537.3999999999</v>
      </c>
      <c r="I20" s="60"/>
      <c r="J20" s="60">
        <f t="shared" ref="J20" si="8">SUM(J4:J19)</f>
        <v>14796315909.759996</v>
      </c>
      <c r="K20" s="60">
        <f t="shared" ref="K20" si="9">SUM(K4:K19)</f>
        <v>78803594.430000007</v>
      </c>
      <c r="L20" s="60">
        <f t="shared" ref="L20" si="10">SUM(L4:L19)</f>
        <v>109357846.36</v>
      </c>
      <c r="M20" s="60">
        <f t="shared" ref="M20" si="11">SUM(M4:M19)</f>
        <v>106490570.06000002</v>
      </c>
      <c r="N20" s="60">
        <f t="shared" ref="N20:O20" si="12">SUM(N4:N19)</f>
        <v>15786255836.889997</v>
      </c>
      <c r="O20" s="60">
        <f t="shared" si="12"/>
        <v>128267540.86</v>
      </c>
      <c r="P20" s="205">
        <f>SUM(P4:P19)</f>
        <v>15589066994.85</v>
      </c>
      <c r="Q20" s="118">
        <f>(P20/$P$149)</f>
        <v>1.1731679935579787E-2</v>
      </c>
      <c r="R20" s="205">
        <f>SUM(R4:R19)</f>
        <v>15657988547.349998</v>
      </c>
      <c r="S20" s="118">
        <f>(R20/$R$149)</f>
        <v>1.1302711309210513E-2</v>
      </c>
      <c r="T20" s="62">
        <f>((R20-P20)/P20)</f>
        <v>4.4211467256357927E-3</v>
      </c>
      <c r="U20" s="76"/>
      <c r="V20" s="63"/>
      <c r="W20" s="64"/>
      <c r="X20" s="64"/>
      <c r="Y20" s="60"/>
      <c r="Z20" s="60"/>
      <c r="AA20" s="65">
        <f>SUM(AA4:AA19)</f>
        <v>53756</v>
      </c>
      <c r="AB20" s="147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257" ht="15.75" customHeight="1">
      <c r="A21" s="232" t="s">
        <v>54</v>
      </c>
      <c r="B21" s="233"/>
      <c r="C21" s="233"/>
      <c r="D21" s="66"/>
      <c r="E21" s="66"/>
      <c r="F21" s="66"/>
      <c r="G21" s="66"/>
      <c r="H21" s="66"/>
      <c r="I21" s="66"/>
      <c r="J21" s="66"/>
      <c r="K21" s="66"/>
      <c r="L21" s="66"/>
      <c r="M21" s="210"/>
      <c r="N21" s="66"/>
      <c r="O21" s="66"/>
      <c r="P21" s="66"/>
      <c r="Q21" s="66"/>
      <c r="R21" s="66"/>
      <c r="S21" s="66"/>
      <c r="T21" s="48"/>
      <c r="U21" s="48"/>
      <c r="V21" s="66"/>
      <c r="W21" s="66"/>
      <c r="X21" s="66"/>
      <c r="Y21" s="66"/>
      <c r="Z21" s="66"/>
      <c r="AA21" s="66"/>
      <c r="AB21" s="148"/>
      <c r="AC21" s="10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257" ht="18" customHeight="1">
      <c r="A22" s="217">
        <v>17</v>
      </c>
      <c r="B22" s="83" t="s">
        <v>24</v>
      </c>
      <c r="C22" s="83" t="s">
        <v>55</v>
      </c>
      <c r="D22" s="78"/>
      <c r="E22" s="78"/>
      <c r="F22" s="78">
        <v>202868194309.64001</v>
      </c>
      <c r="G22" s="78"/>
      <c r="H22" s="78"/>
      <c r="I22" s="78"/>
      <c r="J22" s="78">
        <v>202868194309.64001</v>
      </c>
      <c r="K22" s="78">
        <v>1425603589.71</v>
      </c>
      <c r="L22" s="78">
        <v>388935535.63999999</v>
      </c>
      <c r="M22" s="193">
        <v>1036668054.0700001</v>
      </c>
      <c r="N22" s="44">
        <v>234243750703.29999</v>
      </c>
      <c r="O22" s="44">
        <v>806567697.17999995</v>
      </c>
      <c r="P22" s="54">
        <v>227892999733.87</v>
      </c>
      <c r="Q22" s="47">
        <f t="shared" ref="Q22:Q50" si="13">(P22/$P$51)</f>
        <v>0.39959726285982639</v>
      </c>
      <c r="R22" s="54">
        <v>233437183006.12</v>
      </c>
      <c r="S22" s="47">
        <f t="shared" ref="S22:S50" si="14">(R22/$R$51)</f>
        <v>0.39262821236735324</v>
      </c>
      <c r="T22" s="48">
        <f t="shared" ref="T22:T51" si="15">((R22-P22)/P22)</f>
        <v>2.4328010420348205E-2</v>
      </c>
      <c r="U22" s="84">
        <f t="shared" ref="U22:U50" si="16">(L22/R22)</f>
        <v>1.6661250389994782E-3</v>
      </c>
      <c r="V22" s="49">
        <f t="shared" ref="V22:V50" si="17">M22/R22</f>
        <v>4.4408865833632932E-3</v>
      </c>
      <c r="W22" s="50">
        <f t="shared" ref="W22:W50" si="18">R22/AB22</f>
        <v>100.0000000000514</v>
      </c>
      <c r="X22" s="50">
        <f t="shared" ref="X22:X50" si="19">M22/AB22</f>
        <v>0.44408865833655764</v>
      </c>
      <c r="Y22" s="44">
        <v>100</v>
      </c>
      <c r="Z22" s="44">
        <v>100</v>
      </c>
      <c r="AA22" s="189">
        <v>476714</v>
      </c>
      <c r="AB22" s="190">
        <v>2334371830.0599999</v>
      </c>
      <c r="AC22" s="37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257" ht="18" customHeight="1">
      <c r="A23" s="217">
        <v>18</v>
      </c>
      <c r="B23" s="83" t="s">
        <v>56</v>
      </c>
      <c r="C23" s="83" t="s">
        <v>57</v>
      </c>
      <c r="D23" s="78"/>
      <c r="E23" s="78"/>
      <c r="F23" s="78">
        <v>174156158604.39999</v>
      </c>
      <c r="G23" s="78"/>
      <c r="H23" s="78"/>
      <c r="I23" s="78"/>
      <c r="J23" s="78">
        <v>171618157793.17001</v>
      </c>
      <c r="K23" s="78">
        <v>709385778.22000003</v>
      </c>
      <c r="L23" s="78">
        <v>213432257.75</v>
      </c>
      <c r="M23" s="193">
        <v>495953520.45999998</v>
      </c>
      <c r="N23" s="44">
        <v>174136826463.70999</v>
      </c>
      <c r="O23" s="44">
        <v>2518668670.54</v>
      </c>
      <c r="P23" s="54">
        <v>161269896507.20001</v>
      </c>
      <c r="Q23" s="47">
        <f t="shared" si="13"/>
        <v>0.28277748461435925</v>
      </c>
      <c r="R23" s="54">
        <v>171618157793.17001</v>
      </c>
      <c r="S23" s="47">
        <f t="shared" si="14"/>
        <v>0.28865208891054922</v>
      </c>
      <c r="T23" s="48">
        <f t="shared" si="15"/>
        <v>6.4167346231960881E-2</v>
      </c>
      <c r="U23" s="84">
        <f t="shared" si="16"/>
        <v>1.2436461298414782E-3</v>
      </c>
      <c r="V23" s="49">
        <f t="shared" si="17"/>
        <v>2.8898662404808644E-3</v>
      </c>
      <c r="W23" s="50">
        <f t="shared" si="18"/>
        <v>100.0233140360653</v>
      </c>
      <c r="X23" s="50">
        <f t="shared" si="19"/>
        <v>0.28905399849384089</v>
      </c>
      <c r="Y23" s="44">
        <v>100</v>
      </c>
      <c r="Z23" s="44">
        <v>100</v>
      </c>
      <c r="AA23" s="189">
        <v>22930</v>
      </c>
      <c r="AB23" s="190">
        <v>1715781560</v>
      </c>
      <c r="AC23" s="37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257" ht="18" customHeight="1">
      <c r="A24" s="217">
        <v>19</v>
      </c>
      <c r="B24" s="83" t="s">
        <v>34</v>
      </c>
      <c r="C24" s="83" t="s">
        <v>58</v>
      </c>
      <c r="D24" s="78"/>
      <c r="E24" s="78"/>
      <c r="F24" s="78">
        <v>8601738575</v>
      </c>
      <c r="G24" s="78"/>
      <c r="H24" s="78"/>
      <c r="I24" s="78"/>
      <c r="J24" s="78">
        <v>8601738575</v>
      </c>
      <c r="K24" s="78">
        <v>151746122</v>
      </c>
      <c r="L24" s="78">
        <v>24259298</v>
      </c>
      <c r="M24" s="193">
        <v>127486824</v>
      </c>
      <c r="N24" s="44">
        <v>22068710028.689999</v>
      </c>
      <c r="O24" s="44">
        <v>377015603.51999998</v>
      </c>
      <c r="P24" s="54">
        <v>22512447680</v>
      </c>
      <c r="Q24" s="47">
        <f t="shared" si="13"/>
        <v>3.9474281718650153E-2</v>
      </c>
      <c r="R24" s="54">
        <v>21691694425</v>
      </c>
      <c r="S24" s="47">
        <f t="shared" si="14"/>
        <v>3.6484209994443552E-2</v>
      </c>
      <c r="T24" s="48">
        <f t="shared" si="15"/>
        <v>-3.6457752913698273E-2</v>
      </c>
      <c r="U24" s="84">
        <f t="shared" si="16"/>
        <v>1.1183680502174509E-3</v>
      </c>
      <c r="V24" s="49">
        <f t="shared" si="17"/>
        <v>5.8772183261566486E-3</v>
      </c>
      <c r="W24" s="50">
        <f t="shared" si="18"/>
        <v>1.0245354113610849</v>
      </c>
      <c r="X24" s="50">
        <f t="shared" si="19"/>
        <v>6.0214182954478083E-3</v>
      </c>
      <c r="Y24" s="44">
        <v>1</v>
      </c>
      <c r="Z24" s="44">
        <v>1</v>
      </c>
      <c r="AA24" s="189">
        <v>3676</v>
      </c>
      <c r="AB24" s="190">
        <v>21172225171</v>
      </c>
      <c r="AC24" s="37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257" ht="18" customHeight="1">
      <c r="A25" s="217">
        <v>20</v>
      </c>
      <c r="B25" s="83" t="s">
        <v>59</v>
      </c>
      <c r="C25" s="83" t="s">
        <v>60</v>
      </c>
      <c r="D25" s="78"/>
      <c r="E25" s="78"/>
      <c r="F25" s="78">
        <v>920885252.25999999</v>
      </c>
      <c r="G25" s="78"/>
      <c r="H25" s="78"/>
      <c r="I25" s="78"/>
      <c r="J25" s="78">
        <v>945513579.91999996</v>
      </c>
      <c r="K25" s="78">
        <v>7668305.79</v>
      </c>
      <c r="L25" s="78">
        <v>1572846.88</v>
      </c>
      <c r="M25" s="193" t="s">
        <v>213</v>
      </c>
      <c r="N25" s="44">
        <v>945513579.91999996</v>
      </c>
      <c r="O25" s="44">
        <v>25296740.379999999</v>
      </c>
      <c r="P25" s="54">
        <v>850401807.66999996</v>
      </c>
      <c r="Q25" s="47">
        <f t="shared" si="13"/>
        <v>1.491130640576126E-3</v>
      </c>
      <c r="R25" s="54">
        <v>920216839.53999996</v>
      </c>
      <c r="S25" s="47">
        <f t="shared" si="14"/>
        <v>1.5477529673987433E-3</v>
      </c>
      <c r="T25" s="48">
        <f t="shared" si="15"/>
        <v>8.2096523361450638E-2</v>
      </c>
      <c r="U25" s="84">
        <f t="shared" si="16"/>
        <v>1.7092133206193423E-3</v>
      </c>
      <c r="V25" s="49" t="e">
        <f t="shared" si="17"/>
        <v>#VALUE!</v>
      </c>
      <c r="W25" s="50">
        <f t="shared" si="18"/>
        <v>103.23709949863979</v>
      </c>
      <c r="X25" s="50" t="e">
        <f t="shared" si="19"/>
        <v>#VALUE!</v>
      </c>
      <c r="Y25" s="44">
        <v>100</v>
      </c>
      <c r="Z25" s="44">
        <v>100</v>
      </c>
      <c r="AA25" s="189">
        <v>762</v>
      </c>
      <c r="AB25" s="190">
        <v>8913625.4700000007</v>
      </c>
      <c r="AC25" s="37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257" ht="18" customHeight="1">
      <c r="A26" s="217">
        <v>21</v>
      </c>
      <c r="B26" s="82" t="s">
        <v>36</v>
      </c>
      <c r="C26" s="83" t="s">
        <v>61</v>
      </c>
      <c r="D26" s="78"/>
      <c r="E26" s="78"/>
      <c r="F26" s="78">
        <v>21762436178.110001</v>
      </c>
      <c r="G26" s="78"/>
      <c r="H26" s="78"/>
      <c r="I26" s="78"/>
      <c r="J26" s="78">
        <v>21762436178.110001</v>
      </c>
      <c r="K26" s="78">
        <v>1260939401.1400001</v>
      </c>
      <c r="L26" s="78">
        <v>105093244.72</v>
      </c>
      <c r="M26" s="193">
        <v>1366032645.8599999</v>
      </c>
      <c r="N26" s="44">
        <v>68561065458</v>
      </c>
      <c r="O26" s="44">
        <v>25686337</v>
      </c>
      <c r="P26" s="54">
        <v>63304899129</v>
      </c>
      <c r="Q26" s="47">
        <f t="shared" si="13"/>
        <v>0.11100149827816842</v>
      </c>
      <c r="R26" s="54">
        <v>68535379121</v>
      </c>
      <c r="S26" s="47">
        <f t="shared" si="14"/>
        <v>0.11527265297530423</v>
      </c>
      <c r="T26" s="48">
        <f t="shared" si="15"/>
        <v>8.2623620982975626E-2</v>
      </c>
      <c r="U26" s="84">
        <f t="shared" si="16"/>
        <v>1.5334159680426757E-3</v>
      </c>
      <c r="V26" s="49">
        <f t="shared" si="17"/>
        <v>1.9931787981332293E-2</v>
      </c>
      <c r="W26" s="50">
        <f t="shared" si="18"/>
        <v>1</v>
      </c>
      <c r="X26" s="50">
        <f t="shared" si="19"/>
        <v>1.9931787981332293E-2</v>
      </c>
      <c r="Y26" s="44" t="s">
        <v>203</v>
      </c>
      <c r="Z26" s="44" t="s">
        <v>203</v>
      </c>
      <c r="AA26" s="189">
        <v>79328</v>
      </c>
      <c r="AB26" s="190">
        <v>68535379121</v>
      </c>
      <c r="AC26" s="37"/>
      <c r="AD26" s="10"/>
      <c r="AE26" s="13"/>
      <c r="AF26" s="4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257" ht="18" customHeight="1">
      <c r="A27" s="217">
        <v>22</v>
      </c>
      <c r="B27" s="83" t="s">
        <v>40</v>
      </c>
      <c r="C27" s="83" t="s">
        <v>62</v>
      </c>
      <c r="D27" s="78"/>
      <c r="E27" s="78"/>
      <c r="F27" s="78">
        <v>1601589962.8099999</v>
      </c>
      <c r="G27" s="78"/>
      <c r="H27" s="78"/>
      <c r="I27" s="78"/>
      <c r="J27" s="78">
        <v>2008535266.3800001</v>
      </c>
      <c r="K27" s="78">
        <v>13365399.640000001</v>
      </c>
      <c r="L27" s="78">
        <v>2929070.64</v>
      </c>
      <c r="M27" s="193">
        <v>10436329</v>
      </c>
      <c r="N27" s="44">
        <v>2045537037.8199999</v>
      </c>
      <c r="O27" s="44">
        <v>6920135.3300000001</v>
      </c>
      <c r="P27" s="54">
        <v>1969936963.72</v>
      </c>
      <c r="Q27" s="47">
        <f t="shared" si="13"/>
        <v>3.4541711225363116E-3</v>
      </c>
      <c r="R27" s="54">
        <v>2038616902.49</v>
      </c>
      <c r="S27" s="47">
        <f t="shared" si="14"/>
        <v>3.4288389699490807E-3</v>
      </c>
      <c r="T27" s="48">
        <f t="shared" si="15"/>
        <v>3.4864028664300911E-2</v>
      </c>
      <c r="U27" s="84">
        <f t="shared" si="16"/>
        <v>1.4367930710386956E-3</v>
      </c>
      <c r="V27" s="49">
        <f t="shared" si="17"/>
        <v>5.1193183904503572E-3</v>
      </c>
      <c r="W27" s="50">
        <f t="shared" si="18"/>
        <v>10.016353399369519</v>
      </c>
      <c r="X27" s="50">
        <f t="shared" si="19"/>
        <v>5.1276902162642329E-2</v>
      </c>
      <c r="Y27" s="44">
        <v>10</v>
      </c>
      <c r="Z27" s="44">
        <v>10</v>
      </c>
      <c r="AA27" s="189">
        <v>1350</v>
      </c>
      <c r="AB27" s="190">
        <v>203528851.38999999</v>
      </c>
      <c r="AC27" s="37"/>
      <c r="AD27" s="10"/>
      <c r="AE27" s="3"/>
      <c r="AF27" s="9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257" ht="18" customHeight="1">
      <c r="A28" s="217">
        <v>23</v>
      </c>
      <c r="B28" s="83" t="s">
        <v>205</v>
      </c>
      <c r="C28" s="83" t="s">
        <v>63</v>
      </c>
      <c r="D28" s="78"/>
      <c r="E28" s="78"/>
      <c r="F28" s="78">
        <v>9020654917.5400009</v>
      </c>
      <c r="G28" s="78"/>
      <c r="H28" s="78"/>
      <c r="I28" s="78"/>
      <c r="J28" s="78">
        <v>9020654917.5400009</v>
      </c>
      <c r="K28" s="78">
        <v>218515838.31</v>
      </c>
      <c r="L28" s="78">
        <v>36334430.950000003</v>
      </c>
      <c r="M28" s="193">
        <v>182181407.36000001</v>
      </c>
      <c r="N28" s="44">
        <v>30731550122.400002</v>
      </c>
      <c r="O28" s="44">
        <v>170257398.69</v>
      </c>
      <c r="P28" s="54">
        <v>29342105780.970001</v>
      </c>
      <c r="Q28" s="47">
        <f t="shared" si="13"/>
        <v>5.1449694243839911E-2</v>
      </c>
      <c r="R28" s="54">
        <v>30561292723.709999</v>
      </c>
      <c r="S28" s="47">
        <f t="shared" si="14"/>
        <v>5.1402375470882347E-2</v>
      </c>
      <c r="T28" s="48">
        <f t="shared" si="15"/>
        <v>4.1550765028279223E-2</v>
      </c>
      <c r="U28" s="84">
        <f>(L28/R28)</f>
        <v>1.1889036003313793E-3</v>
      </c>
      <c r="V28" s="49">
        <f t="shared" si="17"/>
        <v>5.9611813219753104E-3</v>
      </c>
      <c r="W28" s="50">
        <f t="shared" si="18"/>
        <v>1.0120424143820346</v>
      </c>
      <c r="X28" s="50">
        <f t="shared" si="19"/>
        <v>6.0329683376609813E-3</v>
      </c>
      <c r="Y28" s="44">
        <v>1</v>
      </c>
      <c r="Z28" s="44">
        <v>1</v>
      </c>
      <c r="AA28" s="44">
        <v>19912</v>
      </c>
      <c r="AB28" s="190">
        <v>30197640226.740002</v>
      </c>
      <c r="AC28" s="37"/>
      <c r="AD28" s="10"/>
      <c r="AE28" s="10"/>
      <c r="AF28" s="11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257" ht="16.5" customHeight="1">
      <c r="A29" s="217">
        <v>24</v>
      </c>
      <c r="B29" s="83" t="s">
        <v>64</v>
      </c>
      <c r="C29" s="83" t="s">
        <v>65</v>
      </c>
      <c r="D29" s="78"/>
      <c r="E29" s="78"/>
      <c r="F29" s="78">
        <v>1004549839.1900001</v>
      </c>
      <c r="G29" s="78"/>
      <c r="H29" s="78"/>
      <c r="I29" s="78"/>
      <c r="J29" s="78">
        <v>1004549839.1900001</v>
      </c>
      <c r="K29" s="78">
        <v>14443770.9</v>
      </c>
      <c r="L29" s="78">
        <v>3316685.21</v>
      </c>
      <c r="M29" s="193">
        <v>11127085.689999999</v>
      </c>
      <c r="N29" s="44">
        <v>2239410755.5500002</v>
      </c>
      <c r="O29" s="44">
        <v>6847573.7000000002</v>
      </c>
      <c r="P29" s="54">
        <v>2029620595.0799999</v>
      </c>
      <c r="Q29" s="47">
        <f t="shared" si="13"/>
        <v>3.5588229361367377E-3</v>
      </c>
      <c r="R29" s="54">
        <v>2239287715.5500002</v>
      </c>
      <c r="S29" s="47">
        <f t="shared" si="14"/>
        <v>3.7663559909798974E-3</v>
      </c>
      <c r="T29" s="48">
        <f t="shared" si="15"/>
        <v>0.10330360313560771</v>
      </c>
      <c r="U29" s="84">
        <f t="shared" si="16"/>
        <v>1.4811340172896791E-3</v>
      </c>
      <c r="V29" s="49">
        <f t="shared" si="17"/>
        <v>4.9690290411239235E-3</v>
      </c>
      <c r="W29" s="50">
        <f t="shared" si="18"/>
        <v>100.00000069441725</v>
      </c>
      <c r="X29" s="50">
        <f t="shared" si="19"/>
        <v>0.4969029075629719</v>
      </c>
      <c r="Y29" s="44">
        <v>100</v>
      </c>
      <c r="Z29" s="44">
        <v>100</v>
      </c>
      <c r="AA29" s="189">
        <v>539</v>
      </c>
      <c r="AB29" s="190">
        <v>22392877</v>
      </c>
      <c r="AC29" s="11"/>
      <c r="AD29" s="14"/>
      <c r="AE29" s="15"/>
      <c r="AF29" s="15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257" ht="18" customHeight="1">
      <c r="A30" s="217">
        <v>25</v>
      </c>
      <c r="B30" s="83" t="s">
        <v>66</v>
      </c>
      <c r="C30" s="83" t="s">
        <v>67</v>
      </c>
      <c r="D30" s="78"/>
      <c r="E30" s="78"/>
      <c r="F30" s="78">
        <v>2834726314.5300002</v>
      </c>
      <c r="G30" s="78"/>
      <c r="H30" s="78"/>
      <c r="I30" s="78"/>
      <c r="J30" s="78">
        <v>2834726314.5300002</v>
      </c>
      <c r="K30" s="78">
        <v>36691537.880000003</v>
      </c>
      <c r="L30" s="78">
        <v>2782281.76</v>
      </c>
      <c r="M30" s="193">
        <v>33909256.119999997</v>
      </c>
      <c r="N30" s="44">
        <v>5659796723.4799995</v>
      </c>
      <c r="O30" s="44">
        <v>271251188.07999998</v>
      </c>
      <c r="P30" s="54">
        <v>4884314056.5799999</v>
      </c>
      <c r="Q30" s="47">
        <f t="shared" si="13"/>
        <v>8.5643636717072369E-3</v>
      </c>
      <c r="R30" s="54">
        <v>5388545535.3999996</v>
      </c>
      <c r="S30" s="47">
        <f t="shared" si="14"/>
        <v>9.0632305170025851E-3</v>
      </c>
      <c r="T30" s="48">
        <f t="shared" si="15"/>
        <v>0.10323486020328981</v>
      </c>
      <c r="U30" s="84">
        <f t="shared" si="16"/>
        <v>5.1633260621476165E-4</v>
      </c>
      <c r="V30" s="49">
        <f t="shared" si="17"/>
        <v>6.2928402288212016E-3</v>
      </c>
      <c r="W30" s="50">
        <f t="shared" si="18"/>
        <v>100.00000065694907</v>
      </c>
      <c r="X30" s="50">
        <f t="shared" si="19"/>
        <v>0.62928402701619568</v>
      </c>
      <c r="Y30" s="44">
        <v>100</v>
      </c>
      <c r="Z30" s="44">
        <v>100</v>
      </c>
      <c r="AA30" s="189">
        <f>SUM(5213,213,110)</f>
        <v>5536</v>
      </c>
      <c r="AB30" s="190">
        <v>53885455</v>
      </c>
      <c r="AC30" s="37"/>
      <c r="AD30" s="44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257" ht="18" customHeight="1">
      <c r="A31" s="217">
        <v>26</v>
      </c>
      <c r="B31" s="82" t="s">
        <v>47</v>
      </c>
      <c r="C31" s="82" t="s">
        <v>68</v>
      </c>
      <c r="D31" s="78"/>
      <c r="E31" s="78"/>
      <c r="F31" s="78">
        <v>777710842.80999994</v>
      </c>
      <c r="G31" s="78"/>
      <c r="H31" s="78"/>
      <c r="I31" s="78"/>
      <c r="J31" s="78">
        <v>777710842.80999994</v>
      </c>
      <c r="K31" s="78">
        <v>5330070.2</v>
      </c>
      <c r="L31" s="78">
        <v>731480.17</v>
      </c>
      <c r="M31" s="193">
        <v>4598590.03</v>
      </c>
      <c r="N31" s="44">
        <v>759627965.53999996</v>
      </c>
      <c r="O31" s="44">
        <v>1265528.6100000001</v>
      </c>
      <c r="P31" s="54">
        <v>770131406.73000002</v>
      </c>
      <c r="Q31" s="47"/>
      <c r="R31" s="54">
        <v>758362436.92999995</v>
      </c>
      <c r="S31" s="47">
        <f t="shared" si="14"/>
        <v>1.275522965553304E-3</v>
      </c>
      <c r="T31" s="48">
        <f t="shared" si="15"/>
        <v>-1.5281768406214537E-2</v>
      </c>
      <c r="U31" s="84">
        <f t="shared" si="16"/>
        <v>9.6455221722370032E-4</v>
      </c>
      <c r="V31" s="49">
        <f t="shared" si="17"/>
        <v>6.0638420444662257E-3</v>
      </c>
      <c r="W31" s="50">
        <f t="shared" si="18"/>
        <v>10.186883591721667</v>
      </c>
      <c r="X31" s="50">
        <f t="shared" si="19"/>
        <v>6.1771653025564963E-2</v>
      </c>
      <c r="Y31" s="44">
        <v>10</v>
      </c>
      <c r="Z31" s="44">
        <v>10</v>
      </c>
      <c r="AA31" s="189">
        <v>476</v>
      </c>
      <c r="AB31" s="190">
        <v>74444989</v>
      </c>
      <c r="AC31" s="37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257" ht="18" customHeight="1">
      <c r="A32" s="217">
        <v>27</v>
      </c>
      <c r="B32" s="82" t="s">
        <v>30</v>
      </c>
      <c r="C32" s="82" t="s">
        <v>69</v>
      </c>
      <c r="D32" s="78"/>
      <c r="E32" s="78"/>
      <c r="F32" s="78">
        <v>1830635809.52</v>
      </c>
      <c r="G32" s="78"/>
      <c r="H32" s="78"/>
      <c r="I32" s="78"/>
      <c r="J32" s="78">
        <v>1839119490.8199999</v>
      </c>
      <c r="K32" s="78">
        <v>12357565.789999999</v>
      </c>
      <c r="L32" s="78">
        <v>2818760.66</v>
      </c>
      <c r="M32" s="193">
        <v>9538805.1300000008</v>
      </c>
      <c r="N32" s="44">
        <v>1839119490.8199999</v>
      </c>
      <c r="O32" s="44">
        <v>25504938.300000001</v>
      </c>
      <c r="P32" s="54">
        <v>1734758647.5999999</v>
      </c>
      <c r="Q32" s="47">
        <f t="shared" si="13"/>
        <v>3.041799476565266E-3</v>
      </c>
      <c r="R32" s="54">
        <v>1813614552.52</v>
      </c>
      <c r="S32" s="47">
        <f t="shared" si="14"/>
        <v>3.0503976723394422E-3</v>
      </c>
      <c r="T32" s="48">
        <f t="shared" si="15"/>
        <v>4.5456412642240158E-2</v>
      </c>
      <c r="U32" s="84">
        <f t="shared" si="16"/>
        <v>1.5542225640411626E-3</v>
      </c>
      <c r="V32" s="49">
        <f t="shared" si="17"/>
        <v>5.2595548027258177E-3</v>
      </c>
      <c r="W32" s="50">
        <f t="shared" si="18"/>
        <v>99.999999973533505</v>
      </c>
      <c r="X32" s="50">
        <f t="shared" si="19"/>
        <v>0.52595548013337978</v>
      </c>
      <c r="Y32" s="44">
        <v>100</v>
      </c>
      <c r="Z32" s="44">
        <v>100</v>
      </c>
      <c r="AA32" s="189">
        <v>1283</v>
      </c>
      <c r="AB32" s="190">
        <v>18136145.530000001</v>
      </c>
      <c r="AC32" s="37"/>
      <c r="AD32" s="10"/>
      <c r="AE32" s="13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>
      <c r="A33" s="217">
        <v>28</v>
      </c>
      <c r="B33" s="83" t="s">
        <v>45</v>
      </c>
      <c r="C33" s="83" t="s">
        <v>70</v>
      </c>
      <c r="D33" s="78"/>
      <c r="E33" s="78"/>
      <c r="F33" s="78">
        <v>8992683143.2199993</v>
      </c>
      <c r="G33" s="78"/>
      <c r="H33" s="78"/>
      <c r="I33" s="78"/>
      <c r="J33" s="78">
        <v>8992683143.2199993</v>
      </c>
      <c r="K33" s="78">
        <v>59888925.299999997</v>
      </c>
      <c r="L33" s="78">
        <v>13306215.189999999</v>
      </c>
      <c r="M33" s="193">
        <v>46582710.109999999</v>
      </c>
      <c r="N33" s="44">
        <v>9061231582.2900009</v>
      </c>
      <c r="O33" s="44">
        <v>165589428.83000001</v>
      </c>
      <c r="P33" s="54">
        <v>9632858731.6700001</v>
      </c>
      <c r="Q33" s="47">
        <f t="shared" si="13"/>
        <v>1.6890663544671503E-2</v>
      </c>
      <c r="R33" s="54">
        <v>8895642153.4599991</v>
      </c>
      <c r="S33" s="47">
        <f t="shared" si="14"/>
        <v>1.4961969775316834E-2</v>
      </c>
      <c r="T33" s="48">
        <f t="shared" si="15"/>
        <v>-7.6531442923194776E-2</v>
      </c>
      <c r="U33" s="84">
        <f t="shared" si="16"/>
        <v>1.4958127766891442E-3</v>
      </c>
      <c r="V33" s="49">
        <f t="shared" si="17"/>
        <v>5.236576438934366E-3</v>
      </c>
      <c r="W33" s="50">
        <f t="shared" si="18"/>
        <v>100.00215168927754</v>
      </c>
      <c r="X33" s="50">
        <f t="shared" si="19"/>
        <v>0.52366891137881133</v>
      </c>
      <c r="Y33" s="44">
        <v>100</v>
      </c>
      <c r="Z33" s="44">
        <v>100</v>
      </c>
      <c r="AA33" s="189">
        <v>5603</v>
      </c>
      <c r="AB33" s="190">
        <v>88954507.510000005</v>
      </c>
      <c r="AC33" s="25"/>
      <c r="AD33" s="12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>
      <c r="A34" s="217">
        <v>29</v>
      </c>
      <c r="B34" s="83" t="s">
        <v>71</v>
      </c>
      <c r="C34" s="83" t="s">
        <v>170</v>
      </c>
      <c r="D34" s="78"/>
      <c r="E34" s="78"/>
      <c r="F34" s="78">
        <v>3829488395.04</v>
      </c>
      <c r="G34" s="78"/>
      <c r="H34" s="78"/>
      <c r="I34" s="78"/>
      <c r="J34" s="78">
        <v>11006134594.190001</v>
      </c>
      <c r="K34" s="78">
        <v>69210366.129999995</v>
      </c>
      <c r="L34" s="78">
        <v>15580105.42</v>
      </c>
      <c r="M34" s="193">
        <v>53630260.710000001</v>
      </c>
      <c r="N34" s="44">
        <v>11006134594.190001</v>
      </c>
      <c r="O34" s="44">
        <v>15580105.42</v>
      </c>
      <c r="P34" s="54">
        <v>10188293829.299999</v>
      </c>
      <c r="Q34" s="47">
        <f t="shared" si="13"/>
        <v>1.7864587030554872E-2</v>
      </c>
      <c r="R34" s="54">
        <v>10990554488.77</v>
      </c>
      <c r="S34" s="47">
        <f t="shared" si="14"/>
        <v>1.8485494496986901E-2</v>
      </c>
      <c r="T34" s="48">
        <f t="shared" si="15"/>
        <v>7.8743376752918176E-2</v>
      </c>
      <c r="U34" s="84">
        <f t="shared" si="16"/>
        <v>1.4175904806185658E-3</v>
      </c>
      <c r="V34" s="49">
        <f>M34/R34</f>
        <v>4.879668333822345E-3</v>
      </c>
      <c r="W34" s="50">
        <f t="shared" si="18"/>
        <v>99.999999997907295</v>
      </c>
      <c r="X34" s="50">
        <f t="shared" si="19"/>
        <v>0.48796683337202279</v>
      </c>
      <c r="Y34" s="44">
        <v>100</v>
      </c>
      <c r="Z34" s="44">
        <v>100</v>
      </c>
      <c r="AA34" s="189">
        <v>1756</v>
      </c>
      <c r="AB34" s="190">
        <v>109905544.89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>
      <c r="A35" s="217">
        <v>30</v>
      </c>
      <c r="B35" s="83" t="s">
        <v>71</v>
      </c>
      <c r="C35" s="83" t="s">
        <v>72</v>
      </c>
      <c r="D35" s="78"/>
      <c r="E35" s="78"/>
      <c r="F35" s="78">
        <v>139726656.11000001</v>
      </c>
      <c r="G35" s="78"/>
      <c r="H35" s="78"/>
      <c r="I35" s="78"/>
      <c r="J35" s="78">
        <v>409092848.87</v>
      </c>
      <c r="K35" s="78">
        <v>2389152.14</v>
      </c>
      <c r="L35" s="78">
        <v>331196.52</v>
      </c>
      <c r="M35" s="193">
        <v>2057955.62</v>
      </c>
      <c r="N35" s="44">
        <v>409092848.87</v>
      </c>
      <c r="O35" s="44">
        <v>331196.52</v>
      </c>
      <c r="P35" s="54">
        <v>381373291.38</v>
      </c>
      <c r="Q35" s="47">
        <f t="shared" si="13"/>
        <v>6.687161235371707E-4</v>
      </c>
      <c r="R35" s="54">
        <v>408761652.35000002</v>
      </c>
      <c r="S35" s="47">
        <f t="shared" si="14"/>
        <v>6.8751410884828246E-4</v>
      </c>
      <c r="T35" s="48">
        <f t="shared" si="15"/>
        <v>7.1815099769821825E-2</v>
      </c>
      <c r="U35" s="84">
        <f t="shared" si="16"/>
        <v>8.1024361775603826E-4</v>
      </c>
      <c r="V35" s="49">
        <f>M35/R35</f>
        <v>5.0346102873610231E-3</v>
      </c>
      <c r="W35" s="50">
        <f t="shared" si="18"/>
        <v>999417.24290953553</v>
      </c>
      <c r="X35" s="50">
        <f>M35/AB35</f>
        <v>5031.6763325183374</v>
      </c>
      <c r="Y35" s="44">
        <v>1000000</v>
      </c>
      <c r="Z35" s="44">
        <v>1000000</v>
      </c>
      <c r="AA35" s="189">
        <v>5</v>
      </c>
      <c r="AB35" s="245">
        <v>409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>
      <c r="A36" s="217">
        <v>31</v>
      </c>
      <c r="B36" s="83" t="s">
        <v>73</v>
      </c>
      <c r="C36" s="83" t="s">
        <v>74</v>
      </c>
      <c r="D36" s="78"/>
      <c r="E36" s="78"/>
      <c r="F36" s="78">
        <v>2034940926.8199999</v>
      </c>
      <c r="G36" s="78"/>
      <c r="H36" s="78"/>
      <c r="I36" s="78"/>
      <c r="J36" s="78">
        <v>2034940926.8199999</v>
      </c>
      <c r="K36" s="78">
        <v>37030758.670000002</v>
      </c>
      <c r="L36" s="78">
        <v>6118219.3300000001</v>
      </c>
      <c r="M36" s="193">
        <v>30912539.329999998</v>
      </c>
      <c r="N36" s="44">
        <v>4818022393.21</v>
      </c>
      <c r="O36" s="44">
        <v>23742832.399999999</v>
      </c>
      <c r="P36" s="54">
        <v>5668618915.5299997</v>
      </c>
      <c r="Q36" s="47">
        <f t="shared" si="13"/>
        <v>9.9395971156922332E-3</v>
      </c>
      <c r="R36" s="54">
        <v>4794279560.8100004</v>
      </c>
      <c r="S36" s="47">
        <f t="shared" si="14"/>
        <v>8.0637085716580969E-3</v>
      </c>
      <c r="T36" s="48">
        <f t="shared" si="15"/>
        <v>-0.15424204162404009</v>
      </c>
      <c r="U36" s="84">
        <f t="shared" si="16"/>
        <v>1.2761498891329394E-3</v>
      </c>
      <c r="V36" s="49">
        <f t="shared" si="17"/>
        <v>6.4477965746280513E-3</v>
      </c>
      <c r="W36" s="50">
        <f t="shared" si="18"/>
        <v>1.0137604066352046</v>
      </c>
      <c r="X36" s="50">
        <f t="shared" si="19"/>
        <v>6.5365208773960123E-3</v>
      </c>
      <c r="Y36" s="44">
        <v>1</v>
      </c>
      <c r="Z36" s="44">
        <v>1</v>
      </c>
      <c r="AA36" s="189">
        <v>1477</v>
      </c>
      <c r="AB36" s="190">
        <v>4729203793.5500002</v>
      </c>
      <c r="AC36" s="13"/>
      <c r="AD36" s="4"/>
      <c r="AE36" s="4"/>
      <c r="AF36" s="4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>
      <c r="A37" s="217">
        <v>32</v>
      </c>
      <c r="B37" s="83" t="s">
        <v>75</v>
      </c>
      <c r="C37" s="83" t="s">
        <v>76</v>
      </c>
      <c r="D37" s="78"/>
      <c r="E37" s="78"/>
      <c r="F37" s="78">
        <v>14181516901.99</v>
      </c>
      <c r="G37" s="78"/>
      <c r="H37" s="78"/>
      <c r="I37" s="78"/>
      <c r="J37" s="78">
        <v>14181516901.99</v>
      </c>
      <c r="K37" s="78">
        <v>72087807.189999998</v>
      </c>
      <c r="L37" s="78">
        <v>14248734.060000001</v>
      </c>
      <c r="M37" s="193">
        <v>57839073.130000003</v>
      </c>
      <c r="N37" s="44">
        <v>14428550592.34</v>
      </c>
      <c r="O37" s="44">
        <v>26870542.469999999</v>
      </c>
      <c r="P37" s="54">
        <v>12251172963.450001</v>
      </c>
      <c r="Q37" s="47">
        <f t="shared" si="13"/>
        <v>2.1481726901369767E-2</v>
      </c>
      <c r="R37" s="54">
        <v>14401680049.870001</v>
      </c>
      <c r="S37" s="47">
        <f t="shared" si="14"/>
        <v>2.4222815835293853E-2</v>
      </c>
      <c r="T37" s="48">
        <f t="shared" si="15"/>
        <v>0.17553479106333708</v>
      </c>
      <c r="U37" s="84">
        <f t="shared" si="16"/>
        <v>9.8937998974144817E-4</v>
      </c>
      <c r="V37" s="49">
        <f t="shared" si="17"/>
        <v>4.01613373784971E-3</v>
      </c>
      <c r="W37" s="50">
        <f t="shared" si="18"/>
        <v>1.0106518595221747</v>
      </c>
      <c r="X37" s="50">
        <f t="shared" si="19"/>
        <v>4.0589130302475509E-3</v>
      </c>
      <c r="Y37" s="44">
        <v>1</v>
      </c>
      <c r="Z37" s="44">
        <v>1</v>
      </c>
      <c r="AA37" s="189">
        <v>2517</v>
      </c>
      <c r="AB37" s="190">
        <v>14249892199.950001</v>
      </c>
      <c r="AC37" s="39"/>
      <c r="AD37" s="16"/>
      <c r="AE37" s="16"/>
      <c r="AF37" s="16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>
      <c r="A38" s="217">
        <v>33</v>
      </c>
      <c r="B38" s="83" t="s">
        <v>32</v>
      </c>
      <c r="C38" s="83" t="s">
        <v>77</v>
      </c>
      <c r="D38" s="78"/>
      <c r="E38" s="78"/>
      <c r="F38" s="78">
        <v>558180237.74000001</v>
      </c>
      <c r="G38" s="78"/>
      <c r="H38" s="78"/>
      <c r="I38" s="78"/>
      <c r="J38" s="78">
        <v>558180237.74000001</v>
      </c>
      <c r="K38" s="78">
        <v>3429877.17</v>
      </c>
      <c r="L38" s="78">
        <v>1115548.73</v>
      </c>
      <c r="M38" s="193">
        <v>2314328.44</v>
      </c>
      <c r="N38" s="44">
        <v>579103076.21000004</v>
      </c>
      <c r="O38" s="44">
        <v>13110039.140000001</v>
      </c>
      <c r="P38" s="54">
        <v>533837660.97000003</v>
      </c>
      <c r="Q38" s="47">
        <f t="shared" si="13"/>
        <v>9.3605362334172584E-4</v>
      </c>
      <c r="R38" s="54">
        <v>565993037.07000005</v>
      </c>
      <c r="S38" s="47">
        <f t="shared" si="14"/>
        <v>9.5196845461991873E-4</v>
      </c>
      <c r="T38" s="48">
        <f t="shared" si="15"/>
        <v>6.0234371703136648E-2</v>
      </c>
      <c r="U38" s="84">
        <f t="shared" si="16"/>
        <v>1.9709583986667186E-3</v>
      </c>
      <c r="V38" s="49">
        <f t="shared" si="17"/>
        <v>4.0889698077924801E-3</v>
      </c>
      <c r="W38" s="50">
        <f t="shared" si="18"/>
        <v>102.33299259342296</v>
      </c>
      <c r="X38" s="50">
        <f t="shared" si="19"/>
        <v>0.4184365170555579</v>
      </c>
      <c r="Y38" s="44">
        <v>100</v>
      </c>
      <c r="Z38" s="44">
        <v>100</v>
      </c>
      <c r="AA38" s="189">
        <v>573</v>
      </c>
      <c r="AB38" s="190">
        <v>5530895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>
      <c r="A39" s="217">
        <v>34</v>
      </c>
      <c r="B39" s="83" t="s">
        <v>26</v>
      </c>
      <c r="C39" s="116" t="s">
        <v>78</v>
      </c>
      <c r="D39" s="78"/>
      <c r="E39" s="78"/>
      <c r="F39" s="78">
        <v>4553890790.6899996</v>
      </c>
      <c r="G39" s="78"/>
      <c r="H39" s="78"/>
      <c r="I39" s="78"/>
      <c r="J39" s="78">
        <v>4621334662.1000004</v>
      </c>
      <c r="K39" s="195">
        <v>29879596.23</v>
      </c>
      <c r="L39" s="78">
        <v>4803936.18</v>
      </c>
      <c r="M39" s="193">
        <v>25075660.050000001</v>
      </c>
      <c r="N39" s="44">
        <v>4621334662.1000004</v>
      </c>
      <c r="O39" s="44">
        <v>10003982.810000001</v>
      </c>
      <c r="P39" s="54">
        <v>4377844160.6199999</v>
      </c>
      <c r="Q39" s="47">
        <f t="shared" si="13"/>
        <v>7.6762978496641814E-3</v>
      </c>
      <c r="R39" s="54">
        <v>4611330679.1999998</v>
      </c>
      <c r="S39" s="47">
        <f t="shared" si="14"/>
        <v>7.7559988425732586E-3</v>
      </c>
      <c r="T39" s="48">
        <f t="shared" si="15"/>
        <v>5.3333675209428437E-2</v>
      </c>
      <c r="U39" s="84">
        <f t="shared" si="16"/>
        <v>1.0417678787749427E-3</v>
      </c>
      <c r="V39" s="49">
        <f t="shared" si="17"/>
        <v>5.4378360162082914E-3</v>
      </c>
      <c r="W39" s="50">
        <f t="shared" si="18"/>
        <v>0.22416594282617283</v>
      </c>
      <c r="X39" s="50">
        <f t="shared" si="19"/>
        <v>1.2189776375074511E-3</v>
      </c>
      <c r="Y39" s="44">
        <v>0.99</v>
      </c>
      <c r="Z39" s="44">
        <v>0.99</v>
      </c>
      <c r="AA39" s="198">
        <v>815</v>
      </c>
      <c r="AB39" s="197">
        <v>20571058302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>
      <c r="A40" s="217">
        <v>35</v>
      </c>
      <c r="B40" s="83" t="s">
        <v>79</v>
      </c>
      <c r="C40" s="83" t="s">
        <v>80</v>
      </c>
      <c r="D40" s="78"/>
      <c r="E40" s="78"/>
      <c r="F40" s="78">
        <v>241817742.46000001</v>
      </c>
      <c r="G40" s="78"/>
      <c r="H40" s="78"/>
      <c r="I40" s="78">
        <v>14173202.09</v>
      </c>
      <c r="J40" s="78">
        <v>630507052.98000002</v>
      </c>
      <c r="K40" s="78">
        <v>4461551.63</v>
      </c>
      <c r="L40" s="78">
        <v>1224476.42</v>
      </c>
      <c r="M40" s="193">
        <v>3237075.21</v>
      </c>
      <c r="N40" s="44">
        <v>636559662.77999997</v>
      </c>
      <c r="O40" s="44">
        <v>11072740.18</v>
      </c>
      <c r="P40" s="54">
        <v>678279640.26999998</v>
      </c>
      <c r="Q40" s="47">
        <f t="shared" si="13"/>
        <v>1.1893243233533043E-3</v>
      </c>
      <c r="R40" s="54">
        <v>625486922.60000002</v>
      </c>
      <c r="S40" s="47">
        <f t="shared" si="14"/>
        <v>1.052033823905237E-3</v>
      </c>
      <c r="T40" s="48">
        <f t="shared" si="15"/>
        <v>-7.7833263060918326E-2</v>
      </c>
      <c r="U40" s="84">
        <f t="shared" si="16"/>
        <v>1.9576371235870823E-3</v>
      </c>
      <c r="V40" s="49">
        <f t="shared" si="17"/>
        <v>5.1752883921925182E-3</v>
      </c>
      <c r="W40" s="50">
        <f t="shared" si="18"/>
        <v>10.000382158484765</v>
      </c>
      <c r="X40" s="50">
        <f t="shared" si="19"/>
        <v>5.1754861702295367E-2</v>
      </c>
      <c r="Y40" s="44">
        <v>10</v>
      </c>
      <c r="Z40" s="44">
        <v>10</v>
      </c>
      <c r="AA40" s="189">
        <v>272</v>
      </c>
      <c r="AB40" s="190">
        <v>62546302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>
      <c r="A41" s="217">
        <v>36</v>
      </c>
      <c r="B41" s="83" t="s">
        <v>81</v>
      </c>
      <c r="C41" s="83" t="s">
        <v>82</v>
      </c>
      <c r="D41" s="78"/>
      <c r="E41" s="78"/>
      <c r="F41" s="78">
        <v>500022720.19999999</v>
      </c>
      <c r="G41" s="78"/>
      <c r="H41" s="78"/>
      <c r="I41" s="78">
        <v>31828480.710000001</v>
      </c>
      <c r="J41" s="78">
        <v>531851200.91000003</v>
      </c>
      <c r="K41" s="78">
        <v>4569484.62</v>
      </c>
      <c r="L41" s="78">
        <v>994617.05</v>
      </c>
      <c r="M41" s="193">
        <v>3574867.58</v>
      </c>
      <c r="N41" s="44">
        <v>637472154.21000004</v>
      </c>
      <c r="O41" s="44">
        <v>2720419.66</v>
      </c>
      <c r="P41" s="54">
        <v>735082751.09000003</v>
      </c>
      <c r="Q41" s="47">
        <f t="shared" si="13"/>
        <v>1.2889253099220106E-3</v>
      </c>
      <c r="R41" s="54">
        <v>634481734.53999996</v>
      </c>
      <c r="S41" s="47">
        <f t="shared" si="14"/>
        <v>1.0671625916838052E-3</v>
      </c>
      <c r="T41" s="48">
        <f t="shared" si="15"/>
        <v>-0.13685672313875716</v>
      </c>
      <c r="U41" s="84">
        <f t="shared" si="16"/>
        <v>1.5676054894174355E-3</v>
      </c>
      <c r="V41" s="49">
        <f t="shared" si="17"/>
        <v>5.6343112581354032E-3</v>
      </c>
      <c r="W41" s="50">
        <f t="shared" si="18"/>
        <v>1.0117492382420714</v>
      </c>
      <c r="X41" s="50">
        <f t="shared" si="19"/>
        <v>5.700510123437222E-3</v>
      </c>
      <c r="Y41" s="44">
        <v>1</v>
      </c>
      <c r="Z41" s="44">
        <v>1</v>
      </c>
      <c r="AA41" s="189">
        <v>141</v>
      </c>
      <c r="AB41" s="190">
        <v>627113627.13</v>
      </c>
      <c r="AC41" s="13"/>
      <c r="AD41" s="4"/>
      <c r="AE41" s="4"/>
      <c r="AF41" s="4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>
      <c r="A42" s="217">
        <v>37</v>
      </c>
      <c r="B42" s="83" t="s">
        <v>83</v>
      </c>
      <c r="C42" s="83" t="s">
        <v>152</v>
      </c>
      <c r="D42" s="78"/>
      <c r="E42" s="78"/>
      <c r="F42" s="78">
        <v>5783053280.1499996</v>
      </c>
      <c r="G42" s="78"/>
      <c r="H42" s="78"/>
      <c r="I42" s="78"/>
      <c r="J42" s="78">
        <v>5783053280.1499996</v>
      </c>
      <c r="K42" s="78">
        <v>39158431.210000001</v>
      </c>
      <c r="L42" s="78">
        <v>9836929.7200000007</v>
      </c>
      <c r="M42" s="193">
        <v>38236002.350000001</v>
      </c>
      <c r="N42" s="44">
        <v>5793474559.8400002</v>
      </c>
      <c r="O42" s="44">
        <v>126174692.84</v>
      </c>
      <c r="P42" s="54">
        <v>5533554536.0200005</v>
      </c>
      <c r="Q42" s="47">
        <f t="shared" si="13"/>
        <v>9.702769497357825E-3</v>
      </c>
      <c r="R42" s="54">
        <v>5667299867</v>
      </c>
      <c r="S42" s="47">
        <f t="shared" si="14"/>
        <v>9.5320796244855836E-3</v>
      </c>
      <c r="T42" s="48">
        <f>((R42-P42)/P42)</f>
        <v>2.4169876723794909E-2</v>
      </c>
      <c r="U42" s="84">
        <f t="shared" si="16"/>
        <v>1.7357348209646095E-3</v>
      </c>
      <c r="V42" s="49">
        <f>M42/R42</f>
        <v>6.7467759333935387E-3</v>
      </c>
      <c r="W42" s="50">
        <f t="shared" si="18"/>
        <v>100</v>
      </c>
      <c r="X42" s="50">
        <f t="shared" si="19"/>
        <v>0.67467759333935384</v>
      </c>
      <c r="Y42" s="44">
        <v>100</v>
      </c>
      <c r="Z42" s="44">
        <v>100</v>
      </c>
      <c r="AA42" s="189">
        <v>1156</v>
      </c>
      <c r="AB42" s="190">
        <v>56672998.670000002</v>
      </c>
      <c r="AC42" s="3"/>
      <c r="AD42" s="9"/>
      <c r="AE42" s="9"/>
      <c r="AF42" s="9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>
      <c r="A43" s="217">
        <v>38</v>
      </c>
      <c r="B43" s="83" t="s">
        <v>174</v>
      </c>
      <c r="C43" s="83" t="s">
        <v>84</v>
      </c>
      <c r="D43" s="78"/>
      <c r="E43" s="78"/>
      <c r="F43" s="78">
        <v>192141561.41999999</v>
      </c>
      <c r="G43" s="78"/>
      <c r="H43" s="78"/>
      <c r="I43" s="78"/>
      <c r="J43" s="78">
        <v>192141561.41999999</v>
      </c>
      <c r="K43" s="78">
        <v>2449039.92</v>
      </c>
      <c r="L43" s="78">
        <v>464720.09</v>
      </c>
      <c r="M43" s="193">
        <v>1984319.83</v>
      </c>
      <c r="N43" s="44">
        <v>374806188.31999999</v>
      </c>
      <c r="O43" s="44">
        <v>3840165.4</v>
      </c>
      <c r="P43" s="54">
        <v>350668110.54000002</v>
      </c>
      <c r="Q43" s="47">
        <f t="shared" si="13"/>
        <v>6.1487635560393734E-4</v>
      </c>
      <c r="R43" s="54">
        <v>370966022.87</v>
      </c>
      <c r="S43" s="47">
        <f t="shared" si="14"/>
        <v>6.2394398584160536E-4</v>
      </c>
      <c r="T43" s="48">
        <f t="shared" si="15"/>
        <v>5.7883542072710487E-2</v>
      </c>
      <c r="U43" s="84">
        <f t="shared" si="16"/>
        <v>1.2527295260214568E-3</v>
      </c>
      <c r="V43" s="49">
        <f t="shared" si="17"/>
        <v>5.3490608510401985E-3</v>
      </c>
      <c r="W43" s="50">
        <f t="shared" si="18"/>
        <v>0.99607559907929266</v>
      </c>
      <c r="X43" s="50">
        <f t="shared" si="19"/>
        <v>5.3280689917114569E-3</v>
      </c>
      <c r="Y43" s="44">
        <v>1</v>
      </c>
      <c r="Z43" s="44">
        <v>1</v>
      </c>
      <c r="AA43" s="189">
        <f>SUM(422,17,9)</f>
        <v>448</v>
      </c>
      <c r="AB43" s="190">
        <v>372427578</v>
      </c>
      <c r="AC43" s="10"/>
      <c r="AD43" s="10"/>
      <c r="AE43" s="10"/>
      <c r="AF43" s="11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>
      <c r="A44" s="217">
        <v>39</v>
      </c>
      <c r="B44" s="83" t="s">
        <v>51</v>
      </c>
      <c r="C44" s="83" t="s">
        <v>85</v>
      </c>
      <c r="D44" s="78"/>
      <c r="E44" s="78"/>
      <c r="F44" s="78">
        <v>264431126.36000001</v>
      </c>
      <c r="G44" s="78"/>
      <c r="H44" s="78"/>
      <c r="I44" s="78"/>
      <c r="J44" s="78">
        <v>264431126.36000001</v>
      </c>
      <c r="K44" s="78">
        <v>1895435.31</v>
      </c>
      <c r="L44" s="78">
        <v>383535.46</v>
      </c>
      <c r="M44" s="193">
        <v>1511899.85</v>
      </c>
      <c r="N44" s="44">
        <v>267920003.94999999</v>
      </c>
      <c r="O44" s="44">
        <v>383535.46</v>
      </c>
      <c r="P44" s="54">
        <v>262160373.03</v>
      </c>
      <c r="Q44" s="47">
        <f t="shared" si="13"/>
        <v>4.5968313030867348E-4</v>
      </c>
      <c r="R44" s="54">
        <v>267536468.49000001</v>
      </c>
      <c r="S44" s="47">
        <f t="shared" si="14"/>
        <v>4.4998129266985522E-4</v>
      </c>
      <c r="T44" s="48">
        <f t="shared" si="15"/>
        <v>2.0506895828168514E-2</v>
      </c>
      <c r="U44" s="84">
        <f>(L44/R44)</f>
        <v>1.4335819791773017E-3</v>
      </c>
      <c r="V44" s="49">
        <f t="shared" si="17"/>
        <v>5.6511916245785086E-3</v>
      </c>
      <c r="W44" s="50">
        <f t="shared" si="18"/>
        <v>101.48352924362513</v>
      </c>
      <c r="X44" s="50">
        <f t="shared" si="19"/>
        <v>0.57350287049424253</v>
      </c>
      <c r="Y44" s="44">
        <v>100</v>
      </c>
      <c r="Z44" s="44">
        <v>100</v>
      </c>
      <c r="AA44" s="189">
        <v>706</v>
      </c>
      <c r="AB44" s="190">
        <v>2636255.0699999998</v>
      </c>
      <c r="AC44" s="40"/>
      <c r="AD44" s="15"/>
      <c r="AE44" s="15"/>
      <c r="AF44" s="15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>
      <c r="A45" s="217">
        <v>40</v>
      </c>
      <c r="B45" s="83" t="s">
        <v>86</v>
      </c>
      <c r="C45" s="83" t="s">
        <v>87</v>
      </c>
      <c r="D45" s="78"/>
      <c r="E45" s="78"/>
      <c r="F45" s="78">
        <v>108679405.23999999</v>
      </c>
      <c r="G45" s="78"/>
      <c r="H45" s="78"/>
      <c r="I45" s="78"/>
      <c r="J45" s="78">
        <v>108679405.23999999</v>
      </c>
      <c r="K45" s="78">
        <v>541841.73</v>
      </c>
      <c r="L45" s="78">
        <v>130962.14</v>
      </c>
      <c r="M45" s="193">
        <v>410879.49</v>
      </c>
      <c r="N45" s="44">
        <v>112726184.86</v>
      </c>
      <c r="O45" s="44">
        <v>113174597.29000001</v>
      </c>
      <c r="P45" s="54">
        <v>109201722.91</v>
      </c>
      <c r="Q45" s="47">
        <f t="shared" si="13"/>
        <v>1.9147893803395227E-4</v>
      </c>
      <c r="R45" s="54">
        <v>110036399.31</v>
      </c>
      <c r="S45" s="47">
        <f t="shared" si="14"/>
        <v>1.8507503474839696E-4</v>
      </c>
      <c r="T45" s="48">
        <f>((R45-P45)/P45)</f>
        <v>7.6434361817525097E-3</v>
      </c>
      <c r="U45" s="131">
        <f>(L45/R45)</f>
        <v>1.1901710781270383E-3</v>
      </c>
      <c r="V45" s="49">
        <f t="shared" si="17"/>
        <v>3.7340324890352866E-3</v>
      </c>
      <c r="W45" s="50">
        <f t="shared" si="18"/>
        <v>0.96887103674259789</v>
      </c>
      <c r="X45" s="50">
        <f t="shared" si="19"/>
        <v>3.6177959288821613E-3</v>
      </c>
      <c r="Y45" s="44">
        <v>1</v>
      </c>
      <c r="Z45" s="44">
        <v>1</v>
      </c>
      <c r="AA45" s="189">
        <v>38</v>
      </c>
      <c r="AB45" s="190">
        <v>113571770.79000001</v>
      </c>
      <c r="AC45" s="39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>
      <c r="A46" s="217">
        <v>41</v>
      </c>
      <c r="B46" s="83" t="s">
        <v>88</v>
      </c>
      <c r="C46" s="86" t="s">
        <v>89</v>
      </c>
      <c r="D46" s="78"/>
      <c r="E46" s="78"/>
      <c r="F46" s="78">
        <v>563995733.01999998</v>
      </c>
      <c r="G46" s="78"/>
      <c r="H46" s="78"/>
      <c r="I46" s="78"/>
      <c r="J46" s="78">
        <v>835182900.72000003</v>
      </c>
      <c r="K46" s="78">
        <v>7397547.4500000002</v>
      </c>
      <c r="L46" s="78">
        <v>1481755.73</v>
      </c>
      <c r="M46" s="193">
        <v>5915791.7199999997</v>
      </c>
      <c r="N46" s="44">
        <v>1377239870.23</v>
      </c>
      <c r="O46" s="44">
        <v>6309353.75</v>
      </c>
      <c r="P46" s="54">
        <v>1291994724.76</v>
      </c>
      <c r="Q46" s="47">
        <f t="shared" si="13"/>
        <v>2.2654384129671902E-3</v>
      </c>
      <c r="R46" s="54">
        <v>1370930516.47</v>
      </c>
      <c r="S46" s="47">
        <f t="shared" si="14"/>
        <v>2.3058280220394742E-3</v>
      </c>
      <c r="T46" s="48">
        <f t="shared" si="15"/>
        <v>6.1096063472444201E-2</v>
      </c>
      <c r="U46" s="84">
        <f t="shared" si="16"/>
        <v>1.0808394095824514E-3</v>
      </c>
      <c r="V46" s="49">
        <f t="shared" si="17"/>
        <v>4.3151652464725439E-3</v>
      </c>
      <c r="W46" s="50">
        <f t="shared" si="18"/>
        <v>1.0234931248609331</v>
      </c>
      <c r="X46" s="50">
        <f t="shared" si="19"/>
        <v>4.416541962403482E-3</v>
      </c>
      <c r="Y46" s="44">
        <v>1</v>
      </c>
      <c r="Z46" s="44">
        <v>1.02</v>
      </c>
      <c r="AA46" s="189">
        <v>32</v>
      </c>
      <c r="AB46" s="190">
        <v>1339462360</v>
      </c>
      <c r="AC46" s="39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</row>
    <row r="47" spans="1:257" ht="16.5" customHeight="1">
      <c r="A47" s="217">
        <v>42</v>
      </c>
      <c r="B47" s="82" t="s">
        <v>90</v>
      </c>
      <c r="C47" s="83" t="s">
        <v>91</v>
      </c>
      <c r="D47" s="78"/>
      <c r="E47" s="78"/>
      <c r="F47" s="78">
        <v>112990050.84999999</v>
      </c>
      <c r="G47" s="78"/>
      <c r="H47" s="78"/>
      <c r="I47" s="78"/>
      <c r="J47" s="78">
        <f>31030915.09+112990050.85+8211412.6</f>
        <v>152232378.53999999</v>
      </c>
      <c r="K47" s="78">
        <v>189556.49</v>
      </c>
      <c r="L47" s="78">
        <v>54492.01</v>
      </c>
      <c r="M47" s="193">
        <v>135064.48000000001</v>
      </c>
      <c r="N47" s="44">
        <v>160840523.56999999</v>
      </c>
      <c r="O47" s="44">
        <v>3735532.19</v>
      </c>
      <c r="P47" s="54">
        <v>159211960.81</v>
      </c>
      <c r="Q47" s="47">
        <f t="shared" si="13"/>
        <v>2.7916901277580793E-4</v>
      </c>
      <c r="R47" s="54">
        <v>157820514</v>
      </c>
      <c r="S47" s="47">
        <f t="shared" si="14"/>
        <v>2.6544522808558872E-4</v>
      </c>
      <c r="T47" s="48">
        <f>((R47-P47)/P47)</f>
        <v>-8.7395871699647229E-3</v>
      </c>
      <c r="U47" s="84">
        <f>(L47/R47)</f>
        <v>3.4527837109946303E-4</v>
      </c>
      <c r="V47" s="49">
        <f>M47/R47</f>
        <v>8.558106711019837E-4</v>
      </c>
      <c r="W47" s="50">
        <f>R47/AB47</f>
        <v>0.99655230145433393</v>
      </c>
      <c r="X47" s="50">
        <f>M47/AB47</f>
        <v>8.5286009389585994E-4</v>
      </c>
      <c r="Y47" s="44">
        <v>1</v>
      </c>
      <c r="Z47" s="44">
        <v>1</v>
      </c>
      <c r="AA47" s="189">
        <v>20</v>
      </c>
      <c r="AB47" s="245">
        <v>158366514</v>
      </c>
      <c r="AC47" s="39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  <row r="48" spans="1:257" ht="16.5" customHeight="1">
      <c r="A48" s="217">
        <v>43</v>
      </c>
      <c r="B48" s="82" t="s">
        <v>160</v>
      </c>
      <c r="C48" s="82" t="s">
        <v>161</v>
      </c>
      <c r="D48" s="78"/>
      <c r="E48" s="78"/>
      <c r="F48" s="78">
        <v>208366795.81999999</v>
      </c>
      <c r="G48" s="78"/>
      <c r="H48" s="78"/>
      <c r="I48" s="78"/>
      <c r="J48" s="78">
        <v>208982386.03999999</v>
      </c>
      <c r="K48" s="78">
        <v>6530556.8099999996</v>
      </c>
      <c r="L48" s="78">
        <v>1411481.42</v>
      </c>
      <c r="M48" s="193">
        <v>5119075.3899999997</v>
      </c>
      <c r="N48" s="44">
        <v>829801866.34000003</v>
      </c>
      <c r="O48" s="44">
        <v>805287613.51999998</v>
      </c>
      <c r="P48" s="54">
        <v>751268433.39999998</v>
      </c>
      <c r="Q48" s="47">
        <f t="shared" si="13"/>
        <v>1.3173059725845218E-3</v>
      </c>
      <c r="R48" s="54">
        <v>805416315.55999994</v>
      </c>
      <c r="S48" s="47">
        <f t="shared" si="14"/>
        <v>1.3546649429089978E-3</v>
      </c>
      <c r="T48" s="48">
        <f>((R48-P48)/P48)</f>
        <v>7.2075279291243508E-2</v>
      </c>
      <c r="U48" s="84">
        <f>(L48/R48)</f>
        <v>1.7524867484446319E-3</v>
      </c>
      <c r="V48" s="49">
        <f>M48/R48</f>
        <v>6.3558128772704895E-3</v>
      </c>
      <c r="W48" s="50">
        <f>R48/AB48</f>
        <v>1.0001598212090179</v>
      </c>
      <c r="X48" s="50">
        <f>M48/AB48</f>
        <v>6.3568286709688266E-3</v>
      </c>
      <c r="Y48" s="44">
        <v>1</v>
      </c>
      <c r="Z48" s="44">
        <v>1</v>
      </c>
      <c r="AA48" s="189">
        <v>174</v>
      </c>
      <c r="AB48" s="190">
        <v>805287613.51999998</v>
      </c>
      <c r="AC48" s="39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spans="1:257" ht="16.5" customHeight="1">
      <c r="A49" s="217">
        <v>44</v>
      </c>
      <c r="B49" s="82" t="s">
        <v>156</v>
      </c>
      <c r="C49" s="83" t="s">
        <v>157</v>
      </c>
      <c r="D49" s="78"/>
      <c r="E49" s="78"/>
      <c r="F49" s="78">
        <v>4645281.75</v>
      </c>
      <c r="G49" s="78"/>
      <c r="H49" s="78"/>
      <c r="I49" s="78"/>
      <c r="J49" s="78">
        <v>4645281.75</v>
      </c>
      <c r="K49" s="78">
        <v>15704.55</v>
      </c>
      <c r="L49" s="78">
        <v>8994.34</v>
      </c>
      <c r="M49" s="193">
        <v>6710.21</v>
      </c>
      <c r="N49" s="44">
        <v>7065203.8899999997</v>
      </c>
      <c r="O49" s="44">
        <v>223343.89</v>
      </c>
      <c r="P49" s="54">
        <v>7031104.5800000001</v>
      </c>
      <c r="Q49" s="47">
        <f t="shared" si="13"/>
        <v>1.2328637335636503E-5</v>
      </c>
      <c r="R49" s="54">
        <v>6841860</v>
      </c>
      <c r="S49" s="47">
        <f t="shared" si="14"/>
        <v>1.1507623706191112E-5</v>
      </c>
      <c r="T49" s="48">
        <f>((R49-P49)/P49)</f>
        <v>-2.691534137300516E-2</v>
      </c>
      <c r="U49" s="84">
        <f>(L49/R49)</f>
        <v>1.31460450813083E-3</v>
      </c>
      <c r="V49" s="49">
        <f>M49/R49</f>
        <v>9.8075815640776042E-4</v>
      </c>
      <c r="W49" s="50">
        <f>R49/AB49</f>
        <v>109.42598960415833</v>
      </c>
      <c r="X49" s="50">
        <f>M49/AB49</f>
        <v>0.10732043182726909</v>
      </c>
      <c r="Y49" s="44">
        <v>100</v>
      </c>
      <c r="Z49" s="44">
        <v>100</v>
      </c>
      <c r="AA49" s="189">
        <v>71</v>
      </c>
      <c r="AB49" s="190">
        <v>62525</v>
      </c>
      <c r="AC49" s="39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16.5" customHeight="1">
      <c r="A50" s="221">
        <v>45</v>
      </c>
      <c r="B50" s="222" t="s">
        <v>154</v>
      </c>
      <c r="C50" s="83" t="s">
        <v>171</v>
      </c>
      <c r="D50" s="78"/>
      <c r="E50" s="78"/>
      <c r="F50" s="78">
        <v>484607021.58999997</v>
      </c>
      <c r="G50" s="78"/>
      <c r="H50" s="78"/>
      <c r="I50" s="78"/>
      <c r="J50" s="78">
        <v>484607021.58999997</v>
      </c>
      <c r="K50" s="78">
        <v>6194758.7000000002</v>
      </c>
      <c r="L50" s="78">
        <v>1276073.42</v>
      </c>
      <c r="M50" s="193">
        <v>4918685.28</v>
      </c>
      <c r="N50" s="44">
        <v>878902110.80999994</v>
      </c>
      <c r="O50" s="44">
        <v>16109322.57</v>
      </c>
      <c r="P50" s="54">
        <v>832743348</v>
      </c>
      <c r="Q50" s="47">
        <f t="shared" si="13"/>
        <v>1.4601675475513609E-3</v>
      </c>
      <c r="R50" s="54">
        <v>862792788.24000001</v>
      </c>
      <c r="S50" s="47">
        <f t="shared" si="14"/>
        <v>1.4511689428724575E-3</v>
      </c>
      <c r="T50" s="48">
        <f>((R50-P50)/P50)</f>
        <v>3.608487574493361E-2</v>
      </c>
      <c r="U50" s="84">
        <f t="shared" si="16"/>
        <v>1.4790033451752022E-3</v>
      </c>
      <c r="V50" s="49">
        <f t="shared" si="17"/>
        <v>5.7008882631408679E-3</v>
      </c>
      <c r="W50" s="50">
        <f t="shared" si="18"/>
        <v>100.27947712904478</v>
      </c>
      <c r="X50" s="50">
        <f t="shared" si="19"/>
        <v>0.57168209419887439</v>
      </c>
      <c r="Y50" s="44">
        <v>100</v>
      </c>
      <c r="Z50" s="44">
        <v>100</v>
      </c>
      <c r="AA50" s="189">
        <v>488</v>
      </c>
      <c r="AB50" s="190">
        <v>8603882</v>
      </c>
      <c r="AC50" s="39"/>
      <c r="AD50" s="16"/>
      <c r="AE50" s="16"/>
      <c r="AF50" s="16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>
      <c r="A51" s="149" t="s">
        <v>92</v>
      </c>
      <c r="B51" s="119"/>
      <c r="C51" s="59" t="s">
        <v>53</v>
      </c>
      <c r="D51" s="60"/>
      <c r="E51" s="60"/>
      <c r="F51" s="60">
        <f t="shared" ref="F51" si="20">SUM(F22:F50)</f>
        <v>468134458376.28003</v>
      </c>
      <c r="G51" s="60"/>
      <c r="H51" s="60"/>
      <c r="I51" s="60">
        <f t="shared" ref="I51" si="21">SUM(I22:I50)</f>
        <v>46001682.799999997</v>
      </c>
      <c r="J51" s="60">
        <f t="shared" ref="J51" si="22">SUM(J22:J50)</f>
        <v>474281534017.73987</v>
      </c>
      <c r="K51" s="60">
        <f t="shared" ref="K51" si="23">SUM(K22:K50)</f>
        <v>4203367770.8300004</v>
      </c>
      <c r="L51" s="60">
        <f t="shared" ref="L51" si="24">SUM(L22:L50)</f>
        <v>854977885.6099999</v>
      </c>
      <c r="M51" s="60">
        <f t="shared" ref="M51:N51" si="25">SUM(M22:M50)</f>
        <v>3561395416.5</v>
      </c>
      <c r="N51" s="60">
        <f t="shared" si="25"/>
        <v>599231186407.23962</v>
      </c>
      <c r="O51" s="60">
        <f>SUM(O22:O50)</f>
        <v>5579541255.670001</v>
      </c>
      <c r="P51" s="61">
        <f>SUM(P22:P50)</f>
        <v>570306708566.75</v>
      </c>
      <c r="Q51" s="118">
        <f>(P51/$P$149)</f>
        <v>0.42918898047134013</v>
      </c>
      <c r="R51" s="61">
        <f>SUM(R22:R50)</f>
        <v>594550202082.04004</v>
      </c>
      <c r="S51" s="118">
        <f>(R51/$R$149)</f>
        <v>0.42917577009617791</v>
      </c>
      <c r="T51" s="62">
        <f t="shared" si="15"/>
        <v>4.2509570992452256E-2</v>
      </c>
      <c r="U51" s="76"/>
      <c r="V51" s="63"/>
      <c r="W51" s="64"/>
      <c r="X51" s="64"/>
      <c r="Y51" s="60"/>
      <c r="Z51" s="60"/>
      <c r="AA51" s="65">
        <f>SUM(AA22:AA50)</f>
        <v>628798</v>
      </c>
      <c r="AB51" s="147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>
      <c r="A52" s="232" t="s">
        <v>191</v>
      </c>
      <c r="B52" s="233"/>
      <c r="C52" s="233"/>
      <c r="D52" s="70"/>
      <c r="E52" s="70"/>
      <c r="F52" s="70"/>
      <c r="G52" s="70"/>
      <c r="H52" s="70"/>
      <c r="I52" s="70"/>
      <c r="J52" s="70"/>
      <c r="K52" s="70"/>
      <c r="L52" s="70"/>
      <c r="M52" s="211"/>
      <c r="N52" s="70"/>
      <c r="O52" s="70"/>
      <c r="P52" s="70">
        <v>0</v>
      </c>
      <c r="Q52" s="48"/>
      <c r="R52" s="70">
        <v>0</v>
      </c>
      <c r="S52" s="48"/>
      <c r="T52" s="48"/>
      <c r="U52" s="48"/>
      <c r="V52" s="71"/>
      <c r="W52" s="72"/>
      <c r="X52" s="72"/>
      <c r="Y52" s="70"/>
      <c r="Z52" s="70"/>
      <c r="AA52" s="70"/>
      <c r="AB52" s="150"/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>
      <c r="A53" s="217">
        <v>46</v>
      </c>
      <c r="B53" s="83" t="s">
        <v>24</v>
      </c>
      <c r="C53" s="83" t="s">
        <v>93</v>
      </c>
      <c r="D53" s="44"/>
      <c r="E53" s="44"/>
      <c r="F53" s="44">
        <v>15603748118.049999</v>
      </c>
      <c r="G53" s="44">
        <v>65448277702.839996</v>
      </c>
      <c r="H53" s="44"/>
      <c r="I53" s="44"/>
      <c r="J53" s="44">
        <v>81067066916.779999</v>
      </c>
      <c r="K53" s="44">
        <v>493095590.91000003</v>
      </c>
      <c r="L53" s="44">
        <v>143469096.84999999</v>
      </c>
      <c r="M53" s="193">
        <v>349626494.06</v>
      </c>
      <c r="N53" s="44">
        <v>83680934067.929993</v>
      </c>
      <c r="O53" s="44">
        <v>697517197.36000001</v>
      </c>
      <c r="P53" s="54">
        <v>81369138856.330002</v>
      </c>
      <c r="Q53" s="47">
        <f t="shared" ref="Q53:Q79" si="26">(P53/$P$80)</f>
        <v>0.211183885043536</v>
      </c>
      <c r="R53" s="54">
        <v>82983416870.570007</v>
      </c>
      <c r="S53" s="47">
        <f t="shared" ref="S53:S79" si="27">(R53/$R$80)</f>
        <v>0.20467861754018768</v>
      </c>
      <c r="T53" s="48">
        <f t="shared" ref="T53:T55" si="28">((R53-P53)/P53)</f>
        <v>1.9838946766909588E-2</v>
      </c>
      <c r="U53" s="84">
        <f t="shared" ref="U53:U55" si="29">(L53/R53)</f>
        <v>1.7288887618808232E-3</v>
      </c>
      <c r="V53" s="49">
        <f t="shared" ref="V53:V55" si="30">M53/R53</f>
        <v>4.213209183773616E-3</v>
      </c>
      <c r="W53" s="50">
        <f t="shared" ref="W53:W54" si="31">R53/AB53</f>
        <v>236.69099395779693</v>
      </c>
      <c r="X53" s="50">
        <f t="shared" ref="X53:X54" si="32">M53/AB53</f>
        <v>0.99722866945949562</v>
      </c>
      <c r="Y53" s="188">
        <v>236.69</v>
      </c>
      <c r="Z53" s="188">
        <v>236.69</v>
      </c>
      <c r="AA53" s="189">
        <v>7005</v>
      </c>
      <c r="AB53" s="190">
        <v>350598117.32999998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>
      <c r="A54" s="217">
        <v>47</v>
      </c>
      <c r="B54" s="83" t="s">
        <v>32</v>
      </c>
      <c r="C54" s="83" t="s">
        <v>94</v>
      </c>
      <c r="D54" s="44"/>
      <c r="E54" s="44"/>
      <c r="F54" s="44">
        <v>247250994.25999999</v>
      </c>
      <c r="G54" s="44">
        <v>1119752188.3800001</v>
      </c>
      <c r="H54" s="44"/>
      <c r="I54" s="44"/>
      <c r="J54" s="44">
        <v>1367003182.6400001</v>
      </c>
      <c r="K54" s="44">
        <v>11235109.130000001</v>
      </c>
      <c r="L54" s="44">
        <v>1695225.5</v>
      </c>
      <c r="M54" s="193">
        <v>9539883.6300000008</v>
      </c>
      <c r="N54" s="44">
        <v>1407849531.1700001</v>
      </c>
      <c r="O54" s="44">
        <v>26472107</v>
      </c>
      <c r="P54" s="54">
        <v>1340937570.25</v>
      </c>
      <c r="Q54" s="47">
        <f t="shared" si="26"/>
        <v>3.4802433658077795E-3</v>
      </c>
      <c r="R54" s="54">
        <v>1381377424.1700001</v>
      </c>
      <c r="S54" s="47">
        <f t="shared" si="27"/>
        <v>3.407167746796095E-3</v>
      </c>
      <c r="T54" s="48">
        <f t="shared" si="28"/>
        <v>3.0157894608367639E-2</v>
      </c>
      <c r="U54" s="84">
        <f t="shared" si="29"/>
        <v>1.2271993666166765E-3</v>
      </c>
      <c r="V54" s="49">
        <f t="shared" si="30"/>
        <v>6.9060659766696526E-3</v>
      </c>
      <c r="W54" s="50">
        <f t="shared" si="31"/>
        <v>317.81586780940864</v>
      </c>
      <c r="X54" s="50">
        <f t="shared" si="32"/>
        <v>2.1948573515242971</v>
      </c>
      <c r="Y54" s="188">
        <v>317.8159</v>
      </c>
      <c r="Z54" s="188">
        <v>317.8159</v>
      </c>
      <c r="AA54" s="189">
        <v>97</v>
      </c>
      <c r="AB54" s="190">
        <v>4346470.91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6.5" customHeight="1">
      <c r="A55" s="217">
        <v>48</v>
      </c>
      <c r="B55" s="83" t="s">
        <v>38</v>
      </c>
      <c r="C55" s="83" t="s">
        <v>192</v>
      </c>
      <c r="D55" s="44"/>
      <c r="E55" s="44"/>
      <c r="F55" s="44">
        <v>14243092798.110001</v>
      </c>
      <c r="G55" s="44">
        <v>30146370092.650002</v>
      </c>
      <c r="H55" s="44"/>
      <c r="I55" s="44"/>
      <c r="J55" s="44">
        <v>44437651952.400002</v>
      </c>
      <c r="K55" s="44">
        <v>1662641001.8699999</v>
      </c>
      <c r="L55" s="44">
        <v>46777369.32</v>
      </c>
      <c r="M55" s="193">
        <v>1615863632.54</v>
      </c>
      <c r="N55" s="44">
        <v>44586746607.910004</v>
      </c>
      <c r="O55" s="44">
        <v>149094655.53999999</v>
      </c>
      <c r="P55" s="54">
        <v>41966673784.25</v>
      </c>
      <c r="Q55" s="47">
        <f t="shared" si="26"/>
        <v>0.1089194913044501</v>
      </c>
      <c r="R55" s="54">
        <v>44437651952.360001</v>
      </c>
      <c r="S55" s="47">
        <f t="shared" si="27"/>
        <v>0.10960547915889393</v>
      </c>
      <c r="T55" s="48">
        <f t="shared" si="28"/>
        <v>5.8879533336696162E-2</v>
      </c>
      <c r="U55" s="84">
        <f t="shared" si="29"/>
        <v>1.0526516875857511E-3</v>
      </c>
      <c r="V55" s="49">
        <f t="shared" si="30"/>
        <v>3.636248905032851E-2</v>
      </c>
      <c r="W55" s="50">
        <f>R55/AB55</f>
        <v>1419.2813863917961</v>
      </c>
      <c r="X55" s="50">
        <f>M55/AB55</f>
        <v>51.608603872006761</v>
      </c>
      <c r="Y55" s="188">
        <v>1419.28</v>
      </c>
      <c r="Z55" s="188">
        <v>1419.28</v>
      </c>
      <c r="AA55" s="189">
        <v>2062</v>
      </c>
      <c r="AB55" s="190">
        <v>31309966</v>
      </c>
      <c r="AC55" s="13"/>
      <c r="AD55" s="4"/>
      <c r="AE55" s="4"/>
      <c r="AF55" s="4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6.5" customHeight="1">
      <c r="A56" s="217">
        <v>49</v>
      </c>
      <c r="B56" s="82" t="s">
        <v>160</v>
      </c>
      <c r="C56" s="83" t="s">
        <v>162</v>
      </c>
      <c r="D56" s="44"/>
      <c r="E56" s="44"/>
      <c r="F56" s="44"/>
      <c r="G56" s="44">
        <v>490079298.49000001</v>
      </c>
      <c r="H56" s="53"/>
      <c r="I56" s="52">
        <v>292418.56</v>
      </c>
      <c r="J56" s="52">
        <v>490371717.05000001</v>
      </c>
      <c r="K56" s="52">
        <v>5235938.92</v>
      </c>
      <c r="L56" s="44">
        <v>1162688.6100000001</v>
      </c>
      <c r="M56" s="193">
        <v>4073250.31</v>
      </c>
      <c r="N56" s="44">
        <v>630494849.92999995</v>
      </c>
      <c r="O56" s="44">
        <v>612943177.25</v>
      </c>
      <c r="P56" s="54">
        <v>617727362.21000004</v>
      </c>
      <c r="Q56" s="47">
        <f t="shared" si="26"/>
        <v>1.6032376166539076E-3</v>
      </c>
      <c r="R56" s="54">
        <v>621890612.51999998</v>
      </c>
      <c r="S56" s="47">
        <f t="shared" si="27"/>
        <v>1.5338933443816364E-3</v>
      </c>
      <c r="T56" s="48">
        <f>((R56-P56)/P56)</f>
        <v>6.7396242496129246E-3</v>
      </c>
      <c r="U56" s="84">
        <f>(L56/R56)</f>
        <v>1.8696030886985098E-3</v>
      </c>
      <c r="V56" s="49">
        <f>M56/R56</f>
        <v>6.5497858111968274E-3</v>
      </c>
      <c r="W56" s="50">
        <f>R56/AB56</f>
        <v>1.0166204863027577</v>
      </c>
      <c r="X56" s="50">
        <f>M56/AB56</f>
        <v>6.6586464365578218E-3</v>
      </c>
      <c r="Y56" s="188">
        <v>1.02</v>
      </c>
      <c r="Z56" s="188">
        <v>1.02</v>
      </c>
      <c r="AA56" s="189">
        <v>37</v>
      </c>
      <c r="AB56" s="190">
        <v>611723470.95000005</v>
      </c>
      <c r="AC56" s="13"/>
      <c r="AD56" s="4"/>
      <c r="AE56" s="4"/>
      <c r="AF56" s="4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</row>
    <row r="57" spans="1:257" ht="16.5" customHeight="1">
      <c r="A57" s="217">
        <v>50</v>
      </c>
      <c r="B57" s="83" t="s">
        <v>83</v>
      </c>
      <c r="C57" s="117" t="s">
        <v>99</v>
      </c>
      <c r="D57" s="44"/>
      <c r="E57" s="44"/>
      <c r="F57" s="44">
        <v>764521715.07000005</v>
      </c>
      <c r="G57" s="44">
        <v>2156797585.71</v>
      </c>
      <c r="H57" s="44"/>
      <c r="I57" s="44"/>
      <c r="J57" s="44">
        <v>2921319300.7800002</v>
      </c>
      <c r="K57" s="44">
        <v>17808884.719999999</v>
      </c>
      <c r="L57" s="44">
        <v>5723312.6799999997</v>
      </c>
      <c r="M57" s="193">
        <v>12085572.039999999</v>
      </c>
      <c r="N57" s="44">
        <v>2921889652.4099998</v>
      </c>
      <c r="O57" s="44">
        <v>32089069.050000001</v>
      </c>
      <c r="P57" s="54">
        <v>2906059230.25</v>
      </c>
      <c r="Q57" s="47">
        <f t="shared" si="26"/>
        <v>7.5423297706815997E-3</v>
      </c>
      <c r="R57" s="54">
        <v>2889800583.3600001</v>
      </c>
      <c r="S57" s="47">
        <f t="shared" si="27"/>
        <v>7.1276938293766585E-3</v>
      </c>
      <c r="T57" s="48">
        <f>((R57-P57)/P57)</f>
        <v>-5.5947403689363831E-3</v>
      </c>
      <c r="U57" s="84">
        <f t="shared" ref="U57:U78" si="33">(L57/R57)</f>
        <v>1.9805216709263191E-3</v>
      </c>
      <c r="V57" s="49">
        <f t="shared" ref="V57:V78" si="34">M57/R57</f>
        <v>4.1821474151506966E-3</v>
      </c>
      <c r="W57" s="50">
        <f t="shared" ref="W57:W75" si="35">R57/AB57</f>
        <v>3503.5511709621451</v>
      </c>
      <c r="X57" s="50">
        <f t="shared" ref="X57:X75" si="36">M57/AB57</f>
        <v>14.65236747348753</v>
      </c>
      <c r="Y57" s="188">
        <v>3503.55</v>
      </c>
      <c r="Z57" s="188">
        <v>3503.55</v>
      </c>
      <c r="AA57" s="189">
        <v>1058</v>
      </c>
      <c r="AB57" s="190">
        <v>824820.43</v>
      </c>
      <c r="AC57" s="13"/>
      <c r="AD57" s="4"/>
      <c r="AE57" s="4"/>
      <c r="AF57" s="4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>
      <c r="A58" s="217">
        <v>51</v>
      </c>
      <c r="B58" s="83" t="s">
        <v>34</v>
      </c>
      <c r="C58" s="83" t="s">
        <v>100</v>
      </c>
      <c r="D58" s="44"/>
      <c r="E58" s="44"/>
      <c r="F58" s="44">
        <v>1439618724</v>
      </c>
      <c r="G58" s="44">
        <v>98129037549</v>
      </c>
      <c r="H58" s="44"/>
      <c r="I58" s="44"/>
      <c r="J58" s="44">
        <v>99568656273</v>
      </c>
      <c r="K58" s="44">
        <v>714711862</v>
      </c>
      <c r="L58" s="44">
        <v>171139308</v>
      </c>
      <c r="M58" s="193">
        <v>543572554</v>
      </c>
      <c r="N58" s="44">
        <v>120937761475.42999</v>
      </c>
      <c r="O58" s="44">
        <v>401951134.45999998</v>
      </c>
      <c r="P58" s="54">
        <v>112420292981</v>
      </c>
      <c r="Q58" s="47">
        <f t="shared" si="26"/>
        <v>0.29177344830180929</v>
      </c>
      <c r="R58" s="54">
        <v>120535810341</v>
      </c>
      <c r="S58" s="47">
        <f t="shared" si="27"/>
        <v>0.29730160500816549</v>
      </c>
      <c r="T58" s="48">
        <f>((R58-P58)/P58)</f>
        <v>7.2189078544490123E-2</v>
      </c>
      <c r="U58" s="84">
        <f t="shared" si="33"/>
        <v>1.4198212756511193E-3</v>
      </c>
      <c r="V58" s="49">
        <f t="shared" si="34"/>
        <v>4.5096353727760597E-3</v>
      </c>
      <c r="W58" s="50">
        <f t="shared" si="35"/>
        <v>1.9818710528321024</v>
      </c>
      <c r="X58" s="50">
        <f t="shared" si="36"/>
        <v>8.93751580413258E-3</v>
      </c>
      <c r="Y58" s="188">
        <v>1.98</v>
      </c>
      <c r="Z58" s="188">
        <v>1.98</v>
      </c>
      <c r="AA58" s="189">
        <v>2440</v>
      </c>
      <c r="AB58" s="190">
        <v>60819199195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>
      <c r="A59" s="217">
        <v>52</v>
      </c>
      <c r="B59" s="83" t="s">
        <v>45</v>
      </c>
      <c r="C59" s="83" t="s">
        <v>101</v>
      </c>
      <c r="D59" s="44">
        <v>22413750</v>
      </c>
      <c r="E59" s="44"/>
      <c r="F59" s="44">
        <v>240750761.49000001</v>
      </c>
      <c r="G59" s="44">
        <v>10489388300.719999</v>
      </c>
      <c r="H59" s="44"/>
      <c r="I59" s="44"/>
      <c r="J59" s="44">
        <v>10752552812.209999</v>
      </c>
      <c r="K59" s="44">
        <v>40822229.57</v>
      </c>
      <c r="L59" s="44">
        <v>4099371.41</v>
      </c>
      <c r="M59" s="193">
        <v>36794108.159999996</v>
      </c>
      <c r="N59" s="44">
        <v>10779308548.969999</v>
      </c>
      <c r="O59" s="44">
        <v>245668341.66999999</v>
      </c>
      <c r="P59" s="54">
        <v>10616638899.4</v>
      </c>
      <c r="Q59" s="47">
        <f t="shared" si="26"/>
        <v>2.7554218717225663E-2</v>
      </c>
      <c r="R59" s="54">
        <v>10533640207.299999</v>
      </c>
      <c r="S59" s="47">
        <f t="shared" si="27"/>
        <v>2.5981226088323765E-2</v>
      </c>
      <c r="T59" s="48">
        <f t="shared" ref="T59:T101" si="37">((R59-P59)/P59)</f>
        <v>-7.8177936432114181E-3</v>
      </c>
      <c r="U59" s="84">
        <f t="shared" si="33"/>
        <v>3.8916949215325042E-4</v>
      </c>
      <c r="V59" s="49">
        <f t="shared" si="34"/>
        <v>3.4930097702122985E-3</v>
      </c>
      <c r="W59" s="50">
        <f t="shared" si="35"/>
        <v>1.0047215368370814</v>
      </c>
      <c r="X59" s="50">
        <f t="shared" si="36"/>
        <v>3.509502144514641E-3</v>
      </c>
      <c r="Y59" s="188">
        <v>1</v>
      </c>
      <c r="Z59" s="188">
        <v>1</v>
      </c>
      <c r="AA59" s="189">
        <v>4532</v>
      </c>
      <c r="AB59" s="190">
        <v>10484138959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>
      <c r="A60" s="217">
        <v>53</v>
      </c>
      <c r="B60" s="82" t="s">
        <v>75</v>
      </c>
      <c r="C60" s="82" t="s">
        <v>113</v>
      </c>
      <c r="D60" s="44"/>
      <c r="E60" s="44"/>
      <c r="F60" s="44">
        <v>954780606.24000001</v>
      </c>
      <c r="G60" s="44">
        <v>3030549852.3499999</v>
      </c>
      <c r="H60" s="44"/>
      <c r="I60" s="44"/>
      <c r="J60" s="44">
        <v>3985330458.5900002</v>
      </c>
      <c r="K60" s="44">
        <v>27721084.109999999</v>
      </c>
      <c r="L60" s="44">
        <v>5821141.7699999996</v>
      </c>
      <c r="M60" s="193">
        <v>21899942.34</v>
      </c>
      <c r="N60" s="44">
        <v>4093007653.1599998</v>
      </c>
      <c r="O60" s="44">
        <v>11461682.640000001</v>
      </c>
      <c r="P60" s="54">
        <v>4185560708.02</v>
      </c>
      <c r="Q60" s="47">
        <f t="shared" si="26"/>
        <v>1.0863123093461045E-2</v>
      </c>
      <c r="R60" s="54">
        <v>4081545970.52</v>
      </c>
      <c r="S60" s="47">
        <f t="shared" si="27"/>
        <v>1.0067134111574923E-2</v>
      </c>
      <c r="T60" s="48">
        <f>((R60-P60)/P60)</f>
        <v>-2.4850849087123785E-2</v>
      </c>
      <c r="U60" s="84">
        <f>(L60/R60)</f>
        <v>1.4262100223897197E-3</v>
      </c>
      <c r="V60" s="49">
        <f>M60/R60</f>
        <v>5.3655998237378396E-3</v>
      </c>
      <c r="W60" s="50">
        <f>R60/AB60</f>
        <v>22.297809200521833</v>
      </c>
      <c r="X60" s="50">
        <f>M60/AB60</f>
        <v>0.11964112111605991</v>
      </c>
      <c r="Y60" s="188">
        <v>22.298300000000001</v>
      </c>
      <c r="Z60" s="188">
        <v>22.298300000000001</v>
      </c>
      <c r="AA60" s="189">
        <v>1406</v>
      </c>
      <c r="AB60" s="190">
        <v>183046950.21000001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spans="1:257" ht="16.5" customHeight="1">
      <c r="A61" s="217">
        <v>54</v>
      </c>
      <c r="B61" s="83" t="s">
        <v>102</v>
      </c>
      <c r="C61" s="83" t="s">
        <v>103</v>
      </c>
      <c r="D61" s="44"/>
      <c r="E61" s="44"/>
      <c r="F61" s="44">
        <v>62829313.880000003</v>
      </c>
      <c r="G61" s="44">
        <v>371561824.06999999</v>
      </c>
      <c r="H61" s="44"/>
      <c r="I61" s="44"/>
      <c r="J61" s="44">
        <v>434391137.94999999</v>
      </c>
      <c r="K61" s="44">
        <v>2613867.5299999998</v>
      </c>
      <c r="L61" s="44">
        <v>833522.42</v>
      </c>
      <c r="M61" s="193">
        <v>1780345.11</v>
      </c>
      <c r="N61" s="44">
        <v>480240950.10000002</v>
      </c>
      <c r="O61" s="44">
        <v>5101877.18</v>
      </c>
      <c r="P61" s="54">
        <v>473358727.81</v>
      </c>
      <c r="Q61" s="47">
        <f t="shared" si="26"/>
        <v>1.22854606258875E-3</v>
      </c>
      <c r="R61" s="54">
        <v>475139072.92000002</v>
      </c>
      <c r="S61" s="47">
        <f t="shared" si="27"/>
        <v>1.1719306368918865E-3</v>
      </c>
      <c r="T61" s="48">
        <f t="shared" si="37"/>
        <v>3.7610907022604251E-3</v>
      </c>
      <c r="U61" s="84">
        <f t="shared" si="33"/>
        <v>1.7542704178747717E-3</v>
      </c>
      <c r="V61" s="49">
        <f t="shared" si="34"/>
        <v>3.7469979032849609E-3</v>
      </c>
      <c r="W61" s="50">
        <f t="shared" si="35"/>
        <v>2.07819962384115</v>
      </c>
      <c r="X61" s="50">
        <f t="shared" si="36"/>
        <v>7.7870096331403831E-3</v>
      </c>
      <c r="Y61" s="188">
        <v>2.0840000000000001</v>
      </c>
      <c r="Z61" s="188">
        <v>2.0840000000000001</v>
      </c>
      <c r="AA61" s="189">
        <v>1438</v>
      </c>
      <c r="AB61" s="190">
        <v>228630140.94949999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</row>
    <row r="62" spans="1:257" ht="18" customHeight="1">
      <c r="A62" s="217">
        <v>55</v>
      </c>
      <c r="B62" s="83" t="s">
        <v>24</v>
      </c>
      <c r="C62" s="83" t="s">
        <v>104</v>
      </c>
      <c r="D62" s="44"/>
      <c r="E62" s="44"/>
      <c r="F62" s="44">
        <v>4089272152.3099999</v>
      </c>
      <c r="G62" s="44">
        <v>19692994313.119999</v>
      </c>
      <c r="H62" s="44"/>
      <c r="I62" s="44"/>
      <c r="J62" s="44">
        <v>23782266465.43</v>
      </c>
      <c r="K62" s="44">
        <v>150095079.78</v>
      </c>
      <c r="L62" s="44">
        <v>40969522.200000003</v>
      </c>
      <c r="M62" s="193">
        <v>109125557.58</v>
      </c>
      <c r="N62" s="44">
        <v>23895730768.490002</v>
      </c>
      <c r="O62" s="44">
        <v>89070032.010000005</v>
      </c>
      <c r="P62" s="54">
        <v>24187710071.639999</v>
      </c>
      <c r="Q62" s="47">
        <f t="shared" si="26"/>
        <v>6.277631366180085E-2</v>
      </c>
      <c r="R62" s="54">
        <v>23806660736.48</v>
      </c>
      <c r="S62" s="47">
        <f t="shared" si="27"/>
        <v>5.871913439514078E-2</v>
      </c>
      <c r="T62" s="48">
        <f t="shared" si="37"/>
        <v>-1.5753840856839885E-2</v>
      </c>
      <c r="U62" s="84">
        <f t="shared" si="33"/>
        <v>1.7209268722522093E-3</v>
      </c>
      <c r="V62" s="49">
        <f t="shared" si="34"/>
        <v>4.5838246189975765E-3</v>
      </c>
      <c r="W62" s="50">
        <f t="shared" si="35"/>
        <v>316.00432196909179</v>
      </c>
      <c r="X62" s="50">
        <f t="shared" si="36"/>
        <v>1.4485083907515597</v>
      </c>
      <c r="Y62" s="188">
        <v>316</v>
      </c>
      <c r="Z62" s="188">
        <v>316</v>
      </c>
      <c r="AA62" s="189">
        <v>9769</v>
      </c>
      <c r="AB62" s="190">
        <v>75336503.590000004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</row>
    <row r="63" spans="1:257" ht="16.5" customHeight="1">
      <c r="A63" s="217">
        <v>56</v>
      </c>
      <c r="B63" s="83" t="s">
        <v>105</v>
      </c>
      <c r="C63" s="83" t="s">
        <v>106</v>
      </c>
      <c r="D63" s="44"/>
      <c r="E63" s="44"/>
      <c r="F63" s="44"/>
      <c r="G63" s="44">
        <v>4543334962.8100004</v>
      </c>
      <c r="H63" s="44"/>
      <c r="I63" s="44"/>
      <c r="J63" s="44">
        <v>4543334962.8100004</v>
      </c>
      <c r="K63" s="44">
        <v>54751759.100000001</v>
      </c>
      <c r="L63" s="44">
        <v>8249830.54</v>
      </c>
      <c r="M63" s="193">
        <v>46501928.560000002</v>
      </c>
      <c r="N63" s="44">
        <v>6403607048</v>
      </c>
      <c r="O63" s="44">
        <v>76467278</v>
      </c>
      <c r="P63" s="54">
        <v>6463164190</v>
      </c>
      <c r="Q63" s="47">
        <f t="shared" si="26"/>
        <v>1.6774371002357936E-2</v>
      </c>
      <c r="R63" s="54">
        <v>6327139770</v>
      </c>
      <c r="S63" s="47">
        <f t="shared" si="27"/>
        <v>1.5605891754578044E-2</v>
      </c>
      <c r="T63" s="48">
        <f t="shared" si="37"/>
        <v>-2.1046103116250867E-2</v>
      </c>
      <c r="U63" s="84">
        <f t="shared" si="33"/>
        <v>1.303879926774559E-3</v>
      </c>
      <c r="V63" s="49">
        <f t="shared" si="34"/>
        <v>7.3495971719303435E-3</v>
      </c>
      <c r="W63" s="50">
        <f t="shared" si="35"/>
        <v>1.0199999999806548</v>
      </c>
      <c r="X63" s="50">
        <f t="shared" si="36"/>
        <v>7.4965891152267705E-3</v>
      </c>
      <c r="Y63" s="188">
        <v>1.02</v>
      </c>
      <c r="Z63" s="188">
        <v>1.02</v>
      </c>
      <c r="AA63" s="189">
        <v>2104</v>
      </c>
      <c r="AB63" s="190">
        <v>6203078206</v>
      </c>
      <c r="AC63" s="13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5.75" customHeight="1">
      <c r="A64" s="217">
        <v>57</v>
      </c>
      <c r="B64" s="82" t="s">
        <v>26</v>
      </c>
      <c r="C64" s="116" t="s">
        <v>193</v>
      </c>
      <c r="D64" s="44"/>
      <c r="E64" s="44"/>
      <c r="F64" s="44">
        <v>723081696.12</v>
      </c>
      <c r="G64" s="44">
        <v>5296407741.6999998</v>
      </c>
      <c r="H64" s="44"/>
      <c r="I64" s="44"/>
      <c r="J64" s="44">
        <v>6030372689.4899998</v>
      </c>
      <c r="K64" s="195">
        <v>44011377.289999999</v>
      </c>
      <c r="L64" s="195">
        <v>2320490.65</v>
      </c>
      <c r="M64" s="193">
        <v>41690886.640000001</v>
      </c>
      <c r="N64" s="44">
        <v>6030372689.4899998</v>
      </c>
      <c r="O64" s="44">
        <v>15027698.359999999</v>
      </c>
      <c r="P64" s="54">
        <v>6132432664.3000002</v>
      </c>
      <c r="Q64" s="47">
        <f t="shared" si="26"/>
        <v>1.5915996814239459E-2</v>
      </c>
      <c r="R64" s="54">
        <v>6015344991.1300001</v>
      </c>
      <c r="S64" s="47">
        <f t="shared" si="27"/>
        <v>1.483684985799168E-2</v>
      </c>
      <c r="T64" s="48">
        <f t="shared" si="37"/>
        <v>-1.9093185295229867E-2</v>
      </c>
      <c r="U64" s="84">
        <f>(L65/R64)</f>
        <v>1.0218676644588075E-2</v>
      </c>
      <c r="V64" s="49">
        <f t="shared" si="34"/>
        <v>6.9307557091863896E-3</v>
      </c>
      <c r="W64" s="50">
        <f t="shared" si="35"/>
        <v>0.55632710843506239</v>
      </c>
      <c r="X64" s="50">
        <f t="shared" si="36"/>
        <v>3.8557672829614646E-3</v>
      </c>
      <c r="Y64" s="196">
        <v>3.99</v>
      </c>
      <c r="Z64" s="196">
        <v>3.99</v>
      </c>
      <c r="AA64" s="195">
        <v>929</v>
      </c>
      <c r="AB64" s="197">
        <v>10812604491</v>
      </c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257" ht="16.5" customHeight="1">
      <c r="A65" s="217">
        <v>58</v>
      </c>
      <c r="B65" s="83" t="s">
        <v>24</v>
      </c>
      <c r="C65" s="82" t="s">
        <v>107</v>
      </c>
      <c r="D65" s="44"/>
      <c r="E65" s="44"/>
      <c r="F65" s="44">
        <v>25759095303.23</v>
      </c>
      <c r="G65" s="44">
        <v>29149841768.77</v>
      </c>
      <c r="H65" s="44"/>
      <c r="I65" s="44"/>
      <c r="J65" s="44">
        <v>54935138661.040001</v>
      </c>
      <c r="K65" s="44">
        <v>407126719.69</v>
      </c>
      <c r="L65" s="44">
        <v>61468865.369999997</v>
      </c>
      <c r="M65" s="193">
        <v>345657854.31999999</v>
      </c>
      <c r="N65" s="44">
        <v>56422005543.550003</v>
      </c>
      <c r="O65" s="44">
        <v>106384409.64</v>
      </c>
      <c r="P65" s="54">
        <v>52300033752.75</v>
      </c>
      <c r="Q65" s="47">
        <f t="shared" si="26"/>
        <v>0.13573849337788074</v>
      </c>
      <c r="R65" s="54">
        <v>56315621133.910004</v>
      </c>
      <c r="S65" s="47">
        <f t="shared" si="27"/>
        <v>0.13890249298343338</v>
      </c>
      <c r="T65" s="48">
        <f t="shared" si="37"/>
        <v>7.6779823893495275E-2</v>
      </c>
      <c r="U65" s="84">
        <f>(L66/R65)</f>
        <v>4.8309998988216925E-6</v>
      </c>
      <c r="V65" s="49">
        <f t="shared" si="34"/>
        <v>6.1378680969899641E-3</v>
      </c>
      <c r="W65" s="50">
        <f t="shared" si="35"/>
        <v>4312.764411330264</v>
      </c>
      <c r="X65" s="50">
        <f t="shared" si="36"/>
        <v>26.471179090137728</v>
      </c>
      <c r="Y65" s="188">
        <v>4312.76</v>
      </c>
      <c r="Z65" s="101">
        <v>4312.76</v>
      </c>
      <c r="AA65" s="189">
        <v>450</v>
      </c>
      <c r="AB65" s="190">
        <v>13057894.140000001</v>
      </c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257" ht="16.5" customHeight="1">
      <c r="A66" s="217">
        <v>59</v>
      </c>
      <c r="B66" s="83" t="s">
        <v>24</v>
      </c>
      <c r="C66" s="82" t="s">
        <v>108</v>
      </c>
      <c r="D66" s="78">
        <v>71595258.549999997</v>
      </c>
      <c r="E66" s="44"/>
      <c r="F66" s="44">
        <v>143774652.19999999</v>
      </c>
      <c r="G66" s="44">
        <v>31509590.649999999</v>
      </c>
      <c r="H66" s="44"/>
      <c r="I66" s="44"/>
      <c r="J66" s="44">
        <v>246879501.40000001</v>
      </c>
      <c r="K66" s="44">
        <v>1290589.97</v>
      </c>
      <c r="L66" s="44">
        <v>272060.76</v>
      </c>
      <c r="M66" s="193">
        <v>2245443.7599999998</v>
      </c>
      <c r="N66" s="44">
        <v>250554527.15000001</v>
      </c>
      <c r="O66" s="44">
        <v>2990005.16</v>
      </c>
      <c r="P66" s="54">
        <v>245252609.72999999</v>
      </c>
      <c r="Q66" s="47">
        <f t="shared" si="26"/>
        <v>6.365238672526312E-4</v>
      </c>
      <c r="R66" s="54">
        <v>247564521.99000001</v>
      </c>
      <c r="S66" s="47">
        <f t="shared" si="27"/>
        <v>6.1061795264399487E-4</v>
      </c>
      <c r="T66" s="48">
        <f t="shared" si="37"/>
        <v>9.4266571211830026E-3</v>
      </c>
      <c r="U66" s="84">
        <f t="shared" si="33"/>
        <v>1.0989489035548861E-3</v>
      </c>
      <c r="V66" s="49">
        <f t="shared" si="34"/>
        <v>9.0701355022538375E-3</v>
      </c>
      <c r="W66" s="50">
        <f t="shared" si="35"/>
        <v>3914.8385101683371</v>
      </c>
      <c r="X66" s="50">
        <f t="shared" si="36"/>
        <v>35.508115756668353</v>
      </c>
      <c r="Y66" s="101">
        <v>3900.56</v>
      </c>
      <c r="Z66" s="101">
        <v>3922.75</v>
      </c>
      <c r="AA66" s="189">
        <v>15</v>
      </c>
      <c r="AB66" s="190">
        <v>63237.48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257" ht="16.5" customHeight="1">
      <c r="A67" s="217">
        <v>60</v>
      </c>
      <c r="B67" s="82" t="s">
        <v>47</v>
      </c>
      <c r="C67" s="82" t="s">
        <v>110</v>
      </c>
      <c r="D67" s="44"/>
      <c r="E67" s="44"/>
      <c r="F67" s="44">
        <v>6323720.54</v>
      </c>
      <c r="G67" s="44">
        <v>45517856.840000004</v>
      </c>
      <c r="H67" s="44"/>
      <c r="I67" s="44"/>
      <c r="J67" s="44">
        <v>51841577.380000003</v>
      </c>
      <c r="K67" s="44">
        <v>374859.22</v>
      </c>
      <c r="L67" s="44">
        <v>60543.01</v>
      </c>
      <c r="M67" s="193">
        <v>314316.21000000002</v>
      </c>
      <c r="N67" s="44">
        <v>54236514.520000003</v>
      </c>
      <c r="O67" s="44">
        <v>43370.91</v>
      </c>
      <c r="P67" s="54">
        <v>53610396</v>
      </c>
      <c r="Q67" s="47">
        <f t="shared" si="26"/>
        <v>1.3913938214330369E-4</v>
      </c>
      <c r="R67" s="54">
        <v>54279885.43</v>
      </c>
      <c r="S67" s="47">
        <f t="shared" si="27"/>
        <v>1.3388135038329933E-4</v>
      </c>
      <c r="T67" s="48">
        <f>((R67-P67)/P67)</f>
        <v>1.2488052317315465E-2</v>
      </c>
      <c r="U67" s="84">
        <f>(L67/R67)</f>
        <v>1.115385736730727E-3</v>
      </c>
      <c r="V67" s="49">
        <f>M67/R67</f>
        <v>5.790657211414826E-3</v>
      </c>
      <c r="W67" s="50">
        <f>R67/AB67</f>
        <v>11.609024309493648</v>
      </c>
      <c r="X67" s="50">
        <f>M67/AB67</f>
        <v>6.7223880335259417E-2</v>
      </c>
      <c r="Y67" s="101">
        <v>11.542</v>
      </c>
      <c r="Z67" s="101">
        <v>11.5221</v>
      </c>
      <c r="AA67" s="189">
        <v>47</v>
      </c>
      <c r="AB67" s="190">
        <v>4675663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spans="1:257" ht="16.5" customHeight="1">
      <c r="A68" s="217">
        <v>61</v>
      </c>
      <c r="B68" s="83" t="s">
        <v>109</v>
      </c>
      <c r="C68" s="82" t="s">
        <v>204</v>
      </c>
      <c r="D68" s="44"/>
      <c r="E68" s="44"/>
      <c r="F68" s="44">
        <v>7567554754.29</v>
      </c>
      <c r="G68" s="44">
        <v>4288141312.8499999</v>
      </c>
      <c r="H68" s="44"/>
      <c r="I68" s="44"/>
      <c r="J68" s="44">
        <v>11871693205.719999</v>
      </c>
      <c r="K68" s="44">
        <v>136692601.44999999</v>
      </c>
      <c r="L68" s="44">
        <v>31561273.199999999</v>
      </c>
      <c r="M68" s="193">
        <v>105131328.25</v>
      </c>
      <c r="N68" s="44">
        <v>14371396535.73</v>
      </c>
      <c r="O68" s="44">
        <v>274019749.14999998</v>
      </c>
      <c r="P68" s="54">
        <v>13888645322</v>
      </c>
      <c r="Q68" s="47">
        <f t="shared" si="26"/>
        <v>3.6046320734332296E-2</v>
      </c>
      <c r="R68" s="54">
        <v>14097376786.58</v>
      </c>
      <c r="S68" s="47">
        <f t="shared" si="27"/>
        <v>3.4771183212674431E-2</v>
      </c>
      <c r="T68" s="48">
        <f t="shared" si="37"/>
        <v>1.5028929009322707E-2</v>
      </c>
      <c r="U68" s="84">
        <f t="shared" si="33"/>
        <v>2.238804685283347E-3</v>
      </c>
      <c r="V68" s="49">
        <f t="shared" si="34"/>
        <v>7.4575099922192462E-3</v>
      </c>
      <c r="W68" s="50">
        <f t="shared" si="35"/>
        <v>1158.474101506793</v>
      </c>
      <c r="X68" s="50">
        <f t="shared" si="36"/>
        <v>8.6393321877141229</v>
      </c>
      <c r="Y68" s="101">
        <v>1159.52</v>
      </c>
      <c r="Z68" s="101">
        <v>1159.52</v>
      </c>
      <c r="AA68" s="189">
        <v>5469</v>
      </c>
      <c r="AB68" s="190">
        <v>12168918.380000001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257" ht="18.75" customHeight="1">
      <c r="A69" s="217">
        <v>62</v>
      </c>
      <c r="B69" s="83" t="s">
        <v>79</v>
      </c>
      <c r="C69" s="83" t="s">
        <v>151</v>
      </c>
      <c r="D69" s="44"/>
      <c r="E69" s="44"/>
      <c r="F69" s="44"/>
      <c r="G69" s="44">
        <v>15000000</v>
      </c>
      <c r="H69" s="44"/>
      <c r="I69" s="44"/>
      <c r="J69" s="44">
        <v>25753645.870000001</v>
      </c>
      <c r="K69" s="44">
        <v>198885.3</v>
      </c>
      <c r="L69" s="44">
        <v>154611.79999999999</v>
      </c>
      <c r="M69" s="193">
        <v>44243.5</v>
      </c>
      <c r="N69" s="44">
        <v>25933023.27</v>
      </c>
      <c r="O69" s="44">
        <v>1895163.75</v>
      </c>
      <c r="P69" s="54">
        <v>20612717.149999999</v>
      </c>
      <c r="Q69" s="47">
        <f t="shared" si="26"/>
        <v>5.3497846360726003E-5</v>
      </c>
      <c r="R69" s="54">
        <v>24037859.52</v>
      </c>
      <c r="S69" s="47">
        <f t="shared" si="27"/>
        <v>5.9289386249937919E-5</v>
      </c>
      <c r="T69" s="48">
        <f t="shared" si="37"/>
        <v>0.16616646631664478</v>
      </c>
      <c r="U69" s="84">
        <f t="shared" si="33"/>
        <v>6.4320119631017794E-3</v>
      </c>
      <c r="V69" s="49">
        <f t="shared" si="34"/>
        <v>1.8405756953188152E-3</v>
      </c>
      <c r="W69" s="50">
        <f t="shared" si="35"/>
        <v>0.90091640126806649</v>
      </c>
      <c r="X69" s="50">
        <f t="shared" si="36"/>
        <v>1.6582048316880964E-3</v>
      </c>
      <c r="Y69" s="101">
        <v>0.89090000000000003</v>
      </c>
      <c r="Z69" s="101">
        <v>0.91090000000000004</v>
      </c>
      <c r="AA69" s="189">
        <v>751</v>
      </c>
      <c r="AB69" s="190">
        <v>26681565</v>
      </c>
      <c r="AC69" s="37"/>
      <c r="AD69" s="33"/>
      <c r="AE69" s="3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257" ht="16.5" customHeight="1">
      <c r="A70" s="217">
        <v>63</v>
      </c>
      <c r="B70" s="83" t="s">
        <v>71</v>
      </c>
      <c r="C70" s="83" t="s">
        <v>206</v>
      </c>
      <c r="D70" s="44"/>
      <c r="E70" s="44"/>
      <c r="F70" s="44">
        <v>113023983.40000001</v>
      </c>
      <c r="G70" s="44">
        <v>268276272.03</v>
      </c>
      <c r="H70" s="44"/>
      <c r="I70" s="44"/>
      <c r="J70" s="44">
        <v>435653442.54000002</v>
      </c>
      <c r="K70" s="44">
        <v>3587587.91</v>
      </c>
      <c r="L70" s="44">
        <v>768050.94</v>
      </c>
      <c r="M70" s="193">
        <v>2819536.97</v>
      </c>
      <c r="N70" s="44">
        <v>435653442.54000002</v>
      </c>
      <c r="O70" s="44">
        <v>768050.94</v>
      </c>
      <c r="P70" s="54">
        <v>431348328.49000001</v>
      </c>
      <c r="Q70" s="47">
        <f t="shared" si="26"/>
        <v>1.1195130868767581E-3</v>
      </c>
      <c r="R70" s="54">
        <v>434885391.60000002</v>
      </c>
      <c r="S70" s="47">
        <f t="shared" si="27"/>
        <v>1.0726449222974704E-3</v>
      </c>
      <c r="T70" s="48">
        <f>((R70-P70)/P70)</f>
        <v>8.2000158025001234E-3</v>
      </c>
      <c r="U70" s="84">
        <f t="shared" si="33"/>
        <v>1.7660996548406478E-3</v>
      </c>
      <c r="V70" s="49">
        <f t="shared" si="34"/>
        <v>6.4834023502756809E-3</v>
      </c>
      <c r="W70" s="50">
        <f t="shared" si="35"/>
        <v>1149.5993623989871</v>
      </c>
      <c r="X70" s="50">
        <f t="shared" si="36"/>
        <v>7.4533152080530174</v>
      </c>
      <c r="Y70" s="101">
        <v>1149.5999999999999</v>
      </c>
      <c r="Z70" s="101">
        <v>1154.53</v>
      </c>
      <c r="AA70" s="189">
        <v>103</v>
      </c>
      <c r="AB70" s="190">
        <v>378293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257" ht="16.5" customHeight="1">
      <c r="A71" s="217">
        <v>64</v>
      </c>
      <c r="B71" s="83" t="s">
        <v>45</v>
      </c>
      <c r="C71" s="83" t="s">
        <v>112</v>
      </c>
      <c r="D71" s="44"/>
      <c r="E71" s="44"/>
      <c r="F71" s="44">
        <v>12795047.08</v>
      </c>
      <c r="G71" s="44">
        <v>155413386.05000001</v>
      </c>
      <c r="H71" s="44"/>
      <c r="I71" s="44"/>
      <c r="J71" s="44">
        <v>168208433.13</v>
      </c>
      <c r="K71" s="44">
        <v>1207384.32</v>
      </c>
      <c r="L71" s="44">
        <v>500212.93</v>
      </c>
      <c r="M71" s="193">
        <v>707171.39</v>
      </c>
      <c r="N71" s="44">
        <v>169337193.69999999</v>
      </c>
      <c r="O71" s="44">
        <v>5883485.7599999998</v>
      </c>
      <c r="P71" s="54">
        <v>183041223.13999999</v>
      </c>
      <c r="Q71" s="47">
        <f t="shared" si="26"/>
        <v>4.7506164092602827E-4</v>
      </c>
      <c r="R71" s="54">
        <v>163453707.94</v>
      </c>
      <c r="S71" s="47">
        <f t="shared" si="27"/>
        <v>4.0315860969135093E-4</v>
      </c>
      <c r="T71" s="48">
        <f t="shared" si="37"/>
        <v>-0.1070114964486354</v>
      </c>
      <c r="U71" s="84">
        <f t="shared" si="33"/>
        <v>3.0602727604296157E-3</v>
      </c>
      <c r="V71" s="49">
        <f t="shared" si="34"/>
        <v>4.3264322291152058E-3</v>
      </c>
      <c r="W71" s="50">
        <f t="shared" si="35"/>
        <v>135.46846230646744</v>
      </c>
      <c r="X71" s="50">
        <f t="shared" si="36"/>
        <v>0.5860951213513792</v>
      </c>
      <c r="Y71" s="188">
        <v>142.68</v>
      </c>
      <c r="Z71" s="188">
        <v>142.72999999999999</v>
      </c>
      <c r="AA71" s="189">
        <v>16</v>
      </c>
      <c r="AB71" s="190">
        <v>1206581.26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257" ht="16.5" customHeight="1">
      <c r="A72" s="217">
        <v>65</v>
      </c>
      <c r="B72" s="82" t="s">
        <v>115</v>
      </c>
      <c r="C72" s="82" t="s">
        <v>116</v>
      </c>
      <c r="D72" s="44"/>
      <c r="E72" s="44"/>
      <c r="F72" s="44">
        <v>324941307.44</v>
      </c>
      <c r="G72" s="44">
        <v>324323295.75</v>
      </c>
      <c r="H72" s="44"/>
      <c r="I72" s="44"/>
      <c r="J72" s="44">
        <v>649555000.74000001</v>
      </c>
      <c r="K72" s="44">
        <v>12630815.85</v>
      </c>
      <c r="L72" s="44">
        <v>2499095.75</v>
      </c>
      <c r="M72" s="193">
        <v>10131720.1</v>
      </c>
      <c r="N72" s="44">
        <v>649555000.74000001</v>
      </c>
      <c r="O72" s="44">
        <v>8149297.7599999998</v>
      </c>
      <c r="P72" s="54">
        <v>671401188.27999997</v>
      </c>
      <c r="Q72" s="47">
        <f t="shared" si="26"/>
        <v>1.7425416239708268E-3</v>
      </c>
      <c r="R72" s="54">
        <v>641405702.98000002</v>
      </c>
      <c r="S72" s="47">
        <f t="shared" si="27"/>
        <v>1.5820273196643665E-3</v>
      </c>
      <c r="T72" s="48">
        <f t="shared" si="37"/>
        <v>-4.4675949080225173E-2</v>
      </c>
      <c r="U72" s="84">
        <f t="shared" si="33"/>
        <v>3.896279279072649E-3</v>
      </c>
      <c r="V72" s="49">
        <f t="shared" si="34"/>
        <v>1.5796117890638589E-2</v>
      </c>
      <c r="W72" s="50">
        <f t="shared" si="35"/>
        <v>184.64206685835552</v>
      </c>
      <c r="X72" s="50">
        <f t="shared" si="36"/>
        <v>2.9166278556657561</v>
      </c>
      <c r="Y72" s="188">
        <v>184.6421</v>
      </c>
      <c r="Z72" s="188">
        <v>186.988</v>
      </c>
      <c r="AA72" s="189">
        <v>428</v>
      </c>
      <c r="AB72" s="190">
        <v>3473778.83</v>
      </c>
      <c r="AC72" s="10"/>
      <c r="AD72" s="10"/>
      <c r="AE72" s="10"/>
      <c r="AF72" s="11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257" ht="16.5" customHeight="1">
      <c r="A73" s="217">
        <v>66</v>
      </c>
      <c r="B73" s="82" t="s">
        <v>73</v>
      </c>
      <c r="C73" s="82" t="s">
        <v>117</v>
      </c>
      <c r="D73" s="44"/>
      <c r="E73" s="44"/>
      <c r="F73" s="44">
        <v>44568111.509999998</v>
      </c>
      <c r="G73" s="44">
        <v>633432487.26999998</v>
      </c>
      <c r="H73" s="44"/>
      <c r="I73" s="44"/>
      <c r="J73" s="44">
        <v>678000598.77999997</v>
      </c>
      <c r="K73" s="44">
        <v>-47507696.409999996</v>
      </c>
      <c r="L73" s="44">
        <v>1665644.31</v>
      </c>
      <c r="M73" s="193">
        <v>31488777.75</v>
      </c>
      <c r="N73" s="44">
        <v>683971287.05999994</v>
      </c>
      <c r="O73" s="44">
        <v>4932560.25</v>
      </c>
      <c r="P73" s="54">
        <v>1086740062.71</v>
      </c>
      <c r="Q73" s="47">
        <f t="shared" si="26"/>
        <v>2.8205040842422527E-3</v>
      </c>
      <c r="R73" s="54">
        <v>679038727.10000002</v>
      </c>
      <c r="S73" s="47">
        <f t="shared" si="27"/>
        <v>1.6748491826487756E-3</v>
      </c>
      <c r="T73" s="48">
        <f t="shared" si="37"/>
        <v>-0.37515993897686678</v>
      </c>
      <c r="U73" s="84">
        <f t="shared" si="33"/>
        <v>2.4529444986349145E-3</v>
      </c>
      <c r="V73" s="49">
        <f t="shared" si="34"/>
        <v>4.6372580080197311E-2</v>
      </c>
      <c r="W73" s="50">
        <f t="shared" si="35"/>
        <v>1.4782052217134263</v>
      </c>
      <c r="X73" s="50">
        <f t="shared" si="36"/>
        <v>6.8548190018871691E-2</v>
      </c>
      <c r="Y73" s="188">
        <v>1.4782</v>
      </c>
      <c r="Z73" s="188">
        <v>1.4782</v>
      </c>
      <c r="AA73" s="189">
        <v>134</v>
      </c>
      <c r="AB73" s="190">
        <v>459367019.63</v>
      </c>
      <c r="AC73" s="25"/>
      <c r="AD73" s="12"/>
      <c r="AE73" s="12"/>
      <c r="AF73" s="12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257" ht="16.5" customHeight="1">
      <c r="A74" s="217">
        <v>67</v>
      </c>
      <c r="B74" s="83" t="s">
        <v>51</v>
      </c>
      <c r="C74" s="83" t="s">
        <v>119</v>
      </c>
      <c r="D74" s="44"/>
      <c r="E74" s="44"/>
      <c r="F74" s="44">
        <v>28948847.800000001</v>
      </c>
      <c r="G74" s="44">
        <v>367753768.69999999</v>
      </c>
      <c r="H74" s="44"/>
      <c r="I74" s="44"/>
      <c r="J74" s="44">
        <v>396702616.5</v>
      </c>
      <c r="K74" s="44">
        <v>3267241.39</v>
      </c>
      <c r="L74" s="44">
        <v>480750.21</v>
      </c>
      <c r="M74" s="193">
        <v>2786491.18</v>
      </c>
      <c r="N74" s="44">
        <v>398315770.77999997</v>
      </c>
      <c r="O74" s="44">
        <v>480750.21</v>
      </c>
      <c r="P74" s="54">
        <v>502776386.19</v>
      </c>
      <c r="Q74" s="47">
        <f t="shared" si="26"/>
        <v>1.3048960826687356E-3</v>
      </c>
      <c r="R74" s="54">
        <v>397835020.56999999</v>
      </c>
      <c r="S74" s="47">
        <f t="shared" si="27"/>
        <v>9.8126017329877168E-4</v>
      </c>
      <c r="T74" s="48">
        <f t="shared" si="37"/>
        <v>-0.20872373584455198</v>
      </c>
      <c r="U74" s="84">
        <f t="shared" si="33"/>
        <v>1.208416014535882E-3</v>
      </c>
      <c r="V74" s="49">
        <f t="shared" si="34"/>
        <v>7.0041374839440781E-3</v>
      </c>
      <c r="W74" s="50">
        <f t="shared" si="35"/>
        <v>1.153005528701031</v>
      </c>
      <c r="X74" s="50">
        <f t="shared" si="36"/>
        <v>8.0758092427696496E-3</v>
      </c>
      <c r="Y74" s="188">
        <v>1.1499999999999999</v>
      </c>
      <c r="Z74" s="188">
        <v>1.1499999999999999</v>
      </c>
      <c r="AA74" s="189">
        <v>170</v>
      </c>
      <c r="AB74" s="190">
        <v>345041728.48000002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257" ht="16.5" customHeight="1">
      <c r="A75" s="217">
        <v>68</v>
      </c>
      <c r="B75" s="82" t="s">
        <v>36</v>
      </c>
      <c r="C75" s="83" t="s">
        <v>121</v>
      </c>
      <c r="D75" s="44"/>
      <c r="E75" s="44"/>
      <c r="F75" s="44"/>
      <c r="G75" s="44">
        <v>356128593.42000002</v>
      </c>
      <c r="H75" s="44"/>
      <c r="I75" s="44"/>
      <c r="J75" s="44">
        <v>356128593.42000002</v>
      </c>
      <c r="K75" s="44">
        <v>18814128.920000002</v>
      </c>
      <c r="L75" s="44">
        <v>5364357</v>
      </c>
      <c r="M75" s="193">
        <v>13449771.92</v>
      </c>
      <c r="N75" s="44">
        <v>1392539752</v>
      </c>
      <c r="O75" s="44">
        <v>5414907</v>
      </c>
      <c r="P75" s="54">
        <v>1425994526</v>
      </c>
      <c r="Q75" s="47">
        <f t="shared" si="26"/>
        <v>3.7009985393014672E-3</v>
      </c>
      <c r="R75" s="54">
        <v>1387124845</v>
      </c>
      <c r="S75" s="47">
        <f t="shared" si="27"/>
        <v>3.4213437616466389E-3</v>
      </c>
      <c r="T75" s="48">
        <f t="shared" si="37"/>
        <v>-2.7257945448803216E-2</v>
      </c>
      <c r="U75" s="84">
        <f t="shared" si="33"/>
        <v>3.8672488776596023E-3</v>
      </c>
      <c r="V75" s="49">
        <f t="shared" si="34"/>
        <v>9.6961509762302622E-3</v>
      </c>
      <c r="W75" s="50">
        <f t="shared" si="35"/>
        <v>1.1621159754080457</v>
      </c>
      <c r="X75" s="50">
        <f t="shared" si="36"/>
        <v>1.1268051949445504E-2</v>
      </c>
      <c r="Y75" s="188">
        <v>1.0232000000000001</v>
      </c>
      <c r="Z75" s="188">
        <v>1.0283</v>
      </c>
      <c r="AA75" s="189">
        <v>544</v>
      </c>
      <c r="AB75" s="190">
        <v>1193619978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257" ht="16.5" customHeight="1">
      <c r="A76" s="217">
        <v>69</v>
      </c>
      <c r="B76" s="83" t="s">
        <v>24</v>
      </c>
      <c r="C76" s="83" t="s">
        <v>164</v>
      </c>
      <c r="D76" s="44"/>
      <c r="E76" s="44"/>
      <c r="F76" s="44">
        <v>11286678251.780001</v>
      </c>
      <c r="G76" s="44">
        <v>12918731949.67</v>
      </c>
      <c r="H76" s="44"/>
      <c r="I76" s="44"/>
      <c r="J76" s="44">
        <f>SUM(F76:G76)</f>
        <v>24205410201.450001</v>
      </c>
      <c r="K76" s="44">
        <v>158534286.94999999</v>
      </c>
      <c r="L76" s="44">
        <v>27974131.109999999</v>
      </c>
      <c r="M76" s="193">
        <v>130560155.84</v>
      </c>
      <c r="N76" s="44">
        <v>24913105667.290001</v>
      </c>
      <c r="O76" s="44">
        <v>58903656.82</v>
      </c>
      <c r="P76" s="54">
        <v>19780362497.060001</v>
      </c>
      <c r="Q76" s="47">
        <f t="shared" si="26"/>
        <v>5.1337569235853149E-2</v>
      </c>
      <c r="R76" s="54">
        <v>24854202010.470001</v>
      </c>
      <c r="S76" s="47">
        <f t="shared" si="27"/>
        <v>6.1302895197747599E-2</v>
      </c>
      <c r="T76" s="48">
        <f>((R76-P76)/P76)</f>
        <v>0.25650892465515412</v>
      </c>
      <c r="U76" s="84">
        <f>(L76/R76)</f>
        <v>1.1255292404163974E-3</v>
      </c>
      <c r="V76" s="49">
        <f>M76/R76</f>
        <v>5.2530415494732299E-3</v>
      </c>
      <c r="W76" s="50">
        <f>R76/AB76</f>
        <v>107.80352214846017</v>
      </c>
      <c r="X76" s="50">
        <f>M76/AB76</f>
        <v>0.5662963810254189</v>
      </c>
      <c r="Y76" s="188">
        <v>107.8</v>
      </c>
      <c r="Z76" s="188">
        <v>107.8</v>
      </c>
      <c r="AA76" s="189">
        <v>1754</v>
      </c>
      <c r="AB76" s="190">
        <v>230550927.41999999</v>
      </c>
      <c r="AC76" s="41"/>
      <c r="AD76" s="6"/>
      <c r="AE76" s="6"/>
      <c r="AF76" s="6"/>
      <c r="AG76" s="32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spans="1:257" ht="16.5" customHeight="1">
      <c r="A77" s="217">
        <v>70</v>
      </c>
      <c r="B77" s="82" t="s">
        <v>122</v>
      </c>
      <c r="C77" s="83" t="s">
        <v>153</v>
      </c>
      <c r="D77" s="44"/>
      <c r="E77" s="44"/>
      <c r="F77" s="44"/>
      <c r="G77" s="44">
        <v>285642525.5</v>
      </c>
      <c r="H77" s="44"/>
      <c r="I77" s="44"/>
      <c r="J77" s="44">
        <v>285642525.5</v>
      </c>
      <c r="K77" s="44">
        <v>13480186.84</v>
      </c>
      <c r="L77" s="44">
        <v>446719.18</v>
      </c>
      <c r="M77" s="193">
        <v>13033467.66</v>
      </c>
      <c r="N77" s="44">
        <v>311603053.87</v>
      </c>
      <c r="O77" s="78">
        <v>6498357.1699999999</v>
      </c>
      <c r="P77" s="54">
        <v>304760280.43000001</v>
      </c>
      <c r="Q77" s="47">
        <f t="shared" si="26"/>
        <v>7.9096892178991129E-4</v>
      </c>
      <c r="R77" s="54">
        <v>305104696.69999999</v>
      </c>
      <c r="S77" s="47">
        <f t="shared" si="27"/>
        <v>7.5254080731546177E-4</v>
      </c>
      <c r="T77" s="48">
        <f>((R77-P77)/P77)</f>
        <v>1.130121909305335E-3</v>
      </c>
      <c r="U77" s="84">
        <f>(L77/R77)</f>
        <v>1.4641504533745187E-3</v>
      </c>
      <c r="V77" s="49">
        <f>M77/R77</f>
        <v>4.2718017129757285E-2</v>
      </c>
      <c r="W77" s="50">
        <f>R77/AB77</f>
        <v>1081.0115387613378</v>
      </c>
      <c r="X77" s="50">
        <f>M77/AB77</f>
        <v>46.178669430272109</v>
      </c>
      <c r="Y77" s="101">
        <v>1081.01</v>
      </c>
      <c r="Z77" s="101">
        <v>1081.01</v>
      </c>
      <c r="AA77" s="189">
        <v>124</v>
      </c>
      <c r="AB77" s="190">
        <v>282240</v>
      </c>
      <c r="AC77" s="41"/>
      <c r="AD77" s="6"/>
      <c r="AE77" s="6"/>
      <c r="AF77" s="6"/>
      <c r="AG77" s="32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spans="1:257" ht="16.5" customHeight="1">
      <c r="A78" s="217">
        <v>71</v>
      </c>
      <c r="B78" s="82" t="s">
        <v>149</v>
      </c>
      <c r="C78" s="83" t="s">
        <v>150</v>
      </c>
      <c r="D78" s="44"/>
      <c r="E78" s="44"/>
      <c r="F78" s="44">
        <v>203232112.31</v>
      </c>
      <c r="G78" s="44">
        <v>1110482569.6600001</v>
      </c>
      <c r="H78" s="44"/>
      <c r="I78" s="44"/>
      <c r="J78" s="44">
        <v>1313714681.9656</v>
      </c>
      <c r="K78" s="44">
        <v>14523114.01</v>
      </c>
      <c r="L78" s="44">
        <v>2897389.44</v>
      </c>
      <c r="M78" s="193">
        <v>11625724.560000001</v>
      </c>
      <c r="N78" s="44">
        <v>1587666680.71</v>
      </c>
      <c r="O78" s="44">
        <v>4781356.1399999997</v>
      </c>
      <c r="P78" s="54">
        <v>1617633035.2</v>
      </c>
      <c r="Q78" s="47">
        <f t="shared" si="26"/>
        <v>4.1983734097454728E-3</v>
      </c>
      <c r="R78" s="54">
        <v>1582885324.5699999</v>
      </c>
      <c r="S78" s="47">
        <f t="shared" si="27"/>
        <v>3.9041870312831028E-3</v>
      </c>
      <c r="T78" s="48">
        <f t="shared" si="37"/>
        <v>-2.1480589153339093E-2</v>
      </c>
      <c r="U78" s="84">
        <f t="shared" si="33"/>
        <v>1.8304481032364696E-3</v>
      </c>
      <c r="V78" s="49">
        <f t="shared" si="34"/>
        <v>7.3446410675127062E-3</v>
      </c>
      <c r="W78" s="50" t="e">
        <f>R78/AB80</f>
        <v>#DIV/0!</v>
      </c>
      <c r="X78" s="50" t="e">
        <f>M78/AB80</f>
        <v>#DIV/0!</v>
      </c>
      <c r="Y78" s="188">
        <v>1.0223</v>
      </c>
      <c r="Z78" s="188">
        <v>1.0223</v>
      </c>
      <c r="AA78" s="189">
        <v>591</v>
      </c>
      <c r="AB78" s="245">
        <v>1547756244.77</v>
      </c>
      <c r="AC78" s="42"/>
      <c r="AD78" s="17"/>
      <c r="AE78" s="17"/>
      <c r="AF78" s="18"/>
      <c r="AG78" s="8"/>
      <c r="AH78" s="19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</row>
    <row r="79" spans="1:257" ht="16.5" customHeight="1">
      <c r="A79" s="217">
        <v>72</v>
      </c>
      <c r="B79" s="83" t="s">
        <v>30</v>
      </c>
      <c r="C79" s="83" t="s">
        <v>200</v>
      </c>
      <c r="D79" s="44"/>
      <c r="E79" s="44"/>
      <c r="F79" s="44">
        <v>56143287.670000002</v>
      </c>
      <c r="G79" s="44">
        <v>102200000</v>
      </c>
      <c r="H79" s="44"/>
      <c r="I79" s="207"/>
      <c r="J79" s="44">
        <v>159028718.09</v>
      </c>
      <c r="K79" s="44">
        <v>1073013.7</v>
      </c>
      <c r="L79" s="44">
        <v>262777.23</v>
      </c>
      <c r="M79" s="193">
        <v>810236.47</v>
      </c>
      <c r="N79" s="44">
        <v>159028718.09</v>
      </c>
      <c r="O79" s="44">
        <v>502628.96</v>
      </c>
      <c r="P79" s="54">
        <v>108035565.66</v>
      </c>
      <c r="Q79" s="47">
        <f t="shared" si="26"/>
        <v>2.803934120433417E-4</v>
      </c>
      <c r="R79" s="54">
        <v>158526089.13</v>
      </c>
      <c r="S79" s="47">
        <f t="shared" si="27"/>
        <v>3.9100463671902909E-4</v>
      </c>
      <c r="T79" s="48">
        <f t="shared" ref="T79" si="38">((R79-P79)/P79)</f>
        <v>0.46735094282654399</v>
      </c>
      <c r="U79" s="84">
        <f t="shared" ref="U79" si="39">(L79/R79)</f>
        <v>1.6576276589054587E-3</v>
      </c>
      <c r="V79" s="49">
        <f t="shared" ref="V79" si="40">M79/R79</f>
        <v>5.1110607373626819E-3</v>
      </c>
      <c r="W79" s="50">
        <f t="shared" ref="W79" si="41">R79/AB79</f>
        <v>102.60621499098703</v>
      </c>
      <c r="X79" s="50">
        <f t="shared" ref="X79" si="42">M79/AB79</f>
        <v>0.52442659684982795</v>
      </c>
      <c r="Y79" s="188">
        <v>102.6</v>
      </c>
      <c r="Z79" s="188">
        <v>102.6</v>
      </c>
      <c r="AA79" s="189">
        <v>52</v>
      </c>
      <c r="AB79" s="190">
        <v>1544995</v>
      </c>
      <c r="AC79" s="13"/>
      <c r="AD79" s="4"/>
      <c r="AE79" s="4"/>
      <c r="AF79" s="4"/>
      <c r="AG79" s="5"/>
      <c r="AH79" s="6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</row>
    <row r="80" spans="1:257" ht="16.5" customHeight="1">
      <c r="A80" s="149" t="s">
        <v>92</v>
      </c>
      <c r="B80" s="119"/>
      <c r="C80" s="59" t="s">
        <v>53</v>
      </c>
      <c r="D80" s="60">
        <f>SUM(D53:D79)</f>
        <v>94009008.549999997</v>
      </c>
      <c r="E80" s="60"/>
      <c r="F80" s="60">
        <f>SUM(F53:F79)</f>
        <v>83916026258.779999</v>
      </c>
      <c r="G80" s="60">
        <f>SUM(G53:G79)</f>
        <v>290966946789</v>
      </c>
      <c r="H80" s="60"/>
      <c r="I80" s="60">
        <f t="shared" ref="I80:O80" si="43">SUM(I53:I79)</f>
        <v>292418.56</v>
      </c>
      <c r="J80" s="60">
        <f t="shared" si="43"/>
        <v>375159669272.65558</v>
      </c>
      <c r="K80" s="60">
        <f t="shared" si="43"/>
        <v>3950037504.04</v>
      </c>
      <c r="L80" s="60">
        <f t="shared" si="43"/>
        <v>568637362.19000006</v>
      </c>
      <c r="M80" s="60">
        <f t="shared" si="43"/>
        <v>3463360394.8499994</v>
      </c>
      <c r="N80" s="60">
        <f t="shared" si="43"/>
        <v>407672846553.99005</v>
      </c>
      <c r="O80" s="60">
        <f t="shared" si="43"/>
        <v>2844512000.1400003</v>
      </c>
      <c r="P80" s="61">
        <f>SUM(P53:P79)</f>
        <v>385299942936.25</v>
      </c>
      <c r="Q80" s="118">
        <f>(P80/$P$149)</f>
        <v>0.28996062504693437</v>
      </c>
      <c r="R80" s="61">
        <f>SUM(R53:R79)</f>
        <v>405432760235.81995</v>
      </c>
      <c r="S80" s="118">
        <f>(R80/$R$149)</f>
        <v>0.29266143798638744</v>
      </c>
      <c r="T80" s="62">
        <f t="shared" si="37"/>
        <v>5.2252323595337338E-2</v>
      </c>
      <c r="U80" s="76"/>
      <c r="V80" s="63"/>
      <c r="W80" s="64"/>
      <c r="X80" s="64"/>
      <c r="Y80" s="60"/>
      <c r="Z80" s="60"/>
      <c r="AA80" s="65">
        <f>SUM(AA53:AA79)</f>
        <v>43525</v>
      </c>
      <c r="AB80" s="145">
        <v>0</v>
      </c>
      <c r="AC80" s="41"/>
      <c r="AD80" s="120"/>
      <c r="AE80" s="120"/>
      <c r="AF80" s="121"/>
      <c r="AG80" s="122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</row>
    <row r="81" spans="1:257" ht="16.5" customHeight="1">
      <c r="A81" s="232" t="s">
        <v>179</v>
      </c>
      <c r="B81" s="233"/>
      <c r="C81" s="233"/>
      <c r="D81" s="70"/>
      <c r="E81" s="70"/>
      <c r="F81" s="70"/>
      <c r="G81" s="70"/>
      <c r="H81" s="70"/>
      <c r="I81" s="70"/>
      <c r="J81" s="70"/>
      <c r="K81" s="70"/>
      <c r="L81" s="70"/>
      <c r="M81" s="211"/>
      <c r="N81" s="70"/>
      <c r="O81" s="70"/>
      <c r="P81" s="70">
        <v>0</v>
      </c>
      <c r="Q81" s="48"/>
      <c r="R81" s="70">
        <v>0</v>
      </c>
      <c r="S81" s="48"/>
      <c r="T81" s="48"/>
      <c r="U81" s="48"/>
      <c r="V81" s="71"/>
      <c r="W81" s="72"/>
      <c r="X81" s="72"/>
      <c r="Y81" s="70"/>
      <c r="Z81" s="70"/>
      <c r="AA81" s="70"/>
      <c r="AB81" s="150"/>
      <c r="AC81" s="41"/>
      <c r="AD81" s="120"/>
      <c r="AE81" s="120"/>
      <c r="AF81" s="121"/>
      <c r="AG81" s="122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spans="1:257" ht="16.5" customHeight="1">
      <c r="A82" s="228" t="s">
        <v>178</v>
      </c>
      <c r="B82" s="229"/>
      <c r="C82" s="229"/>
      <c r="D82" s="123"/>
      <c r="E82" s="123"/>
      <c r="F82" s="123"/>
      <c r="G82" s="123"/>
      <c r="H82" s="123"/>
      <c r="I82" s="123"/>
      <c r="J82" s="123"/>
      <c r="K82" s="123"/>
      <c r="L82" s="123"/>
      <c r="M82" s="212"/>
      <c r="N82" s="123"/>
      <c r="O82" s="123"/>
      <c r="P82" s="123"/>
      <c r="Q82" s="124"/>
      <c r="R82" s="123"/>
      <c r="S82" s="124"/>
      <c r="T82" s="124"/>
      <c r="U82" s="125"/>
      <c r="V82" s="126"/>
      <c r="W82" s="127"/>
      <c r="X82" s="127"/>
      <c r="Y82" s="123"/>
      <c r="Z82" s="123"/>
      <c r="AA82" s="123"/>
      <c r="AB82" s="153"/>
      <c r="AC82" s="41"/>
      <c r="AD82" s="120"/>
      <c r="AE82" s="120"/>
      <c r="AF82" s="121"/>
      <c r="AG82" s="122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spans="1:257" ht="16.5" customHeight="1">
      <c r="A83" s="223" t="s">
        <v>215</v>
      </c>
      <c r="B83" s="83" t="s">
        <v>181</v>
      </c>
      <c r="C83" s="83" t="s">
        <v>202</v>
      </c>
      <c r="D83" s="44"/>
      <c r="E83" s="44"/>
      <c r="F83" s="192"/>
      <c r="G83" s="44"/>
      <c r="H83" s="53"/>
      <c r="I83" s="73"/>
      <c r="J83" s="52"/>
      <c r="K83" s="52"/>
      <c r="L83" s="52"/>
      <c r="M83" s="213"/>
      <c r="N83" s="44"/>
      <c r="O83" s="104"/>
      <c r="P83" s="46"/>
      <c r="Q83" s="187">
        <f t="shared" ref="Q83:Q91" si="44">(P83/$P$101)</f>
        <v>0</v>
      </c>
      <c r="R83" s="46"/>
      <c r="S83" s="47">
        <f t="shared" ref="S83:S91" si="45">(R83/$R$101)</f>
        <v>0</v>
      </c>
      <c r="T83" s="48" t="e">
        <f t="shared" ref="T83:T88" si="46">((R83-P83)/P83)</f>
        <v>#DIV/0!</v>
      </c>
      <c r="U83" s="84" t="e">
        <f t="shared" ref="U83:U88" si="47">(L83/R83)</f>
        <v>#DIV/0!</v>
      </c>
      <c r="V83" s="49" t="e">
        <f t="shared" ref="V83:V88" si="48">M83/R83</f>
        <v>#DIV/0!</v>
      </c>
      <c r="W83" s="50" t="e">
        <f t="shared" ref="W83:W88" si="49">R83/AB83</f>
        <v>#DIV/0!</v>
      </c>
      <c r="X83" s="50" t="e">
        <f>M83/AB83</f>
        <v>#DIV/0!</v>
      </c>
      <c r="Y83" s="44"/>
      <c r="Z83" s="52"/>
      <c r="AA83" s="51"/>
      <c r="AB83" s="145"/>
      <c r="AC83" s="10"/>
      <c r="AD83" s="10"/>
      <c r="AE83" s="10"/>
      <c r="AF83" s="11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>
      <c r="A84" s="223" t="s">
        <v>216</v>
      </c>
      <c r="B84" s="83" t="s">
        <v>181</v>
      </c>
      <c r="C84" s="83" t="s">
        <v>201</v>
      </c>
      <c r="D84" s="53"/>
      <c r="E84" s="44"/>
      <c r="F84" s="192">
        <v>2450579418.1500001</v>
      </c>
      <c r="G84" s="44">
        <v>6354667263.4200001</v>
      </c>
      <c r="H84" s="53"/>
      <c r="I84" s="73"/>
      <c r="J84" s="52">
        <v>8848499679.4200001</v>
      </c>
      <c r="K84" s="52">
        <v>137316736.84</v>
      </c>
      <c r="L84" s="52">
        <v>11330609.380000001</v>
      </c>
      <c r="M84" s="213">
        <v>125986127.45999999</v>
      </c>
      <c r="N84" s="44">
        <v>8886826091.1299992</v>
      </c>
      <c r="O84" s="104">
        <v>38326411.710000001</v>
      </c>
      <c r="P84" s="46">
        <v>8666061633.5499992</v>
      </c>
      <c r="Q84" s="47">
        <f t="shared" si="44"/>
        <v>3.3684703219921577E-2</v>
      </c>
      <c r="R84" s="46">
        <v>8848499679.4200001</v>
      </c>
      <c r="S84" s="47">
        <f t="shared" si="45"/>
        <v>3.2927521726137145E-2</v>
      </c>
      <c r="T84" s="48">
        <f t="shared" si="46"/>
        <v>2.105201342714963E-2</v>
      </c>
      <c r="U84" s="84">
        <f t="shared" si="47"/>
        <v>1.2805119275025726E-3</v>
      </c>
      <c r="V84" s="49">
        <f t="shared" si="48"/>
        <v>1.4238134375822015E-2</v>
      </c>
      <c r="W84" s="50">
        <f t="shared" si="49"/>
        <v>51057.300039675654</v>
      </c>
      <c r="X84" s="50">
        <f t="shared" ref="X84:X88" si="50">M84/AB84</f>
        <v>726.96069883156474</v>
      </c>
      <c r="Y84" s="44">
        <v>122.85</v>
      </c>
      <c r="Z84" s="52">
        <v>122</v>
      </c>
      <c r="AA84" s="51">
        <v>1703</v>
      </c>
      <c r="AB84" s="145">
        <v>173305.28</v>
      </c>
      <c r="AC84" s="25"/>
      <c r="AD84" s="20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</row>
    <row r="85" spans="1:257" ht="16.5" customHeight="1">
      <c r="A85" s="217">
        <v>74</v>
      </c>
      <c r="B85" s="83" t="s">
        <v>34</v>
      </c>
      <c r="C85" s="83" t="s">
        <v>199</v>
      </c>
      <c r="D85" s="53"/>
      <c r="E85" s="44"/>
      <c r="F85" s="52"/>
      <c r="G85" s="44">
        <f>416.59*124570791</f>
        <v>51894945822.689995</v>
      </c>
      <c r="H85" s="44"/>
      <c r="I85" s="52"/>
      <c r="J85" s="44">
        <v>51894945822.690002</v>
      </c>
      <c r="K85" s="52">
        <f>416.59*768741</f>
        <v>320249813.19</v>
      </c>
      <c r="L85" s="52">
        <f>416.59*210486</f>
        <v>87686362.739999995</v>
      </c>
      <c r="M85" s="213">
        <f>416.59*558255</f>
        <v>232563450.44999999</v>
      </c>
      <c r="N85" s="52">
        <f>416.59*142681723</f>
        <v>59439778984.57</v>
      </c>
      <c r="O85" s="52">
        <f>416.59*698194</f>
        <v>290860638.45999998</v>
      </c>
      <c r="P85" s="46">
        <f>416.26*132666380</f>
        <v>55223707338.799995</v>
      </c>
      <c r="Q85" s="187">
        <f t="shared" si="44"/>
        <v>0.214652776667279</v>
      </c>
      <c r="R85" s="46">
        <f>416.59*141983529</f>
        <v>59148918346.109993</v>
      </c>
      <c r="S85" s="47">
        <f t="shared" si="45"/>
        <v>0.22010819511570709</v>
      </c>
      <c r="T85" s="48">
        <f>((R85-P85)/P85)</f>
        <v>7.1078368267248823E-2</v>
      </c>
      <c r="U85" s="84">
        <f>(L85/R85)</f>
        <v>1.4824677304647077E-3</v>
      </c>
      <c r="V85" s="49">
        <f>M85/R85</f>
        <v>3.9318293039469392E-3</v>
      </c>
      <c r="W85" s="50">
        <f>R85/AB85</f>
        <v>51525.243341327216</v>
      </c>
      <c r="X85" s="50">
        <f>M85/AB85</f>
        <v>202.58846166242725</v>
      </c>
      <c r="Y85" s="52">
        <f>416.59*123.69</f>
        <v>51528.017099999997</v>
      </c>
      <c r="Z85" s="52">
        <f>416.59*123.69</f>
        <v>51528.017099999997</v>
      </c>
      <c r="AA85" s="51">
        <v>1022</v>
      </c>
      <c r="AB85" s="145">
        <v>1147960</v>
      </c>
      <c r="AC85" s="25"/>
      <c r="AD85" s="20"/>
      <c r="AE85" s="12"/>
      <c r="AF85" s="12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spans="1:257" ht="16.5" customHeight="1">
      <c r="A86" s="217">
        <v>75</v>
      </c>
      <c r="B86" s="83" t="s">
        <v>182</v>
      </c>
      <c r="C86" s="83" t="s">
        <v>95</v>
      </c>
      <c r="D86" s="53"/>
      <c r="E86" s="44"/>
      <c r="F86" s="44">
        <f>416.59*1796890.93</f>
        <v>748566792.52869987</v>
      </c>
      <c r="G86" s="44">
        <f>416.59*11674995.17</f>
        <v>4863686237.8702993</v>
      </c>
      <c r="H86" s="44"/>
      <c r="I86" s="44"/>
      <c r="J86" s="44">
        <f>416.59*13566335.34</f>
        <v>5651599639.2905998</v>
      </c>
      <c r="K86" s="44">
        <f>416.59*123403.32</f>
        <v>51408589.0788</v>
      </c>
      <c r="L86" s="44">
        <f>416.59*20219.45</f>
        <v>8423220.6754999999</v>
      </c>
      <c r="M86" s="194">
        <f>416.59*103183.87</f>
        <v>42985368.403299995</v>
      </c>
      <c r="N86" s="44">
        <f>416.59*13619985.98</f>
        <v>5673949959.4082003</v>
      </c>
      <c r="O86" s="44">
        <f>416.59*41571</f>
        <v>17318062.890000001</v>
      </c>
      <c r="P86" s="46">
        <f>416.26*13530572.71</f>
        <v>5632236196.2645998</v>
      </c>
      <c r="Q86" s="47">
        <f t="shared" si="44"/>
        <v>2.1892321190191594E-2</v>
      </c>
      <c r="R86" s="46">
        <f>416.59*13578414.83</f>
        <v>5656631834.0296993</v>
      </c>
      <c r="S86" s="47">
        <f t="shared" si="45"/>
        <v>2.1049768249975322E-2</v>
      </c>
      <c r="T86" s="48">
        <f t="shared" si="46"/>
        <v>4.3314301664548714E-3</v>
      </c>
      <c r="U86" s="84">
        <f t="shared" si="47"/>
        <v>1.4890876625250373E-3</v>
      </c>
      <c r="V86" s="49">
        <f t="shared" si="48"/>
        <v>7.5991101532725822E-3</v>
      </c>
      <c r="W86" s="50">
        <f t="shared" si="49"/>
        <v>4403.9605011590238</v>
      </c>
      <c r="X86" s="50">
        <f t="shared" si="50"/>
        <v>33.466180958968948</v>
      </c>
      <c r="Y86" s="206">
        <f>416.59*1.21</f>
        <v>504.07389999999998</v>
      </c>
      <c r="Z86" s="206">
        <f>416.59*1.21</f>
        <v>504.07389999999998</v>
      </c>
      <c r="AA86" s="198">
        <v>121</v>
      </c>
      <c r="AB86" s="197">
        <v>1284442</v>
      </c>
      <c r="AC86" s="13"/>
      <c r="AD86" s="21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>
      <c r="A87" s="217">
        <v>76</v>
      </c>
      <c r="B87" s="83" t="s">
        <v>47</v>
      </c>
      <c r="C87" s="83" t="s">
        <v>96</v>
      </c>
      <c r="D87" s="53"/>
      <c r="E87" s="44"/>
      <c r="F87" s="52"/>
      <c r="G87" s="44">
        <v>662248044.21000004</v>
      </c>
      <c r="H87" s="44"/>
      <c r="I87" s="52"/>
      <c r="J87" s="52">
        <v>662248044.21000004</v>
      </c>
      <c r="K87" s="52">
        <v>2268198.0299999998</v>
      </c>
      <c r="L87" s="52">
        <v>678482.91</v>
      </c>
      <c r="M87" s="213">
        <v>1589715.12</v>
      </c>
      <c r="N87" s="44">
        <v>668846373.79999995</v>
      </c>
      <c r="O87" s="52">
        <v>14052225.630000001</v>
      </c>
      <c r="P87" s="46">
        <v>656473658.60000002</v>
      </c>
      <c r="Q87" s="47">
        <f t="shared" si="44"/>
        <v>2.5516920253633845E-3</v>
      </c>
      <c r="R87" s="46">
        <v>654794148.21000004</v>
      </c>
      <c r="S87" s="47">
        <f t="shared" si="45"/>
        <v>2.4366558538142483E-3</v>
      </c>
      <c r="T87" s="48">
        <f t="shared" si="46"/>
        <v>-2.5583819975072883E-3</v>
      </c>
      <c r="U87" s="84">
        <f t="shared" si="47"/>
        <v>1.0361774182844449E-3</v>
      </c>
      <c r="V87" s="49">
        <f t="shared" si="48"/>
        <v>2.4278089905747906E-3</v>
      </c>
      <c r="W87" s="50">
        <f t="shared" si="49"/>
        <v>47016.16631076327</v>
      </c>
      <c r="X87" s="50">
        <f t="shared" si="50"/>
        <v>114.14627127163065</v>
      </c>
      <c r="Y87" s="52">
        <v>114.39100000000001</v>
      </c>
      <c r="Z87" s="52">
        <v>116.8458</v>
      </c>
      <c r="AA87" s="51">
        <v>30</v>
      </c>
      <c r="AB87" s="145">
        <v>13927</v>
      </c>
      <c r="AC87" s="13"/>
      <c r="AD87" s="4"/>
      <c r="AE87" s="4"/>
      <c r="AF87" s="4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>
      <c r="A88" s="217">
        <v>77</v>
      </c>
      <c r="B88" s="83" t="s">
        <v>32</v>
      </c>
      <c r="C88" s="83" t="s">
        <v>97</v>
      </c>
      <c r="D88" s="53"/>
      <c r="E88" s="53"/>
      <c r="F88" s="53"/>
      <c r="G88" s="45">
        <v>624439020.32000005</v>
      </c>
      <c r="H88" s="53"/>
      <c r="I88" s="53"/>
      <c r="J88" s="45">
        <v>624439020.32000005</v>
      </c>
      <c r="K88" s="45">
        <v>4569371.3899999997</v>
      </c>
      <c r="L88" s="45">
        <v>1299765.3</v>
      </c>
      <c r="M88" s="213">
        <v>3269606.09</v>
      </c>
      <c r="N88" s="44">
        <v>653435745.73000002</v>
      </c>
      <c r="O88" s="52">
        <v>9129830.1400000006</v>
      </c>
      <c r="P88" s="46">
        <v>726204341.77999997</v>
      </c>
      <c r="Q88" s="47">
        <f t="shared" si="44"/>
        <v>2.8227329511683955E-3</v>
      </c>
      <c r="R88" s="46">
        <v>644305915.60000002</v>
      </c>
      <c r="S88" s="47">
        <f t="shared" si="45"/>
        <v>2.3976264680825882E-3</v>
      </c>
      <c r="T88" s="48">
        <f t="shared" si="46"/>
        <v>-0.11277600734148553</v>
      </c>
      <c r="U88" s="84">
        <f t="shared" si="47"/>
        <v>2.0173108278691088E-3</v>
      </c>
      <c r="V88" s="49">
        <f t="shared" si="48"/>
        <v>5.0746175238127822E-3</v>
      </c>
      <c r="W88" s="50">
        <f t="shared" si="49"/>
        <v>38907.831954492205</v>
      </c>
      <c r="X88" s="50">
        <f t="shared" si="50"/>
        <v>197.44236584982912</v>
      </c>
      <c r="Y88" s="52">
        <f>93.5082*416.59</f>
        <v>38954.581037999997</v>
      </c>
      <c r="Z88" s="52">
        <f>93.5082*416.59</f>
        <v>38954.581037999997</v>
      </c>
      <c r="AA88" s="51">
        <v>174</v>
      </c>
      <c r="AB88" s="145">
        <v>16559.8</v>
      </c>
      <c r="AC88" s="3"/>
      <c r="AD88" s="9"/>
      <c r="AE88" s="9"/>
      <c r="AF88" s="9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>
      <c r="A89" s="217">
        <v>78</v>
      </c>
      <c r="B89" s="82" t="s">
        <v>36</v>
      </c>
      <c r="C89" s="83" t="s">
        <v>98</v>
      </c>
      <c r="D89" s="53"/>
      <c r="E89" s="53"/>
      <c r="F89" s="53"/>
      <c r="G89" s="104">
        <f>416.59*10923493.79</f>
        <v>4550618277.976099</v>
      </c>
      <c r="H89" s="53"/>
      <c r="I89" s="53"/>
      <c r="J89" s="104">
        <f>416.59*10923493.79</f>
        <v>4550618277.976099</v>
      </c>
      <c r="K89" s="104">
        <f>416.59*84887.5</f>
        <v>35363283.625</v>
      </c>
      <c r="L89" s="104">
        <f>416.59*244375.04</f>
        <v>101804197.9136</v>
      </c>
      <c r="M89" s="214">
        <f>416.59*258205.99</f>
        <v>107566033.37409998</v>
      </c>
      <c r="N89" s="104">
        <f>416.59*14978738</f>
        <v>6239992463.4200001</v>
      </c>
      <c r="O89" s="104">
        <f>416.59*49977</f>
        <v>20819918.43</v>
      </c>
      <c r="P89" s="46">
        <v>6341228924.2799997</v>
      </c>
      <c r="Q89" s="187">
        <f t="shared" si="44"/>
        <v>2.4648153151485656E-2</v>
      </c>
      <c r="R89" s="46">
        <f>416.59*14928761</f>
        <v>6219172544.9899998</v>
      </c>
      <c r="S89" s="47">
        <f t="shared" si="45"/>
        <v>2.3143125559470765E-2</v>
      </c>
      <c r="T89" s="48">
        <f>((R89-P89)/P89)</f>
        <v>-1.9248063860722166E-2</v>
      </c>
      <c r="U89" s="84">
        <f>(L89/R89)</f>
        <v>1.6369412036270122E-2</v>
      </c>
      <c r="V89" s="49">
        <f>M89/R89</f>
        <v>1.729587539113259E-2</v>
      </c>
      <c r="W89" s="50">
        <f>R89/AB89</f>
        <v>691.87979325282947</v>
      </c>
      <c r="X89" s="50">
        <f>M89/AB89</f>
        <v>11.966666689743517</v>
      </c>
      <c r="Y89" s="52">
        <f>416.59*1.0612</f>
        <v>442.08530799999994</v>
      </c>
      <c r="Z89" s="44">
        <f>416.59*1.0665</f>
        <v>444.29323499999998</v>
      </c>
      <c r="AA89" s="51">
        <v>456</v>
      </c>
      <c r="AB89" s="145">
        <v>8988805</v>
      </c>
      <c r="AC89" s="10"/>
      <c r="AD89" s="10"/>
      <c r="AE89" s="10"/>
      <c r="AF89" s="11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16.5" customHeight="1">
      <c r="A90" s="217">
        <v>79</v>
      </c>
      <c r="B90" s="82" t="s">
        <v>160</v>
      </c>
      <c r="C90" s="116" t="s">
        <v>163</v>
      </c>
      <c r="D90" s="53"/>
      <c r="E90" s="44"/>
      <c r="F90" s="52"/>
      <c r="G90" s="44">
        <v>731889903.30999994</v>
      </c>
      <c r="H90" s="44"/>
      <c r="I90" s="52"/>
      <c r="J90" s="52">
        <v>731889903.30999994</v>
      </c>
      <c r="K90" s="52">
        <v>3634302</v>
      </c>
      <c r="L90" s="52">
        <v>1347826.95</v>
      </c>
      <c r="M90" s="213">
        <v>2286475.04</v>
      </c>
      <c r="N90" s="44">
        <v>844017588.85000002</v>
      </c>
      <c r="O90" s="52">
        <v>822709052.00999999</v>
      </c>
      <c r="P90" s="46">
        <v>793363333.40999997</v>
      </c>
      <c r="Q90" s="47">
        <f t="shared" si="44"/>
        <v>3.083777794520039E-3</v>
      </c>
      <c r="R90" s="46">
        <v>827522541.15999997</v>
      </c>
      <c r="S90" s="47">
        <f t="shared" si="45"/>
        <v>3.0794222116873248E-3</v>
      </c>
      <c r="T90" s="48">
        <f t="shared" ref="T90" si="51">((R90-P90)/P90)</f>
        <v>4.3056196715291054E-2</v>
      </c>
      <c r="U90" s="84">
        <f t="shared" ref="U90" si="52">(L90/R90)</f>
        <v>1.6287495300256723E-3</v>
      </c>
      <c r="V90" s="49">
        <f t="shared" ref="V90" si="53">M90/R90</f>
        <v>2.7630365654993248E-3</v>
      </c>
      <c r="W90" s="50">
        <f t="shared" ref="W90" si="54">R90/AB90</f>
        <v>42250.371750256301</v>
      </c>
      <c r="X90" s="50">
        <f t="shared" ref="X90" si="55">M90/AB90</f>
        <v>116.73932205189787</v>
      </c>
      <c r="Y90" s="52">
        <v>101.42</v>
      </c>
      <c r="Z90" s="52">
        <v>101.42</v>
      </c>
      <c r="AA90" s="51">
        <v>34</v>
      </c>
      <c r="AB90" s="145">
        <v>19586.16</v>
      </c>
      <c r="AC90" s="13"/>
      <c r="AD90" s="4"/>
      <c r="AE90" s="4"/>
      <c r="AF90" s="4"/>
      <c r="AG90" s="5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16.5" customHeight="1">
      <c r="A91" s="217">
        <v>80</v>
      </c>
      <c r="B91" s="82" t="s">
        <v>43</v>
      </c>
      <c r="C91" s="116" t="s">
        <v>214</v>
      </c>
      <c r="D91" s="53"/>
      <c r="E91" s="44"/>
      <c r="F91" s="52"/>
      <c r="G91" s="44">
        <f>416.59*6568802.2</f>
        <v>2736497308.4980001</v>
      </c>
      <c r="H91" s="44"/>
      <c r="I91" s="52"/>
      <c r="J91" s="44">
        <f>416.59*6568802.2</f>
        <v>2736497308.4980001</v>
      </c>
      <c r="K91" s="52">
        <f>416.59*136596.37</f>
        <v>56904681.778299995</v>
      </c>
      <c r="L91" s="52">
        <f>416.59*7476.45</f>
        <v>3114614.3054999998</v>
      </c>
      <c r="M91" s="213">
        <f>416.59*129119.92</f>
        <v>53790067.472799994</v>
      </c>
      <c r="N91" s="226">
        <f>416.59*8519546.99</f>
        <v>3549158080.5640998</v>
      </c>
      <c r="O91" s="226">
        <f>416.59*8482.03</f>
        <v>3533528.8777000001</v>
      </c>
      <c r="P91" s="46">
        <v>0</v>
      </c>
      <c r="Q91" s="47">
        <f t="shared" si="44"/>
        <v>0</v>
      </c>
      <c r="R91" s="46">
        <f>416.59*8511064.96</f>
        <v>3545624551.6863999</v>
      </c>
      <c r="S91" s="47">
        <f t="shared" si="45"/>
        <v>1.3194172310353955E-2</v>
      </c>
      <c r="T91" s="48" t="e">
        <f t="shared" ref="T91" si="56">((R91-P91)/P91)</f>
        <v>#DIV/0!</v>
      </c>
      <c r="U91" s="84">
        <f t="shared" ref="U91" si="57">(L91/R91)</f>
        <v>8.7843883640150236E-4</v>
      </c>
      <c r="V91" s="49">
        <f t="shared" ref="V91" si="58">M91/R91</f>
        <v>1.5170830043811577E-2</v>
      </c>
      <c r="W91" s="50">
        <f t="shared" ref="W91" si="59">R91/AB91</f>
        <v>49183.947629312963</v>
      </c>
      <c r="X91" s="50">
        <f t="shared" ref="X91" si="60">M91/AB91</f>
        <v>746.16131036803631</v>
      </c>
      <c r="Y91" s="52">
        <f>416.59*118.06</f>
        <v>49182.615399999995</v>
      </c>
      <c r="Z91" s="52">
        <f>416.59*118.06</f>
        <v>49182.615399999995</v>
      </c>
      <c r="AA91" s="51">
        <v>262</v>
      </c>
      <c r="AB91" s="145">
        <v>72089.06</v>
      </c>
      <c r="AC91" s="13"/>
      <c r="AD91" s="4"/>
      <c r="AE91" s="4"/>
      <c r="AF91" s="4"/>
      <c r="AG91" s="5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31"/>
    </row>
    <row r="92" spans="1:257" ht="6" customHeight="1">
      <c r="A92" s="217"/>
      <c r="B92" s="82"/>
      <c r="C92" s="83"/>
      <c r="D92" s="101"/>
      <c r="E92" s="101"/>
      <c r="F92" s="101"/>
      <c r="G92" s="101"/>
      <c r="H92" s="101"/>
      <c r="I92" s="78"/>
      <c r="J92" s="80"/>
      <c r="K92" s="80"/>
      <c r="L92" s="80"/>
      <c r="M92" s="213"/>
      <c r="N92" s="44"/>
      <c r="O92" s="44"/>
      <c r="P92" s="54"/>
      <c r="Q92" s="47"/>
      <c r="R92" s="54"/>
      <c r="S92" s="47"/>
      <c r="T92" s="48"/>
      <c r="U92" s="84"/>
      <c r="V92" s="49"/>
      <c r="W92" s="50"/>
      <c r="X92" s="50"/>
      <c r="Y92" s="44"/>
      <c r="Z92" s="44"/>
      <c r="AA92" s="51"/>
      <c r="AB92" s="144"/>
      <c r="AC92" s="13"/>
      <c r="AD92" s="4"/>
      <c r="AE92" s="4"/>
      <c r="AF92" s="4"/>
      <c r="AG92" s="5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</row>
    <row r="93" spans="1:257" ht="16.5" customHeight="1">
      <c r="A93" s="228" t="s">
        <v>180</v>
      </c>
      <c r="B93" s="229"/>
      <c r="C93" s="229"/>
      <c r="D93" s="123"/>
      <c r="E93" s="123"/>
      <c r="F93" s="123"/>
      <c r="G93" s="123"/>
      <c r="H93" s="123"/>
      <c r="I93" s="123"/>
      <c r="J93" s="123"/>
      <c r="K93" s="123"/>
      <c r="L93" s="123"/>
      <c r="M93" s="212"/>
      <c r="N93" s="123"/>
      <c r="O93" s="123"/>
      <c r="P93" s="123"/>
      <c r="Q93" s="124"/>
      <c r="R93" s="123"/>
      <c r="S93" s="124"/>
      <c r="T93" s="124"/>
      <c r="U93" s="125"/>
      <c r="V93" s="126"/>
      <c r="W93" s="127"/>
      <c r="X93" s="127"/>
      <c r="Y93" s="123"/>
      <c r="Z93" s="123"/>
      <c r="AA93" s="123"/>
      <c r="AB93" s="153"/>
      <c r="AC93" s="13"/>
      <c r="AD93" s="4"/>
      <c r="AE93" s="4"/>
      <c r="AF93" s="4"/>
      <c r="AG93" s="5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</row>
    <row r="94" spans="1:257" ht="16.5" customHeight="1">
      <c r="A94" s="217">
        <v>81</v>
      </c>
      <c r="B94" s="83" t="s">
        <v>24</v>
      </c>
      <c r="C94" s="116" t="s">
        <v>111</v>
      </c>
      <c r="D94" s="78"/>
      <c r="E94" s="78"/>
      <c r="F94" s="78">
        <f>416.59*122920898.57</f>
        <v>51207617135.276291</v>
      </c>
      <c r="G94" s="78">
        <f>416.59*282042888.26</f>
        <v>117496246820.23338</v>
      </c>
      <c r="H94" s="78"/>
      <c r="I94" s="78"/>
      <c r="J94" s="78">
        <f>416.59*407727814.67</f>
        <v>169855330313.37531</v>
      </c>
      <c r="K94" s="78">
        <f>416.59*2148810.08</f>
        <v>895172791.22720003</v>
      </c>
      <c r="L94" s="78">
        <f>416.59*726630.12</f>
        <v>302706841.69079995</v>
      </c>
      <c r="M94" s="214">
        <f>416.59*1422179.96</f>
        <v>592465949.53639996</v>
      </c>
      <c r="N94" s="78">
        <f>416.59*415466767.51</f>
        <v>173079300676.99088</v>
      </c>
      <c r="O94" s="78">
        <f>416.59*1406918.87</f>
        <v>586108332.05330002</v>
      </c>
      <c r="P94" s="54">
        <f>405288858.01*416.34</f>
        <v>168737963143.88339</v>
      </c>
      <c r="Q94" s="47">
        <f t="shared" ref="Q94:Q100" si="61">(P94/$P$101)</f>
        <v>0.65587904295891875</v>
      </c>
      <c r="R94" s="54">
        <f>416.59*414059848.64</f>
        <v>172493192344.93759</v>
      </c>
      <c r="S94" s="47">
        <f t="shared" ref="S94:S100" si="62">(R94/$R$101)</f>
        <v>0.64189111649727526</v>
      </c>
      <c r="T94" s="48">
        <f>((R94-P94)/P94)</f>
        <v>2.2254797504294297E-2</v>
      </c>
      <c r="U94" s="84">
        <f>(L94/R94)</f>
        <v>1.7548915268810834E-3</v>
      </c>
      <c r="V94" s="49">
        <f>M94/R94</f>
        <v>3.4347207648150872E-3</v>
      </c>
      <c r="W94" s="50">
        <f>R94/AB94</f>
        <v>542.35568510637927</v>
      </c>
      <c r="X94" s="50">
        <f>M94/AB94</f>
        <v>1.8628403335503934</v>
      </c>
      <c r="Y94" s="44">
        <f>416.59*1.3019</f>
        <v>542.358521</v>
      </c>
      <c r="Z94" s="44">
        <f>416.59*1.3019</f>
        <v>542.358521</v>
      </c>
      <c r="AA94" s="68">
        <v>3891</v>
      </c>
      <c r="AB94" s="151">
        <v>318044407.17000002</v>
      </c>
      <c r="AC94" s="13"/>
      <c r="AD94" s="4"/>
      <c r="AE94" s="4"/>
      <c r="AF94" s="4"/>
      <c r="AG94" s="5"/>
      <c r="AH94" s="6"/>
      <c r="AI94" s="6"/>
      <c r="AJ94" s="6"/>
      <c r="AK94" s="7"/>
      <c r="AL94" s="5"/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>
      <c r="A95" s="217">
        <v>82</v>
      </c>
      <c r="B95" s="82" t="s">
        <v>45</v>
      </c>
      <c r="C95" s="82" t="s">
        <v>114</v>
      </c>
      <c r="D95" s="78"/>
      <c r="E95" s="78"/>
      <c r="F95" s="78">
        <f>416.59*555899.07</f>
        <v>231581993.57129997</v>
      </c>
      <c r="G95" s="78">
        <f>416.59*3486957.7</f>
        <v>1452631708.243</v>
      </c>
      <c r="H95" s="78"/>
      <c r="I95" s="78"/>
      <c r="J95" s="78">
        <f>416.59*4042856.77</f>
        <v>1684213701.8142998</v>
      </c>
      <c r="K95" s="78">
        <f>416.59*20720.84</f>
        <v>8632094.7356000002</v>
      </c>
      <c r="L95" s="78">
        <f>416.59*7649.6</f>
        <v>3186746.8640000001</v>
      </c>
      <c r="M95" s="214">
        <f>416.59*13071.24</f>
        <v>5445347.8715999993</v>
      </c>
      <c r="N95" s="78">
        <f>416.59*4052161.03</f>
        <v>1688089763.4876997</v>
      </c>
      <c r="O95" s="78">
        <f>416.59*36088.51</f>
        <v>15034112.380899999</v>
      </c>
      <c r="P95" s="54">
        <f>416.26*4100706.54</f>
        <v>1706960104.3404</v>
      </c>
      <c r="Q95" s="47">
        <f t="shared" si="61"/>
        <v>6.6348990988423029E-3</v>
      </c>
      <c r="R95" s="54">
        <f>416.59*4016072.52</f>
        <v>1673055651.1067998</v>
      </c>
      <c r="S95" s="47">
        <f t="shared" si="62"/>
        <v>6.2258663385595199E-3</v>
      </c>
      <c r="T95" s="48">
        <f>((R95-P95)/P95)</f>
        <v>-1.9862475489256633E-2</v>
      </c>
      <c r="U95" s="84">
        <f>(L95/R95)</f>
        <v>1.9047464810222105E-3</v>
      </c>
      <c r="V95" s="49">
        <f>M95/R95</f>
        <v>3.2547320634538739E-3</v>
      </c>
      <c r="W95" s="50">
        <f>R95/AB95</f>
        <v>445.3636874642869</v>
      </c>
      <c r="X95" s="50">
        <f>M95/AB95</f>
        <v>1.4495394734880647</v>
      </c>
      <c r="Y95" s="44">
        <f>416.59*1.07</f>
        <v>445.75130000000001</v>
      </c>
      <c r="Z95" s="44">
        <f>416.59*1.07</f>
        <v>445.75130000000001</v>
      </c>
      <c r="AA95" s="68">
        <v>254</v>
      </c>
      <c r="AB95" s="151">
        <v>3756605.4399999999</v>
      </c>
      <c r="AC95" s="13"/>
      <c r="AD95" s="4"/>
      <c r="AE95" s="4"/>
      <c r="AF95" s="4"/>
      <c r="AG95" s="5"/>
      <c r="AH95" s="6"/>
      <c r="AI95" s="6"/>
      <c r="AJ95" s="6"/>
      <c r="AK95" s="7"/>
      <c r="AL95" s="5"/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6.5" customHeight="1">
      <c r="A96" s="217">
        <v>83</v>
      </c>
      <c r="B96" s="83" t="s">
        <v>66</v>
      </c>
      <c r="C96" s="83" t="s">
        <v>120</v>
      </c>
      <c r="D96" s="78"/>
      <c r="E96" s="78"/>
      <c r="F96" s="78"/>
      <c r="G96" s="78">
        <f>9961005.77*416.59</f>
        <v>4149655393.7242994</v>
      </c>
      <c r="H96" s="78"/>
      <c r="I96" s="78"/>
      <c r="J96" s="78">
        <f>9961005.77*416.59</f>
        <v>4149655393.7242994</v>
      </c>
      <c r="K96" s="78">
        <f>416.59*56440.61</f>
        <v>23512593.719899997</v>
      </c>
      <c r="L96" s="78">
        <f>416.59*15204.55</f>
        <v>6334063.4844999993</v>
      </c>
      <c r="M96" s="214">
        <v>17178530.239999998</v>
      </c>
      <c r="N96" s="78">
        <f>416.59*11539895.06</f>
        <v>4807404883.0453997</v>
      </c>
      <c r="O96" s="78">
        <f>416.59*345408.81</f>
        <v>143893856.15789998</v>
      </c>
      <c r="P96" s="54">
        <f>416.26*10741702.48</f>
        <v>4471341074.3248005</v>
      </c>
      <c r="Q96" s="47">
        <f t="shared" si="61"/>
        <v>1.7379959138598623E-2</v>
      </c>
      <c r="R96" s="54">
        <f>11194486.25*416.59</f>
        <v>4663511026.8874998</v>
      </c>
      <c r="S96" s="47">
        <f t="shared" si="62"/>
        <v>1.7354112699474459E-2</v>
      </c>
      <c r="T96" s="48">
        <f t="shared" ref="T96:T98" si="63">((R96-P96)/P96)</f>
        <v>4.2978146683144307E-2</v>
      </c>
      <c r="U96" s="84">
        <f t="shared" ref="U96:U98" si="64">(L96/R96)</f>
        <v>1.3582177565317033E-3</v>
      </c>
      <c r="V96" s="49" t="e">
        <f>#REF!/R96</f>
        <v>#REF!</v>
      </c>
      <c r="W96" s="50">
        <f>R96/AB96</f>
        <v>46137.288921412954</v>
      </c>
      <c r="X96" s="50" t="e">
        <f>#REF!/AB96</f>
        <v>#REF!</v>
      </c>
      <c r="Y96" s="44">
        <f>111.44*416.59</f>
        <v>46424.789599999996</v>
      </c>
      <c r="Z96" s="44">
        <f>111.44*416.59</f>
        <v>46424.789599999996</v>
      </c>
      <c r="AA96" s="68">
        <f>SUM(506,48,31)</f>
        <v>585</v>
      </c>
      <c r="AB96" s="151">
        <v>101079</v>
      </c>
      <c r="AC96" s="13"/>
      <c r="AD96" s="4"/>
      <c r="AE96" s="4"/>
      <c r="AF96" s="4"/>
      <c r="AG96" s="5"/>
      <c r="AH96" s="6"/>
      <c r="AI96" s="6"/>
      <c r="AJ96" s="6"/>
      <c r="AK96" s="7"/>
      <c r="AL96" s="5">
        <v>413.49</v>
      </c>
      <c r="AM96" s="6"/>
      <c r="AN96" s="6"/>
      <c r="AO96" s="6"/>
      <c r="AP96" s="7"/>
      <c r="AQ96" s="5"/>
      <c r="AR96" s="6"/>
      <c r="AS96" s="6"/>
      <c r="AT96" s="6"/>
      <c r="AU96" s="7"/>
    </row>
    <row r="97" spans="1:257" ht="16.5" customHeight="1">
      <c r="A97" s="217">
        <v>84</v>
      </c>
      <c r="B97" s="82" t="s">
        <v>122</v>
      </c>
      <c r="C97" s="83" t="s">
        <v>123</v>
      </c>
      <c r="D97" s="78">
        <f>416.59*889803.1</f>
        <v>370683073.42899996</v>
      </c>
      <c r="E97" s="78"/>
      <c r="F97" s="78"/>
      <c r="G97" s="78"/>
      <c r="H97" s="78"/>
      <c r="I97" s="78"/>
      <c r="J97" s="78">
        <v>370683073.43000001</v>
      </c>
      <c r="K97" s="78">
        <f>416.59*6350.82</f>
        <v>2645688.1037999997</v>
      </c>
      <c r="L97" s="78">
        <f>1592.28*416.59</f>
        <v>663327.92519999994</v>
      </c>
      <c r="M97" s="214">
        <f>416.59*4758.54</f>
        <v>1982360.1785999998</v>
      </c>
      <c r="N97" s="78">
        <f>416.59*1113082.4</f>
        <v>463698997.01599991</v>
      </c>
      <c r="O97" s="78">
        <f>416.59*47332.15</f>
        <v>19718100.368499998</v>
      </c>
      <c r="P97" s="54">
        <f>416.26*1096015.81</f>
        <v>456227541.07060003</v>
      </c>
      <c r="Q97" s="47">
        <f t="shared" si="61"/>
        <v>1.7733417983345663E-3</v>
      </c>
      <c r="R97" s="54">
        <f>416.59*1065750.25</f>
        <v>443980896.64749998</v>
      </c>
      <c r="S97" s="47">
        <f t="shared" si="62"/>
        <v>1.6521660337912407E-3</v>
      </c>
      <c r="T97" s="48">
        <f t="shared" si="63"/>
        <v>-2.6843281741303113E-2</v>
      </c>
      <c r="U97" s="84">
        <f t="shared" si="64"/>
        <v>1.4940460956964353E-3</v>
      </c>
      <c r="V97" s="49">
        <f>M96/R97</f>
        <v>3.8692048170799895E-2</v>
      </c>
      <c r="W97" s="50">
        <f>R97/AB97</f>
        <v>45304.173127295915</v>
      </c>
      <c r="X97" s="50">
        <f>M96/AB97</f>
        <v>1752.9112489795916</v>
      </c>
      <c r="Y97" s="44">
        <f>416.59*108.75</f>
        <v>45304.162499999999</v>
      </c>
      <c r="Z97" s="44">
        <f>416.59*108.75</f>
        <v>45304.162499999999</v>
      </c>
      <c r="AA97" s="68">
        <v>26</v>
      </c>
      <c r="AB97" s="151">
        <v>9800</v>
      </c>
      <c r="AC97" s="3"/>
      <c r="AD97" s="9"/>
      <c r="AE97" s="4"/>
      <c r="AF97" s="4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257" ht="15.75" customHeight="1">
      <c r="A98" s="217">
        <v>85</v>
      </c>
      <c r="B98" s="82" t="s">
        <v>83</v>
      </c>
      <c r="C98" s="83" t="s">
        <v>124</v>
      </c>
      <c r="D98" s="78"/>
      <c r="E98" s="78"/>
      <c r="F98" s="78">
        <f>416.59*1238098.16</f>
        <v>515779312.47439992</v>
      </c>
      <c r="G98" s="78">
        <f>416.59*3838403.89</f>
        <v>1599040676.5351</v>
      </c>
      <c r="H98" s="78"/>
      <c r="I98" s="78"/>
      <c r="J98" s="78">
        <f>416.59</f>
        <v>416.59</v>
      </c>
      <c r="K98" s="78">
        <f>416.59*5076502.04</f>
        <v>2114819984.8435998</v>
      </c>
      <c r="L98" s="78">
        <f>416.59*8388.8</f>
        <v>3494690.1919999993</v>
      </c>
      <c r="M98" s="214">
        <f>416.59*19184.14</f>
        <v>7991920.8825999992</v>
      </c>
      <c r="N98" s="78">
        <f>416.59*5142518.48</f>
        <v>2142321773.5832</v>
      </c>
      <c r="O98" s="78">
        <f>416.59*54283.8</f>
        <v>22614088.241999999</v>
      </c>
      <c r="P98" s="54">
        <v>2119659424.6300001</v>
      </c>
      <c r="Q98" s="47">
        <f t="shared" si="61"/>
        <v>8.2390481011064155E-3</v>
      </c>
      <c r="R98" s="54">
        <f>416.59*5088234.68</f>
        <v>2119707685.3411996</v>
      </c>
      <c r="S98" s="47">
        <f t="shared" si="62"/>
        <v>7.8879723558635262E-3</v>
      </c>
      <c r="T98" s="48">
        <f t="shared" si="63"/>
        <v>2.2768144088971382E-5</v>
      </c>
      <c r="U98" s="84">
        <f t="shared" si="64"/>
        <v>1.648666094937272E-3</v>
      </c>
      <c r="V98" s="49">
        <f t="shared" ref="V98" si="65">M98/R98</f>
        <v>3.7702938654551213E-3</v>
      </c>
      <c r="W98" s="50">
        <f t="shared" ref="W98" si="66">R98/AB98</f>
        <v>454.26426551805849</v>
      </c>
      <c r="X98" s="50">
        <f t="shared" ref="X98" si="67">M98/AB98</f>
        <v>1.7127097735782122</v>
      </c>
      <c r="Y98" s="44">
        <f>416.59*1.09</f>
        <v>454.0831</v>
      </c>
      <c r="Z98" s="44">
        <f>416.59*1.09</f>
        <v>454.0831</v>
      </c>
      <c r="AA98" s="68">
        <v>135</v>
      </c>
      <c r="AB98" s="151">
        <v>4666243.5199999996</v>
      </c>
      <c r="AC98" s="37"/>
      <c r="AD98" s="10"/>
      <c r="AE98" s="13"/>
      <c r="AF98" s="4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257" ht="16.5" customHeight="1">
      <c r="A99" s="217">
        <v>86</v>
      </c>
      <c r="B99" s="82" t="s">
        <v>90</v>
      </c>
      <c r="C99" s="83" t="s">
        <v>125</v>
      </c>
      <c r="D99" s="78"/>
      <c r="E99" s="78"/>
      <c r="F99" s="78"/>
      <c r="G99" s="78">
        <f>416.59*203231.32</f>
        <v>84664135.598800004</v>
      </c>
      <c r="H99" s="78"/>
      <c r="I99" s="78"/>
      <c r="J99" s="78">
        <f>416.59*203231.32</f>
        <v>84664135.598800004</v>
      </c>
      <c r="K99" s="78">
        <f>416.59*1032.81</f>
        <v>430258.31789999997</v>
      </c>
      <c r="L99" s="78">
        <f>416.59*87.91</f>
        <v>36622.426899999999</v>
      </c>
      <c r="M99" s="193">
        <f>416.59*944.9</f>
        <v>393635.89099999995</v>
      </c>
      <c r="N99" s="44">
        <f>416.59*239999.73</f>
        <v>99981487.520699993</v>
      </c>
      <c r="O99" s="44">
        <f>416.59*2448.13</f>
        <v>1019866.4767</v>
      </c>
      <c r="P99" s="54">
        <v>102974623</v>
      </c>
      <c r="Q99" s="47">
        <f t="shared" si="61"/>
        <v>4.0025905210616317E-4</v>
      </c>
      <c r="R99" s="54">
        <f>416.59*238895.74</f>
        <v>99521576.326599985</v>
      </c>
      <c r="S99" s="47">
        <f t="shared" si="62"/>
        <v>3.7034514159900352E-4</v>
      </c>
      <c r="T99" s="48">
        <f>((R99-P99)/P99)</f>
        <v>-3.3532986796174183E-2</v>
      </c>
      <c r="U99" s="84">
        <f>(L99/R99)</f>
        <v>3.6798479537558941E-4</v>
      </c>
      <c r="V99" s="49">
        <f>M99/R99</f>
        <v>3.9552819150312181E-3</v>
      </c>
      <c r="W99" s="50">
        <f>R99/AB99</f>
        <v>389.53980204943531</v>
      </c>
      <c r="X99" s="50">
        <f>M99/AB99</f>
        <v>1.5407397342309723</v>
      </c>
      <c r="Y99" s="44">
        <v>414.5</v>
      </c>
      <c r="Z99" s="44">
        <v>414.5</v>
      </c>
      <c r="AA99" s="68">
        <v>5</v>
      </c>
      <c r="AB99" s="151">
        <v>255485</v>
      </c>
      <c r="AC99" s="25"/>
      <c r="AD99" s="22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</row>
    <row r="100" spans="1:257" ht="16.5" customHeight="1">
      <c r="A100" s="217">
        <v>87</v>
      </c>
      <c r="B100" s="82" t="s">
        <v>30</v>
      </c>
      <c r="C100" s="117" t="s">
        <v>183</v>
      </c>
      <c r="D100" s="78"/>
      <c r="E100" s="78"/>
      <c r="F100" s="78">
        <f>416.59*100131.9</f>
        <v>41713948.220999993</v>
      </c>
      <c r="G100" s="78">
        <f>416.59*3907889.2</f>
        <v>1627987561.8280001</v>
      </c>
      <c r="H100" s="78"/>
      <c r="I100" s="78"/>
      <c r="J100" s="78">
        <f>416.59*4008021.6</f>
        <v>1669701718.3439999</v>
      </c>
      <c r="K100" s="78">
        <f>416.59*23321.4</f>
        <v>9715462.0260000005</v>
      </c>
      <c r="L100" s="78">
        <f>416.59*7149.1</f>
        <v>2978243.5690000001</v>
      </c>
      <c r="M100" s="193">
        <f>416.59*16172.3</f>
        <v>6737218.4569999995</v>
      </c>
      <c r="N100" s="78">
        <f>416.59*4085518</f>
        <v>1701985943.6199999</v>
      </c>
      <c r="O100" s="78">
        <f>416.59*33278.8</f>
        <v>13863615.292000001</v>
      </c>
      <c r="P100" s="54">
        <f>416.26*3929131.7</f>
        <v>1635540361.4420002</v>
      </c>
      <c r="Q100" s="187">
        <f t="shared" si="61"/>
        <v>6.3572928521636483E-3</v>
      </c>
      <c r="R100" s="54">
        <f>416.59*4052239.3</f>
        <v>1688122369.9869998</v>
      </c>
      <c r="S100" s="47">
        <f t="shared" si="62"/>
        <v>6.2819334382084296E-3</v>
      </c>
      <c r="T100" s="48">
        <f t="shared" ref="T100" si="68">((R100-P100)/P100)</f>
        <v>3.2149624542826834E-2</v>
      </c>
      <c r="U100" s="84">
        <f>(L100/R100)</f>
        <v>1.7642344073806307E-3</v>
      </c>
      <c r="V100" s="49">
        <f>M100/R100</f>
        <v>3.9909538412501947E-3</v>
      </c>
      <c r="W100" s="50">
        <f>R100/AB100</f>
        <v>425.41262284839468</v>
      </c>
      <c r="X100" s="50">
        <f>M100/AB100</f>
        <v>1.6978021412731212</v>
      </c>
      <c r="Y100" s="44">
        <f>416.59*1.02</f>
        <v>424.92179999999996</v>
      </c>
      <c r="Z100" s="44">
        <f>416.59*1.02</f>
        <v>424.92179999999996</v>
      </c>
      <c r="AA100" s="68">
        <v>124</v>
      </c>
      <c r="AB100" s="151">
        <v>3968200</v>
      </c>
      <c r="AC100" s="225"/>
      <c r="AD100" s="4"/>
      <c r="AE100" s="4"/>
      <c r="AF100" s="4"/>
      <c r="AG100" s="5"/>
      <c r="AH100" s="6"/>
      <c r="AI100" s="6"/>
      <c r="AJ100" s="6"/>
      <c r="AK100" s="7"/>
      <c r="AL100" s="5"/>
      <c r="AM100" s="6"/>
      <c r="AN100" s="6"/>
      <c r="AO100" s="6"/>
      <c r="AP100" s="7"/>
      <c r="AQ100" s="5"/>
      <c r="AR100" s="6"/>
      <c r="AS100" s="6"/>
      <c r="AT100" s="6"/>
      <c r="AU100" s="7"/>
    </row>
    <row r="101" spans="1:257" ht="16.5" customHeight="1">
      <c r="A101" s="154"/>
      <c r="B101" s="105"/>
      <c r="C101" s="106" t="s">
        <v>53</v>
      </c>
      <c r="D101" s="114">
        <f>SUM(D82:D100)</f>
        <v>370683073.42899996</v>
      </c>
      <c r="E101" s="114"/>
      <c r="F101" s="114">
        <f t="shared" ref="F101:J101" si="69">SUM(F82:F100)</f>
        <v>55195838600.221695</v>
      </c>
      <c r="G101" s="114">
        <f t="shared" si="69"/>
        <v>198829218174.45697</v>
      </c>
      <c r="H101" s="114"/>
      <c r="I101" s="114"/>
      <c r="J101" s="114">
        <f t="shared" si="69"/>
        <v>253514986448.5914</v>
      </c>
      <c r="K101" s="114">
        <f t="shared" ref="K101" si="70">SUM(K82:K100)</f>
        <v>3666643848.9060998</v>
      </c>
      <c r="L101" s="114">
        <f t="shared" ref="L101" si="71">SUM(L82:L100)</f>
        <v>535085616.32699996</v>
      </c>
      <c r="M101" s="114">
        <f t="shared" ref="M101" si="72">SUM(M82:M100)</f>
        <v>1202231806.4674001</v>
      </c>
      <c r="N101" s="114">
        <f t="shared" ref="N101:O101" si="73">SUM(N82:N100)</f>
        <v>269938788812.73618</v>
      </c>
      <c r="O101" s="114">
        <f t="shared" si="73"/>
        <v>2019001639.1190002</v>
      </c>
      <c r="P101" s="61">
        <f>SUM(P83:P100)</f>
        <v>257269941699.37576</v>
      </c>
      <c r="Q101" s="118">
        <f>(P101/$P$149)</f>
        <v>0.19361059991976701</v>
      </c>
      <c r="R101" s="61">
        <f>SUM(R83:R100)</f>
        <v>268726561112.44031</v>
      </c>
      <c r="S101" s="118">
        <f>(R101/$R$149)</f>
        <v>0.19398013558292432</v>
      </c>
      <c r="T101" s="62">
        <f t="shared" si="37"/>
        <v>4.453151167753517E-2</v>
      </c>
      <c r="U101" s="76"/>
      <c r="V101" s="63"/>
      <c r="W101" s="64"/>
      <c r="X101" s="64"/>
      <c r="Y101" s="60"/>
      <c r="Z101" s="60"/>
      <c r="AA101" s="169">
        <f>SUM(AA83:AA100)</f>
        <v>8822</v>
      </c>
      <c r="AB101" s="147"/>
      <c r="AC101" s="13"/>
      <c r="AD101" s="4"/>
      <c r="AE101" s="4"/>
      <c r="AF101" s="4"/>
      <c r="AG101" s="5"/>
      <c r="AH101" s="6"/>
      <c r="AI101" s="6"/>
      <c r="AJ101" s="6"/>
      <c r="AK101" s="7"/>
      <c r="AL101" s="5"/>
      <c r="AM101" s="6"/>
      <c r="AN101" s="6"/>
      <c r="AO101" s="6"/>
      <c r="AP101" s="7"/>
      <c r="AQ101" s="5"/>
      <c r="AR101" s="6"/>
      <c r="AS101" s="6"/>
      <c r="AT101" s="6"/>
      <c r="AU101" s="7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spans="1:257" s="96" customFormat="1" ht="16.5" customHeight="1">
      <c r="A102" s="230" t="s">
        <v>126</v>
      </c>
      <c r="B102" s="231"/>
      <c r="C102" s="231"/>
      <c r="D102" s="107"/>
      <c r="E102" s="70"/>
      <c r="F102" s="70"/>
      <c r="G102" s="70"/>
      <c r="H102" s="70"/>
      <c r="I102" s="70"/>
      <c r="J102" s="70"/>
      <c r="K102" s="70"/>
      <c r="L102" s="70"/>
      <c r="M102" s="211"/>
      <c r="N102" s="70"/>
      <c r="O102" s="70"/>
      <c r="P102" s="70">
        <v>0</v>
      </c>
      <c r="Q102" s="48"/>
      <c r="R102" s="70">
        <v>0</v>
      </c>
      <c r="S102" s="48"/>
      <c r="T102" s="48"/>
      <c r="U102" s="48"/>
      <c r="V102" s="71"/>
      <c r="W102" s="72"/>
      <c r="X102" s="72"/>
      <c r="Y102" s="70"/>
      <c r="Z102" s="70"/>
      <c r="AA102" s="70"/>
      <c r="AB102" s="150"/>
      <c r="AC102" s="90"/>
      <c r="AD102" s="91"/>
      <c r="AE102" s="91"/>
      <c r="AF102" s="91"/>
      <c r="AG102" s="92"/>
      <c r="AH102" s="93"/>
      <c r="AI102" s="93"/>
      <c r="AJ102" s="93"/>
      <c r="AK102" s="94"/>
      <c r="AL102" s="92"/>
      <c r="AM102" s="93"/>
      <c r="AN102" s="93"/>
      <c r="AO102" s="93"/>
      <c r="AP102" s="94"/>
      <c r="AQ102" s="92"/>
      <c r="AR102" s="93"/>
      <c r="AS102" s="93"/>
      <c r="AT102" s="93"/>
      <c r="AU102" s="94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  <c r="CS102" s="95"/>
      <c r="CT102" s="95"/>
      <c r="CU102" s="95"/>
      <c r="CV102" s="95"/>
      <c r="CW102" s="95"/>
      <c r="CX102" s="95"/>
      <c r="CY102" s="95"/>
      <c r="CZ102" s="95"/>
      <c r="DA102" s="95"/>
      <c r="DB102" s="95"/>
      <c r="DC102" s="95"/>
      <c r="DD102" s="95"/>
      <c r="DE102" s="95"/>
      <c r="DF102" s="95"/>
      <c r="DG102" s="95"/>
      <c r="DH102" s="95"/>
      <c r="DI102" s="95"/>
      <c r="DJ102" s="95"/>
      <c r="DK102" s="95"/>
      <c r="DL102" s="95"/>
      <c r="DM102" s="95"/>
      <c r="DN102" s="95"/>
      <c r="DO102" s="95"/>
      <c r="DP102" s="95"/>
      <c r="DQ102" s="95"/>
      <c r="DR102" s="95"/>
      <c r="DS102" s="95"/>
      <c r="DT102" s="95"/>
      <c r="DU102" s="95"/>
      <c r="DV102" s="95"/>
      <c r="DW102" s="95"/>
      <c r="DX102" s="95"/>
      <c r="DY102" s="95"/>
      <c r="DZ102" s="95"/>
      <c r="EA102" s="95"/>
      <c r="EB102" s="95"/>
      <c r="EC102" s="95"/>
      <c r="ED102" s="95"/>
      <c r="EE102" s="95"/>
      <c r="EF102" s="95"/>
      <c r="EG102" s="95"/>
      <c r="EH102" s="95"/>
      <c r="EI102" s="95"/>
      <c r="EJ102" s="95"/>
      <c r="EK102" s="95"/>
      <c r="EL102" s="95"/>
      <c r="EM102" s="95"/>
      <c r="EN102" s="95"/>
      <c r="EO102" s="95"/>
      <c r="EP102" s="95"/>
      <c r="EQ102" s="95"/>
      <c r="ER102" s="95"/>
      <c r="ES102" s="95"/>
      <c r="ET102" s="95"/>
      <c r="EU102" s="95"/>
      <c r="EV102" s="95"/>
      <c r="EW102" s="95"/>
      <c r="EX102" s="95"/>
      <c r="EY102" s="95"/>
      <c r="EZ102" s="95"/>
      <c r="FA102" s="95"/>
      <c r="FB102" s="95"/>
      <c r="FC102" s="95"/>
      <c r="FD102" s="95"/>
      <c r="FE102" s="95"/>
      <c r="FF102" s="95"/>
      <c r="FG102" s="95"/>
      <c r="FH102" s="95"/>
      <c r="FI102" s="95"/>
      <c r="FJ102" s="95"/>
      <c r="FK102" s="95"/>
      <c r="FL102" s="95"/>
      <c r="FM102" s="95"/>
      <c r="FN102" s="95"/>
      <c r="FO102" s="95"/>
      <c r="FP102" s="95"/>
      <c r="FQ102" s="95"/>
      <c r="FR102" s="95"/>
      <c r="FS102" s="95"/>
      <c r="FT102" s="95"/>
      <c r="FU102" s="95"/>
      <c r="FV102" s="95"/>
      <c r="FW102" s="95"/>
      <c r="FX102" s="95"/>
      <c r="FY102" s="95"/>
      <c r="FZ102" s="95"/>
      <c r="GA102" s="95"/>
      <c r="GB102" s="95"/>
      <c r="GC102" s="95"/>
      <c r="GD102" s="95"/>
      <c r="GE102" s="95"/>
      <c r="GF102" s="95"/>
      <c r="GG102" s="95"/>
      <c r="GH102" s="95"/>
      <c r="GI102" s="95"/>
      <c r="GJ102" s="95"/>
      <c r="GK102" s="95"/>
      <c r="GL102" s="95"/>
      <c r="GM102" s="95"/>
      <c r="GN102" s="95"/>
      <c r="GO102" s="95"/>
      <c r="GP102" s="95"/>
      <c r="GQ102" s="95"/>
      <c r="GR102" s="95"/>
      <c r="GS102" s="95"/>
      <c r="GT102" s="95"/>
      <c r="GU102" s="95"/>
      <c r="GV102" s="95"/>
      <c r="GW102" s="95"/>
      <c r="GX102" s="95"/>
      <c r="GY102" s="95"/>
      <c r="GZ102" s="95"/>
      <c r="HA102" s="95"/>
      <c r="HB102" s="95"/>
      <c r="HC102" s="95"/>
      <c r="HD102" s="95"/>
      <c r="HE102" s="95"/>
      <c r="HF102" s="95"/>
      <c r="HG102" s="95"/>
      <c r="HH102" s="95"/>
      <c r="HI102" s="95"/>
      <c r="HJ102" s="95"/>
      <c r="HK102" s="95"/>
      <c r="HL102" s="95"/>
      <c r="HM102" s="95"/>
      <c r="HN102" s="95"/>
      <c r="HO102" s="95"/>
      <c r="HP102" s="95"/>
      <c r="HQ102" s="95"/>
      <c r="HR102" s="95"/>
      <c r="HS102" s="95"/>
      <c r="HT102" s="95"/>
      <c r="HU102" s="95"/>
      <c r="HV102" s="95"/>
      <c r="HW102" s="95"/>
      <c r="HX102" s="95"/>
      <c r="HY102" s="95"/>
      <c r="HZ102" s="95"/>
      <c r="IA102" s="95"/>
      <c r="IB102" s="95"/>
      <c r="IC102" s="95"/>
      <c r="ID102" s="95"/>
      <c r="IE102" s="95"/>
      <c r="IF102" s="95"/>
      <c r="IG102" s="95"/>
      <c r="IH102" s="95"/>
      <c r="II102" s="95"/>
      <c r="IJ102" s="95"/>
      <c r="IK102" s="95"/>
      <c r="IL102" s="95"/>
      <c r="IM102" s="95"/>
      <c r="IN102" s="95"/>
      <c r="IO102" s="95"/>
      <c r="IP102" s="95"/>
      <c r="IQ102" s="95"/>
      <c r="IR102" s="95"/>
      <c r="IS102" s="95"/>
      <c r="IT102" s="95"/>
      <c r="IU102" s="95"/>
      <c r="IV102" s="95"/>
      <c r="IW102" s="95"/>
    </row>
    <row r="103" spans="1:257" ht="16.5" customHeight="1">
      <c r="A103" s="217">
        <v>88</v>
      </c>
      <c r="B103" s="83" t="s">
        <v>105</v>
      </c>
      <c r="C103" s="116" t="s">
        <v>127</v>
      </c>
      <c r="D103" s="44"/>
      <c r="E103" s="74"/>
      <c r="F103" s="74"/>
      <c r="G103" s="44">
        <v>340072607.43000001</v>
      </c>
      <c r="H103" s="44"/>
      <c r="I103" s="97">
        <v>1494703.37</v>
      </c>
      <c r="J103" s="44">
        <v>2161957310.8000002</v>
      </c>
      <c r="K103" s="44">
        <v>20541708.170000002</v>
      </c>
      <c r="L103" s="45">
        <v>4442012.3099999996</v>
      </c>
      <c r="M103" s="75">
        <v>16099695.859999999</v>
      </c>
      <c r="N103" s="44">
        <v>2571912381.4899998</v>
      </c>
      <c r="O103" s="44">
        <v>136154571.74000001</v>
      </c>
      <c r="P103" s="54">
        <v>2419658111.9899998</v>
      </c>
      <c r="Q103" s="47">
        <f>(P103/$P$107)</f>
        <v>4.8529084778178723E-2</v>
      </c>
      <c r="R103" s="54">
        <v>2435757807.8499999</v>
      </c>
      <c r="S103" s="47">
        <f>(R103/$R$107)</f>
        <v>4.8772460129201958E-2</v>
      </c>
      <c r="T103" s="48">
        <f>((R103-P103)/P103)</f>
        <v>6.6537068936401347E-3</v>
      </c>
      <c r="U103" s="84">
        <f>(L103/R103)</f>
        <v>1.8236674827374914E-3</v>
      </c>
      <c r="V103" s="49">
        <f>M103/R103</f>
        <v>6.6097277028584851E-3</v>
      </c>
      <c r="W103" s="50" t="e">
        <f>R103/AB103</f>
        <v>#VALUE!</v>
      </c>
      <c r="X103" s="50" t="e">
        <f>M103/AB103</f>
        <v>#VALUE!</v>
      </c>
      <c r="Y103" s="44" t="s">
        <v>203</v>
      </c>
      <c r="Z103" s="44" t="s">
        <v>203</v>
      </c>
      <c r="AA103" s="51">
        <v>2648</v>
      </c>
      <c r="AB103" s="145" t="s">
        <v>203</v>
      </c>
      <c r="AC103" s="13"/>
      <c r="AD103" s="4"/>
      <c r="AE103" s="4"/>
      <c r="AF103" s="4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257" ht="16.5" customHeight="1">
      <c r="A104" s="217">
        <v>89</v>
      </c>
      <c r="B104" s="83" t="s">
        <v>105</v>
      </c>
      <c r="C104" s="83" t="s">
        <v>128</v>
      </c>
      <c r="D104" s="44"/>
      <c r="E104" s="74"/>
      <c r="F104" s="74"/>
      <c r="G104" s="44">
        <v>391791226.43000001</v>
      </c>
      <c r="H104" s="44">
        <v>9932058627.3999996</v>
      </c>
      <c r="I104" s="97"/>
      <c r="J104" s="44">
        <v>10495520785.07</v>
      </c>
      <c r="K104" s="44">
        <v>41954927.670000002</v>
      </c>
      <c r="L104" s="45">
        <v>16001825.539999999</v>
      </c>
      <c r="M104" s="75">
        <v>25953102.129999999</v>
      </c>
      <c r="N104" s="44">
        <v>11221628368.09</v>
      </c>
      <c r="O104" s="44">
        <v>1247413390.8</v>
      </c>
      <c r="P104" s="54">
        <v>9948021436</v>
      </c>
      <c r="Q104" s="47">
        <f t="shared" ref="Q104:Q106" si="74">(P104/$P$107)</f>
        <v>0.1995192516044095</v>
      </c>
      <c r="R104" s="54">
        <v>9974214977</v>
      </c>
      <c r="S104" s="47">
        <f t="shared" ref="S104:S106" si="75">(R104/$R$107)</f>
        <v>0.19971895428930897</v>
      </c>
      <c r="T104" s="48">
        <f>((R104-P104)/P104)</f>
        <v>2.6330402651938956E-3</v>
      </c>
      <c r="U104" s="84">
        <f>(L104/R104)</f>
        <v>1.6043192949920715E-3</v>
      </c>
      <c r="V104" s="49">
        <f>M104/R104</f>
        <v>2.6020195263332952E-3</v>
      </c>
      <c r="W104" s="50">
        <f>R104/AB104</f>
        <v>53.018500681874237</v>
      </c>
      <c r="X104" s="50">
        <f>M104/AB104</f>
        <v>0.1379551740311519</v>
      </c>
      <c r="Y104" s="115">
        <v>36.6</v>
      </c>
      <c r="Z104" s="115">
        <v>36.6</v>
      </c>
      <c r="AA104" s="51">
        <v>5244</v>
      </c>
      <c r="AB104" s="145">
        <v>188127066</v>
      </c>
      <c r="AC104" s="43"/>
      <c r="AD104" s="4"/>
      <c r="AE104" s="4"/>
      <c r="AF104" s="4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257" ht="16.5" customHeight="1">
      <c r="A105" s="217">
        <v>90</v>
      </c>
      <c r="B105" s="82" t="s">
        <v>198</v>
      </c>
      <c r="C105" s="83" t="s">
        <v>129</v>
      </c>
      <c r="D105" s="44"/>
      <c r="E105" s="74"/>
      <c r="F105" s="44">
        <v>1956871252.6300001</v>
      </c>
      <c r="G105" s="44">
        <v>1606829328.6099999</v>
      </c>
      <c r="H105" s="44">
        <v>26522225000</v>
      </c>
      <c r="I105" s="97"/>
      <c r="J105" s="44">
        <v>132595196.54000001</v>
      </c>
      <c r="K105" s="44">
        <v>132595196.54000001</v>
      </c>
      <c r="L105" s="74" t="s">
        <v>212</v>
      </c>
      <c r="M105" s="75">
        <v>104116088.54000001</v>
      </c>
      <c r="N105" s="44">
        <v>30224537362.330002</v>
      </c>
      <c r="O105" s="44">
        <v>156849101.40000001</v>
      </c>
      <c r="P105" s="54">
        <v>30028685390.240002</v>
      </c>
      <c r="Q105" s="47">
        <f t="shared" si="74"/>
        <v>0.60226054741333501</v>
      </c>
      <c r="R105" s="54">
        <v>30067688260.93</v>
      </c>
      <c r="S105" s="47">
        <f t="shared" si="75"/>
        <v>0.60206114177579662</v>
      </c>
      <c r="T105" s="48">
        <f>((R105-P105)/P105)</f>
        <v>1.2988537521084901E-3</v>
      </c>
      <c r="U105" s="84">
        <f>(L105/R105)</f>
        <v>9.4716653182166314E-4</v>
      </c>
      <c r="V105" s="49">
        <f>M105/R105</f>
        <v>3.4627234271045909E-3</v>
      </c>
      <c r="W105" s="50">
        <f>R105/AB105</f>
        <v>11.268609958975283</v>
      </c>
      <c r="X105" s="50">
        <f>M105/AB105</f>
        <v>3.9020079695847816E-2</v>
      </c>
      <c r="Y105" s="115">
        <v>11.27</v>
      </c>
      <c r="Z105" s="115">
        <v>11.27</v>
      </c>
      <c r="AA105" s="51">
        <v>28836</v>
      </c>
      <c r="AB105" s="145">
        <v>2668269500</v>
      </c>
      <c r="AC105" s="4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257" ht="16.5" customHeight="1">
      <c r="A106" s="217">
        <v>91</v>
      </c>
      <c r="B106" s="83" t="s">
        <v>30</v>
      </c>
      <c r="C106" s="83" t="s">
        <v>130</v>
      </c>
      <c r="D106" s="44"/>
      <c r="E106" s="74"/>
      <c r="F106" s="44">
        <v>6824582499</v>
      </c>
      <c r="G106" s="227"/>
      <c r="H106" s="44">
        <v>610903488</v>
      </c>
      <c r="I106" s="97"/>
      <c r="J106" s="44">
        <v>7512397794</v>
      </c>
      <c r="K106" s="44">
        <v>61421042</v>
      </c>
      <c r="L106" s="97">
        <v>13174627</v>
      </c>
      <c r="M106" s="75">
        <v>48246414</v>
      </c>
      <c r="N106" s="44">
        <v>7595789951</v>
      </c>
      <c r="O106" s="44">
        <v>132197236</v>
      </c>
      <c r="P106" s="54">
        <v>7463592715</v>
      </c>
      <c r="Q106" s="47">
        <f t="shared" si="74"/>
        <v>0.1496911162040768</v>
      </c>
      <c r="R106" s="54">
        <v>7463592715</v>
      </c>
      <c r="S106" s="47">
        <f t="shared" si="75"/>
        <v>0.14944744380569253</v>
      </c>
      <c r="T106" s="48">
        <f>((R106-P106)/P106)</f>
        <v>0</v>
      </c>
      <c r="U106" s="84">
        <f>(L106/R106)</f>
        <v>1.7651856824290821E-3</v>
      </c>
      <c r="V106" s="49">
        <f>M106/R106</f>
        <v>6.4642345640105042E-3</v>
      </c>
      <c r="W106" s="50">
        <f>R106/AB106</f>
        <v>100.65532993931221</v>
      </c>
      <c r="X106" s="50">
        <f>M106/AB106</f>
        <v>0.6506596628455833</v>
      </c>
      <c r="Y106" s="115">
        <v>100.66</v>
      </c>
      <c r="Z106" s="115">
        <v>100.66</v>
      </c>
      <c r="AA106" s="51">
        <v>57</v>
      </c>
      <c r="AB106" s="145">
        <v>74150000</v>
      </c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257" ht="16.5" customHeight="1">
      <c r="A107" s="155"/>
      <c r="B107" s="69"/>
      <c r="C107" s="59" t="s">
        <v>53</v>
      </c>
      <c r="D107" s="60"/>
      <c r="E107" s="60"/>
      <c r="F107" s="60">
        <f>SUM(F103:F106)</f>
        <v>8781453751.6300011</v>
      </c>
      <c r="G107" s="60">
        <f>SUM(G103:G106)</f>
        <v>2338693162.4699998</v>
      </c>
      <c r="H107" s="60">
        <f t="shared" ref="H107:J107" si="76">SUM(H103:H106)</f>
        <v>37065187115.400002</v>
      </c>
      <c r="I107" s="60">
        <f t="shared" si="76"/>
        <v>1494703.37</v>
      </c>
      <c r="J107" s="60">
        <f t="shared" si="76"/>
        <v>20302471086.41</v>
      </c>
      <c r="K107" s="60">
        <f>SUM(K103:K106)</f>
        <v>256512874.38</v>
      </c>
      <c r="L107" s="60">
        <f t="shared" ref="L107" si="77">SUM(L103:L106)</f>
        <v>33618464.849999994</v>
      </c>
      <c r="M107" s="60">
        <f t="shared" ref="M107" si="78">SUM(M103:M106)</f>
        <v>194415300.53</v>
      </c>
      <c r="N107" s="60">
        <f t="shared" ref="N107" si="79">SUM(N103:N106)</f>
        <v>51613868062.910004</v>
      </c>
      <c r="O107" s="60">
        <f>SUM(O103:O106)</f>
        <v>1672614299.9400001</v>
      </c>
      <c r="P107" s="61">
        <f>SUM(P103:P106)</f>
        <v>49859957653.230003</v>
      </c>
      <c r="Q107" s="118">
        <f>(P107/$P$149)</f>
        <v>3.7522519146431101E-2</v>
      </c>
      <c r="R107" s="61">
        <f>SUM(R103:R106)</f>
        <v>49941253760.779999</v>
      </c>
      <c r="S107" s="118">
        <f>(R107/$R$149)</f>
        <v>3.6050069392447787E-2</v>
      </c>
      <c r="T107" s="62">
        <f>((R107-P107)/P107)</f>
        <v>1.6304889008410327E-3</v>
      </c>
      <c r="U107" s="76"/>
      <c r="V107" s="63"/>
      <c r="W107" s="64"/>
      <c r="X107" s="64"/>
      <c r="Y107" s="60"/>
      <c r="Z107" s="60"/>
      <c r="AA107" s="65">
        <f>SUM(AA103:AA106)</f>
        <v>36785</v>
      </c>
      <c r="AB107" s="147"/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257" ht="16.5" customHeight="1">
      <c r="A108" s="232" t="s">
        <v>184</v>
      </c>
      <c r="B108" s="233"/>
      <c r="C108" s="233"/>
      <c r="D108" s="70"/>
      <c r="E108" s="70"/>
      <c r="F108" s="70"/>
      <c r="G108" s="70"/>
      <c r="H108" s="70"/>
      <c r="I108" s="70"/>
      <c r="J108" s="70"/>
      <c r="K108" s="70"/>
      <c r="L108" s="70"/>
      <c r="M108" s="211"/>
      <c r="N108" s="70"/>
      <c r="O108" s="70"/>
      <c r="P108" s="70"/>
      <c r="Q108" s="48"/>
      <c r="R108" s="70"/>
      <c r="S108" s="48"/>
      <c r="T108" s="48"/>
      <c r="U108" s="48"/>
      <c r="V108" s="71"/>
      <c r="W108" s="72"/>
      <c r="X108" s="72"/>
      <c r="Y108" s="70"/>
      <c r="Z108" s="70"/>
      <c r="AA108" s="70"/>
      <c r="AB108" s="150"/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</row>
    <row r="109" spans="1:257" ht="16.5" customHeight="1">
      <c r="A109" s="217">
        <v>92</v>
      </c>
      <c r="B109" s="83" t="s">
        <v>24</v>
      </c>
      <c r="C109" s="83" t="s">
        <v>131</v>
      </c>
      <c r="D109" s="44">
        <v>868620803.20000005</v>
      </c>
      <c r="E109" s="44"/>
      <c r="F109" s="44">
        <v>500796954.55000001</v>
      </c>
      <c r="G109" s="44">
        <v>329544825.86000001</v>
      </c>
      <c r="H109" s="53"/>
      <c r="I109" s="52"/>
      <c r="J109" s="52">
        <v>1698962583.6099999</v>
      </c>
      <c r="K109" s="52">
        <v>6705780.3399999999</v>
      </c>
      <c r="L109" s="44">
        <v>2640856.7000000002</v>
      </c>
      <c r="M109" s="193">
        <v>22100305.789999999</v>
      </c>
      <c r="N109" s="44">
        <v>1709690105.3</v>
      </c>
      <c r="O109" s="44">
        <v>9801212.4499999993</v>
      </c>
      <c r="P109" s="108">
        <v>1663945006.1800001</v>
      </c>
      <c r="Q109" s="47">
        <f t="shared" ref="Q109:Q131" si="80">(P109/$P$149)</f>
        <v>1.2522154308117991E-3</v>
      </c>
      <c r="R109" s="108">
        <v>1699888892.8499999</v>
      </c>
      <c r="S109" s="47">
        <f t="shared" ref="S109:S130" si="81">(R109/$R$131)</f>
        <v>5.6965427417488695E-2</v>
      </c>
      <c r="T109" s="48">
        <f t="shared" ref="T109:T131" si="82">((R109-P109)/P109)</f>
        <v>2.16016073466983E-2</v>
      </c>
      <c r="U109" s="84">
        <f t="shared" ref="U109:U127" si="83">(L109/R109)</f>
        <v>1.5535466530241235E-3</v>
      </c>
      <c r="V109" s="49">
        <f t="shared" ref="V109:V130" si="84">M109/R109</f>
        <v>1.30010295866732E-2</v>
      </c>
      <c r="W109" s="50">
        <f t="shared" ref="W109:W130" si="85">R109/AB109</f>
        <v>3561.6780649211055</v>
      </c>
      <c r="X109" s="50">
        <f>M109/AB109</f>
        <v>46.305481900244246</v>
      </c>
      <c r="Y109" s="44">
        <v>3537.56</v>
      </c>
      <c r="Z109" s="44">
        <v>3574.87</v>
      </c>
      <c r="AA109" s="51">
        <v>1358</v>
      </c>
      <c r="AB109" s="145">
        <v>477271.91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</row>
    <row r="110" spans="1:257" ht="16.5" customHeight="1">
      <c r="A110" s="217">
        <v>93</v>
      </c>
      <c r="B110" s="83" t="s">
        <v>30</v>
      </c>
      <c r="C110" s="83" t="s">
        <v>176</v>
      </c>
      <c r="D110" s="44">
        <v>99586976.950000003</v>
      </c>
      <c r="E110" s="44"/>
      <c r="F110" s="44">
        <v>44450328.810000002</v>
      </c>
      <c r="G110" s="44">
        <v>53187736.130000003</v>
      </c>
      <c r="H110" s="53"/>
      <c r="I110" s="52"/>
      <c r="J110" s="52">
        <v>197225041.88999999</v>
      </c>
      <c r="K110" s="52">
        <v>714324.36</v>
      </c>
      <c r="L110" s="44">
        <v>363858.58</v>
      </c>
      <c r="M110" s="193">
        <v>350465.78</v>
      </c>
      <c r="N110" s="44">
        <v>201851491.55000001</v>
      </c>
      <c r="O110" s="44">
        <v>1562760.78</v>
      </c>
      <c r="P110" s="108">
        <v>200502081.5</v>
      </c>
      <c r="Q110" s="47">
        <f t="shared" si="80"/>
        <v>1.5088948218341827E-4</v>
      </c>
      <c r="R110" s="108">
        <v>200288730.77000001</v>
      </c>
      <c r="S110" s="47">
        <f t="shared" si="81"/>
        <v>6.7119287638207773E-3</v>
      </c>
      <c r="T110" s="48">
        <f t="shared" si="82"/>
        <v>-1.0640823696385878E-3</v>
      </c>
      <c r="U110" s="84">
        <f t="shared" si="83"/>
        <v>1.8166702569893168E-3</v>
      </c>
      <c r="V110" s="49">
        <f t="shared" si="84"/>
        <v>1.7498027904648049E-3</v>
      </c>
      <c r="W110" s="50">
        <f t="shared" si="85"/>
        <v>147.81227063639605</v>
      </c>
      <c r="X110" s="50">
        <f t="shared" ref="X110:X130" si="86">M110/AB110</f>
        <v>0.25864232362450473</v>
      </c>
      <c r="Y110" s="44">
        <v>146.85</v>
      </c>
      <c r="Z110" s="44">
        <v>148.43</v>
      </c>
      <c r="AA110" s="51">
        <v>713</v>
      </c>
      <c r="AB110" s="145">
        <v>1355021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spans="1:257" ht="16.5" customHeight="1">
      <c r="A111" s="217">
        <v>94</v>
      </c>
      <c r="B111" s="83" t="s">
        <v>34</v>
      </c>
      <c r="C111" s="83" t="s">
        <v>132</v>
      </c>
      <c r="D111" s="44">
        <v>493515656.64999998</v>
      </c>
      <c r="E111" s="44"/>
      <c r="F111" s="44"/>
      <c r="G111" s="44">
        <v>295091420</v>
      </c>
      <c r="H111" s="53"/>
      <c r="I111" s="52"/>
      <c r="J111" s="52">
        <v>788607077</v>
      </c>
      <c r="K111" s="52">
        <v>3572178</v>
      </c>
      <c r="L111" s="44">
        <v>1662342</v>
      </c>
      <c r="M111" s="193">
        <v>9726997</v>
      </c>
      <c r="N111" s="44">
        <v>1004643872</v>
      </c>
      <c r="O111" s="44">
        <v>79666861</v>
      </c>
      <c r="P111" s="108">
        <v>910032113.11000001</v>
      </c>
      <c r="Q111" s="47">
        <f t="shared" si="80"/>
        <v>6.8485211370461431E-4</v>
      </c>
      <c r="R111" s="108">
        <v>924977010.94000006</v>
      </c>
      <c r="S111" s="47">
        <f t="shared" si="81"/>
        <v>3.0997149873252212E-2</v>
      </c>
      <c r="T111" s="48">
        <f t="shared" si="82"/>
        <v>1.6422385116637725E-2</v>
      </c>
      <c r="U111" s="84">
        <f t="shared" si="83"/>
        <v>1.7971711516491194E-3</v>
      </c>
      <c r="V111" s="49">
        <f t="shared" si="84"/>
        <v>1.0515933785332698E-2</v>
      </c>
      <c r="W111" s="50">
        <f t="shared" si="85"/>
        <v>1.4110796335169442</v>
      </c>
      <c r="X111" s="50">
        <f t="shared" si="86"/>
        <v>1.4838819991895716E-2</v>
      </c>
      <c r="Y111" s="44">
        <v>1.41</v>
      </c>
      <c r="Z111" s="44">
        <v>1.43</v>
      </c>
      <c r="AA111" s="51">
        <v>1309</v>
      </c>
      <c r="AB111" s="145">
        <v>655510142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</row>
    <row r="112" spans="1:257" ht="16.5" customHeight="1">
      <c r="A112" s="217">
        <v>95</v>
      </c>
      <c r="B112" s="82" t="s">
        <v>36</v>
      </c>
      <c r="C112" s="83" t="s">
        <v>169</v>
      </c>
      <c r="D112" s="44">
        <v>2785146547.75</v>
      </c>
      <c r="E112" s="44"/>
      <c r="F112" s="44"/>
      <c r="G112" s="44">
        <v>446067130.60000002</v>
      </c>
      <c r="H112" s="104">
        <v>62308198.600000001</v>
      </c>
      <c r="I112" s="52"/>
      <c r="J112" s="52">
        <v>3293521876.9499998</v>
      </c>
      <c r="K112" s="52">
        <v>82352048.829999998</v>
      </c>
      <c r="L112" s="44">
        <v>14558532.970000001</v>
      </c>
      <c r="M112" s="193">
        <v>132412733.61</v>
      </c>
      <c r="N112" s="44">
        <v>4765869789</v>
      </c>
      <c r="O112" s="44">
        <v>1965049</v>
      </c>
      <c r="P112" s="108">
        <v>4708251821</v>
      </c>
      <c r="Q112" s="47">
        <f t="shared" si="80"/>
        <v>3.5432334365058759E-3</v>
      </c>
      <c r="R112" s="108">
        <v>4763904739</v>
      </c>
      <c r="S112" s="47">
        <f t="shared" si="81"/>
        <v>0.15964447486820635</v>
      </c>
      <c r="T112" s="48">
        <f t="shared" si="82"/>
        <v>1.1820293415864852E-2</v>
      </c>
      <c r="U112" s="84">
        <f t="shared" si="83"/>
        <v>3.0560084148651572E-3</v>
      </c>
      <c r="V112" s="49">
        <f t="shared" si="84"/>
        <v>2.7795000291671448E-2</v>
      </c>
      <c r="W112" s="50">
        <f t="shared" si="85"/>
        <v>486.7770798411097</v>
      </c>
      <c r="X112" s="50">
        <f t="shared" si="86"/>
        <v>13.529969076162621</v>
      </c>
      <c r="Y112" s="44">
        <v>476.53</v>
      </c>
      <c r="Z112" s="44">
        <v>490.6</v>
      </c>
      <c r="AA112" s="51">
        <v>35683</v>
      </c>
      <c r="AB112" s="145">
        <v>9786625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</row>
    <row r="113" spans="1:257" ht="16.5" customHeight="1">
      <c r="A113" s="217">
        <v>96</v>
      </c>
      <c r="B113" s="83" t="s">
        <v>75</v>
      </c>
      <c r="C113" s="83" t="s">
        <v>194</v>
      </c>
      <c r="D113" s="44">
        <v>1133976338.3</v>
      </c>
      <c r="E113" s="44"/>
      <c r="F113" s="44">
        <v>304610272.08999997</v>
      </c>
      <c r="G113" s="44">
        <v>1038583640.3200001</v>
      </c>
      <c r="H113" s="53"/>
      <c r="I113" s="52"/>
      <c r="J113" s="52">
        <v>2477170250.71</v>
      </c>
      <c r="K113" s="52">
        <v>10153366.42</v>
      </c>
      <c r="L113" s="44">
        <v>18360859.120000001</v>
      </c>
      <c r="M113" s="193">
        <v>9354585.1899999995</v>
      </c>
      <c r="N113" s="44">
        <v>2502684883.98</v>
      </c>
      <c r="O113" s="44">
        <v>22972813.149999999</v>
      </c>
      <c r="P113" s="108">
        <v>2499398122.5799999</v>
      </c>
      <c r="Q113" s="47">
        <f t="shared" si="80"/>
        <v>1.8809425102467279E-3</v>
      </c>
      <c r="R113" s="108">
        <v>2479712070.8299999</v>
      </c>
      <c r="S113" s="47">
        <f t="shared" si="81"/>
        <v>8.3098288706567658E-2</v>
      </c>
      <c r="T113" s="48">
        <f t="shared" si="82"/>
        <v>-7.8763169309253953E-3</v>
      </c>
      <c r="U113" s="84">
        <f t="shared" si="83"/>
        <v>7.4044318838413859E-3</v>
      </c>
      <c r="V113" s="49">
        <f t="shared" si="84"/>
        <v>3.772448140266893E-3</v>
      </c>
      <c r="W113" s="50">
        <f t="shared" si="85"/>
        <v>13.423258702257366</v>
      </c>
      <c r="X113" s="50">
        <f t="shared" si="86"/>
        <v>5.0638547327652189E-2</v>
      </c>
      <c r="Y113" s="44">
        <v>13.423299999999999</v>
      </c>
      <c r="Z113" s="44">
        <v>13.5519</v>
      </c>
      <c r="AA113" s="51">
        <v>6418</v>
      </c>
      <c r="AB113" s="145">
        <v>184732494.97999999</v>
      </c>
      <c r="AC113" s="13"/>
      <c r="AD113" s="4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</row>
    <row r="114" spans="1:257" ht="16.5" customHeight="1">
      <c r="A114" s="217">
        <v>97</v>
      </c>
      <c r="B114" s="82" t="s">
        <v>56</v>
      </c>
      <c r="C114" s="82" t="s">
        <v>135</v>
      </c>
      <c r="D114" s="44">
        <v>1949703698.55</v>
      </c>
      <c r="E114" s="44"/>
      <c r="F114" s="44">
        <v>1221220486.03</v>
      </c>
      <c r="G114" s="44">
        <v>1147964042.75</v>
      </c>
      <c r="H114" s="53"/>
      <c r="I114" s="52"/>
      <c r="J114" s="52">
        <v>4295185852.79</v>
      </c>
      <c r="K114" s="52">
        <v>62479472.700000003</v>
      </c>
      <c r="L114" s="44">
        <v>11514213.210000001</v>
      </c>
      <c r="M114" s="193">
        <v>194706303.62</v>
      </c>
      <c r="N114" s="44">
        <v>4335666347.2600002</v>
      </c>
      <c r="O114" s="44">
        <v>40480494.469999999</v>
      </c>
      <c r="P114" s="108">
        <v>4209224995.1300001</v>
      </c>
      <c r="Q114" s="47">
        <f t="shared" si="80"/>
        <v>3.1676867150562077E-3</v>
      </c>
      <c r="R114" s="108">
        <v>4295185852.79</v>
      </c>
      <c r="S114" s="47">
        <f t="shared" si="81"/>
        <v>0.14393711199060324</v>
      </c>
      <c r="T114" s="48">
        <f t="shared" ref="T114:T123" si="87">((R114-P114)/P114)</f>
        <v>2.0422015397004212E-2</v>
      </c>
      <c r="U114" s="84">
        <f t="shared" ref="U114:U123" si="88">(L114/R114)</f>
        <v>2.6807252595416279E-3</v>
      </c>
      <c r="V114" s="49">
        <f>M114/R114</f>
        <v>4.5331287234876158E-2</v>
      </c>
      <c r="W114" s="50">
        <f t="shared" ref="W114:W123" si="89">R114/AB114</f>
        <v>183.13724575230003</v>
      </c>
      <c r="X114" s="50">
        <f t="shared" ref="X114:X119" si="90">M114/AB114</f>
        <v>8.3018470906016173</v>
      </c>
      <c r="Y114" s="44">
        <v>183.14</v>
      </c>
      <c r="Z114" s="44">
        <v>184.51</v>
      </c>
      <c r="AA114" s="51">
        <v>5472</v>
      </c>
      <c r="AB114" s="145">
        <v>23453371.460000001</v>
      </c>
      <c r="AC114" s="13"/>
      <c r="AD114" s="4"/>
      <c r="AE114" s="4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spans="1:257" ht="16.5" customHeight="1">
      <c r="A115" s="217">
        <v>98</v>
      </c>
      <c r="B115" s="83" t="s">
        <v>88</v>
      </c>
      <c r="C115" s="86" t="s">
        <v>136</v>
      </c>
      <c r="D115" s="44">
        <v>3177676559.75</v>
      </c>
      <c r="E115" s="44"/>
      <c r="F115" s="44"/>
      <c r="G115" s="44">
        <v>975747547.27999997</v>
      </c>
      <c r="H115" s="53"/>
      <c r="I115" s="52"/>
      <c r="J115" s="52">
        <v>4542353473.2700005</v>
      </c>
      <c r="K115" s="52">
        <v>11058658.310000001</v>
      </c>
      <c r="L115" s="44">
        <v>8291821.0099999998</v>
      </c>
      <c r="M115" s="214">
        <v>26147404.359999999</v>
      </c>
      <c r="N115" s="44">
        <v>4933682681.3599997</v>
      </c>
      <c r="O115" s="44">
        <v>14941464.220000001</v>
      </c>
      <c r="P115" s="108">
        <v>4812796520.1599998</v>
      </c>
      <c r="Q115" s="47">
        <f t="shared" si="80"/>
        <v>3.6219094053699377E-3</v>
      </c>
      <c r="R115" s="108">
        <v>4918741217.1400003</v>
      </c>
      <c r="S115" s="47">
        <f t="shared" si="81"/>
        <v>0.16483324114238077</v>
      </c>
      <c r="T115" s="48">
        <f t="shared" si="87"/>
        <v>2.2013126159856514E-2</v>
      </c>
      <c r="U115" s="84">
        <f t="shared" si="88"/>
        <v>1.6857607757663809E-3</v>
      </c>
      <c r="V115" s="49">
        <f>M115/R115</f>
        <v>5.3158731483750219E-3</v>
      </c>
      <c r="W115" s="50">
        <f t="shared" si="89"/>
        <v>179.23643510328574</v>
      </c>
      <c r="X115" s="50">
        <f t="shared" si="90"/>
        <v>0.95279815257601885</v>
      </c>
      <c r="Y115" s="44">
        <v>176.804</v>
      </c>
      <c r="Z115" s="44">
        <v>180.7996</v>
      </c>
      <c r="AA115" s="51">
        <v>25</v>
      </c>
      <c r="AB115" s="145">
        <v>27442753</v>
      </c>
      <c r="AC115" s="13"/>
      <c r="AD115" s="4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</row>
    <row r="116" spans="1:257" ht="16.5" customHeight="1">
      <c r="A116" s="217">
        <v>99</v>
      </c>
      <c r="B116" s="83" t="s">
        <v>83</v>
      </c>
      <c r="C116" s="116" t="s">
        <v>175</v>
      </c>
      <c r="D116" s="44">
        <v>1046831145.95</v>
      </c>
      <c r="E116" s="44"/>
      <c r="F116" s="44">
        <v>560198580.44000006</v>
      </c>
      <c r="G116" s="44">
        <v>629825819.00999999</v>
      </c>
      <c r="H116" s="53"/>
      <c r="I116" s="52"/>
      <c r="J116" s="52">
        <v>2236855545.4000001</v>
      </c>
      <c r="K116" s="52">
        <v>10554837.6</v>
      </c>
      <c r="L116" s="44">
        <v>5014916.16</v>
      </c>
      <c r="M116" s="193">
        <v>10160649.84</v>
      </c>
      <c r="N116" s="44">
        <v>2241092033.4200001</v>
      </c>
      <c r="O116" s="44">
        <v>22442943.989999998</v>
      </c>
      <c r="P116" s="108">
        <v>2187648310.4499998</v>
      </c>
      <c r="Q116" s="47">
        <f t="shared" si="80"/>
        <v>1.6463326380141861E-3</v>
      </c>
      <c r="R116" s="108">
        <v>2218649089.4299998</v>
      </c>
      <c r="S116" s="47">
        <f t="shared" si="81"/>
        <v>7.4349737915461803E-2</v>
      </c>
      <c r="T116" s="48">
        <f t="shared" si="87"/>
        <v>1.4170823907990564E-2</v>
      </c>
      <c r="U116" s="84">
        <f t="shared" si="88"/>
        <v>2.2603467055208799E-3</v>
      </c>
      <c r="V116" s="49">
        <f>M116/R116</f>
        <v>4.5796561017273823E-3</v>
      </c>
      <c r="W116" s="50">
        <f t="shared" si="89"/>
        <v>4049.6576584129289</v>
      </c>
      <c r="X116" s="50">
        <f t="shared" si="90"/>
        <v>18.546039405257794</v>
      </c>
      <c r="Y116" s="44">
        <v>4015.75</v>
      </c>
      <c r="Z116" s="44">
        <v>4076.9</v>
      </c>
      <c r="AA116" s="51">
        <v>816</v>
      </c>
      <c r="AB116" s="145">
        <v>547860.9</v>
      </c>
      <c r="AC116" s="13"/>
      <c r="AD116" s="4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</row>
    <row r="117" spans="1:257" ht="16.5" customHeight="1">
      <c r="A117" s="217">
        <v>100</v>
      </c>
      <c r="B117" s="83" t="s">
        <v>79</v>
      </c>
      <c r="C117" s="67" t="s">
        <v>177</v>
      </c>
      <c r="D117" s="44">
        <v>923585450.20000005</v>
      </c>
      <c r="E117" s="44"/>
      <c r="F117" s="44"/>
      <c r="G117" s="44">
        <v>604126089.04999995</v>
      </c>
      <c r="H117" s="53"/>
      <c r="I117" s="52"/>
      <c r="J117" s="52">
        <v>2095864829.8699999</v>
      </c>
      <c r="K117" s="52">
        <v>7958268.7000000002</v>
      </c>
      <c r="L117" s="44">
        <v>6520791.2400000002</v>
      </c>
      <c r="M117" s="193">
        <v>55604956.369999997</v>
      </c>
      <c r="N117" s="44">
        <v>2015382874.9300001</v>
      </c>
      <c r="O117" s="44">
        <v>112941071.53</v>
      </c>
      <c r="P117" s="108">
        <v>2017182181.8099999</v>
      </c>
      <c r="Q117" s="47">
        <f t="shared" si="80"/>
        <v>1.5180469579460642E-3</v>
      </c>
      <c r="R117" s="108">
        <v>1902441803.4000001</v>
      </c>
      <c r="S117" s="47">
        <f t="shared" si="81"/>
        <v>6.3753231710269184E-2</v>
      </c>
      <c r="T117" s="48">
        <f t="shared" si="87"/>
        <v>-5.6881514939341925E-2</v>
      </c>
      <c r="U117" s="84">
        <f t="shared" si="88"/>
        <v>3.4275903884924061E-3</v>
      </c>
      <c r="V117" s="49">
        <f>M117/R117</f>
        <v>2.922820360161562E-2</v>
      </c>
      <c r="W117" s="50">
        <f t="shared" si="89"/>
        <v>1.2664781374490897</v>
      </c>
      <c r="X117" s="50">
        <f t="shared" si="90"/>
        <v>3.7016880858356929E-2</v>
      </c>
      <c r="Y117" s="44">
        <v>1.2565</v>
      </c>
      <c r="Z117" s="44">
        <v>1.2565</v>
      </c>
      <c r="AA117" s="51">
        <v>10343</v>
      </c>
      <c r="AB117" s="145">
        <v>1502151318.01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spans="1:257" ht="16.5" customHeight="1">
      <c r="A118" s="217">
        <v>101</v>
      </c>
      <c r="B118" s="82" t="s">
        <v>28</v>
      </c>
      <c r="C118" s="83" t="s">
        <v>138</v>
      </c>
      <c r="D118" s="44">
        <v>262224537.80000001</v>
      </c>
      <c r="E118" s="44"/>
      <c r="F118" s="44">
        <v>965075918.59000003</v>
      </c>
      <c r="G118" s="44"/>
      <c r="H118" s="53"/>
      <c r="I118" s="52"/>
      <c r="J118" s="52">
        <v>1231293471.6600001</v>
      </c>
      <c r="K118" s="52">
        <f>SUM(F118:J118,D118)</f>
        <v>2458593928.0500002</v>
      </c>
      <c r="L118" s="44">
        <v>2140734.7599999998</v>
      </c>
      <c r="M118" s="193">
        <v>18996153.41</v>
      </c>
      <c r="N118" s="44">
        <v>1235988421.99</v>
      </c>
      <c r="O118" s="44">
        <v>42831262.990000002</v>
      </c>
      <c r="P118" s="108">
        <v>1174141598.29</v>
      </c>
      <c r="Q118" s="47">
        <f t="shared" si="80"/>
        <v>8.8360986804014415E-4</v>
      </c>
      <c r="R118" s="108">
        <v>1193157158.3199999</v>
      </c>
      <c r="S118" s="47">
        <f t="shared" si="81"/>
        <v>3.9984205900645678E-2</v>
      </c>
      <c r="T118" s="48">
        <f t="shared" si="87"/>
        <v>1.6195286886772357E-2</v>
      </c>
      <c r="U118" s="84">
        <f t="shared" si="88"/>
        <v>1.7941766891917379E-3</v>
      </c>
      <c r="V118" s="49">
        <f>M118/R118</f>
        <v>1.5920914757572371E-2</v>
      </c>
      <c r="W118" s="50">
        <f t="shared" si="89"/>
        <v>1599.5135844493598</v>
      </c>
      <c r="X118" s="50">
        <f t="shared" si="90"/>
        <v>25.465719431597293</v>
      </c>
      <c r="Y118" s="44">
        <v>0</v>
      </c>
      <c r="Z118" s="44">
        <v>0</v>
      </c>
      <c r="AA118" s="51">
        <v>830</v>
      </c>
      <c r="AB118" s="145">
        <v>745950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spans="1:257" ht="16.5" customHeight="1">
      <c r="A119" s="217">
        <v>102</v>
      </c>
      <c r="B119" s="82" t="s">
        <v>45</v>
      </c>
      <c r="C119" s="83" t="s">
        <v>141</v>
      </c>
      <c r="D119" s="44">
        <v>1174792659.8</v>
      </c>
      <c r="E119" s="44"/>
      <c r="F119" s="44">
        <v>483078442.42000002</v>
      </c>
      <c r="G119" s="44">
        <v>512135408.77999997</v>
      </c>
      <c r="H119" s="53"/>
      <c r="I119" s="52"/>
      <c r="J119" s="52">
        <v>2170006511</v>
      </c>
      <c r="K119" s="52">
        <v>7836567.9299999997</v>
      </c>
      <c r="L119" s="44">
        <v>4195239.99</v>
      </c>
      <c r="M119" s="193">
        <v>23533529.640000001</v>
      </c>
      <c r="N119" s="44">
        <v>2171696476.5900002</v>
      </c>
      <c r="O119" s="44">
        <v>73253631.790000007</v>
      </c>
      <c r="P119" s="108">
        <v>2075604917.8599999</v>
      </c>
      <c r="Q119" s="47">
        <f t="shared" si="80"/>
        <v>1.5620134660459962E-3</v>
      </c>
      <c r="R119" s="108">
        <v>2098442844.8</v>
      </c>
      <c r="S119" s="47">
        <f t="shared" si="81"/>
        <v>7.0321474578721843E-2</v>
      </c>
      <c r="T119" s="48">
        <f t="shared" si="87"/>
        <v>1.1003022176082781E-2</v>
      </c>
      <c r="U119" s="84">
        <f t="shared" si="88"/>
        <v>1.9992157520019771E-3</v>
      </c>
      <c r="V119" s="49">
        <f ca="1">V119/R119</f>
        <v>0</v>
      </c>
      <c r="W119" s="50">
        <f t="shared" si="89"/>
        <v>3.0246753144067098</v>
      </c>
      <c r="X119" s="50">
        <f t="shared" si="90"/>
        <v>3.3921003061558645E-2</v>
      </c>
      <c r="Y119" s="44">
        <v>2.89</v>
      </c>
      <c r="Z119" s="44">
        <v>2.95</v>
      </c>
      <c r="AA119" s="51">
        <v>2027</v>
      </c>
      <c r="AB119" s="145">
        <v>693774579.63999999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spans="1:257" ht="16.5" customHeight="1">
      <c r="A120" s="217">
        <v>103</v>
      </c>
      <c r="B120" s="82" t="s">
        <v>47</v>
      </c>
      <c r="C120" s="82" t="s">
        <v>142</v>
      </c>
      <c r="D120" s="44">
        <v>79017727.900000006</v>
      </c>
      <c r="E120" s="44"/>
      <c r="F120" s="44">
        <v>29085372.59</v>
      </c>
      <c r="G120" s="44">
        <v>51366561.25</v>
      </c>
      <c r="H120" s="104">
        <v>840000</v>
      </c>
      <c r="I120" s="52"/>
      <c r="J120" s="52">
        <v>160309661.69999999</v>
      </c>
      <c r="K120" s="52">
        <v>3119696.33</v>
      </c>
      <c r="L120" s="44">
        <v>222298.56</v>
      </c>
      <c r="M120" s="193">
        <v>2897397.77</v>
      </c>
      <c r="N120" s="44">
        <v>168496105.13999999</v>
      </c>
      <c r="O120" s="44">
        <v>2371182.5299999998</v>
      </c>
      <c r="P120" s="108">
        <v>165061055.58000001</v>
      </c>
      <c r="Q120" s="47">
        <f t="shared" si="80"/>
        <v>1.2421804810597254E-4</v>
      </c>
      <c r="R120" s="108">
        <v>166124922.61000001</v>
      </c>
      <c r="S120" s="47">
        <f t="shared" si="81"/>
        <v>5.5670563299638791E-3</v>
      </c>
      <c r="T120" s="48">
        <f t="shared" si="87"/>
        <v>6.4452939929514601E-3</v>
      </c>
      <c r="U120" s="84">
        <f t="shared" si="88"/>
        <v>1.3381409394054313E-3</v>
      </c>
      <c r="V120" s="49">
        <f>M119/R120</f>
        <v>0.14166164396204439</v>
      </c>
      <c r="W120" s="50">
        <f t="shared" si="89"/>
        <v>1.6320021642741087</v>
      </c>
      <c r="X120" s="50">
        <f>M119/AB120</f>
        <v>0.23119210954068467</v>
      </c>
      <c r="Y120" s="44">
        <v>1.6319999999999999</v>
      </c>
      <c r="Z120" s="44">
        <v>1.6553</v>
      </c>
      <c r="AA120" s="51">
        <v>100</v>
      </c>
      <c r="AB120" s="145">
        <v>101792097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</row>
    <row r="121" spans="1:257" ht="16.5" customHeight="1">
      <c r="A121" s="217">
        <v>104</v>
      </c>
      <c r="B121" s="83" t="s">
        <v>34</v>
      </c>
      <c r="C121" s="83" t="s">
        <v>137</v>
      </c>
      <c r="D121" s="44">
        <v>259050941</v>
      </c>
      <c r="E121" s="44"/>
      <c r="F121" s="44"/>
      <c r="G121" s="44"/>
      <c r="H121" s="53"/>
      <c r="I121" s="52"/>
      <c r="J121" s="52">
        <v>259050941</v>
      </c>
      <c r="K121" s="52">
        <v>2645865</v>
      </c>
      <c r="L121" s="44">
        <v>1039360</v>
      </c>
      <c r="M121" s="193">
        <v>12627158</v>
      </c>
      <c r="N121" s="44">
        <v>609248803</v>
      </c>
      <c r="O121" s="44">
        <v>5818555</v>
      </c>
      <c r="P121" s="108">
        <v>594236499</v>
      </c>
      <c r="Q121" s="47">
        <f t="shared" si="80"/>
        <v>4.4719754008437743E-4</v>
      </c>
      <c r="R121" s="108">
        <v>603430248</v>
      </c>
      <c r="S121" s="47">
        <f t="shared" si="81"/>
        <v>2.0221711041554798E-2</v>
      </c>
      <c r="T121" s="48">
        <f t="shared" si="87"/>
        <v>1.5471531983430051E-2</v>
      </c>
      <c r="U121" s="84">
        <f t="shared" si="88"/>
        <v>1.7224194568383651E-3</v>
      </c>
      <c r="V121" s="49">
        <f>M121/R121</f>
        <v>2.0925629833524684E-2</v>
      </c>
      <c r="W121" s="50">
        <f t="shared" si="89"/>
        <v>1.1471213678526355</v>
      </c>
      <c r="X121" s="50">
        <f>M121/AB121</f>
        <v>2.4004237117810755E-2</v>
      </c>
      <c r="Y121" s="44">
        <v>1.1499999999999999</v>
      </c>
      <c r="Z121" s="44">
        <v>1.1593</v>
      </c>
      <c r="AA121" s="51">
        <v>253</v>
      </c>
      <c r="AB121" s="145">
        <v>526038713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spans="1:257" ht="16.5" customHeight="1">
      <c r="A122" s="217">
        <v>105</v>
      </c>
      <c r="B122" s="82" t="s">
        <v>73</v>
      </c>
      <c r="C122" s="116" t="s">
        <v>139</v>
      </c>
      <c r="D122" s="44">
        <v>65921691.399999999</v>
      </c>
      <c r="E122" s="44"/>
      <c r="F122" s="44">
        <v>39234000.57</v>
      </c>
      <c r="G122" s="44">
        <v>3892557.7</v>
      </c>
      <c r="H122" s="53"/>
      <c r="I122" s="52"/>
      <c r="J122" s="52">
        <v>109048249.67</v>
      </c>
      <c r="K122" s="52">
        <v>1794029.98</v>
      </c>
      <c r="L122" s="44">
        <v>281552.99</v>
      </c>
      <c r="M122" s="193">
        <v>939136.16</v>
      </c>
      <c r="N122" s="44">
        <v>118021010.93000001</v>
      </c>
      <c r="O122" s="44">
        <v>984722.63</v>
      </c>
      <c r="P122" s="108">
        <v>101601454.84</v>
      </c>
      <c r="Q122" s="47">
        <f t="shared" si="80"/>
        <v>7.6461006265860428E-5</v>
      </c>
      <c r="R122" s="108">
        <v>117036288.3</v>
      </c>
      <c r="S122" s="47">
        <f t="shared" si="81"/>
        <v>3.9220340896446082E-3</v>
      </c>
      <c r="T122" s="48">
        <f t="shared" si="87"/>
        <v>0.1519154768433825</v>
      </c>
      <c r="U122" s="84">
        <f t="shared" si="88"/>
        <v>2.4056896718929869E-3</v>
      </c>
      <c r="V122" s="49">
        <f>M122/R122</f>
        <v>8.0243159932815479E-3</v>
      </c>
      <c r="W122" s="50">
        <f t="shared" si="89"/>
        <v>1.1534102907283659</v>
      </c>
      <c r="X122" s="50">
        <f>M122/AB122</f>
        <v>9.2553286427071463E-3</v>
      </c>
      <c r="Y122" s="44">
        <v>1.1452</v>
      </c>
      <c r="Z122" s="44">
        <v>1.1593</v>
      </c>
      <c r="AA122" s="51">
        <v>88</v>
      </c>
      <c r="AB122" s="145">
        <v>101469779.87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spans="1:257" ht="16.5" customHeight="1">
      <c r="A123" s="217">
        <v>106</v>
      </c>
      <c r="B123" s="82" t="s">
        <v>64</v>
      </c>
      <c r="C123" s="83" t="s">
        <v>211</v>
      </c>
      <c r="D123" s="44">
        <v>56221369.100000001</v>
      </c>
      <c r="E123" s="44"/>
      <c r="F123" s="44"/>
      <c r="G123" s="44"/>
      <c r="H123" s="53"/>
      <c r="I123" s="52"/>
      <c r="J123" s="52">
        <v>56221369.100000001</v>
      </c>
      <c r="K123" s="52">
        <v>1468366.76</v>
      </c>
      <c r="L123" s="44">
        <v>294941.27</v>
      </c>
      <c r="M123" s="193">
        <v>1173425.49</v>
      </c>
      <c r="N123" s="44">
        <v>225877927.81999999</v>
      </c>
      <c r="O123" s="44">
        <v>621147.63</v>
      </c>
      <c r="P123" s="108">
        <v>225660538.38</v>
      </c>
      <c r="Q123" s="47">
        <f t="shared" si="80"/>
        <v>1.6982268478539256E-4</v>
      </c>
      <c r="R123" s="108">
        <v>225582986.56</v>
      </c>
      <c r="S123" s="47">
        <f t="shared" si="81"/>
        <v>7.5595712764257375E-3</v>
      </c>
      <c r="T123" s="48">
        <f t="shared" si="87"/>
        <v>-3.4366584674809129E-4</v>
      </c>
      <c r="U123" s="84">
        <f t="shared" si="88"/>
        <v>1.3074623866705137E-3</v>
      </c>
      <c r="V123" s="49">
        <f>M123/R123</f>
        <v>5.2017464078032106E-3</v>
      </c>
      <c r="W123" s="50">
        <f t="shared" si="89"/>
        <v>147.84144811658334</v>
      </c>
      <c r="X123" s="50">
        <f>M123/AB123</f>
        <v>0.76903372166486217</v>
      </c>
      <c r="Y123" s="44">
        <v>147.36000000000001</v>
      </c>
      <c r="Z123" s="44">
        <v>147.55000000000001</v>
      </c>
      <c r="AA123" s="51">
        <v>39</v>
      </c>
      <c r="AB123" s="145">
        <v>1525844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</row>
    <row r="124" spans="1:257" ht="16.5" customHeight="1">
      <c r="A124" s="217">
        <v>107</v>
      </c>
      <c r="B124" s="83" t="s">
        <v>59</v>
      </c>
      <c r="C124" s="116" t="s">
        <v>134</v>
      </c>
      <c r="D124" s="44">
        <v>83669855.329999998</v>
      </c>
      <c r="E124" s="44"/>
      <c r="F124" s="44"/>
      <c r="G124" s="44">
        <v>35143737.640000001</v>
      </c>
      <c r="H124" s="53"/>
      <c r="I124" s="52"/>
      <c r="J124" s="52">
        <v>166378352</v>
      </c>
      <c r="K124" s="52">
        <v>983670.79</v>
      </c>
      <c r="L124" s="44">
        <v>424277.53</v>
      </c>
      <c r="M124" s="193">
        <v>559393.26</v>
      </c>
      <c r="N124" s="44">
        <v>166378352</v>
      </c>
      <c r="O124" s="44">
        <v>10045360.939999999</v>
      </c>
      <c r="P124" s="108">
        <v>156332991.06</v>
      </c>
      <c r="Q124" s="47">
        <f t="shared" si="80"/>
        <v>1.1764967172786364E-4</v>
      </c>
      <c r="R124" s="108">
        <v>156332991.06</v>
      </c>
      <c r="S124" s="47">
        <f t="shared" si="81"/>
        <v>5.238916315440139E-3</v>
      </c>
      <c r="T124" s="48">
        <f t="shared" ref="T124:T125" si="91">((R124-P124)/P124)</f>
        <v>0</v>
      </c>
      <c r="U124" s="84">
        <f t="shared" ref="U124:U125" si="92">(L124/R124)</f>
        <v>2.7139347051651046E-3</v>
      </c>
      <c r="V124" s="49">
        <f t="shared" ref="V124:V125" si="93">M124/R124</f>
        <v>3.5782163202219231E-3</v>
      </c>
      <c r="W124" s="50">
        <f t="shared" ref="W124:W125" si="94">R124/AB124</f>
        <v>3.5635003229650724</v>
      </c>
      <c r="X124" s="50">
        <f t="shared" ref="X124:X125" si="95">M124/AB124</f>
        <v>1.2750975012749716E-2</v>
      </c>
      <c r="Y124" s="44">
        <v>3.4851999999999999</v>
      </c>
      <c r="Z124" s="44">
        <v>3.5510000000000002</v>
      </c>
      <c r="AA124" s="51">
        <v>11816</v>
      </c>
      <c r="AB124" s="145">
        <v>43870626.32</v>
      </c>
      <c r="AC124" s="13"/>
      <c r="AD124" s="4"/>
      <c r="AE124" s="4"/>
      <c r="AF124" s="4"/>
      <c r="AG124" s="5"/>
      <c r="AH124" s="6"/>
      <c r="AI124" s="6"/>
      <c r="AJ124" s="6"/>
      <c r="AK124" s="7"/>
      <c r="AL124" s="5"/>
      <c r="AM124" s="6"/>
      <c r="AN124" s="6"/>
      <c r="AO124" s="6"/>
      <c r="AP124" s="7"/>
      <c r="AQ124" s="5"/>
      <c r="AR124" s="6"/>
      <c r="AS124" s="6"/>
      <c r="AT124" s="6"/>
      <c r="AU124" s="7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</row>
    <row r="125" spans="1:257" ht="16.5" customHeight="1">
      <c r="A125" s="217">
        <v>108</v>
      </c>
      <c r="B125" s="82" t="s">
        <v>66</v>
      </c>
      <c r="C125" s="83" t="s">
        <v>140</v>
      </c>
      <c r="D125" s="44">
        <v>149762852.15000001</v>
      </c>
      <c r="E125" s="44"/>
      <c r="F125" s="44"/>
      <c r="G125" s="44">
        <v>130835538.63</v>
      </c>
      <c r="H125" s="53"/>
      <c r="I125" s="52"/>
      <c r="J125" s="52">
        <v>280598390.77999997</v>
      </c>
      <c r="K125" s="52">
        <v>1644342.35</v>
      </c>
      <c r="L125" s="44">
        <v>612956.36</v>
      </c>
      <c r="M125" s="193">
        <v>8633484.6999999993</v>
      </c>
      <c r="N125" s="44">
        <v>362044089.05000001</v>
      </c>
      <c r="O125" s="44">
        <v>7470052.04</v>
      </c>
      <c r="P125" s="108">
        <v>349956942.11000001</v>
      </c>
      <c r="Q125" s="47">
        <f t="shared" si="80"/>
        <v>2.6336296055595011E-4</v>
      </c>
      <c r="R125" s="108">
        <v>354574037.00999999</v>
      </c>
      <c r="S125" s="47">
        <f t="shared" si="81"/>
        <v>1.1882224570309866E-2</v>
      </c>
      <c r="T125" s="48">
        <f t="shared" si="91"/>
        <v>1.3193322790404057E-2</v>
      </c>
      <c r="U125" s="84">
        <f t="shared" si="92"/>
        <v>1.728711907867955E-3</v>
      </c>
      <c r="V125" s="49">
        <f t="shared" si="93"/>
        <v>2.434889134242085E-2</v>
      </c>
      <c r="W125" s="50">
        <f t="shared" si="94"/>
        <v>140.60488997040181</v>
      </c>
      <c r="X125" s="50">
        <f t="shared" si="95"/>
        <v>3.423573188102353</v>
      </c>
      <c r="Y125" s="44">
        <v>140.01</v>
      </c>
      <c r="Z125" s="44">
        <v>140.96</v>
      </c>
      <c r="AA125" s="51">
        <f>SUM(613,29,3)</f>
        <v>645</v>
      </c>
      <c r="AB125" s="145">
        <v>2521776</v>
      </c>
      <c r="AC125" s="13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spans="1:257" ht="16.5" customHeight="1">
      <c r="A126" s="217">
        <v>109</v>
      </c>
      <c r="B126" s="87" t="s">
        <v>115</v>
      </c>
      <c r="C126" s="87" t="s">
        <v>143</v>
      </c>
      <c r="D126" s="44">
        <v>59380900.299999997</v>
      </c>
      <c r="E126" s="44"/>
      <c r="F126" s="44">
        <v>52852408.950000003</v>
      </c>
      <c r="G126" s="44">
        <v>26355662.98</v>
      </c>
      <c r="H126" s="53"/>
      <c r="I126" s="52"/>
      <c r="J126" s="52">
        <v>138721548.11000001</v>
      </c>
      <c r="K126" s="52">
        <v>2308428.09</v>
      </c>
      <c r="L126" s="44">
        <v>744789.88</v>
      </c>
      <c r="M126" s="193">
        <v>1563638.21</v>
      </c>
      <c r="N126" s="44">
        <v>138721548.11000001</v>
      </c>
      <c r="O126" s="44">
        <v>5256882.96</v>
      </c>
      <c r="P126" s="108">
        <v>132508600.92</v>
      </c>
      <c r="Q126" s="47">
        <f t="shared" si="80"/>
        <v>9.9720431968024353E-5</v>
      </c>
      <c r="R126" s="108">
        <v>133464665.16</v>
      </c>
      <c r="S126" s="47">
        <f t="shared" si="81"/>
        <v>4.4725697826194909E-3</v>
      </c>
      <c r="T126" s="48">
        <f>((R126-P126)/P126)</f>
        <v>7.2151108181815566E-3</v>
      </c>
      <c r="U126" s="84">
        <f>(L126/R126)</f>
        <v>5.5804274420284319E-3</v>
      </c>
      <c r="V126" s="49">
        <f>M126/R126</f>
        <v>1.17157466968915E-2</v>
      </c>
      <c r="W126" s="50">
        <f>R126/AB126</f>
        <v>138.67383834510144</v>
      </c>
      <c r="X126" s="50">
        <f>M126/AB126</f>
        <v>1.6246675635368879</v>
      </c>
      <c r="Y126" s="44">
        <v>138.6738</v>
      </c>
      <c r="Z126" s="44">
        <v>144.13589999999999</v>
      </c>
      <c r="AA126" s="51">
        <v>126</v>
      </c>
      <c r="AB126" s="145">
        <v>962435.79</v>
      </c>
      <c r="AC126" s="13"/>
      <c r="AD126" s="4"/>
      <c r="AE126" s="4"/>
      <c r="AF126" s="4"/>
      <c r="AG126" s="5"/>
      <c r="AH126" s="6"/>
      <c r="AI126" s="6"/>
      <c r="AJ126" s="6"/>
      <c r="AK126" s="7"/>
      <c r="AL126" s="5"/>
      <c r="AM126" s="6"/>
      <c r="AN126" s="6"/>
      <c r="AO126" s="6"/>
      <c r="AP126" s="7"/>
      <c r="AQ126" s="5"/>
      <c r="AR126" s="6"/>
      <c r="AS126" s="6"/>
      <c r="AT126" s="6"/>
      <c r="AU126" s="7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</row>
    <row r="127" spans="1:257" ht="17.25" customHeight="1">
      <c r="A127" s="217">
        <v>110</v>
      </c>
      <c r="B127" s="83" t="s">
        <v>102</v>
      </c>
      <c r="C127" s="83" t="s">
        <v>133</v>
      </c>
      <c r="D127" s="44">
        <v>522806409.5</v>
      </c>
      <c r="E127" s="44"/>
      <c r="F127" s="44">
        <v>220268007.87</v>
      </c>
      <c r="G127" s="44">
        <v>431703484.80000001</v>
      </c>
      <c r="H127" s="45">
        <v>23699660.609999999</v>
      </c>
      <c r="I127" s="52"/>
      <c r="J127" s="52">
        <v>1198477562.78</v>
      </c>
      <c r="K127" s="52">
        <v>3487931.1</v>
      </c>
      <c r="L127" s="44">
        <v>1658739.3</v>
      </c>
      <c r="M127" s="193">
        <v>18571253.949999999</v>
      </c>
      <c r="N127" s="44">
        <v>1222531935.53</v>
      </c>
      <c r="O127" s="44">
        <v>7041750.1200000001</v>
      </c>
      <c r="P127" s="108">
        <v>1142108702.4100001</v>
      </c>
      <c r="Q127" s="47">
        <f t="shared" si="80"/>
        <v>8.5950325011374348E-4</v>
      </c>
      <c r="R127" s="108">
        <v>1160533710.5599999</v>
      </c>
      <c r="S127" s="47">
        <f t="shared" si="81"/>
        <v>3.8890952892583056E-2</v>
      </c>
      <c r="T127" s="48">
        <f t="shared" si="82"/>
        <v>1.61324470351383E-2</v>
      </c>
      <c r="U127" s="84">
        <f t="shared" si="83"/>
        <v>1.4292900627587955E-3</v>
      </c>
      <c r="V127" s="49">
        <f t="shared" si="84"/>
        <v>1.6002339079869286E-2</v>
      </c>
      <c r="W127" s="50">
        <f t="shared" si="85"/>
        <v>2.3292051957008937</v>
      </c>
      <c r="X127" s="50">
        <f t="shared" si="86"/>
        <v>3.7272731328198999E-2</v>
      </c>
      <c r="Y127" s="44">
        <v>2.2746</v>
      </c>
      <c r="Z127" s="44">
        <v>2.3203999999999998</v>
      </c>
      <c r="AA127" s="51">
        <v>2768</v>
      </c>
      <c r="AB127" s="145">
        <v>498253100.54350001</v>
      </c>
      <c r="AC127" s="39"/>
      <c r="AD127" s="4"/>
      <c r="AE127" s="4"/>
      <c r="AF127" s="4"/>
      <c r="AG127" s="5"/>
      <c r="AH127" s="6"/>
      <c r="AI127" s="6"/>
      <c r="AJ127" s="6"/>
      <c r="AK127" s="7"/>
      <c r="AL127" s="5"/>
      <c r="AM127" s="6"/>
      <c r="AN127" s="6"/>
      <c r="AO127" s="6"/>
      <c r="AP127" s="7"/>
      <c r="AQ127" s="5"/>
      <c r="AR127" s="6"/>
      <c r="AS127" s="6"/>
      <c r="AT127" s="6"/>
      <c r="AU127" s="7"/>
    </row>
    <row r="128" spans="1:257" ht="15.75" customHeight="1">
      <c r="A128" s="217">
        <v>111</v>
      </c>
      <c r="B128" s="82" t="s">
        <v>90</v>
      </c>
      <c r="C128" s="83" t="s">
        <v>195</v>
      </c>
      <c r="D128" s="44">
        <v>8794140.6300000008</v>
      </c>
      <c r="E128" s="44"/>
      <c r="F128" s="44">
        <v>5193638.96</v>
      </c>
      <c r="G128" s="44">
        <v>3744319.83</v>
      </c>
      <c r="H128" s="53"/>
      <c r="I128" s="52"/>
      <c r="J128" s="52">
        <f>SUM(D128:G128)</f>
        <v>17732099.420000002</v>
      </c>
      <c r="K128" s="52">
        <v>62039.39</v>
      </c>
      <c r="L128" s="44">
        <v>7437.41</v>
      </c>
      <c r="M128" s="193">
        <v>341874.48</v>
      </c>
      <c r="N128" s="44">
        <v>18613519.190000001</v>
      </c>
      <c r="O128" s="44">
        <v>319103.90000000002</v>
      </c>
      <c r="P128" s="108">
        <v>17712000.379999999</v>
      </c>
      <c r="Q128" s="47">
        <f t="shared" si="80"/>
        <v>1.3329310826983647E-5</v>
      </c>
      <c r="R128" s="108">
        <v>18294415.289999999</v>
      </c>
      <c r="S128" s="47">
        <f t="shared" si="81"/>
        <v>6.1306900158671171E-4</v>
      </c>
      <c r="T128" s="48">
        <f>((R128-P128)/P128)</f>
        <v>3.2882503246649104E-2</v>
      </c>
      <c r="U128" s="84">
        <f>(L128/R128)</f>
        <v>4.0653991297909367E-4</v>
      </c>
      <c r="V128" s="49">
        <f>M128/R128</f>
        <v>1.8687368499110967E-2</v>
      </c>
      <c r="W128" s="50">
        <f>R128/AB128</f>
        <v>1.1833293615554881</v>
      </c>
      <c r="X128" s="50">
        <f>M128/AB128</f>
        <v>2.211331183520512E-2</v>
      </c>
      <c r="Y128" s="44">
        <v>1.1674</v>
      </c>
      <c r="Z128" s="44">
        <v>1.1674</v>
      </c>
      <c r="AA128" s="51">
        <v>7</v>
      </c>
      <c r="AB128" s="145">
        <v>15460121.15</v>
      </c>
      <c r="AC128" s="132"/>
    </row>
    <row r="129" spans="1:257" ht="15.75" customHeight="1">
      <c r="A129" s="217">
        <v>112</v>
      </c>
      <c r="B129" s="82" t="s">
        <v>160</v>
      </c>
      <c r="C129" s="83" t="s">
        <v>196</v>
      </c>
      <c r="D129" s="44">
        <v>61281724.689999998</v>
      </c>
      <c r="E129" s="44"/>
      <c r="F129" s="44"/>
      <c r="G129" s="44">
        <v>77346109.079999998</v>
      </c>
      <c r="H129" s="53"/>
      <c r="I129" s="52"/>
      <c r="J129" s="52">
        <v>199906627.41</v>
      </c>
      <c r="K129" s="52">
        <v>4209862.83</v>
      </c>
      <c r="L129" s="44">
        <v>1019377.28</v>
      </c>
      <c r="M129" s="193">
        <v>2513225.9900000002</v>
      </c>
      <c r="N129" s="44">
        <v>207986456.36000001</v>
      </c>
      <c r="O129" s="44">
        <v>197759381.28999999</v>
      </c>
      <c r="P129" s="108">
        <v>190138076.78</v>
      </c>
      <c r="Q129" s="47">
        <f t="shared" si="80"/>
        <v>1.4308996562055755E-4</v>
      </c>
      <c r="R129" s="108">
        <v>205556607.53</v>
      </c>
      <c r="S129" s="47">
        <f t="shared" si="81"/>
        <v>6.8884619787139782E-3</v>
      </c>
      <c r="T129" s="48">
        <f>((R129-P129)/P129)</f>
        <v>8.1091231231080932E-2</v>
      </c>
      <c r="U129" s="84">
        <f>(L129/R129)</f>
        <v>4.9591073342228941E-3</v>
      </c>
      <c r="V129" s="49">
        <f>M129/R129</f>
        <v>1.2226442244787519E-2</v>
      </c>
      <c r="W129" s="50">
        <f>R129/AB129</f>
        <v>1.0478152199488009</v>
      </c>
      <c r="X129" s="50">
        <f>M129/AB129</f>
        <v>1.2811052269913345E-2</v>
      </c>
      <c r="Y129" s="44">
        <v>1.05</v>
      </c>
      <c r="Z129" s="44">
        <v>1.05</v>
      </c>
      <c r="AA129" s="51">
        <v>77</v>
      </c>
      <c r="AB129" s="145">
        <v>196176390.28</v>
      </c>
      <c r="AC129" s="132"/>
    </row>
    <row r="130" spans="1:257" ht="15.75" customHeight="1">
      <c r="A130" s="217">
        <v>113</v>
      </c>
      <c r="B130" s="82" t="s">
        <v>156</v>
      </c>
      <c r="C130" s="83" t="s">
        <v>158</v>
      </c>
      <c r="D130" s="44">
        <v>628210.75</v>
      </c>
      <c r="E130" s="44"/>
      <c r="F130" s="44"/>
      <c r="G130" s="44">
        <v>936494.72</v>
      </c>
      <c r="H130" s="53"/>
      <c r="I130" s="52"/>
      <c r="J130" s="52">
        <v>1564705.47</v>
      </c>
      <c r="K130" s="52">
        <v>0</v>
      </c>
      <c r="L130" s="52">
        <v>7836.43</v>
      </c>
      <c r="M130" s="193">
        <v>-7836.43</v>
      </c>
      <c r="N130" s="44">
        <v>4589718.4400000004</v>
      </c>
      <c r="O130" s="44">
        <v>198363.68</v>
      </c>
      <c r="P130" s="108">
        <v>4478453.0199999996</v>
      </c>
      <c r="Q130" s="47">
        <f t="shared" si="80"/>
        <v>3.3702964683215308E-6</v>
      </c>
      <c r="R130" s="108">
        <v>4391354.76</v>
      </c>
      <c r="S130" s="47">
        <f t="shared" si="81"/>
        <v>1.4715985373950995E-4</v>
      </c>
      <c r="T130" s="48">
        <f t="shared" si="82"/>
        <v>-1.9448291544208223E-2</v>
      </c>
      <c r="U130" s="84">
        <f>(L130/R130)</f>
        <v>1.7845130781462986E-3</v>
      </c>
      <c r="V130" s="49">
        <f t="shared" si="84"/>
        <v>-1.7845130781462986E-3</v>
      </c>
      <c r="W130" s="50">
        <f t="shared" si="85"/>
        <v>106.34880267364137</v>
      </c>
      <c r="X130" s="50">
        <f t="shared" si="86"/>
        <v>-0.18978082921631309</v>
      </c>
      <c r="Y130" s="44">
        <v>101.29</v>
      </c>
      <c r="Z130" s="44">
        <v>101.51</v>
      </c>
      <c r="AA130" s="51">
        <v>87</v>
      </c>
      <c r="AB130" s="145">
        <v>41292</v>
      </c>
      <c r="AC130" s="132"/>
    </row>
    <row r="131" spans="1:257" ht="15.75" customHeight="1">
      <c r="A131" s="154"/>
      <c r="B131" s="81"/>
      <c r="C131" s="106" t="s">
        <v>53</v>
      </c>
      <c r="D131" s="60">
        <f>SUM(D109:D130)</f>
        <v>15262196197.65</v>
      </c>
      <c r="E131" s="60"/>
      <c r="F131" s="60">
        <f t="shared" ref="F131:J131" si="96">SUM(F109:F130)</f>
        <v>4426064411.8700008</v>
      </c>
      <c r="G131" s="60">
        <f t="shared" si="96"/>
        <v>6793598126.4100008</v>
      </c>
      <c r="H131" s="60">
        <f t="shared" si="96"/>
        <v>86847859.210000008</v>
      </c>
      <c r="I131" s="60"/>
      <c r="J131" s="60">
        <f t="shared" si="96"/>
        <v>27615056021.589996</v>
      </c>
      <c r="K131" s="60">
        <f>SUM(K109:K130)</f>
        <v>2683703663.8600001</v>
      </c>
      <c r="L131" s="60">
        <f t="shared" ref="L131" si="97">SUM(L109:L130)</f>
        <v>81577732.749999985</v>
      </c>
      <c r="M131" s="60">
        <f t="shared" ref="M131" si="98">SUM(M109:M130)</f>
        <v>552906236.19000006</v>
      </c>
      <c r="N131" s="60">
        <f t="shared" ref="N131" si="99">SUM(N109:N130)</f>
        <v>30360758442.950001</v>
      </c>
      <c r="O131" s="60">
        <f t="shared" ref="O131" si="100">SUM(O109:O130)</f>
        <v>660746068.08999991</v>
      </c>
      <c r="P131" s="204">
        <f t="shared" ref="P131:R131" si="101">SUM(P109:P130)</f>
        <v>29538522982.550007</v>
      </c>
      <c r="Q131" s="118">
        <f t="shared" si="80"/>
        <v>2.2229457190448023E-2</v>
      </c>
      <c r="R131" s="204">
        <f t="shared" si="101"/>
        <v>29840711637.110001</v>
      </c>
      <c r="S131" s="118">
        <f>(R131/$R$149)</f>
        <v>2.1540502975571234E-2</v>
      </c>
      <c r="T131" s="62">
        <f t="shared" si="82"/>
        <v>1.0230323795760297E-2</v>
      </c>
      <c r="U131" s="76"/>
      <c r="V131" s="63"/>
      <c r="W131" s="64"/>
      <c r="X131" s="64"/>
      <c r="Y131" s="60"/>
      <c r="Z131" s="60"/>
      <c r="AA131" s="65">
        <f>SUM(AA109:AA130)</f>
        <v>81000</v>
      </c>
      <c r="AB131" s="156"/>
      <c r="AC131" s="132"/>
    </row>
    <row r="132" spans="1:257" ht="15.75" customHeight="1">
      <c r="A132" s="232" t="s">
        <v>144</v>
      </c>
      <c r="B132" s="233"/>
      <c r="C132" s="233"/>
      <c r="D132" s="70"/>
      <c r="E132" s="70"/>
      <c r="F132" s="70"/>
      <c r="G132" s="70"/>
      <c r="H132" s="70"/>
      <c r="I132" s="70"/>
      <c r="J132" s="70"/>
      <c r="K132" s="70"/>
      <c r="L132" s="70"/>
      <c r="M132" s="211"/>
      <c r="N132" s="70"/>
      <c r="O132" s="70"/>
      <c r="P132" s="70"/>
      <c r="Q132" s="48"/>
      <c r="R132" s="70"/>
      <c r="S132" s="48"/>
      <c r="T132" s="48"/>
      <c r="U132" s="48"/>
      <c r="V132" s="71"/>
      <c r="W132" s="72"/>
      <c r="X132" s="72"/>
      <c r="Y132" s="70"/>
      <c r="Z132" s="70"/>
      <c r="AA132" s="70"/>
      <c r="AB132" s="150"/>
      <c r="AC132" s="132"/>
    </row>
    <row r="133" spans="1:257" ht="15.75" customHeight="1">
      <c r="A133" s="217">
        <v>114</v>
      </c>
      <c r="B133" s="83" t="s">
        <v>75</v>
      </c>
      <c r="C133" s="82" t="s">
        <v>185</v>
      </c>
      <c r="D133" s="44">
        <v>302051299</v>
      </c>
      <c r="E133" s="44"/>
      <c r="F133" s="44">
        <v>24261080.210000001</v>
      </c>
      <c r="G133" s="44">
        <v>241820351.00999999</v>
      </c>
      <c r="H133" s="53"/>
      <c r="I133" s="44"/>
      <c r="J133" s="44">
        <v>568132730.22000003</v>
      </c>
      <c r="K133" s="44">
        <v>2378794.37</v>
      </c>
      <c r="L133" s="45">
        <v>4732670.8600000003</v>
      </c>
      <c r="M133" s="193">
        <v>8425113.4600000009</v>
      </c>
      <c r="N133" s="44">
        <v>577513328.62</v>
      </c>
      <c r="O133" s="44">
        <v>5775188.4000000004</v>
      </c>
      <c r="P133" s="54">
        <v>567930202.13999999</v>
      </c>
      <c r="Q133" s="47">
        <f>(P133/$P$136)</f>
        <v>0.21955617587537851</v>
      </c>
      <c r="R133" s="54">
        <v>571738140.22000003</v>
      </c>
      <c r="S133" s="47">
        <f>(R133/$R$136)</f>
        <v>0.21512080338611642</v>
      </c>
      <c r="T133" s="48">
        <f t="shared" ref="T133:T148" si="102">((R133-P133)/P133)</f>
        <v>6.7049402649330334E-3</v>
      </c>
      <c r="U133" s="84">
        <f t="shared" ref="U133:U148" si="103">(L133/R133)</f>
        <v>8.2776896048581058E-3</v>
      </c>
      <c r="V133" s="49">
        <f t="shared" ref="V133:V147" si="104">M133/R133</f>
        <v>1.4735965413743586E-2</v>
      </c>
      <c r="W133" s="50">
        <f t="shared" ref="W133:W147" si="105">R133/AB133</f>
        <v>15.277842659607741</v>
      </c>
      <c r="X133" s="50">
        <f t="shared" ref="X133:X147" si="106">M133/AB133</f>
        <v>0.22513376102859597</v>
      </c>
      <c r="Y133" s="44">
        <v>15.277900000000001</v>
      </c>
      <c r="Z133" s="44">
        <v>15.446999999999999</v>
      </c>
      <c r="AA133" s="51">
        <v>1535</v>
      </c>
      <c r="AB133" s="145">
        <v>37422701.159999996</v>
      </c>
      <c r="AC133" s="132"/>
    </row>
    <row r="134" spans="1:257" ht="15.75" customHeight="1">
      <c r="A134" s="217">
        <v>115</v>
      </c>
      <c r="B134" s="83" t="s">
        <v>24</v>
      </c>
      <c r="C134" s="82" t="s">
        <v>145</v>
      </c>
      <c r="D134" s="44">
        <v>1269272818</v>
      </c>
      <c r="E134" s="44"/>
      <c r="F134" s="44">
        <v>355570056.38</v>
      </c>
      <c r="G134" s="44">
        <v>12190804.380000001</v>
      </c>
      <c r="H134" s="53"/>
      <c r="I134" s="44"/>
      <c r="J134" s="44">
        <v>1637033678.76</v>
      </c>
      <c r="K134" s="44">
        <v>4624590.97</v>
      </c>
      <c r="L134" s="44">
        <v>4575547.92</v>
      </c>
      <c r="M134" s="193">
        <v>39805432.409999996</v>
      </c>
      <c r="N134" s="44">
        <v>1667155614.0699999</v>
      </c>
      <c r="O134" s="44">
        <v>19692591.140000001</v>
      </c>
      <c r="P134" s="54">
        <v>1606433488.6700001</v>
      </c>
      <c r="Q134" s="47">
        <f t="shared" ref="Q134:Q135" si="107">(P134/$P$136)</f>
        <v>0.62103123278445405</v>
      </c>
      <c r="R134" s="54">
        <v>1647463022.9300001</v>
      </c>
      <c r="S134" s="47">
        <f>(R134/$R$136)</f>
        <v>0.61987043387598739</v>
      </c>
      <c r="T134" s="48">
        <f>((R134-P134)/P134)</f>
        <v>2.5540761288516962E-2</v>
      </c>
      <c r="U134" s="84">
        <f t="shared" si="103"/>
        <v>2.7773296616165769E-3</v>
      </c>
      <c r="V134" s="49">
        <f t="shared" si="104"/>
        <v>2.4161654529402637E-2</v>
      </c>
      <c r="W134" s="50">
        <f t="shared" si="105"/>
        <v>1.3487398642594253</v>
      </c>
      <c r="X134" s="50">
        <f>M134/AB134</f>
        <v>3.2587786650269637E-2</v>
      </c>
      <c r="Y134" s="44">
        <v>1.33</v>
      </c>
      <c r="Z134" s="44">
        <v>1.36</v>
      </c>
      <c r="AA134" s="51">
        <v>9472</v>
      </c>
      <c r="AB134" s="145">
        <v>1221483153.71</v>
      </c>
      <c r="AC134" s="132"/>
    </row>
    <row r="135" spans="1:257" ht="15.75" customHeight="1">
      <c r="A135" s="217">
        <v>116</v>
      </c>
      <c r="B135" s="82" t="s">
        <v>36</v>
      </c>
      <c r="C135" s="82" t="s">
        <v>146</v>
      </c>
      <c r="D135" s="44">
        <v>169039694.5</v>
      </c>
      <c r="E135" s="44"/>
      <c r="F135" s="44"/>
      <c r="G135" s="44">
        <v>151300705.69</v>
      </c>
      <c r="H135" s="45">
        <v>1123271.8999999999</v>
      </c>
      <c r="I135" s="44"/>
      <c r="J135" s="44">
        <v>419481650.24000001</v>
      </c>
      <c r="K135" s="44">
        <v>5276309.75</v>
      </c>
      <c r="L135" s="45">
        <v>2326220.9300000002</v>
      </c>
      <c r="M135" s="193">
        <v>11031582.43</v>
      </c>
      <c r="N135" s="44">
        <v>438732840</v>
      </c>
      <c r="O135" s="44">
        <v>180168</v>
      </c>
      <c r="P135" s="54">
        <v>412355630</v>
      </c>
      <c r="Q135" s="47">
        <f t="shared" si="107"/>
        <v>0.15941259134016744</v>
      </c>
      <c r="R135" s="54">
        <v>438552672</v>
      </c>
      <c r="S135" s="47">
        <f t="shared" ref="S135" si="108">(R135/$R$136)</f>
        <v>0.16500876273789619</v>
      </c>
      <c r="T135" s="48">
        <f t="shared" si="102"/>
        <v>6.353021541139138E-2</v>
      </c>
      <c r="U135" s="84">
        <f t="shared" si="103"/>
        <v>5.3043136629207449E-3</v>
      </c>
      <c r="V135" s="49">
        <f t="shared" si="104"/>
        <v>2.5154521074266765E-2</v>
      </c>
      <c r="W135" s="50">
        <f t="shared" si="105"/>
        <v>35.217578503684031</v>
      </c>
      <c r="X135" s="50">
        <f t="shared" si="106"/>
        <v>0.88588132065556413</v>
      </c>
      <c r="Y135" s="44">
        <v>39.961500000000001</v>
      </c>
      <c r="Z135" s="44">
        <v>41.166400000000003</v>
      </c>
      <c r="AA135" s="51">
        <v>2103</v>
      </c>
      <c r="AB135" s="145">
        <v>12452664</v>
      </c>
      <c r="AC135" s="132"/>
    </row>
    <row r="136" spans="1:257" ht="15" customHeight="1">
      <c r="A136" s="143"/>
      <c r="B136" s="117"/>
      <c r="C136" s="106" t="s">
        <v>53</v>
      </c>
      <c r="D136" s="60">
        <f>SUM(D133:D135)</f>
        <v>1740363811.5</v>
      </c>
      <c r="E136" s="60"/>
      <c r="F136" s="60">
        <f t="shared" ref="F136:H136" si="109">SUM(F133:F135)</f>
        <v>379831136.58999997</v>
      </c>
      <c r="G136" s="60">
        <f t="shared" si="109"/>
        <v>405311861.07999998</v>
      </c>
      <c r="H136" s="60">
        <f t="shared" si="109"/>
        <v>1123271.8999999999</v>
      </c>
      <c r="I136" s="60"/>
      <c r="J136" s="60">
        <f t="shared" ref="J136" si="110">SUM(J133:J135)</f>
        <v>2624648059.2200003</v>
      </c>
      <c r="K136" s="60">
        <f t="shared" ref="K136" si="111">SUM(K133:K135)</f>
        <v>12279695.09</v>
      </c>
      <c r="L136" s="60">
        <f t="shared" ref="L136" si="112">SUM(L133:L135)</f>
        <v>11634439.710000001</v>
      </c>
      <c r="M136" s="60">
        <f t="shared" ref="M136:N136" si="113">SUM(M133:M135)</f>
        <v>59262128.299999997</v>
      </c>
      <c r="N136" s="60">
        <f t="shared" si="113"/>
        <v>2683401782.6900001</v>
      </c>
      <c r="O136" s="60">
        <f t="shared" ref="O136" si="114">SUM(O133:O135)</f>
        <v>25647947.539999999</v>
      </c>
      <c r="P136" s="61">
        <f>SUM(P133:P135)</f>
        <v>2586719320.8099999</v>
      </c>
      <c r="Q136" s="118">
        <f>(P136/$P$149)</f>
        <v>1.9466567925423973E-3</v>
      </c>
      <c r="R136" s="61">
        <f>SUM(R133:R135)</f>
        <v>2657753835.1500001</v>
      </c>
      <c r="S136" s="118">
        <f>(R136/$R$149)</f>
        <v>1.9184982948995415E-3</v>
      </c>
      <c r="T136" s="62">
        <f t="shared" si="102"/>
        <v>2.7461237780431684E-2</v>
      </c>
      <c r="U136" s="76"/>
      <c r="V136" s="63"/>
      <c r="W136" s="64"/>
      <c r="X136" s="64"/>
      <c r="Y136" s="60"/>
      <c r="Z136" s="60"/>
      <c r="AA136" s="65">
        <f>SUM(AA133:AA135)</f>
        <v>13110</v>
      </c>
      <c r="AB136" s="156"/>
      <c r="AC136" s="132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</row>
    <row r="137" spans="1:257" ht="15.75" customHeight="1">
      <c r="A137" s="232" t="s">
        <v>186</v>
      </c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48"/>
      <c r="U137" s="233"/>
      <c r="V137" s="233"/>
      <c r="W137" s="233"/>
      <c r="X137" s="233"/>
      <c r="Y137" s="233"/>
      <c r="Z137" s="233"/>
      <c r="AA137" s="233"/>
      <c r="AB137" s="237"/>
      <c r="AC137" s="132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pans="1:257" ht="15.75" customHeight="1">
      <c r="A138" s="238" t="s">
        <v>187</v>
      </c>
      <c r="B138" s="239"/>
      <c r="C138" s="239"/>
      <c r="D138" s="139"/>
      <c r="E138" s="139"/>
      <c r="F138" s="139"/>
      <c r="G138" s="139"/>
      <c r="H138" s="139"/>
      <c r="I138" s="139"/>
      <c r="J138" s="139"/>
      <c r="K138" s="139"/>
      <c r="L138" s="123"/>
      <c r="M138" s="212"/>
      <c r="N138" s="123"/>
      <c r="O138" s="128"/>
      <c r="P138" s="123"/>
      <c r="Q138" s="124"/>
      <c r="R138" s="123"/>
      <c r="S138" s="124"/>
      <c r="T138" s="124"/>
      <c r="U138" s="129"/>
      <c r="V138" s="126"/>
      <c r="W138" s="127"/>
      <c r="X138" s="127"/>
      <c r="Y138" s="123"/>
      <c r="Z138" s="123"/>
      <c r="AA138" s="130"/>
      <c r="AB138" s="153"/>
      <c r="AC138" s="132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spans="1:257" ht="15.75" customHeight="1">
      <c r="A139" s="217">
        <v>117</v>
      </c>
      <c r="B139" s="83" t="s">
        <v>109</v>
      </c>
      <c r="C139" s="82" t="s">
        <v>168</v>
      </c>
      <c r="D139" s="45">
        <v>1245288708.25</v>
      </c>
      <c r="E139" s="178"/>
      <c r="F139" s="45"/>
      <c r="G139" s="44">
        <v>754683543.15999997</v>
      </c>
      <c r="H139" s="44"/>
      <c r="I139" s="45"/>
      <c r="J139" s="224">
        <v>3029888713.52</v>
      </c>
      <c r="K139" s="52">
        <v>48078236.539999999</v>
      </c>
      <c r="L139" s="45">
        <v>619339.46</v>
      </c>
      <c r="M139" s="193">
        <v>67048307.670000002</v>
      </c>
      <c r="N139" s="45">
        <v>3250724635.54</v>
      </c>
      <c r="O139" s="45">
        <v>185082020.25999999</v>
      </c>
      <c r="P139" s="46">
        <v>3054118610.27</v>
      </c>
      <c r="Q139" s="47">
        <f>(P139/$P$148)</f>
        <v>0.16643651343161714</v>
      </c>
      <c r="R139" s="46">
        <v>3065642615.2800002</v>
      </c>
      <c r="S139" s="47">
        <f>(R139/$R$148)</f>
        <v>0.16550395655957428</v>
      </c>
      <c r="T139" s="48">
        <f>((R139-P139)/P139)</f>
        <v>3.7732670143355851E-3</v>
      </c>
      <c r="U139" s="84">
        <f>(L139/R139)</f>
        <v>2.0202598206100179E-4</v>
      </c>
      <c r="V139" s="49">
        <f>M139/R139</f>
        <v>2.1870881927271275E-2</v>
      </c>
      <c r="W139" s="50">
        <f>R139/AB139</f>
        <v>1.5534049870237787</v>
      </c>
      <c r="X139" s="50">
        <f>M139/AB139</f>
        <v>3.3974337056431429E-2</v>
      </c>
      <c r="Y139" s="52">
        <v>1.54</v>
      </c>
      <c r="Z139" s="52">
        <v>1.56</v>
      </c>
      <c r="AA139" s="55">
        <v>15081</v>
      </c>
      <c r="AB139" s="152">
        <v>1973498631</v>
      </c>
      <c r="AC139" s="132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</row>
    <row r="140" spans="1:257" ht="15.75" customHeight="1">
      <c r="A140" s="217">
        <v>118</v>
      </c>
      <c r="B140" s="83" t="s">
        <v>24</v>
      </c>
      <c r="C140" s="83" t="s">
        <v>147</v>
      </c>
      <c r="D140" s="78">
        <v>199161131.5</v>
      </c>
      <c r="E140" s="78"/>
      <c r="F140" s="78">
        <v>54681809.869999997</v>
      </c>
      <c r="G140" s="78">
        <v>24990414.359999999</v>
      </c>
      <c r="H140" s="78"/>
      <c r="I140" s="78"/>
      <c r="J140" s="78">
        <v>278833355.73000002</v>
      </c>
      <c r="K140" s="78">
        <v>681394.04</v>
      </c>
      <c r="L140" s="78">
        <v>643638.09</v>
      </c>
      <c r="M140" s="193">
        <v>3383340.06</v>
      </c>
      <c r="N140" s="44">
        <v>289383928.04000002</v>
      </c>
      <c r="O140" s="44">
        <v>5150455.91</v>
      </c>
      <c r="P140" s="54">
        <v>275947937.69999999</v>
      </c>
      <c r="Q140" s="47">
        <f>(P140/$P$148)</f>
        <v>1.5037992462045487E-2</v>
      </c>
      <c r="R140" s="54">
        <v>284233472.13</v>
      </c>
      <c r="S140" s="47">
        <f>(R140/$R$148)</f>
        <v>1.5344829821229481E-2</v>
      </c>
      <c r="T140" s="48">
        <f t="shared" si="102"/>
        <v>3.0025716079124035E-2</v>
      </c>
      <c r="U140" s="84">
        <f t="shared" si="103"/>
        <v>2.2644697163099036E-3</v>
      </c>
      <c r="V140" s="49">
        <f t="shared" si="104"/>
        <v>1.1903383632637609E-2</v>
      </c>
      <c r="W140" s="50">
        <f t="shared" si="105"/>
        <v>247.80639756410409</v>
      </c>
      <c r="X140" s="50">
        <f t="shared" si="106"/>
        <v>2.949734616827445</v>
      </c>
      <c r="Y140" s="44">
        <v>245.51</v>
      </c>
      <c r="Z140" s="44">
        <v>249.07</v>
      </c>
      <c r="AA140" s="51">
        <v>461</v>
      </c>
      <c r="AB140" s="145">
        <v>1146998.1200000001</v>
      </c>
      <c r="AC140" s="132"/>
    </row>
    <row r="141" spans="1:257" ht="4.5" customHeight="1">
      <c r="A141" s="217"/>
      <c r="B141" s="83"/>
      <c r="C141" s="83"/>
      <c r="D141" s="78"/>
      <c r="E141" s="78"/>
      <c r="F141" s="78"/>
      <c r="G141" s="78"/>
      <c r="H141" s="78"/>
      <c r="I141" s="78"/>
      <c r="J141" s="78"/>
      <c r="K141" s="78"/>
      <c r="L141" s="78"/>
      <c r="M141" s="193"/>
      <c r="N141" s="44"/>
      <c r="O141" s="44"/>
      <c r="P141" s="54"/>
      <c r="Q141" s="47"/>
      <c r="R141" s="54"/>
      <c r="S141" s="47"/>
      <c r="T141" s="48"/>
      <c r="U141" s="84"/>
      <c r="V141" s="49"/>
      <c r="W141" s="50"/>
      <c r="X141" s="50"/>
      <c r="Y141" s="44"/>
      <c r="Z141" s="44"/>
      <c r="AA141" s="51"/>
      <c r="AB141" s="145"/>
      <c r="AC141" s="132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spans="1:257" ht="15.75" customHeight="1">
      <c r="A142" s="238" t="s">
        <v>188</v>
      </c>
      <c r="B142" s="239"/>
      <c r="C142" s="239"/>
      <c r="D142" s="139"/>
      <c r="E142" s="139"/>
      <c r="F142" s="139"/>
      <c r="G142" s="139"/>
      <c r="H142" s="139"/>
      <c r="I142" s="139"/>
      <c r="J142" s="139"/>
      <c r="K142" s="139"/>
      <c r="L142" s="123"/>
      <c r="M142" s="212"/>
      <c r="N142" s="123"/>
      <c r="O142" s="123"/>
      <c r="P142" s="123"/>
      <c r="Q142" s="124"/>
      <c r="R142" s="123"/>
      <c r="S142" s="124"/>
      <c r="T142" s="124"/>
      <c r="U142" s="129"/>
      <c r="V142" s="126"/>
      <c r="W142" s="127"/>
      <c r="X142" s="127"/>
      <c r="Y142" s="123"/>
      <c r="Z142" s="123"/>
      <c r="AA142" s="130"/>
      <c r="AB142" s="153"/>
      <c r="AC142" s="132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spans="1:257" ht="15.75" customHeight="1">
      <c r="A143" s="217">
        <v>119</v>
      </c>
      <c r="B143" s="82" t="s">
        <v>24</v>
      </c>
      <c r="C143" s="82" t="s">
        <v>118</v>
      </c>
      <c r="D143" s="101"/>
      <c r="E143" s="101"/>
      <c r="F143" s="101">
        <v>130236712.33</v>
      </c>
      <c r="G143" s="101">
        <v>7123349178.6099997</v>
      </c>
      <c r="H143" s="101"/>
      <c r="I143" s="78"/>
      <c r="J143" s="78">
        <v>7253585890.9399996</v>
      </c>
      <c r="K143" s="78">
        <v>31172018.609999999</v>
      </c>
      <c r="L143" s="78">
        <v>12315176.07</v>
      </c>
      <c r="M143" s="193">
        <v>18856842.539999999</v>
      </c>
      <c r="N143" s="44">
        <v>7309727336.2200003</v>
      </c>
      <c r="O143" s="44">
        <v>61114332.619999997</v>
      </c>
      <c r="P143" s="54">
        <v>7280683043.25</v>
      </c>
      <c r="Q143" s="47">
        <f>(P143/$P$148)</f>
        <v>0.39676635250655795</v>
      </c>
      <c r="R143" s="54">
        <v>7248613003.6000004</v>
      </c>
      <c r="S143" s="47">
        <f>(R143/$R$148)</f>
        <v>0.39132876274797201</v>
      </c>
      <c r="T143" s="48">
        <f>((R143-P143)/P143)</f>
        <v>-4.4048119468312937E-3</v>
      </c>
      <c r="U143" s="84">
        <f>(L143/R143)</f>
        <v>1.6989700048662699E-3</v>
      </c>
      <c r="V143" s="49">
        <f>M143/R143</f>
        <v>2.6014414799955259E-3</v>
      </c>
      <c r="W143" s="50">
        <f>R143/AB143</f>
        <v>117.57152110265091</v>
      </c>
      <c r="X143" s="50">
        <f>M143/AB143</f>
        <v>0.30585543186260539</v>
      </c>
      <c r="Y143" s="44">
        <v>117.57</v>
      </c>
      <c r="Z143" s="44">
        <v>117.57</v>
      </c>
      <c r="AA143" s="51">
        <v>959</v>
      </c>
      <c r="AB143" s="145">
        <v>61652795.979999997</v>
      </c>
      <c r="AC143" s="132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31"/>
      <c r="DT143" s="31"/>
      <c r="DU143" s="31"/>
      <c r="DV143" s="31"/>
      <c r="DW143" s="31"/>
      <c r="DX143" s="31"/>
      <c r="DY143" s="31"/>
      <c r="DZ143" s="31"/>
      <c r="EA143" s="31"/>
      <c r="EB143" s="31"/>
      <c r="EC143" s="31"/>
      <c r="ED143" s="31"/>
      <c r="EE143" s="31"/>
      <c r="EF143" s="31"/>
      <c r="EG143" s="31"/>
      <c r="EH143" s="31"/>
      <c r="EI143" s="31"/>
      <c r="EJ143" s="31"/>
      <c r="EK143" s="31"/>
      <c r="EL143" s="31"/>
      <c r="EM143" s="31"/>
      <c r="EN143" s="31"/>
      <c r="EO143" s="31"/>
      <c r="EP143" s="31"/>
      <c r="EQ143" s="31"/>
      <c r="ER143" s="31"/>
      <c r="ES143" s="31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31"/>
    </row>
    <row r="144" spans="1:257" ht="15.75" customHeight="1">
      <c r="A144" s="217">
        <v>120</v>
      </c>
      <c r="B144" s="83" t="s">
        <v>56</v>
      </c>
      <c r="C144" s="83" t="s">
        <v>189</v>
      </c>
      <c r="D144" s="101"/>
      <c r="E144" s="101"/>
      <c r="F144" s="101">
        <v>525954416.44</v>
      </c>
      <c r="G144" s="101">
        <v>4778519182.3199997</v>
      </c>
      <c r="H144" s="101"/>
      <c r="I144" s="78"/>
      <c r="J144" s="78">
        <v>5299824366.9200001</v>
      </c>
      <c r="K144" s="78">
        <v>157363314.75999999</v>
      </c>
      <c r="L144" s="78">
        <v>8239176.0599999996</v>
      </c>
      <c r="M144" s="193">
        <v>149124138.69999999</v>
      </c>
      <c r="N144" s="44">
        <v>5300444386.8199997</v>
      </c>
      <c r="O144" s="44">
        <v>620019.9</v>
      </c>
      <c r="P144" s="54">
        <v>5106539920.1800003</v>
      </c>
      <c r="Q144" s="47">
        <f t="shared" ref="Q144:Q146" si="115">(P144/$P$148)</f>
        <v>0.27828477163792625</v>
      </c>
      <c r="R144" s="54">
        <v>5299824366.9200001</v>
      </c>
      <c r="S144" s="47">
        <f t="shared" ref="S144:S146" si="116">(R144/$R$148)</f>
        <v>0.28612007721454097</v>
      </c>
      <c r="T144" s="48">
        <f>((R144-P144)/P144)</f>
        <v>3.7850374179232246E-2</v>
      </c>
      <c r="U144" s="84">
        <f t="shared" si="103"/>
        <v>1.5546130380143536E-3</v>
      </c>
      <c r="V144" s="49">
        <f>M144/R144</f>
        <v>2.8137562374857279E-2</v>
      </c>
      <c r="W144" s="50">
        <f>R144/AB144</f>
        <v>113.92201944691821</v>
      </c>
      <c r="X144" s="50">
        <f>M144/AB144</f>
        <v>3.2054879280573649</v>
      </c>
      <c r="Y144" s="44">
        <v>117.3</v>
      </c>
      <c r="Z144" s="44">
        <v>117.3</v>
      </c>
      <c r="AA144" s="51">
        <v>380</v>
      </c>
      <c r="AB144" s="145">
        <v>46521510</v>
      </c>
      <c r="AC144" s="132"/>
    </row>
    <row r="145" spans="1:257" ht="15.75" customHeight="1">
      <c r="A145" s="217">
        <v>121</v>
      </c>
      <c r="B145" s="83" t="s">
        <v>34</v>
      </c>
      <c r="C145" s="83" t="s">
        <v>159</v>
      </c>
      <c r="D145" s="101"/>
      <c r="E145" s="101"/>
      <c r="F145" s="101"/>
      <c r="G145" s="101">
        <v>1449840740</v>
      </c>
      <c r="H145" s="101"/>
      <c r="I145" s="78"/>
      <c r="J145" s="78">
        <v>1449840740</v>
      </c>
      <c r="K145" s="78">
        <v>15646883</v>
      </c>
      <c r="L145" s="78">
        <v>2929951</v>
      </c>
      <c r="M145" s="193">
        <v>12716931</v>
      </c>
      <c r="N145" s="44">
        <v>1847844395</v>
      </c>
      <c r="O145" s="44">
        <v>12190820.43</v>
      </c>
      <c r="P145" s="54">
        <v>1854688846</v>
      </c>
      <c r="Q145" s="47">
        <f t="shared" si="115"/>
        <v>0.10107267739724747</v>
      </c>
      <c r="R145" s="54">
        <v>1835653574</v>
      </c>
      <c r="S145" s="47">
        <f t="shared" si="116"/>
        <v>9.9100895797658073E-2</v>
      </c>
      <c r="T145" s="48">
        <f>((R145-P145)/P145)</f>
        <v>-1.026332370578132E-2</v>
      </c>
      <c r="U145" s="84">
        <f t="shared" si="103"/>
        <v>1.5961350450321952E-3</v>
      </c>
      <c r="V145" s="49">
        <f>M145/R145</f>
        <v>6.927740168472551E-3</v>
      </c>
      <c r="W145" s="50">
        <f>R145/AB145</f>
        <v>1.0903810847592912</v>
      </c>
      <c r="X145" s="50">
        <f>M145/AB145</f>
        <v>7.5538768398296149E-3</v>
      </c>
      <c r="Y145" s="44">
        <v>1.0900000000000001</v>
      </c>
      <c r="Z145" s="44">
        <v>1.0900000000000001</v>
      </c>
      <c r="AA145" s="51">
        <v>41</v>
      </c>
      <c r="AB145" s="145">
        <v>1683497265</v>
      </c>
      <c r="AC145" s="132"/>
    </row>
    <row r="146" spans="1:257" ht="15.75" customHeight="1">
      <c r="A146" s="217">
        <v>122</v>
      </c>
      <c r="B146" s="83" t="s">
        <v>190</v>
      </c>
      <c r="C146" s="83" t="s">
        <v>155</v>
      </c>
      <c r="D146" s="101"/>
      <c r="E146" s="101"/>
      <c r="F146" s="101"/>
      <c r="G146" s="101">
        <v>231663041.5</v>
      </c>
      <c r="H146" s="101"/>
      <c r="I146" s="78">
        <f>47214952.99+5882357.73+670048.5618</f>
        <v>53767359.281800002</v>
      </c>
      <c r="J146" s="78">
        <v>285430400.77999997</v>
      </c>
      <c r="K146" s="78">
        <v>3331268.86</v>
      </c>
      <c r="L146" s="78">
        <v>444758.61</v>
      </c>
      <c r="M146" s="193">
        <v>2886510.24</v>
      </c>
      <c r="N146" s="44">
        <v>286605108.44999999</v>
      </c>
      <c r="O146" s="44">
        <v>4631306.0999999996</v>
      </c>
      <c r="P146" s="54">
        <v>277975288.66000003</v>
      </c>
      <c r="Q146" s="47">
        <f t="shared" si="115"/>
        <v>1.5148474492491192E-2</v>
      </c>
      <c r="R146" s="54">
        <v>281973802.35000002</v>
      </c>
      <c r="S146" s="47">
        <f t="shared" si="116"/>
        <v>1.5222837685797888E-2</v>
      </c>
      <c r="T146" s="48">
        <f>((R146-P146)/P146)</f>
        <v>1.4384421396862728E-2</v>
      </c>
      <c r="U146" s="84">
        <f t="shared" si="103"/>
        <v>1.5773047222590675E-3</v>
      </c>
      <c r="V146" s="49">
        <f t="shared" si="104"/>
        <v>1.0236802908438702E-2</v>
      </c>
      <c r="W146" s="50">
        <f t="shared" si="105"/>
        <v>102.34285368185402</v>
      </c>
      <c r="X146" s="50">
        <f t="shared" si="106"/>
        <v>1.04766362222832</v>
      </c>
      <c r="Y146" s="44">
        <v>102.34</v>
      </c>
      <c r="Z146" s="44">
        <v>102.34</v>
      </c>
      <c r="AA146" s="51">
        <f>SUM(197,4,3)</f>
        <v>204</v>
      </c>
      <c r="AB146" s="145">
        <v>2755188</v>
      </c>
      <c r="AC146" s="132"/>
    </row>
    <row r="147" spans="1:257" ht="16.5" customHeight="1">
      <c r="A147" s="217">
        <v>123</v>
      </c>
      <c r="B147" s="83" t="s">
        <v>207</v>
      </c>
      <c r="C147" s="82" t="s">
        <v>204</v>
      </c>
      <c r="D147" s="44"/>
      <c r="E147" s="44"/>
      <c r="F147" s="44"/>
      <c r="G147" s="44">
        <v>248422682</v>
      </c>
      <c r="H147" s="44"/>
      <c r="I147" s="44"/>
      <c r="J147" s="44">
        <v>248422682</v>
      </c>
      <c r="K147" s="44">
        <v>0</v>
      </c>
      <c r="L147" s="44">
        <v>-616954</v>
      </c>
      <c r="M147" s="193">
        <v>-616954</v>
      </c>
      <c r="N147" s="44">
        <v>500697958</v>
      </c>
      <c r="O147" s="44">
        <v>6438716</v>
      </c>
      <c r="P147" s="54">
        <v>500097958</v>
      </c>
      <c r="Q147" s="47">
        <f>(P147/$P$80)</f>
        <v>1.2979445420856031E-3</v>
      </c>
      <c r="R147" s="54">
        <v>507136674</v>
      </c>
      <c r="S147" s="47">
        <f>(R147/$R$80)</f>
        <v>1.2508527276015485E-3</v>
      </c>
      <c r="T147" s="48">
        <f t="shared" ref="T147" si="117">((R147-P147)/P147)</f>
        <v>1.4074674546061634E-2</v>
      </c>
      <c r="U147" s="84">
        <f t="shared" si="103"/>
        <v>-1.2165438463241569E-3</v>
      </c>
      <c r="V147" s="49">
        <f t="shared" si="104"/>
        <v>-1.2165438463241569E-3</v>
      </c>
      <c r="W147" s="50">
        <f t="shared" si="105"/>
        <v>1012.8816486148032</v>
      </c>
      <c r="X147" s="50">
        <f t="shared" si="106"/>
        <v>-1.2322149366770059</v>
      </c>
      <c r="Y147" s="101">
        <v>1012.88</v>
      </c>
      <c r="Z147" s="101">
        <v>1012.88</v>
      </c>
      <c r="AA147" s="189">
        <v>17</v>
      </c>
      <c r="AB147" s="190">
        <v>500687</v>
      </c>
      <c r="AC147" s="13"/>
      <c r="AD147" s="4"/>
      <c r="AE147" s="4"/>
      <c r="AF147" s="4"/>
      <c r="AG147" s="5"/>
      <c r="AH147" s="6"/>
      <c r="AI147" s="6"/>
      <c r="AJ147" s="6"/>
      <c r="AK147" s="7"/>
      <c r="AL147" s="5"/>
      <c r="AM147" s="6"/>
      <c r="AN147" s="6"/>
      <c r="AO147" s="6"/>
      <c r="AP147" s="7"/>
      <c r="AQ147" s="5"/>
      <c r="AR147" s="6"/>
      <c r="AS147" s="6"/>
      <c r="AT147" s="6"/>
      <c r="AU147" s="7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  <c r="DM147" s="31"/>
      <c r="DN147" s="31"/>
      <c r="DO147" s="31"/>
      <c r="DP147" s="31"/>
      <c r="DQ147" s="31"/>
      <c r="DR147" s="31"/>
      <c r="DS147" s="31"/>
      <c r="DT147" s="31"/>
      <c r="DU147" s="31"/>
      <c r="DV147" s="31"/>
      <c r="DW147" s="31"/>
      <c r="DX147" s="31"/>
      <c r="DY147" s="31"/>
      <c r="DZ147" s="31"/>
      <c r="EA147" s="31"/>
      <c r="EB147" s="31"/>
      <c r="EC147" s="31"/>
      <c r="ED147" s="31"/>
      <c r="EE147" s="31"/>
      <c r="EF147" s="31"/>
      <c r="EG147" s="31"/>
      <c r="EH147" s="31"/>
      <c r="EI147" s="31"/>
      <c r="EJ147" s="31"/>
      <c r="EK147" s="31"/>
      <c r="EL147" s="31"/>
      <c r="EM147" s="31"/>
      <c r="EN147" s="31"/>
      <c r="EO147" s="31"/>
      <c r="EP147" s="31"/>
      <c r="EQ147" s="31"/>
      <c r="ER147" s="31"/>
      <c r="ES147" s="31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31"/>
    </row>
    <row r="148" spans="1:257" ht="15.75" customHeight="1">
      <c r="A148" s="157"/>
      <c r="B148" s="78"/>
      <c r="C148" s="106" t="s">
        <v>53</v>
      </c>
      <c r="D148" s="60">
        <f>SUM(D139:D147)</f>
        <v>1444449839.75</v>
      </c>
      <c r="E148" s="60"/>
      <c r="F148" s="60">
        <f t="shared" ref="F148" si="118">SUM(F139:F147)</f>
        <v>710872938.63999999</v>
      </c>
      <c r="G148" s="60">
        <f>SUM(G139:G147)</f>
        <v>14611468781.949999</v>
      </c>
      <c r="H148" s="60"/>
      <c r="I148" s="60">
        <f t="shared" ref="I148:L148" si="119">SUM(I139:I147)</f>
        <v>53767359.281800002</v>
      </c>
      <c r="J148" s="60">
        <f t="shared" si="119"/>
        <v>17845826149.889999</v>
      </c>
      <c r="K148" s="60">
        <f t="shared" si="119"/>
        <v>256273115.81</v>
      </c>
      <c r="L148" s="60">
        <f t="shared" si="119"/>
        <v>24575085.289999999</v>
      </c>
      <c r="M148" s="60">
        <f t="shared" ref="M148" si="120">SUM(M139:M147)</f>
        <v>253399116.21000001</v>
      </c>
      <c r="N148" s="60">
        <f t="shared" ref="N148" si="121">SUM(N139:N147)</f>
        <v>18785427748.07</v>
      </c>
      <c r="O148" s="60">
        <f t="shared" ref="O148" si="122">SUM(O139:O147)</f>
        <v>275227671.22000003</v>
      </c>
      <c r="P148" s="61">
        <f>SUM(P139:P147)</f>
        <v>18350051604.060001</v>
      </c>
      <c r="Q148" s="118">
        <f>(P148/$P$149)</f>
        <v>1.3809481496957016E-2</v>
      </c>
      <c r="R148" s="61">
        <f>SUM(R139:R147)</f>
        <v>18523077508.279999</v>
      </c>
      <c r="S148" s="118">
        <f>(R148/$R$149)</f>
        <v>1.3370874362381116E-2</v>
      </c>
      <c r="T148" s="62">
        <f t="shared" si="102"/>
        <v>9.429178072813427E-3</v>
      </c>
      <c r="U148" s="84">
        <f t="shared" si="103"/>
        <v>1.3267279845379199E-3</v>
      </c>
      <c r="V148" s="63"/>
      <c r="W148" s="64"/>
      <c r="X148" s="64"/>
      <c r="Y148" s="60"/>
      <c r="Z148" s="60"/>
      <c r="AA148" s="65">
        <f>SUM(AA139:AA147)</f>
        <v>17143</v>
      </c>
      <c r="AB148" s="147"/>
      <c r="AC148" s="132"/>
    </row>
    <row r="149" spans="1:257" ht="15.75" customHeight="1" thickBot="1">
      <c r="A149" s="158"/>
      <c r="B149" s="159"/>
      <c r="C149" s="160" t="s">
        <v>148</v>
      </c>
      <c r="D149" s="161">
        <f>SUM(D148,D136,D131,D107,D101,D80,D51,D20)</f>
        <v>30779827169.619003</v>
      </c>
      <c r="E149" s="161"/>
      <c r="F149" s="161">
        <f t="shared" ref="F149:O149" si="123">SUM(F148,F136,F131,F107,F101,F80,F51,F20)</f>
        <v>624162021323.88171</v>
      </c>
      <c r="G149" s="161">
        <f t="shared" si="123"/>
        <v>514136190066.99695</v>
      </c>
      <c r="H149" s="161">
        <f t="shared" si="123"/>
        <v>37154478783.910004</v>
      </c>
      <c r="I149" s="161">
        <f t="shared" si="123"/>
        <v>101556164.01179999</v>
      </c>
      <c r="J149" s="161">
        <f t="shared" si="123"/>
        <v>1186140506965.8567</v>
      </c>
      <c r="K149" s="161">
        <f t="shared" si="123"/>
        <v>15107622067.346102</v>
      </c>
      <c r="L149" s="161">
        <f t="shared" si="123"/>
        <v>2219464433.0869999</v>
      </c>
      <c r="M149" s="161">
        <f t="shared" si="123"/>
        <v>9393460969.107399</v>
      </c>
      <c r="N149" s="161">
        <f t="shared" si="123"/>
        <v>1396072533647.4758</v>
      </c>
      <c r="O149" s="161">
        <f t="shared" si="123"/>
        <v>13205558422.579002</v>
      </c>
      <c r="P149" s="161">
        <f>SUM(P20,P51,P80,P101,P107,P131,P136,P148)</f>
        <v>1328800911757.876</v>
      </c>
      <c r="Q149" s="162"/>
      <c r="R149" s="161">
        <f>SUM(R20,R51,R80,R101,R107,R131,R136,R148)</f>
        <v>1385330308718.9705</v>
      </c>
      <c r="S149" s="162"/>
      <c r="T149" s="163"/>
      <c r="U149" s="164"/>
      <c r="V149" s="165"/>
      <c r="W149" s="166"/>
      <c r="X149" s="166"/>
      <c r="Y149" s="161"/>
      <c r="Z149" s="161"/>
      <c r="AA149" s="168">
        <f>SUM(AA20,AA51,AA80,AA101,AA107,AA131,AA136,AA148)</f>
        <v>882939</v>
      </c>
      <c r="AB149" s="167"/>
      <c r="AC149" s="132"/>
    </row>
    <row r="150" spans="1:257" ht="6" customHeight="1">
      <c r="A150" s="185"/>
      <c r="B150" s="185"/>
      <c r="C150" s="185"/>
      <c r="D150" s="6"/>
      <c r="E150" s="6"/>
      <c r="F150" s="6"/>
      <c r="G150" s="6"/>
      <c r="H150" s="6"/>
      <c r="I150" s="186"/>
      <c r="J150" s="6"/>
      <c r="K150" s="6"/>
      <c r="L150" s="6"/>
      <c r="M150" s="21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57" ht="15.75" customHeight="1">
      <c r="A151" s="179" t="s">
        <v>165</v>
      </c>
      <c r="B151" s="180" t="s">
        <v>166</v>
      </c>
      <c r="C151" s="181"/>
      <c r="D151" s="6"/>
      <c r="E151" s="6"/>
      <c r="F151" s="6"/>
      <c r="G151" s="6"/>
      <c r="H151" s="182"/>
      <c r="I151" s="6"/>
      <c r="J151" s="6"/>
      <c r="K151" s="6"/>
      <c r="L151" s="6"/>
      <c r="M151" s="215"/>
      <c r="N151" s="6"/>
      <c r="O151" s="6"/>
      <c r="P151" s="183"/>
      <c r="Q151" s="6"/>
      <c r="R151" s="183"/>
      <c r="S151" s="6"/>
      <c r="T151" s="6"/>
      <c r="U151" s="6"/>
      <c r="V151" s="6"/>
      <c r="W151" s="6"/>
      <c r="X151" s="6"/>
      <c r="Y151" s="6"/>
      <c r="Z151" s="6"/>
      <c r="AA151" s="6"/>
      <c r="AB151" s="184"/>
    </row>
    <row r="154" spans="1:257" ht="15.75" customHeight="1">
      <c r="E154" s="102"/>
    </row>
  </sheetData>
  <mergeCells count="24">
    <mergeCell ref="A142:C142"/>
    <mergeCell ref="R137:S137"/>
    <mergeCell ref="U137:V137"/>
    <mergeCell ref="W137:X137"/>
    <mergeCell ref="Y137:Z137"/>
    <mergeCell ref="AA137:AB137"/>
    <mergeCell ref="J137:K137"/>
    <mergeCell ref="A138:C138"/>
    <mergeCell ref="L137:M137"/>
    <mergeCell ref="N137:O137"/>
    <mergeCell ref="P137:Q137"/>
    <mergeCell ref="A137:C137"/>
    <mergeCell ref="D137:F137"/>
    <mergeCell ref="G137:I137"/>
    <mergeCell ref="A1:AB1"/>
    <mergeCell ref="A3:C3"/>
    <mergeCell ref="A21:C21"/>
    <mergeCell ref="A52:C52"/>
    <mergeCell ref="A81:C81"/>
    <mergeCell ref="A82:C82"/>
    <mergeCell ref="A93:C93"/>
    <mergeCell ref="A102:C102"/>
    <mergeCell ref="A108:C108"/>
    <mergeCell ref="A132:C132"/>
  </mergeCells>
  <phoneticPr fontId="16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60" max="16383" man="1"/>
    <brk id="95" max="256" man="1"/>
    <brk id="1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N10" sqref="N10"/>
    </sheetView>
  </sheetViews>
  <sheetFormatPr defaultColWidth="10" defaultRowHeight="12.95" customHeight="1"/>
  <cols>
    <col min="1" max="256" width="10" style="26" customWidth="1"/>
  </cols>
  <sheetData>
    <row r="1" spans="1:12" ht="12.95" customHeight="1">
      <c r="A1" s="27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8"/>
    </row>
    <row r="3" spans="1:12" ht="12.9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8"/>
    </row>
    <row r="4" spans="1:12" ht="12.9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8"/>
    </row>
    <row r="5" spans="1:12" ht="12.9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8"/>
    </row>
    <row r="6" spans="1:12" ht="12.9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8"/>
    </row>
    <row r="7" spans="1:12" ht="12.9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8"/>
    </row>
    <row r="8" spans="1:12" ht="12.9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8"/>
    </row>
    <row r="9" spans="1:12" ht="12.9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8"/>
    </row>
    <row r="10" spans="1:12" ht="12.9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8"/>
    </row>
    <row r="11" spans="1:12" ht="12.9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8"/>
    </row>
    <row r="12" spans="1:12" ht="12.9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8"/>
    </row>
    <row r="13" spans="1:12" ht="12.9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8"/>
    </row>
    <row r="14" spans="1:12" ht="12.9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8"/>
    </row>
    <row r="15" spans="1:12" ht="12.9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8"/>
    </row>
    <row r="16" spans="1:12" ht="12.9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8"/>
    </row>
    <row r="17" spans="1:12" ht="12.9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8"/>
    </row>
    <row r="18" spans="1:12" ht="12.9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8"/>
    </row>
    <row r="19" spans="1:12" ht="12.9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8"/>
    </row>
    <row r="20" spans="1:12" ht="12.9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8"/>
    </row>
    <row r="21" spans="1:12" ht="12.9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8"/>
    </row>
    <row r="22" spans="1:12" ht="12.9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8"/>
    </row>
    <row r="23" spans="1:12" ht="12.9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8"/>
    </row>
    <row r="24" spans="1:12" ht="12.9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/>
  <cols>
    <col min="1" max="256" width="10" style="29" customWidth="1"/>
  </cols>
  <sheetData>
    <row r="1" spans="1:14" ht="12.95" customHeight="1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T14" sqref="T14"/>
    </sheetView>
  </sheetViews>
  <sheetFormatPr defaultColWidth="8.85546875" defaultRowHeight="15" customHeight="1"/>
  <cols>
    <col min="1" max="3" width="8.85546875" style="30" customWidth="1"/>
    <col min="4" max="4" width="10.42578125" style="30" customWidth="1"/>
    <col min="5" max="256" width="8.85546875" style="30" customWidth="1"/>
  </cols>
  <sheetData>
    <row r="1" spans="1:14" ht="15" customHeight="1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8"/>
    </row>
    <row r="3" spans="1:14" ht="1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8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8"/>
    </row>
    <row r="5" spans="1:14" ht="1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8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8"/>
    </row>
    <row r="7" spans="1:14" ht="1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8"/>
    </row>
    <row r="8" spans="1:14" ht="1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8"/>
    </row>
    <row r="9" spans="1:14" ht="1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8"/>
    </row>
    <row r="10" spans="1:14" ht="15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8"/>
    </row>
    <row r="11" spans="1:14" ht="1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8"/>
    </row>
    <row r="12" spans="1:14" ht="1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8"/>
    </row>
    <row r="13" spans="1:14" ht="1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8"/>
    </row>
    <row r="14" spans="1:14" ht="1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8"/>
    </row>
    <row r="15" spans="1:14" ht="1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8"/>
    </row>
    <row r="16" spans="1:14" ht="1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8"/>
    </row>
    <row r="17" spans="1:14" ht="1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8"/>
    </row>
    <row r="18" spans="1:14" ht="1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8"/>
    </row>
    <row r="19" spans="1:14" ht="1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8"/>
    </row>
    <row r="20" spans="1:14" ht="1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8"/>
    </row>
    <row r="21" spans="1:14" ht="1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8"/>
    </row>
    <row r="22" spans="1:14" ht="15" customHeight="1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FEBRUARY 2022</vt:lpstr>
      <vt:lpstr>Market Share</vt:lpstr>
      <vt:lpstr>Unit Holders</vt:lpstr>
      <vt:lpstr>NAV Comparison Jan &amp; Feb '22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2022-04-01T12:16:24Z</dcterms:modified>
</cp:coreProperties>
</file>