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1\"/>
    </mc:Choice>
  </mc:AlternateContent>
  <bookViews>
    <workbookView xWindow="0" yWindow="465" windowWidth="28800" windowHeight="16395"/>
  </bookViews>
  <sheets>
    <sheet name="SEPTEMBER 2021" sheetId="1" r:id="rId1"/>
    <sheet name="Market Share" sheetId="2" r:id="rId2"/>
    <sheet name="Unit Holders" sheetId="3" r:id="rId3"/>
    <sheet name="NAV Comparison July - Sept. '21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9" i="1" l="1"/>
  <c r="N89" i="1"/>
  <c r="M89" i="1"/>
  <c r="L89" i="1"/>
  <c r="Z89" i="1" l="1"/>
  <c r="Y89" i="1"/>
  <c r="J89" i="1"/>
  <c r="K89" i="1"/>
  <c r="G89" i="1"/>
  <c r="Z90" i="1"/>
  <c r="Y90" i="1"/>
  <c r="R90" i="1"/>
  <c r="R89" i="1"/>
  <c r="O90" i="1"/>
  <c r="N90" i="1"/>
  <c r="M90" i="1"/>
  <c r="L90" i="1"/>
  <c r="K90" i="1"/>
  <c r="J90" i="1"/>
  <c r="G90" i="1"/>
  <c r="F90" i="1"/>
  <c r="Z87" i="1"/>
  <c r="Y87" i="1"/>
  <c r="R87" i="1"/>
  <c r="O87" i="1"/>
  <c r="N87" i="1"/>
  <c r="M87" i="1"/>
  <c r="L87" i="1"/>
  <c r="K87" i="1"/>
  <c r="J87" i="1"/>
  <c r="G87" i="1"/>
  <c r="Z82" i="1"/>
  <c r="Y82" i="1"/>
  <c r="R82" i="1"/>
  <c r="O82" i="1"/>
  <c r="N82" i="1"/>
  <c r="M82" i="1"/>
  <c r="L82" i="1"/>
  <c r="K82" i="1"/>
  <c r="J82" i="1"/>
  <c r="G82" i="1"/>
  <c r="F82" i="1"/>
  <c r="Z78" i="1"/>
  <c r="Y78" i="1"/>
  <c r="R78" i="1"/>
  <c r="O78" i="1"/>
  <c r="N78" i="1"/>
  <c r="M78" i="1"/>
  <c r="L78" i="1"/>
  <c r="K78" i="1"/>
  <c r="J78" i="1"/>
  <c r="G78" i="1"/>
  <c r="F78" i="1"/>
  <c r="Z58" i="1"/>
  <c r="Y58" i="1"/>
  <c r="R58" i="1"/>
  <c r="O58" i="1"/>
  <c r="N58" i="1"/>
  <c r="M58" i="1"/>
  <c r="L58" i="1"/>
  <c r="K58" i="1"/>
  <c r="J58" i="1"/>
  <c r="G58" i="1"/>
  <c r="Z57" i="1"/>
  <c r="Y57" i="1"/>
  <c r="R57" i="1"/>
  <c r="O57" i="1"/>
  <c r="N57" i="1"/>
  <c r="M57" i="1"/>
  <c r="L57" i="1"/>
  <c r="K57" i="1"/>
  <c r="J57" i="1"/>
  <c r="I57" i="1"/>
  <c r="G57" i="1"/>
  <c r="F57" i="1"/>
  <c r="V60" i="1"/>
  <c r="Z61" i="1"/>
  <c r="Y61" i="1"/>
  <c r="R61" i="1"/>
  <c r="O61" i="1"/>
  <c r="N61" i="1"/>
  <c r="M61" i="1"/>
  <c r="L61" i="1"/>
  <c r="K61" i="1"/>
  <c r="J61" i="1"/>
  <c r="G61" i="1"/>
  <c r="X55" i="1" l="1"/>
  <c r="W55" i="1"/>
  <c r="W56" i="1"/>
  <c r="R135" i="1" l="1"/>
  <c r="P135" i="1"/>
  <c r="T17" i="1"/>
  <c r="U17" i="1"/>
  <c r="V17" i="1"/>
  <c r="W17" i="1"/>
  <c r="X17" i="1"/>
  <c r="X54" i="1" l="1"/>
  <c r="M115" i="1"/>
  <c r="R6" i="1"/>
  <c r="J6" i="1"/>
  <c r="R113" i="1"/>
  <c r="M113" i="1"/>
  <c r="R41" i="1"/>
  <c r="M41" i="1"/>
  <c r="J41" i="1"/>
  <c r="R66" i="1"/>
  <c r="M39" i="1"/>
  <c r="M77" i="1"/>
  <c r="X48" i="1"/>
  <c r="W48" i="1"/>
  <c r="V48" i="1"/>
  <c r="U48" i="1"/>
  <c r="T48" i="1"/>
  <c r="I134" i="1"/>
  <c r="T92" i="1" l="1"/>
  <c r="U92" i="1"/>
  <c r="X109" i="1"/>
  <c r="U27" i="1"/>
  <c r="X92" i="1" l="1"/>
  <c r="W92" i="1"/>
  <c r="V92" i="1"/>
  <c r="T47" i="1" l="1"/>
  <c r="X123" i="1" l="1"/>
  <c r="W123" i="1"/>
  <c r="V123" i="1"/>
  <c r="U123" i="1"/>
  <c r="X62" i="1"/>
  <c r="W62" i="1"/>
  <c r="V62" i="1"/>
  <c r="U62" i="1"/>
  <c r="X47" i="1"/>
  <c r="W47" i="1"/>
  <c r="V47" i="1"/>
  <c r="U47" i="1"/>
  <c r="X133" i="1" l="1"/>
  <c r="W133" i="1"/>
  <c r="V133" i="1"/>
  <c r="U133" i="1"/>
  <c r="T133" i="1"/>
  <c r="S133" i="1"/>
  <c r="X61" i="1"/>
  <c r="W61" i="1"/>
  <c r="V61" i="1"/>
  <c r="U61" i="1"/>
  <c r="T61" i="1"/>
  <c r="X122" i="1" l="1"/>
  <c r="W122" i="1"/>
  <c r="V122" i="1"/>
  <c r="U122" i="1"/>
  <c r="T122" i="1"/>
  <c r="X46" i="1" l="1"/>
  <c r="W46" i="1"/>
  <c r="V46" i="1"/>
  <c r="U46" i="1"/>
  <c r="T46" i="1"/>
  <c r="AA95" i="1" l="1"/>
  <c r="X99" i="1" l="1"/>
  <c r="W99" i="1"/>
  <c r="V99" i="1"/>
  <c r="U99" i="1"/>
  <c r="T99" i="1"/>
  <c r="S99" i="1"/>
  <c r="Q99" i="1"/>
  <c r="X93" i="1" l="1"/>
  <c r="W93" i="1"/>
  <c r="V93" i="1"/>
  <c r="U93" i="1"/>
  <c r="T93" i="1"/>
  <c r="X132" i="1"/>
  <c r="W132" i="1"/>
  <c r="V132" i="1"/>
  <c r="U132" i="1"/>
  <c r="T132" i="1"/>
  <c r="S132" i="1"/>
  <c r="Q132" i="1" l="1"/>
  <c r="Q133" i="1"/>
  <c r="X91" i="1"/>
  <c r="W91" i="1"/>
  <c r="V91" i="1"/>
  <c r="U91" i="1"/>
  <c r="T91" i="1"/>
  <c r="AA135" i="1" l="1"/>
  <c r="T135" i="1"/>
  <c r="X134" i="1"/>
  <c r="W134" i="1"/>
  <c r="V134" i="1"/>
  <c r="U134" i="1"/>
  <c r="T134" i="1"/>
  <c r="S134" i="1"/>
  <c r="Q134" i="1"/>
  <c r="X131" i="1"/>
  <c r="W131" i="1"/>
  <c r="V131" i="1"/>
  <c r="U131" i="1"/>
  <c r="T131" i="1"/>
  <c r="S131" i="1"/>
  <c r="Q131" i="1"/>
  <c r="X130" i="1"/>
  <c r="W130" i="1"/>
  <c r="V130" i="1"/>
  <c r="U130" i="1"/>
  <c r="T130" i="1"/>
  <c r="S130" i="1"/>
  <c r="Q130" i="1"/>
  <c r="X129" i="1"/>
  <c r="W129" i="1"/>
  <c r="V129" i="1"/>
  <c r="U129" i="1"/>
  <c r="T129" i="1"/>
  <c r="S129" i="1"/>
  <c r="Q129" i="1"/>
  <c r="X128" i="1"/>
  <c r="W128" i="1"/>
  <c r="V128" i="1"/>
  <c r="U128" i="1"/>
  <c r="T128" i="1"/>
  <c r="S128" i="1"/>
  <c r="Q128" i="1"/>
  <c r="X127" i="1"/>
  <c r="W127" i="1"/>
  <c r="V127" i="1"/>
  <c r="U127" i="1"/>
  <c r="T127" i="1"/>
  <c r="S127" i="1"/>
  <c r="Q127" i="1"/>
  <c r="AA125" i="1"/>
  <c r="R125" i="1"/>
  <c r="S123" i="1" s="1"/>
  <c r="P125" i="1"/>
  <c r="Q109" i="1" s="1"/>
  <c r="X124" i="1"/>
  <c r="W124" i="1"/>
  <c r="V124" i="1"/>
  <c r="U124" i="1"/>
  <c r="T124" i="1"/>
  <c r="X121" i="1"/>
  <c r="W121" i="1"/>
  <c r="V121" i="1"/>
  <c r="U121" i="1"/>
  <c r="T121" i="1"/>
  <c r="X120" i="1"/>
  <c r="W120" i="1"/>
  <c r="V120" i="1"/>
  <c r="U120" i="1"/>
  <c r="T120" i="1"/>
  <c r="X119" i="1"/>
  <c r="W119" i="1"/>
  <c r="V119" i="1"/>
  <c r="U119" i="1"/>
  <c r="T119" i="1"/>
  <c r="X118" i="1"/>
  <c r="W118" i="1"/>
  <c r="V118" i="1"/>
  <c r="U118" i="1"/>
  <c r="T118" i="1"/>
  <c r="X117" i="1"/>
  <c r="W117" i="1"/>
  <c r="V117" i="1"/>
  <c r="U117" i="1"/>
  <c r="T117" i="1"/>
  <c r="X116" i="1"/>
  <c r="W116" i="1"/>
  <c r="V116" i="1"/>
  <c r="U116" i="1"/>
  <c r="T116" i="1"/>
  <c r="X115" i="1"/>
  <c r="W115" i="1"/>
  <c r="V115" i="1"/>
  <c r="U115" i="1"/>
  <c r="T115" i="1"/>
  <c r="X114" i="1"/>
  <c r="W114" i="1"/>
  <c r="V114" i="1"/>
  <c r="U114" i="1"/>
  <c r="T114" i="1"/>
  <c r="X113" i="1"/>
  <c r="W113" i="1"/>
  <c r="V113" i="1"/>
  <c r="U113" i="1"/>
  <c r="T113" i="1"/>
  <c r="X112" i="1"/>
  <c r="W112" i="1"/>
  <c r="V112" i="1"/>
  <c r="U112" i="1"/>
  <c r="T112" i="1"/>
  <c r="X111" i="1"/>
  <c r="W111" i="1"/>
  <c r="V111" i="1"/>
  <c r="U111" i="1"/>
  <c r="T111" i="1"/>
  <c r="X110" i="1"/>
  <c r="W110" i="1"/>
  <c r="V110" i="1"/>
  <c r="U110" i="1"/>
  <c r="T110" i="1"/>
  <c r="W109" i="1"/>
  <c r="V109" i="1"/>
  <c r="U109" i="1"/>
  <c r="T109" i="1"/>
  <c r="X108" i="1"/>
  <c r="W108" i="1"/>
  <c r="V108" i="1"/>
  <c r="U108" i="1"/>
  <c r="T108" i="1"/>
  <c r="X107" i="1"/>
  <c r="W107" i="1"/>
  <c r="V107" i="1"/>
  <c r="U107" i="1"/>
  <c r="T107" i="1"/>
  <c r="X106" i="1"/>
  <c r="W106" i="1"/>
  <c r="V106" i="1"/>
  <c r="U106" i="1"/>
  <c r="T106" i="1"/>
  <c r="X105" i="1"/>
  <c r="W105" i="1"/>
  <c r="V105" i="1"/>
  <c r="U105" i="1"/>
  <c r="T105" i="1"/>
  <c r="X104" i="1"/>
  <c r="W104" i="1"/>
  <c r="V104" i="1"/>
  <c r="U104" i="1"/>
  <c r="T104" i="1"/>
  <c r="X103" i="1"/>
  <c r="W103" i="1"/>
  <c r="V103" i="1"/>
  <c r="U103" i="1"/>
  <c r="T103" i="1"/>
  <c r="AA101" i="1"/>
  <c r="R101" i="1"/>
  <c r="S98" i="1" s="1"/>
  <c r="P101" i="1"/>
  <c r="Q97" i="1" s="1"/>
  <c r="X100" i="1"/>
  <c r="W100" i="1"/>
  <c r="V100" i="1"/>
  <c r="U100" i="1"/>
  <c r="T100" i="1"/>
  <c r="X98" i="1"/>
  <c r="W98" i="1"/>
  <c r="V98" i="1"/>
  <c r="U98" i="1"/>
  <c r="T98" i="1"/>
  <c r="X97" i="1"/>
  <c r="W97" i="1"/>
  <c r="V97" i="1"/>
  <c r="U97" i="1"/>
  <c r="T97" i="1"/>
  <c r="R95" i="1"/>
  <c r="P95" i="1"/>
  <c r="X94" i="1"/>
  <c r="W94" i="1"/>
  <c r="V94" i="1"/>
  <c r="U94" i="1"/>
  <c r="T94" i="1"/>
  <c r="X90" i="1"/>
  <c r="W90" i="1"/>
  <c r="V90" i="1"/>
  <c r="U90" i="1"/>
  <c r="T90" i="1"/>
  <c r="X89" i="1"/>
  <c r="W89" i="1"/>
  <c r="V89" i="1"/>
  <c r="U89" i="1"/>
  <c r="T89" i="1"/>
  <c r="X88" i="1"/>
  <c r="W88" i="1"/>
  <c r="V88" i="1"/>
  <c r="U88" i="1"/>
  <c r="T88" i="1"/>
  <c r="X87" i="1"/>
  <c r="W87" i="1"/>
  <c r="V87" i="1"/>
  <c r="U87" i="1"/>
  <c r="T87" i="1"/>
  <c r="X86" i="1"/>
  <c r="W86" i="1"/>
  <c r="V86" i="1"/>
  <c r="U86" i="1"/>
  <c r="T86" i="1"/>
  <c r="X85" i="1"/>
  <c r="W85" i="1"/>
  <c r="V85" i="1"/>
  <c r="U85" i="1"/>
  <c r="T85" i="1"/>
  <c r="X84" i="1"/>
  <c r="W84" i="1"/>
  <c r="V84" i="1"/>
  <c r="U84" i="1"/>
  <c r="T84" i="1"/>
  <c r="X83" i="1"/>
  <c r="W83" i="1"/>
  <c r="V83" i="1"/>
  <c r="U83" i="1"/>
  <c r="T83" i="1"/>
  <c r="X82" i="1"/>
  <c r="W82" i="1"/>
  <c r="V82" i="1"/>
  <c r="U82" i="1"/>
  <c r="T82" i="1"/>
  <c r="X81" i="1"/>
  <c r="W81" i="1"/>
  <c r="V81" i="1"/>
  <c r="U81" i="1"/>
  <c r="T81" i="1"/>
  <c r="X80" i="1"/>
  <c r="W80" i="1"/>
  <c r="V80" i="1"/>
  <c r="U80" i="1"/>
  <c r="T80" i="1"/>
  <c r="X79" i="1"/>
  <c r="W79" i="1"/>
  <c r="V79" i="1"/>
  <c r="U79" i="1"/>
  <c r="T79" i="1"/>
  <c r="X78" i="1"/>
  <c r="W78" i="1"/>
  <c r="V78" i="1"/>
  <c r="U78" i="1"/>
  <c r="T78" i="1"/>
  <c r="X77" i="1"/>
  <c r="W77" i="1"/>
  <c r="V77" i="1"/>
  <c r="U77" i="1"/>
  <c r="T77" i="1"/>
  <c r="X76" i="1"/>
  <c r="W76" i="1"/>
  <c r="V76" i="1"/>
  <c r="U76" i="1"/>
  <c r="T76" i="1"/>
  <c r="X75" i="1"/>
  <c r="W75" i="1"/>
  <c r="V75" i="1"/>
  <c r="U75" i="1"/>
  <c r="T75" i="1"/>
  <c r="X74" i="1"/>
  <c r="W74" i="1"/>
  <c r="V74" i="1"/>
  <c r="U74" i="1"/>
  <c r="T74" i="1"/>
  <c r="X73" i="1"/>
  <c r="W73" i="1"/>
  <c r="V73" i="1"/>
  <c r="U73" i="1"/>
  <c r="T73" i="1"/>
  <c r="X72" i="1"/>
  <c r="W72" i="1"/>
  <c r="V72" i="1"/>
  <c r="U72" i="1"/>
  <c r="T72" i="1"/>
  <c r="X71" i="1"/>
  <c r="W71" i="1"/>
  <c r="V71" i="1"/>
  <c r="U71" i="1"/>
  <c r="T71" i="1"/>
  <c r="X70" i="1"/>
  <c r="W70" i="1"/>
  <c r="V70" i="1"/>
  <c r="U70" i="1"/>
  <c r="T70" i="1"/>
  <c r="X69" i="1"/>
  <c r="W69" i="1"/>
  <c r="V69" i="1"/>
  <c r="U69" i="1"/>
  <c r="T69" i="1"/>
  <c r="X68" i="1"/>
  <c r="W68" i="1"/>
  <c r="V68" i="1"/>
  <c r="U68" i="1"/>
  <c r="T68" i="1"/>
  <c r="X67" i="1"/>
  <c r="W67" i="1"/>
  <c r="V67" i="1"/>
  <c r="U67" i="1"/>
  <c r="T67" i="1"/>
  <c r="X66" i="1"/>
  <c r="W66" i="1"/>
  <c r="V66" i="1"/>
  <c r="U66" i="1"/>
  <c r="T66" i="1"/>
  <c r="AA64" i="1"/>
  <c r="R64" i="1"/>
  <c r="P64" i="1"/>
  <c r="Q62" i="1" s="1"/>
  <c r="X63" i="1"/>
  <c r="W63" i="1"/>
  <c r="V63" i="1"/>
  <c r="U63" i="1"/>
  <c r="T63" i="1"/>
  <c r="X60" i="1"/>
  <c r="W60" i="1"/>
  <c r="U60" i="1"/>
  <c r="T60" i="1"/>
  <c r="X59" i="1"/>
  <c r="W59" i="1"/>
  <c r="V59" i="1"/>
  <c r="U59" i="1"/>
  <c r="T59" i="1"/>
  <c r="X58" i="1"/>
  <c r="W58" i="1"/>
  <c r="V58" i="1"/>
  <c r="U58" i="1"/>
  <c r="T58" i="1"/>
  <c r="X57" i="1"/>
  <c r="W57" i="1"/>
  <c r="V57" i="1"/>
  <c r="U57" i="1"/>
  <c r="T57" i="1"/>
  <c r="X56" i="1"/>
  <c r="V56" i="1"/>
  <c r="U56" i="1"/>
  <c r="T56" i="1"/>
  <c r="V55" i="1"/>
  <c r="U55" i="1"/>
  <c r="T55" i="1"/>
  <c r="W54" i="1"/>
  <c r="V54" i="1"/>
  <c r="U54" i="1"/>
  <c r="T54" i="1"/>
  <c r="X53" i="1"/>
  <c r="W53" i="1"/>
  <c r="V53" i="1"/>
  <c r="U53" i="1"/>
  <c r="T53" i="1"/>
  <c r="X52" i="1"/>
  <c r="W52" i="1"/>
  <c r="V52" i="1"/>
  <c r="U52" i="1"/>
  <c r="T52" i="1"/>
  <c r="AA50" i="1"/>
  <c r="R50" i="1"/>
  <c r="P50" i="1"/>
  <c r="X49" i="1"/>
  <c r="W49" i="1"/>
  <c r="V49" i="1"/>
  <c r="U49" i="1"/>
  <c r="T49" i="1"/>
  <c r="X45" i="1"/>
  <c r="W45" i="1"/>
  <c r="V45" i="1"/>
  <c r="U45" i="1"/>
  <c r="T45" i="1"/>
  <c r="X44" i="1"/>
  <c r="W44" i="1"/>
  <c r="V44" i="1"/>
  <c r="U44" i="1"/>
  <c r="T44" i="1"/>
  <c r="X43" i="1"/>
  <c r="W43" i="1"/>
  <c r="V43" i="1"/>
  <c r="U43" i="1"/>
  <c r="T43" i="1"/>
  <c r="X42" i="1"/>
  <c r="W42" i="1"/>
  <c r="V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X35" i="1"/>
  <c r="W35" i="1"/>
  <c r="V35" i="1"/>
  <c r="U35" i="1"/>
  <c r="T35" i="1"/>
  <c r="X34" i="1"/>
  <c r="W34" i="1"/>
  <c r="V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AA19" i="1"/>
  <c r="P19" i="1"/>
  <c r="X18" i="1"/>
  <c r="W18" i="1"/>
  <c r="V18" i="1"/>
  <c r="U18" i="1"/>
  <c r="T18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X5" i="1"/>
  <c r="W5" i="1"/>
  <c r="V5" i="1"/>
  <c r="U5" i="1"/>
  <c r="T5" i="1"/>
  <c r="X4" i="1"/>
  <c r="W4" i="1"/>
  <c r="V4" i="1"/>
  <c r="U4" i="1"/>
  <c r="T4" i="1"/>
  <c r="Q15" i="1" l="1"/>
  <c r="Q17" i="1"/>
  <c r="Q92" i="1"/>
  <c r="Q70" i="1"/>
  <c r="S47" i="1"/>
  <c r="S48" i="1"/>
  <c r="Q47" i="1"/>
  <c r="Q48" i="1"/>
  <c r="S93" i="1"/>
  <c r="S92" i="1"/>
  <c r="Q58" i="1"/>
  <c r="Q61" i="1"/>
  <c r="S58" i="1"/>
  <c r="S61" i="1"/>
  <c r="S121" i="1"/>
  <c r="S122" i="1"/>
  <c r="Q117" i="1"/>
  <c r="Q122" i="1"/>
  <c r="S39" i="1"/>
  <c r="S46" i="1"/>
  <c r="Q36" i="1"/>
  <c r="Q46" i="1"/>
  <c r="Q54" i="1"/>
  <c r="Q57" i="1"/>
  <c r="Q55" i="1"/>
  <c r="S53" i="1"/>
  <c r="S57" i="1"/>
  <c r="S63" i="1"/>
  <c r="S117" i="1"/>
  <c r="S111" i="1"/>
  <c r="S113" i="1"/>
  <c r="S107" i="1"/>
  <c r="S103" i="1"/>
  <c r="S119" i="1"/>
  <c r="S109" i="1"/>
  <c r="S115" i="1"/>
  <c r="S105" i="1"/>
  <c r="Q8" i="1"/>
  <c r="Q4" i="1"/>
  <c r="S104" i="1"/>
  <c r="S108" i="1"/>
  <c r="S112" i="1"/>
  <c r="S116" i="1"/>
  <c r="S120" i="1"/>
  <c r="S106" i="1"/>
  <c r="S110" i="1"/>
  <c r="S114" i="1"/>
  <c r="S118" i="1"/>
  <c r="S124" i="1"/>
  <c r="Q119" i="1"/>
  <c r="Q107" i="1"/>
  <c r="Q103" i="1"/>
  <c r="Q111" i="1"/>
  <c r="Q115" i="1"/>
  <c r="Q118" i="1"/>
  <c r="Q110" i="1"/>
  <c r="Q82" i="1"/>
  <c r="Q12" i="1"/>
  <c r="S71" i="1"/>
  <c r="Q67" i="1"/>
  <c r="Q98" i="1"/>
  <c r="S100" i="1"/>
  <c r="S97" i="1"/>
  <c r="Q78" i="1"/>
  <c r="Q93" i="1"/>
  <c r="Q87" i="1"/>
  <c r="Q71" i="1"/>
  <c r="S30" i="1"/>
  <c r="S22" i="1"/>
  <c r="Q27" i="1"/>
  <c r="Q23" i="1"/>
  <c r="Q26" i="1"/>
  <c r="Q40" i="1"/>
  <c r="Q43" i="1"/>
  <c r="Q25" i="1"/>
  <c r="Q29" i="1"/>
  <c r="Q39" i="1"/>
  <c r="Q24" i="1"/>
  <c r="Q28" i="1"/>
  <c r="Q30" i="1"/>
  <c r="Q42" i="1"/>
  <c r="Q32" i="1"/>
  <c r="Q35" i="1"/>
  <c r="Q22" i="1"/>
  <c r="Q31" i="1"/>
  <c r="S38" i="1"/>
  <c r="Q75" i="1"/>
  <c r="Q77" i="1"/>
  <c r="Q91" i="1"/>
  <c r="S85" i="1"/>
  <c r="S91" i="1"/>
  <c r="Q59" i="1"/>
  <c r="Q44" i="1"/>
  <c r="Q49" i="1"/>
  <c r="AA136" i="1"/>
  <c r="Q21" i="1"/>
  <c r="Q34" i="1"/>
  <c r="Q38" i="1"/>
  <c r="Q53" i="1"/>
  <c r="Q68" i="1"/>
  <c r="S69" i="1"/>
  <c r="Q76" i="1"/>
  <c r="Q81" i="1"/>
  <c r="Q86" i="1"/>
  <c r="Q90" i="1"/>
  <c r="Q108" i="1"/>
  <c r="Q116" i="1"/>
  <c r="Q6" i="1"/>
  <c r="S76" i="1"/>
  <c r="S90" i="1"/>
  <c r="Q33" i="1"/>
  <c r="Q37" i="1"/>
  <c r="Q52" i="1"/>
  <c r="Q66" i="1"/>
  <c r="S67" i="1"/>
  <c r="Q74" i="1"/>
  <c r="S75" i="1"/>
  <c r="Q80" i="1"/>
  <c r="Q85" i="1"/>
  <c r="Q89" i="1"/>
  <c r="Q106" i="1"/>
  <c r="Q114" i="1"/>
  <c r="Q124" i="1"/>
  <c r="T125" i="1"/>
  <c r="Q5" i="1"/>
  <c r="Q9" i="1"/>
  <c r="Q13" i="1"/>
  <c r="Q41" i="1"/>
  <c r="Q45" i="1"/>
  <c r="Q56" i="1"/>
  <c r="Q60" i="1"/>
  <c r="S66" i="1"/>
  <c r="Q73" i="1"/>
  <c r="S74" i="1"/>
  <c r="Q79" i="1"/>
  <c r="Q84" i="1"/>
  <c r="Q105" i="1"/>
  <c r="Q113" i="1"/>
  <c r="Q121" i="1"/>
  <c r="Q14" i="1"/>
  <c r="S68" i="1"/>
  <c r="Q72" i="1"/>
  <c r="S73" i="1"/>
  <c r="S79" i="1"/>
  <c r="Q83" i="1"/>
  <c r="S84" i="1"/>
  <c r="Q104" i="1"/>
  <c r="Q112" i="1"/>
  <c r="Q120" i="1"/>
  <c r="S72" i="1"/>
  <c r="S83" i="1"/>
  <c r="Q11" i="1"/>
  <c r="Q69" i="1"/>
  <c r="S70" i="1"/>
  <c r="S87" i="1"/>
  <c r="S94" i="1"/>
  <c r="S21" i="1"/>
  <c r="S29" i="1"/>
  <c r="S37" i="1"/>
  <c r="S45" i="1"/>
  <c r="S56" i="1"/>
  <c r="S82" i="1"/>
  <c r="S89" i="1"/>
  <c r="T95" i="1"/>
  <c r="S28" i="1"/>
  <c r="S36" i="1"/>
  <c r="S44" i="1"/>
  <c r="T50" i="1"/>
  <c r="S55" i="1"/>
  <c r="S81" i="1"/>
  <c r="S88" i="1"/>
  <c r="Q10" i="1"/>
  <c r="Q18" i="1"/>
  <c r="S27" i="1"/>
  <c r="S35" i="1"/>
  <c r="S43" i="1"/>
  <c r="S54" i="1"/>
  <c r="Q63" i="1"/>
  <c r="S80" i="1"/>
  <c r="T101" i="1"/>
  <c r="S34" i="1"/>
  <c r="S42" i="1"/>
  <c r="S26" i="1"/>
  <c r="Q16" i="1"/>
  <c r="S25" i="1"/>
  <c r="S33" i="1"/>
  <c r="S41" i="1"/>
  <c r="S52" i="1"/>
  <c r="S60" i="1"/>
  <c r="S78" i="1"/>
  <c r="S86" i="1"/>
  <c r="P136" i="1"/>
  <c r="S49" i="1"/>
  <c r="Q7" i="1"/>
  <c r="S24" i="1"/>
  <c r="S32" i="1"/>
  <c r="S40" i="1"/>
  <c r="S59" i="1"/>
  <c r="T64" i="1"/>
  <c r="S77" i="1"/>
  <c r="Q94" i="1"/>
  <c r="S23" i="1"/>
  <c r="S31" i="1"/>
  <c r="Q100" i="1"/>
  <c r="Q50" i="1" l="1"/>
  <c r="Q125" i="1"/>
  <c r="Q135" i="1"/>
  <c r="Q19" i="1"/>
  <c r="R19" i="1" s="1"/>
  <c r="S17" i="1" s="1"/>
  <c r="Q95" i="1"/>
  <c r="Q64" i="1"/>
  <c r="Q101" i="1"/>
  <c r="S15" i="1" l="1"/>
  <c r="S18" i="1"/>
  <c r="S8" i="1"/>
  <c r="S6" i="1"/>
  <c r="S5" i="1"/>
  <c r="S16" i="1"/>
  <c r="T19" i="1"/>
  <c r="R136" i="1"/>
  <c r="S14" i="1"/>
  <c r="S13" i="1"/>
  <c r="S4" i="1"/>
  <c r="S9" i="1"/>
  <c r="S10" i="1"/>
  <c r="S11" i="1"/>
  <c r="S7" i="1"/>
  <c r="S12" i="1"/>
  <c r="S19" i="1" l="1"/>
  <c r="S95" i="1"/>
  <c r="S64" i="1"/>
  <c r="S50" i="1"/>
  <c r="S125" i="1"/>
  <c r="T136" i="1"/>
  <c r="S135" i="1"/>
  <c r="S101" i="1"/>
</calcChain>
</file>

<file path=xl/sharedStrings.xml><?xml version="1.0" encoding="utf-8"?>
<sst xmlns="http://schemas.openxmlformats.org/spreadsheetml/2006/main" count="304" uniqueCount="213">
  <si>
    <t>S/NO</t>
  </si>
  <si>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</si>
  <si>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</si>
  <si>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</si>
  <si>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</si>
  <si>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</si>
  <si>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</si>
  <si>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</si>
  <si>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</si>
  <si>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</si>
  <si>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</si>
  <si>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</si>
  <si>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</si>
  <si>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</si>
  <si>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</si>
  <si>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</si>
  <si>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</si>
  <si>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</si>
  <si>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</si>
  <si>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</si>
  <si>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</si>
  <si>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</si>
  <si>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</si>
  <si>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</si>
  <si>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</si>
  <si>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</si>
  <si>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</si>
  <si>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</si>
  <si>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</si>
  <si>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</si>
  <si>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</si>
  <si>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</si>
  <si>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</si>
  <si>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</si>
  <si>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</si>
  <si>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</si>
  <si>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</si>
  <si>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</si>
  <si>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</si>
  <si>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</si>
  <si>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</si>
  <si>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</si>
  <si>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</si>
  <si>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</si>
  <si>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</si>
  <si>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</si>
  <si>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</si>
  <si>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</si>
  <si>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</si>
  <si>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</si>
  <si>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</si>
  <si>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</si>
  <si>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</si>
  <si>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</si>
  <si>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</si>
  <si>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</si>
  <si>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</si>
  <si>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</si>
  <si>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</si>
  <si>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</si>
  <si>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</si>
  <si>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</si>
  <si>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</si>
  <si>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</si>
  <si>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</si>
  <si>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</si>
  <si>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</si>
  <si>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</si>
  <si>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</si>
  <si>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</si>
  <si>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</si>
  <si>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</si>
  <si>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</si>
  <si>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</si>
  <si>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</si>
  <si>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</si>
  <si>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</si>
  <si>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</si>
  <si>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</si>
  <si>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</si>
  <si>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</si>
  <si>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</si>
  <si>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</si>
  <si>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</si>
  <si>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</si>
  <si>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</si>
  <si>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</si>
  <si>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First Allay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</si>
  <si>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</si>
  <si>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</si>
  <si>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</si>
  <si>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</si>
  <si>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</si>
  <si>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</si>
  <si>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</si>
  <si>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</si>
  <si>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</si>
  <si>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BOND FUNDS</t>
  </si>
  <si>
    <t>Stanbic IBTC Bond Fund</t>
  </si>
  <si>
    <t>Nigeria International Debt Fund</t>
  </si>
  <si>
    <t>FBN Nigeria Eurobond (USD) Fund - Retail</t>
  </si>
  <si>
    <t>FBN Nigeria Eurobond (USD) Fund - Institutional</t>
  </si>
  <si>
    <t>Legacy USD Bond Fund</t>
  </si>
  <si>
    <t>Nigerian Eurobond Fund</t>
  </si>
  <si>
    <t>Pacam Eurobond Fund</t>
  </si>
  <si>
    <t>Afrinvest Dollar Fund</t>
  </si>
  <si>
    <t>ARM Eurobond Fund</t>
  </si>
  <si>
    <t>FIXED INCOME FUNDS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</si>
  <si>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</si>
  <si>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</si>
  <si>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</si>
  <si>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</si>
  <si>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</si>
  <si>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</si>
  <si>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</si>
  <si>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</si>
  <si>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</si>
  <si>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</si>
  <si>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</si>
  <si>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</si>
  <si>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</si>
  <si>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Stanbic IBTC Dollar Fund</t>
  </si>
  <si>
    <t>EDC Nigeria Fixed Income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</si>
  <si>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</si>
  <si>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</si>
  <si>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</si>
  <si>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</si>
  <si>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</si>
  <si>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</si>
  <si>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</si>
  <si>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</si>
  <si>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</si>
  <si>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</si>
  <si>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</si>
  <si>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</si>
  <si>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</si>
  <si>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</si>
  <si>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</si>
  <si>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</si>
  <si>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</si>
  <si>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</si>
  <si>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</si>
  <si>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MIXED/BALANCED FUNDS</t>
  </si>
  <si>
    <t>Stanbic IBTC Balanced Fund</t>
  </si>
  <si>
    <t>Women Investment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</si>
  <si>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</si>
  <si>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</si>
  <si>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</si>
  <si>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</si>
  <si>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</si>
  <si>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Coral Growth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</si>
  <si>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</si>
  <si>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</si>
  <si>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</si>
  <si>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</si>
  <si>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</si>
  <si>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</si>
  <si>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</si>
  <si>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</si>
  <si>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NOVA Hybrid Fund</t>
  </si>
  <si>
    <t>ETHICAL FUNDS</t>
  </si>
  <si>
    <t>Stanbic IBTC Ethical Fund</t>
  </si>
  <si>
    <t>ARM Ethical Fund</t>
  </si>
  <si>
    <t>Stanbic IBTC Imaan Fund</t>
  </si>
  <si>
    <t>FBN Nigeria Halal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</si>
  <si>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</si>
  <si>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</si>
  <si>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</si>
  <si>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</si>
  <si>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</si>
  <si>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</si>
  <si>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</si>
  <si>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</si>
  <si>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GDL Canary Balanced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</si>
  <si>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</si>
  <si>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</si>
  <si>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</si>
  <si>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</si>
  <si>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</si>
  <si>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</si>
  <si>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</si>
  <si>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</si>
  <si>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</si>
  <si>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FBN Nigeria Bond Fund (FBN Fixed Income Fund)</t>
  </si>
  <si>
    <t>Stanbic IBTC Enhanced Short-Term Fixed Income Fund</t>
  </si>
  <si>
    <t>Note:</t>
  </si>
  <si>
    <t>*Continental Unit Trust Scheme is Inactive*</t>
  </si>
  <si>
    <t>SPREADSHEET OF REGISTERED MUTUAL FUNDS AS AT 30TH SEPTEMBER, 2021</t>
  </si>
  <si>
    <t>TOTAL INCOME (N)</t>
  </si>
  <si>
    <t>NET ASSET VALUE  (N) PREVIOUS (AUGUST</t>
  </si>
  <si>
    <t>Lotus Halal Investment  Fund</t>
  </si>
  <si>
    <t>Zenith ESG Impact Funf (Ethical Fund)</t>
  </si>
  <si>
    <t>Zenith Balanced Strategy Fund (Equity Fund)</t>
  </si>
  <si>
    <t>430,511,473.54</t>
  </si>
  <si>
    <t>20,455,660.0</t>
  </si>
  <si>
    <t>251,735,784.01</t>
  </si>
  <si>
    <t>10,485,625,421.36</t>
  </si>
  <si>
    <t>68,018,019.48</t>
  </si>
  <si>
    <t>13,956,371.27</t>
  </si>
  <si>
    <t>9,818,124,027.00</t>
  </si>
  <si>
    <t>ARM Discovery Balanced Fund</t>
  </si>
  <si>
    <t>EDC Money Market Class A</t>
  </si>
  <si>
    <t>3,165,998.63 8</t>
  </si>
  <si>
    <t>10/14/21 Stan</t>
  </si>
  <si>
    <t xml:space="preserve">155,995,439.83	</t>
  </si>
  <si>
    <t>Norrenberger Money Market Fund</t>
  </si>
  <si>
    <t>48a</t>
  </si>
  <si>
    <t>48b</t>
  </si>
  <si>
    <t>9,764,062,379.00</t>
  </si>
  <si>
    <t>N/A</t>
  </si>
  <si>
    <t>36.60</t>
  </si>
  <si>
    <t>36.61</t>
  </si>
  <si>
    <t>Legacy Debt Fund (formerly Short Maturity)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</si>
</sst>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</numFmts>
  <fonts count="20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2"/>
      <color indexed="8"/>
      <name val="Trebuchet MS"/>
      <family val="2"/>
    </font>
    <font>
      <sz val="8"/>
      <color indexed="9"/>
      <name val="Trebuchet MS"/>
      <family val="2"/>
    </font>
    <font>
      <b/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i/>
      <sz val="12"/>
      <color indexed="8"/>
      <name val="Californian FB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8"/>
      <color rgb="FFFF0000"/>
      <name val="Trebuchet MS"/>
      <family val="2"/>
    </font>
    <font>
      <sz val="8"/>
      <name val="Trebuchet MS"/>
      <family val="2"/>
    </font>
    <font>
      <b/>
      <sz val="36"/>
      <color indexed="9"/>
      <name val="Trebuchet MS"/>
      <family val="2"/>
    </font>
    <font>
      <sz val="8"/>
      <color rgb="FFFF0000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43" fontId="11" fillId="0" borderId="0" applyFont="0" applyFill="0" applyBorder="0" applyAlignment="0" applyProtection="0"/>
  </cellStyleXfs>
  <cellXfs count="24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165" fontId="3" fillId="2" borderId="3" xfId="0" applyNumberFormat="1" applyFont="1" applyFill="1" applyBorder="1" applyAlignment="1"/>
    <xf numFmtId="0" fontId="0" fillId="2" borderId="8" xfId="0" applyNumberFormat="1" applyFont="1" applyFill="1" applyBorder="1" applyAlignment="1"/>
    <xf numFmtId="0" fontId="2" fillId="2" borderId="6" xfId="0" applyNumberFormat="1" applyFont="1" applyFill="1" applyBorder="1" applyAlignment="1"/>
    <xf numFmtId="0" fontId="2" fillId="2" borderId="7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10" xfId="0" applyNumberFormat="1" applyFont="1" applyFill="1" applyBorder="1" applyAlignment="1"/>
    <xf numFmtId="0" fontId="2" fillId="2" borderId="4" xfId="0" applyNumberFormat="1" applyFont="1" applyFill="1" applyBorder="1" applyAlignment="1"/>
    <xf numFmtId="166" fontId="2" fillId="2" borderId="4" xfId="0" applyNumberFormat="1" applyFont="1" applyFill="1" applyBorder="1" applyAlignment="1"/>
    <xf numFmtId="0" fontId="0" fillId="2" borderId="13" xfId="0" applyNumberFormat="1" applyFont="1" applyFill="1" applyBorder="1" applyAlignment="1"/>
    <xf numFmtId="0" fontId="0" fillId="2" borderId="14" xfId="0" applyNumberFormat="1" applyFont="1" applyFill="1" applyBorder="1" applyAlignment="1"/>
    <xf numFmtId="165" fontId="3" fillId="2" borderId="15" xfId="0" applyNumberFormat="1" applyFont="1" applyFill="1" applyBorder="1" applyAlignment="1"/>
    <xf numFmtId="164" fontId="3" fillId="2" borderId="15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16" xfId="0" applyNumberFormat="1" applyFont="1" applyFill="1" applyBorder="1" applyAlignment="1"/>
    <xf numFmtId="165" fontId="2" fillId="2" borderId="10" xfId="0" applyNumberFormat="1" applyFont="1" applyFill="1" applyBorder="1" applyAlignment="1"/>
    <xf numFmtId="165" fontId="2" fillId="2" borderId="4" xfId="0" applyNumberFormat="1" applyFont="1" applyFill="1" applyBorder="1" applyAlignment="1"/>
    <xf numFmtId="3" fontId="2" fillId="2" borderId="10" xfId="0" applyNumberFormat="1" applyFont="1" applyFill="1" applyBorder="1" applyAlignment="1"/>
    <xf numFmtId="4" fontId="2" fillId="2" borderId="4" xfId="0" applyNumberFormat="1" applyFont="1" applyFill="1" applyBorder="1" applyAlignment="1"/>
    <xf numFmtId="0" fontId="8" fillId="2" borderId="4" xfId="0" applyNumberFormat="1" applyFont="1" applyFill="1" applyBorder="1" applyAlignment="1"/>
    <xf numFmtId="0" fontId="9" fillId="2" borderId="4" xfId="0" applyNumberFormat="1" applyFont="1" applyFill="1" applyBorder="1" applyAlignment="1"/>
    <xf numFmtId="0" fontId="10" fillId="2" borderId="4" xfId="0" applyNumberFormat="1" applyFont="1" applyFill="1" applyBorder="1" applyAlignment="1">
      <alignment horizontal="left"/>
    </xf>
    <xf numFmtId="0" fontId="10" fillId="2" borderId="4" xfId="0" applyNumberFormat="1" applyFont="1" applyFill="1" applyBorder="1" applyAlignment="1"/>
    <xf numFmtId="0" fontId="0" fillId="2" borderId="17" xfId="0" applyNumberFormat="1" applyFont="1" applyFill="1" applyBorder="1" applyAlignment="1"/>
    <xf numFmtId="0" fontId="0" fillId="2" borderId="18" xfId="0" applyNumberFormat="1" applyFont="1" applyFill="1" applyBorder="1" applyAlignment="1"/>
    <xf numFmtId="0" fontId="0" fillId="2" borderId="19" xfId="0" applyNumberFormat="1" applyFont="1" applyFill="1" applyBorder="1" applyAlignment="1"/>
    <xf numFmtId="0" fontId="0" fillId="0" borderId="0" xfId="0" applyNumberFormat="1" applyFont="1" applyAlignment="1"/>
    <xf numFmtId="0" fontId="0" fillId="2" borderId="20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21" xfId="0" applyNumberFormat="1" applyFont="1" applyFill="1" applyBorder="1" applyAlignment="1"/>
    <xf numFmtId="4" fontId="2" fillId="2" borderId="6" xfId="0" applyNumberFormat="1" applyFont="1" applyFill="1" applyBorder="1" applyAlignment="1"/>
    <xf numFmtId="4" fontId="0" fillId="2" borderId="11" xfId="0" applyNumberFormat="1" applyFont="1" applyFill="1" applyBorder="1" applyAlignment="1"/>
    <xf numFmtId="165" fontId="5" fillId="2" borderId="11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6" xfId="0" applyNumberFormat="1" applyFont="1" applyFill="1" applyBorder="1" applyAlignment="1"/>
    <xf numFmtId="165" fontId="1" fillId="2" borderId="11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2" fillId="2" borderId="19" xfId="0" applyNumberFormat="1" applyFont="1" applyFill="1" applyBorder="1" applyAlignment="1"/>
    <xf numFmtId="0" fontId="0" fillId="2" borderId="23" xfId="0" applyNumberFormat="1" applyFont="1" applyFill="1" applyBorder="1" applyAlignment="1"/>
    <xf numFmtId="0" fontId="0" fillId="2" borderId="24" xfId="0" applyNumberFormat="1" applyFont="1" applyFill="1" applyBorder="1" applyAlignment="1"/>
    <xf numFmtId="4" fontId="2" fillId="2" borderId="11" xfId="0" applyNumberFormat="1" applyFont="1" applyFill="1" applyBorder="1" applyAlignment="1"/>
    <xf numFmtId="0" fontId="8" fillId="2" borderId="10" xfId="0" applyNumberFormat="1" applyFont="1" applyFill="1" applyBorder="1" applyAlignment="1"/>
    <xf numFmtId="165" fontId="3" fillId="2" borderId="22" xfId="0" applyNumberFormat="1" applyFont="1" applyFill="1" applyBorder="1" applyAlignment="1"/>
    <xf numFmtId="4" fontId="3" fillId="2" borderId="22" xfId="0" applyNumberFormat="1" applyFont="1" applyFill="1" applyBorder="1" applyAlignment="1"/>
    <xf numFmtId="4" fontId="3" fillId="5" borderId="22" xfId="0" applyNumberFormat="1" applyFont="1" applyFill="1" applyBorder="1" applyAlignment="1"/>
    <xf numFmtId="165" fontId="3" fillId="7" borderId="22" xfId="0" applyNumberFormat="1" applyFont="1" applyFill="1" applyBorder="1" applyAlignment="1">
      <alignment horizontal="left"/>
    </xf>
    <xf numFmtId="10" fontId="3" fillId="6" borderId="22" xfId="0" applyNumberFormat="1" applyFont="1" applyFill="1" applyBorder="1" applyAlignment="1"/>
    <xf numFmtId="10" fontId="3" fillId="4" borderId="22" xfId="0" applyNumberFormat="1" applyFont="1" applyFill="1" applyBorder="1" applyAlignment="1"/>
    <xf numFmtId="10" fontId="3" fillId="3" borderId="22" xfId="0" applyNumberFormat="1" applyFont="1" applyFill="1" applyBorder="1" applyAlignment="1">
      <alignment horizontal="right" vertical="center"/>
    </xf>
    <xf numFmtId="165" fontId="3" fillId="3" borderId="22" xfId="0" applyNumberFormat="1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/>
    <xf numFmtId="165" fontId="3" fillId="2" borderId="22" xfId="0" applyNumberFormat="1" applyFont="1" applyFill="1" applyBorder="1" applyAlignment="1">
      <alignment horizontal="left"/>
    </xf>
    <xf numFmtId="165" fontId="3" fillId="5" borderId="22" xfId="0" applyNumberFormat="1" applyFont="1" applyFill="1" applyBorder="1" applyAlignment="1"/>
    <xf numFmtId="0" fontId="3" fillId="2" borderId="22" xfId="0" applyNumberFormat="1" applyFont="1" applyFill="1" applyBorder="1" applyAlignment="1"/>
    <xf numFmtId="4" fontId="3" fillId="5" borderId="22" xfId="0" applyNumberFormat="1" applyFont="1" applyFill="1" applyBorder="1" applyAlignment="1">
      <alignment horizontal="right"/>
    </xf>
    <xf numFmtId="165" fontId="3" fillId="7" borderId="22" xfId="0" applyNumberFormat="1" applyFont="1" applyFill="1" applyBorder="1" applyAlignment="1"/>
    <xf numFmtId="2" fontId="3" fillId="2" borderId="22" xfId="0" applyNumberFormat="1" applyFont="1" applyFill="1" applyBorder="1" applyAlignment="1"/>
    <xf numFmtId="165" fontId="3" fillId="5" borderId="22" xfId="0" applyNumberFormat="1" applyFont="1" applyFill="1" applyBorder="1" applyAlignment="1">
      <alignment horizontal="right"/>
    </xf>
    <xf numFmtId="164" fontId="3" fillId="2" borderId="22" xfId="0" applyNumberFormat="1" applyFont="1" applyFill="1" applyBorder="1" applyAlignment="1">
      <alignment horizontal="left"/>
    </xf>
    <xf numFmtId="4" fontId="3" fillId="0" borderId="22" xfId="0" applyNumberFormat="1" applyFont="1" applyBorder="1" applyAlignment="1"/>
    <xf numFmtId="165" fontId="6" fillId="2" borderId="22" xfId="0" applyNumberFormat="1" applyFont="1" applyFill="1" applyBorder="1" applyAlignment="1"/>
    <xf numFmtId="165" fontId="6" fillId="5" borderId="22" xfId="0" applyNumberFormat="1" applyFont="1" applyFill="1" applyBorder="1" applyAlignment="1"/>
    <xf numFmtId="10" fontId="6" fillId="6" borderId="22" xfId="0" applyNumberFormat="1" applyFont="1" applyFill="1" applyBorder="1" applyAlignment="1"/>
    <xf numFmtId="10" fontId="6" fillId="4" borderId="22" xfId="0" applyNumberFormat="1" applyFont="1" applyFill="1" applyBorder="1" applyAlignment="1"/>
    <xf numFmtId="10" fontId="6" fillId="3" borderId="22" xfId="0" applyNumberFormat="1" applyFont="1" applyFill="1" applyBorder="1" applyAlignment="1">
      <alignment horizontal="right" vertical="center"/>
    </xf>
    <xf numFmtId="165" fontId="6" fillId="3" borderId="22" xfId="0" applyNumberFormat="1" applyFont="1" applyFill="1" applyBorder="1" applyAlignment="1">
      <alignment horizontal="right" vertical="center"/>
    </xf>
    <xf numFmtId="164" fontId="6" fillId="2" borderId="22" xfId="0" applyNumberFormat="1" applyFont="1" applyFill="1" applyBorder="1" applyAlignment="1"/>
    <xf numFmtId="165" fontId="4" fillId="2" borderId="22" xfId="0" applyNumberFormat="1" applyFont="1" applyFill="1" applyBorder="1" applyAlignment="1">
      <alignment vertical="top" wrapText="1"/>
    </xf>
    <xf numFmtId="49" fontId="4" fillId="2" borderId="22" xfId="0" applyNumberFormat="1" applyFont="1" applyFill="1" applyBorder="1" applyAlignment="1">
      <alignment horizontal="right"/>
    </xf>
    <xf numFmtId="165" fontId="4" fillId="2" borderId="22" xfId="0" applyNumberFormat="1" applyFont="1" applyFill="1" applyBorder="1" applyAlignment="1"/>
    <xf numFmtId="165" fontId="4" fillId="5" borderId="22" xfId="0" applyNumberFormat="1" applyFont="1" applyFill="1" applyBorder="1" applyAlignment="1"/>
    <xf numFmtId="10" fontId="7" fillId="6" borderId="22" xfId="0" applyNumberFormat="1" applyFont="1" applyFill="1" applyBorder="1" applyAlignment="1"/>
    <xf numFmtId="165" fontId="4" fillId="7" borderId="22" xfId="0" applyNumberFormat="1" applyFont="1" applyFill="1" applyBorder="1" applyAlignment="1"/>
    <xf numFmtId="10" fontId="4" fillId="4" borderId="22" xfId="0" applyNumberFormat="1" applyFont="1" applyFill="1" applyBorder="1" applyAlignment="1"/>
    <xf numFmtId="10" fontId="4" fillId="3" borderId="22" xfId="0" applyNumberFormat="1" applyFont="1" applyFill="1" applyBorder="1" applyAlignment="1">
      <alignment horizontal="right" vertical="center"/>
    </xf>
    <xf numFmtId="165" fontId="4" fillId="3" borderId="22" xfId="0" applyNumberFormat="1" applyFont="1" applyFill="1" applyBorder="1" applyAlignment="1">
      <alignment horizontal="right" vertical="center"/>
    </xf>
    <xf numFmtId="164" fontId="4" fillId="2" borderId="22" xfId="0" applyNumberFormat="1" applyFont="1" applyFill="1" applyBorder="1" applyAlignment="1"/>
    <xf numFmtId="0" fontId="4" fillId="4" borderId="22" xfId="0" applyNumberFormat="1" applyFont="1" applyFill="1" applyBorder="1" applyAlignment="1">
      <alignment vertical="top" wrapText="1"/>
    </xf>
    <xf numFmtId="49" fontId="4" fillId="4" borderId="22" xfId="0" applyNumberFormat="1" applyFont="1" applyFill="1" applyBorder="1" applyAlignment="1">
      <alignment vertical="top" wrapText="1"/>
    </xf>
    <xf numFmtId="0" fontId="3" fillId="4" borderId="22" xfId="0" applyNumberFormat="1" applyFont="1" applyFill="1" applyBorder="1" applyAlignment="1">
      <alignment vertical="top" wrapText="1"/>
    </xf>
    <xf numFmtId="0" fontId="3" fillId="0" borderId="22" xfId="0" applyFont="1" applyBorder="1" applyAlignment="1"/>
    <xf numFmtId="3" fontId="3" fillId="0" borderId="22" xfId="0" applyNumberFormat="1" applyFont="1" applyBorder="1" applyAlignment="1"/>
    <xf numFmtId="2" fontId="3" fillId="2" borderId="22" xfId="0" applyNumberFormat="1" applyFont="1" applyFill="1" applyBorder="1" applyAlignment="1">
      <alignment horizontal="right"/>
    </xf>
    <xf numFmtId="3" fontId="3" fillId="2" borderId="22" xfId="0" applyNumberFormat="1" applyFont="1" applyFill="1" applyBorder="1" applyAlignment="1"/>
    <xf numFmtId="4" fontId="3" fillId="2" borderId="22" xfId="0" applyNumberFormat="1" applyFont="1" applyFill="1" applyBorder="1" applyAlignment="1">
      <alignment vertical="center"/>
    </xf>
    <xf numFmtId="43" fontId="3" fillId="5" borderId="22" xfId="1" applyFont="1" applyFill="1" applyBorder="1" applyAlignment="1"/>
    <xf numFmtId="165" fontId="3" fillId="5" borderId="22" xfId="0" applyNumberFormat="1" applyFont="1" applyFill="1" applyBorder="1" applyAlignment="1">
      <alignment horizontal="left"/>
    </xf>
    <xf numFmtId="165" fontId="4" fillId="2" borderId="22" xfId="0" applyNumberFormat="1" applyFont="1" applyFill="1" applyBorder="1" applyAlignment="1">
      <alignment wrapText="1"/>
    </xf>
    <xf numFmtId="165" fontId="4" fillId="4" borderId="22" xfId="0" applyNumberFormat="1" applyFont="1" applyFill="1" applyBorder="1" applyAlignment="1">
      <alignment wrapText="1"/>
    </xf>
    <xf numFmtId="49" fontId="4" fillId="4" borderId="22" xfId="0" applyNumberFormat="1" applyFont="1" applyFill="1" applyBorder="1" applyAlignment="1">
      <alignment horizontal="left" vertical="top" wrapText="1"/>
    </xf>
    <xf numFmtId="165" fontId="3" fillId="4" borderId="22" xfId="0" applyNumberFormat="1" applyFont="1" applyFill="1" applyBorder="1" applyAlignment="1"/>
    <xf numFmtId="10" fontId="3" fillId="4" borderId="22" xfId="0" applyNumberFormat="1" applyFont="1" applyFill="1" applyBorder="1" applyAlignment="1">
      <alignment horizontal="right" vertical="center"/>
    </xf>
    <xf numFmtId="165" fontId="3" fillId="4" borderId="22" xfId="0" applyNumberFormat="1" applyFont="1" applyFill="1" applyBorder="1" applyAlignment="1">
      <alignment horizontal="right" vertical="center"/>
    </xf>
    <xf numFmtId="165" fontId="6" fillId="2" borderId="22" xfId="0" applyNumberFormat="1" applyFont="1" applyFill="1" applyBorder="1" applyAlignment="1">
      <alignment horizontal="left"/>
    </xf>
    <xf numFmtId="164" fontId="3" fillId="2" borderId="22" xfId="0" applyNumberFormat="1" applyFont="1" applyFill="1" applyBorder="1" applyAlignment="1">
      <alignment horizontal="center" wrapText="1"/>
    </xf>
    <xf numFmtId="165" fontId="3" fillId="2" borderId="22" xfId="0" applyNumberFormat="1" applyFont="1" applyFill="1" applyBorder="1" applyAlignment="1">
      <alignment horizontal="right"/>
    </xf>
    <xf numFmtId="49" fontId="3" fillId="6" borderId="22" xfId="0" applyNumberFormat="1" applyFont="1" applyFill="1" applyBorder="1" applyAlignment="1"/>
    <xf numFmtId="49" fontId="3" fillId="2" borderId="22" xfId="0" applyNumberFormat="1" applyFont="1" applyFill="1" applyBorder="1" applyAlignment="1">
      <alignment horizontal="right"/>
    </xf>
    <xf numFmtId="0" fontId="3" fillId="2" borderId="22" xfId="0" applyNumberFormat="1" applyFont="1" applyFill="1" applyBorder="1" applyAlignment="1">
      <alignment horizontal="right"/>
    </xf>
    <xf numFmtId="43" fontId="3" fillId="5" borderId="22" xfId="1" applyFont="1" applyFill="1" applyBorder="1" applyAlignment="1">
      <alignment horizontal="right"/>
    </xf>
    <xf numFmtId="43" fontId="3" fillId="2" borderId="22" xfId="1" applyFont="1" applyFill="1" applyBorder="1" applyAlignment="1">
      <alignment horizontal="left"/>
    </xf>
    <xf numFmtId="49" fontId="3" fillId="7" borderId="22" xfId="0" applyNumberFormat="1" applyFont="1" applyFill="1" applyBorder="1" applyAlignment="1">
      <alignment horizontal="right"/>
    </xf>
    <xf numFmtId="165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/>
    <xf numFmtId="165" fontId="3" fillId="2" borderId="22" xfId="0" applyNumberFormat="1" applyFont="1" applyFill="1" applyBorder="1" applyAlignment="1">
      <alignment wrapText="1"/>
    </xf>
    <xf numFmtId="3" fontId="3" fillId="5" borderId="22" xfId="0" applyNumberFormat="1" applyFont="1" applyFill="1" applyBorder="1" applyAlignment="1"/>
    <xf numFmtId="166" fontId="3" fillId="2" borderId="22" xfId="0" applyNumberFormat="1" applyFont="1" applyFill="1" applyBorder="1" applyAlignment="1"/>
    <xf numFmtId="4" fontId="3" fillId="7" borderId="22" xfId="0" applyNumberFormat="1" applyFont="1" applyFill="1" applyBorder="1" applyAlignment="1"/>
    <xf numFmtId="165" fontId="4" fillId="4" borderId="22" xfId="0" applyNumberFormat="1" applyFont="1" applyFill="1" applyBorder="1" applyAlignment="1"/>
    <xf numFmtId="10" fontId="13" fillId="9" borderId="22" xfId="0" applyNumberFormat="1" applyFont="1" applyFill="1" applyBorder="1" applyAlignment="1">
      <alignment horizontal="right" vertical="center"/>
    </xf>
    <xf numFmtId="0" fontId="13" fillId="9" borderId="22" xfId="0" applyNumberFormat="1" applyFont="1" applyFill="1" applyBorder="1" applyAlignment="1">
      <alignment vertical="top" wrapText="1"/>
    </xf>
    <xf numFmtId="10" fontId="3" fillId="9" borderId="22" xfId="0" applyNumberFormat="1" applyFont="1" applyFill="1" applyBorder="1" applyAlignment="1"/>
    <xf numFmtId="165" fontId="3" fillId="0" borderId="22" xfId="0" applyNumberFormat="1" applyFont="1" applyFill="1" applyBorder="1" applyAlignment="1">
      <alignment horizontal="right"/>
    </xf>
    <xf numFmtId="10" fontId="3" fillId="0" borderId="22" xfId="0" applyNumberFormat="1" applyFont="1" applyFill="1" applyBorder="1" applyAlignment="1"/>
    <xf numFmtId="165" fontId="3" fillId="0" borderId="22" xfId="0" applyNumberFormat="1" applyFont="1" applyFill="1" applyBorder="1" applyAlignment="1"/>
    <xf numFmtId="4" fontId="3" fillId="0" borderId="22" xfId="0" applyNumberFormat="1" applyFont="1" applyFill="1" applyBorder="1" applyAlignment="1"/>
    <xf numFmtId="165" fontId="3" fillId="0" borderId="22" xfId="0" applyNumberFormat="1" applyFont="1" applyFill="1" applyBorder="1" applyAlignment="1">
      <alignment horizontal="left"/>
    </xf>
    <xf numFmtId="4" fontId="3" fillId="0" borderId="22" xfId="0" applyNumberFormat="1" applyFont="1" applyFill="1" applyBorder="1" applyAlignment="1">
      <alignment horizontal="right"/>
    </xf>
    <xf numFmtId="0" fontId="3" fillId="0" borderId="22" xfId="0" applyNumberFormat="1" applyFont="1" applyFill="1" applyBorder="1" applyAlignment="1"/>
    <xf numFmtId="165" fontId="4" fillId="0" borderId="22" xfId="0" applyNumberFormat="1" applyFont="1" applyFill="1" applyBorder="1" applyAlignment="1"/>
    <xf numFmtId="49" fontId="3" fillId="0" borderId="22" xfId="0" applyNumberFormat="1" applyFont="1" applyFill="1" applyBorder="1" applyAlignment="1"/>
    <xf numFmtId="3" fontId="3" fillId="0" borderId="22" xfId="0" applyNumberFormat="1" applyFont="1" applyFill="1" applyBorder="1" applyAlignment="1"/>
    <xf numFmtId="4" fontId="3" fillId="0" borderId="22" xfId="0" applyNumberFormat="1" applyFont="1" applyFill="1" applyBorder="1" applyAlignment="1">
      <alignment vertical="center"/>
    </xf>
    <xf numFmtId="49" fontId="3" fillId="0" borderId="22" xfId="0" applyNumberFormat="1" applyFont="1" applyFill="1" applyBorder="1" applyAlignment="1">
      <alignment wrapText="1"/>
    </xf>
    <xf numFmtId="165" fontId="6" fillId="0" borderId="22" xfId="0" applyNumberFormat="1" applyFont="1" applyFill="1" applyBorder="1" applyAlignment="1"/>
    <xf numFmtId="165" fontId="6" fillId="0" borderId="22" xfId="0" applyNumberFormat="1" applyFont="1" applyFill="1" applyBorder="1" applyAlignment="1">
      <alignment horizontal="left"/>
    </xf>
    <xf numFmtId="165" fontId="3" fillId="0" borderId="22" xfId="0" applyNumberFormat="1" applyFont="1" applyFill="1" applyBorder="1" applyAlignment="1">
      <alignment wrapText="1"/>
    </xf>
    <xf numFmtId="165" fontId="14" fillId="0" borderId="22" xfId="0" applyNumberFormat="1" applyFont="1" applyFill="1" applyBorder="1" applyAlignment="1">
      <alignment horizontal="left"/>
    </xf>
    <xf numFmtId="165" fontId="14" fillId="0" borderId="22" xfId="0" applyNumberFormat="1" applyFont="1" applyFill="1" applyBorder="1" applyAlignment="1"/>
    <xf numFmtId="10" fontId="16" fillId="9" borderId="22" xfId="0" applyNumberFormat="1" applyFont="1" applyFill="1" applyBorder="1" applyAlignment="1">
      <alignment horizontal="right" vertical="center"/>
    </xf>
    <xf numFmtId="49" fontId="3" fillId="0" borderId="22" xfId="0" applyNumberFormat="1" applyFont="1" applyFill="1" applyBorder="1" applyAlignment="1">
      <alignment vertical="center" wrapText="1"/>
    </xf>
    <xf numFmtId="49" fontId="3" fillId="0" borderId="22" xfId="0" applyNumberFormat="1" applyFont="1" applyFill="1" applyBorder="1" applyAlignment="1">
      <alignment vertical="top" wrapText="1"/>
    </xf>
    <xf numFmtId="49" fontId="14" fillId="0" borderId="22" xfId="0" applyNumberFormat="1" applyFont="1" applyFill="1" applyBorder="1" applyAlignment="1"/>
    <xf numFmtId="0" fontId="17" fillId="2" borderId="4" xfId="0" applyNumberFormat="1" applyFont="1" applyFill="1" applyBorder="1" applyAlignment="1"/>
    <xf numFmtId="0" fontId="18" fillId="2" borderId="4" xfId="0" applyNumberFormat="1" applyFont="1" applyFill="1" applyBorder="1" applyAlignment="1"/>
    <xf numFmtId="0" fontId="0" fillId="9" borderId="6" xfId="0" applyNumberFormat="1" applyFont="1" applyFill="1" applyBorder="1" applyAlignment="1"/>
    <xf numFmtId="0" fontId="0" fillId="9" borderId="7" xfId="0" applyNumberFormat="1" applyFont="1" applyFill="1" applyBorder="1" applyAlignment="1"/>
    <xf numFmtId="0" fontId="0" fillId="9" borderId="0" xfId="0" applyNumberFormat="1" applyFont="1" applyFill="1" applyAlignment="1"/>
    <xf numFmtId="0" fontId="0" fillId="9" borderId="0" xfId="0" applyFont="1" applyFill="1" applyAlignment="1"/>
    <xf numFmtId="164" fontId="3" fillId="0" borderId="22" xfId="0" applyNumberFormat="1" applyFont="1" applyFill="1" applyBorder="1" applyAlignment="1"/>
    <xf numFmtId="0" fontId="3" fillId="2" borderId="11" xfId="0" applyNumberFormat="1" applyFont="1" applyFill="1" applyBorder="1" applyAlignment="1"/>
    <xf numFmtId="0" fontId="3" fillId="2" borderId="4" xfId="0" applyNumberFormat="1" applyFont="1" applyFill="1" applyBorder="1" applyAlignment="1"/>
    <xf numFmtId="0" fontId="3" fillId="2" borderId="5" xfId="0" applyNumberFormat="1" applyFont="1" applyFill="1" applyBorder="1" applyAlignment="1"/>
    <xf numFmtId="0" fontId="3" fillId="2" borderId="6" xfId="0" applyNumberFormat="1" applyFont="1" applyFill="1" applyBorder="1" applyAlignment="1"/>
    <xf numFmtId="0" fontId="3" fillId="2" borderId="7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165" fontId="3" fillId="10" borderId="22" xfId="0" applyNumberFormat="1" applyFont="1" applyFill="1" applyBorder="1" applyAlignment="1"/>
    <xf numFmtId="4" fontId="3" fillId="2" borderId="22" xfId="0" applyNumberFormat="1" applyFont="1" applyFill="1" applyBorder="1" applyAlignment="1">
      <alignment horizontal="right"/>
    </xf>
    <xf numFmtId="165" fontId="3" fillId="12" borderId="22" xfId="0" applyNumberFormat="1" applyFont="1" applyFill="1" applyBorder="1" applyAlignment="1"/>
    <xf numFmtId="10" fontId="3" fillId="13" borderId="22" xfId="0" applyNumberFormat="1" applyFont="1" applyFill="1" applyBorder="1" applyAlignment="1"/>
    <xf numFmtId="10" fontId="3" fillId="11" borderId="22" xfId="0" applyNumberFormat="1" applyFont="1" applyFill="1" applyBorder="1" applyAlignment="1">
      <alignment horizontal="right" vertical="center"/>
    </xf>
    <xf numFmtId="165" fontId="3" fillId="11" borderId="22" xfId="0" applyNumberFormat="1" applyFont="1" applyFill="1" applyBorder="1" applyAlignment="1">
      <alignment horizontal="right" vertical="center"/>
    </xf>
    <xf numFmtId="0" fontId="11" fillId="2" borderId="11" xfId="0" applyNumberFormat="1" applyFont="1" applyFill="1" applyBorder="1" applyAlignment="1"/>
    <xf numFmtId="43" fontId="3" fillId="0" borderId="22" xfId="1" applyFont="1" applyFill="1" applyBorder="1" applyAlignment="1"/>
    <xf numFmtId="0" fontId="11" fillId="0" borderId="0" xfId="0" applyNumberFormat="1" applyFont="1" applyAlignment="1"/>
    <xf numFmtId="49" fontId="6" fillId="0" borderId="22" xfId="0" applyNumberFormat="1" applyFont="1" applyFill="1" applyBorder="1" applyAlignment="1">
      <alignment vertical="center" wrapText="1"/>
    </xf>
    <xf numFmtId="165" fontId="3" fillId="12" borderId="22" xfId="0" applyNumberFormat="1" applyFont="1" applyFill="1" applyBorder="1" applyAlignment="1">
      <alignment horizontal="left" indent="7"/>
    </xf>
    <xf numFmtId="165" fontId="4" fillId="0" borderId="22" xfId="0" applyNumberFormat="1" applyFont="1" applyFill="1" applyBorder="1" applyAlignment="1">
      <alignment vertical="top" wrapText="1"/>
    </xf>
    <xf numFmtId="49" fontId="4" fillId="0" borderId="22" xfId="0" applyNumberFormat="1" applyFont="1" applyFill="1" applyBorder="1" applyAlignment="1">
      <alignment horizontal="right"/>
    </xf>
    <xf numFmtId="165" fontId="4" fillId="13" borderId="22" xfId="0" applyNumberFormat="1" applyFont="1" applyFill="1" applyBorder="1" applyAlignment="1">
      <alignment wrapText="1"/>
    </xf>
    <xf numFmtId="49" fontId="4" fillId="13" borderId="22" xfId="0" applyNumberFormat="1" applyFont="1" applyFill="1" applyBorder="1" applyAlignment="1">
      <alignment horizontal="left" vertical="top" wrapText="1"/>
    </xf>
    <xf numFmtId="165" fontId="3" fillId="13" borderId="22" xfId="0" applyNumberFormat="1" applyFont="1" applyFill="1" applyBorder="1" applyAlignment="1"/>
    <xf numFmtId="165" fontId="3" fillId="2" borderId="22" xfId="0" applyNumberFormat="1" applyFont="1" applyFill="1" applyBorder="1" applyAlignment="1">
      <alignment horizontal="left" indent="10"/>
    </xf>
    <xf numFmtId="43" fontId="3" fillId="2" borderId="22" xfId="1" applyFont="1" applyFill="1" applyBorder="1" applyAlignment="1">
      <alignment horizontal="right"/>
    </xf>
    <xf numFmtId="165" fontId="5" fillId="14" borderId="19" xfId="0" applyNumberFormat="1" applyFont="1" applyFill="1" applyBorder="1" applyAlignment="1"/>
    <xf numFmtId="0" fontId="0" fillId="14" borderId="10" xfId="0" applyNumberFormat="1" applyFont="1" applyFill="1" applyBorder="1" applyAlignment="1"/>
    <xf numFmtId="0" fontId="0" fillId="14" borderId="5" xfId="0" applyNumberFormat="1" applyFont="1" applyFill="1" applyBorder="1" applyAlignment="1"/>
    <xf numFmtId="0" fontId="0" fillId="14" borderId="6" xfId="0" applyNumberFormat="1" applyFont="1" applyFill="1" applyBorder="1" applyAlignment="1"/>
    <xf numFmtId="0" fontId="0" fillId="14" borderId="7" xfId="0" applyNumberFormat="1" applyFont="1" applyFill="1" applyBorder="1" applyAlignment="1"/>
    <xf numFmtId="0" fontId="0" fillId="14" borderId="11" xfId="0" applyNumberFormat="1" applyFont="1" applyFill="1" applyBorder="1" applyAlignment="1"/>
    <xf numFmtId="0" fontId="0" fillId="14" borderId="4" xfId="0" applyNumberFormat="1" applyFont="1" applyFill="1" applyBorder="1" applyAlignment="1"/>
    <xf numFmtId="165" fontId="6" fillId="2" borderId="25" xfId="0" applyNumberFormat="1" applyFont="1" applyFill="1" applyBorder="1" applyAlignment="1"/>
    <xf numFmtId="165" fontId="3" fillId="15" borderId="22" xfId="0" applyNumberFormat="1" applyFont="1" applyFill="1" applyBorder="1" applyAlignment="1">
      <alignment horizontal="left"/>
    </xf>
    <xf numFmtId="165" fontId="3" fillId="15" borderId="22" xfId="0" applyNumberFormat="1" applyFont="1" applyFill="1" applyBorder="1" applyAlignment="1"/>
    <xf numFmtId="165" fontId="4" fillId="15" borderId="22" xfId="0" applyNumberFormat="1" applyFont="1" applyFill="1" applyBorder="1" applyAlignment="1"/>
    <xf numFmtId="0" fontId="3" fillId="15" borderId="22" xfId="0" applyNumberFormat="1" applyFont="1" applyFill="1" applyBorder="1" applyAlignment="1">
      <alignment vertical="top" wrapText="1"/>
    </xf>
    <xf numFmtId="49" fontId="3" fillId="15" borderId="22" xfId="0" applyNumberFormat="1" applyFont="1" applyFill="1" applyBorder="1" applyAlignment="1">
      <alignment horizontal="right"/>
    </xf>
    <xf numFmtId="4" fontId="3" fillId="15" borderId="22" xfId="0" applyNumberFormat="1" applyFont="1" applyFill="1" applyBorder="1" applyAlignment="1"/>
    <xf numFmtId="49" fontId="3" fillId="16" borderId="22" xfId="0" applyNumberFormat="1" applyFont="1" applyFill="1" applyBorder="1" applyAlignment="1">
      <alignment wrapText="1"/>
    </xf>
    <xf numFmtId="49" fontId="3" fillId="16" borderId="22" xfId="0" applyNumberFormat="1" applyFont="1" applyFill="1" applyBorder="1" applyAlignment="1"/>
    <xf numFmtId="49" fontId="3" fillId="16" borderId="22" xfId="0" applyNumberFormat="1" applyFont="1" applyFill="1" applyBorder="1" applyAlignment="1">
      <alignment vertical="center" wrapText="1"/>
    </xf>
    <xf numFmtId="49" fontId="6" fillId="16" borderId="22" xfId="0" applyNumberFormat="1" applyFont="1" applyFill="1" applyBorder="1" applyAlignment="1">
      <alignment vertical="center" wrapText="1"/>
    </xf>
    <xf numFmtId="49" fontId="14" fillId="16" borderId="22" xfId="0" applyNumberFormat="1" applyFont="1" applyFill="1" applyBorder="1" applyAlignment="1"/>
    <xf numFmtId="0" fontId="0" fillId="0" borderId="6" xfId="0" applyNumberFormat="1" applyFont="1" applyBorder="1" applyAlignment="1"/>
    <xf numFmtId="49" fontId="1" fillId="3" borderId="22" xfId="0" applyNumberFormat="1" applyFont="1" applyFill="1" applyBorder="1" applyAlignment="1">
      <alignment horizontal="center" vertical="top" wrapText="1"/>
    </xf>
    <xf numFmtId="49" fontId="1" fillId="4" borderId="22" xfId="0" applyNumberFormat="1" applyFont="1" applyFill="1" applyBorder="1" applyAlignment="1">
      <alignment vertical="top" wrapText="1"/>
    </xf>
    <xf numFmtId="0" fontId="0" fillId="0" borderId="22" xfId="0" applyNumberFormat="1" applyFont="1" applyBorder="1" applyAlignment="1"/>
    <xf numFmtId="4" fontId="12" fillId="0" borderId="22" xfId="0" applyNumberFormat="1" applyFont="1" applyFill="1" applyBorder="1" applyAlignment="1"/>
    <xf numFmtId="165" fontId="4" fillId="0" borderId="26" xfId="0" applyNumberFormat="1" applyFont="1" applyFill="1" applyBorder="1" applyAlignment="1"/>
    <xf numFmtId="49" fontId="1" fillId="3" borderId="30" xfId="0" applyNumberFormat="1" applyFont="1" applyFill="1" applyBorder="1" applyAlignment="1">
      <alignment horizontal="center" vertical="top" wrapText="1"/>
    </xf>
    <xf numFmtId="49" fontId="1" fillId="3" borderId="25" xfId="0" applyNumberFormat="1" applyFont="1" applyFill="1" applyBorder="1" applyAlignment="1">
      <alignment horizontal="center" vertical="top" wrapText="1"/>
    </xf>
    <xf numFmtId="0" fontId="3" fillId="4" borderId="30" xfId="0" applyNumberFormat="1" applyFont="1" applyFill="1" applyBorder="1" applyAlignment="1"/>
    <xf numFmtId="0" fontId="4" fillId="4" borderId="25" xfId="0" applyNumberFormat="1" applyFont="1" applyFill="1" applyBorder="1" applyAlignment="1">
      <alignment vertical="top" wrapText="1"/>
    </xf>
    <xf numFmtId="164" fontId="3" fillId="16" borderId="30" xfId="0" applyNumberFormat="1" applyFont="1" applyFill="1" applyBorder="1" applyAlignment="1">
      <alignment horizontal="center" wrapText="1"/>
    </xf>
    <xf numFmtId="4" fontId="3" fillId="2" borderId="25" xfId="0" applyNumberFormat="1" applyFont="1" applyFill="1" applyBorder="1" applyAlignment="1"/>
    <xf numFmtId="165" fontId="3" fillId="2" borderId="25" xfId="0" applyNumberFormat="1" applyFont="1" applyFill="1" applyBorder="1" applyAlignment="1"/>
    <xf numFmtId="165" fontId="3" fillId="0" borderId="25" xfId="0" applyNumberFormat="1" applyFont="1" applyFill="1" applyBorder="1" applyAlignment="1"/>
    <xf numFmtId="165" fontId="3" fillId="2" borderId="25" xfId="0" applyNumberFormat="1" applyFont="1" applyFill="1" applyBorder="1" applyAlignment="1">
      <alignment horizontal="left"/>
    </xf>
    <xf numFmtId="164" fontId="3" fillId="2" borderId="25" xfId="0" applyNumberFormat="1" applyFont="1" applyFill="1" applyBorder="1" applyAlignment="1"/>
    <xf numFmtId="4" fontId="3" fillId="0" borderId="25" xfId="0" applyNumberFormat="1" applyFont="1" applyBorder="1" applyAlignment="1"/>
    <xf numFmtId="164" fontId="4" fillId="2" borderId="30" xfId="0" applyNumberFormat="1" applyFont="1" applyFill="1" applyBorder="1" applyAlignment="1">
      <alignment horizontal="center"/>
    </xf>
    <xf numFmtId="165" fontId="4" fillId="2" borderId="25" xfId="0" applyNumberFormat="1" applyFont="1" applyFill="1" applyBorder="1" applyAlignment="1"/>
    <xf numFmtId="0" fontId="4" fillId="4" borderId="30" xfId="0" applyNumberFormat="1" applyFont="1" applyFill="1" applyBorder="1" applyAlignment="1"/>
    <xf numFmtId="0" fontId="3" fillId="4" borderId="25" xfId="0" applyNumberFormat="1" applyFont="1" applyFill="1" applyBorder="1" applyAlignment="1">
      <alignment vertical="top" wrapText="1"/>
    </xf>
    <xf numFmtId="2" fontId="3" fillId="2" borderId="25" xfId="0" applyNumberFormat="1" applyFont="1" applyFill="1" applyBorder="1" applyAlignment="1"/>
    <xf numFmtId="49" fontId="4" fillId="2" borderId="30" xfId="0" applyNumberFormat="1" applyFont="1" applyFill="1" applyBorder="1" applyAlignment="1">
      <alignment horizontal="center" wrapText="1"/>
    </xf>
    <xf numFmtId="164" fontId="4" fillId="4" borderId="30" xfId="0" applyNumberFormat="1" applyFont="1" applyFill="1" applyBorder="1" applyAlignment="1">
      <alignment horizontal="center" wrapText="1"/>
    </xf>
    <xf numFmtId="165" fontId="3" fillId="4" borderId="25" xfId="0" applyNumberFormat="1" applyFont="1" applyFill="1" applyBorder="1" applyAlignment="1"/>
    <xf numFmtId="49" fontId="3" fillId="16" borderId="30" xfId="0" applyNumberFormat="1" applyFont="1" applyFill="1" applyBorder="1" applyAlignment="1">
      <alignment horizontal="right" wrapText="1"/>
    </xf>
    <xf numFmtId="165" fontId="3" fillId="2" borderId="25" xfId="0" applyNumberFormat="1" applyFont="1" applyFill="1" applyBorder="1" applyAlignment="1">
      <alignment horizontal="center" wrapText="1"/>
    </xf>
    <xf numFmtId="164" fontId="4" fillId="2" borderId="30" xfId="0" applyNumberFormat="1" applyFont="1" applyFill="1" applyBorder="1" applyAlignment="1">
      <alignment horizontal="center" wrapText="1"/>
    </xf>
    <xf numFmtId="3" fontId="3" fillId="0" borderId="25" xfId="0" applyNumberFormat="1" applyFont="1" applyBorder="1" applyAlignment="1"/>
    <xf numFmtId="3" fontId="3" fillId="2" borderId="25" xfId="0" applyNumberFormat="1" applyFont="1" applyFill="1" applyBorder="1" applyAlignment="1"/>
    <xf numFmtId="164" fontId="4" fillId="0" borderId="30" xfId="0" applyNumberFormat="1" applyFont="1" applyFill="1" applyBorder="1" applyAlignment="1">
      <alignment horizontal="center" wrapText="1"/>
    </xf>
    <xf numFmtId="164" fontId="4" fillId="13" borderId="30" xfId="0" applyNumberFormat="1" applyFont="1" applyFill="1" applyBorder="1" applyAlignment="1">
      <alignment horizontal="center" wrapText="1"/>
    </xf>
    <xf numFmtId="165" fontId="3" fillId="2" borderId="25" xfId="0" applyNumberFormat="1" applyFont="1" applyFill="1" applyBorder="1" applyAlignment="1">
      <alignment wrapText="1"/>
    </xf>
    <xf numFmtId="165" fontId="3" fillId="2" borderId="25" xfId="0" applyNumberFormat="1" applyFont="1" applyFill="1" applyBorder="1" applyAlignment="1">
      <alignment horizontal="right"/>
    </xf>
    <xf numFmtId="165" fontId="4" fillId="2" borderId="25" xfId="0" applyNumberFormat="1" applyFont="1" applyFill="1" applyBorder="1" applyAlignment="1">
      <alignment wrapText="1"/>
    </xf>
    <xf numFmtId="165" fontId="4" fillId="4" borderId="30" xfId="0" applyNumberFormat="1" applyFont="1" applyFill="1" applyBorder="1" applyAlignment="1"/>
    <xf numFmtId="164" fontId="3" fillId="0" borderId="30" xfId="0" applyNumberFormat="1" applyFont="1" applyFill="1" applyBorder="1" applyAlignment="1">
      <alignment horizontal="center"/>
    </xf>
    <xf numFmtId="164" fontId="3" fillId="8" borderId="31" xfId="0" applyNumberFormat="1" applyFont="1" applyFill="1" applyBorder="1" applyAlignment="1">
      <alignment horizontal="center" wrapText="1"/>
    </xf>
    <xf numFmtId="165" fontId="3" fillId="8" borderId="32" xfId="0" applyNumberFormat="1" applyFont="1" applyFill="1" applyBorder="1" applyAlignment="1">
      <alignment wrapText="1"/>
    </xf>
    <xf numFmtId="49" fontId="4" fillId="8" borderId="32" xfId="0" applyNumberFormat="1" applyFont="1" applyFill="1" applyBorder="1" applyAlignment="1">
      <alignment horizontal="right"/>
    </xf>
    <xf numFmtId="165" fontId="4" fillId="8" borderId="32" xfId="0" applyNumberFormat="1" applyFont="1" applyFill="1" applyBorder="1" applyAlignment="1"/>
    <xf numFmtId="165" fontId="4" fillId="15" borderId="32" xfId="0" applyNumberFormat="1" applyFont="1" applyFill="1" applyBorder="1" applyAlignment="1"/>
    <xf numFmtId="10" fontId="4" fillId="6" borderId="32" xfId="0" applyNumberFormat="1" applyFont="1" applyFill="1" applyBorder="1" applyAlignment="1"/>
    <xf numFmtId="165" fontId="4" fillId="7" borderId="32" xfId="0" applyNumberFormat="1" applyFont="1" applyFill="1" applyBorder="1" applyAlignment="1"/>
    <xf numFmtId="10" fontId="4" fillId="4" borderId="32" xfId="0" applyNumberFormat="1" applyFont="1" applyFill="1" applyBorder="1" applyAlignment="1"/>
    <xf numFmtId="10" fontId="13" fillId="9" borderId="32" xfId="0" applyNumberFormat="1" applyFont="1" applyFill="1" applyBorder="1" applyAlignment="1">
      <alignment horizontal="right" vertical="center"/>
    </xf>
    <xf numFmtId="10" fontId="4" fillId="3" borderId="32" xfId="0" applyNumberFormat="1" applyFont="1" applyFill="1" applyBorder="1" applyAlignment="1">
      <alignment horizontal="right" vertical="center"/>
    </xf>
    <xf numFmtId="165" fontId="4" fillId="3" borderId="32" xfId="0" applyNumberFormat="1" applyFont="1" applyFill="1" applyBorder="1" applyAlignment="1">
      <alignment horizontal="right" vertical="center"/>
    </xf>
    <xf numFmtId="164" fontId="4" fillId="8" borderId="32" xfId="0" applyNumberFormat="1" applyFont="1" applyFill="1" applyBorder="1" applyAlignment="1"/>
    <xf numFmtId="165" fontId="4" fillId="8" borderId="33" xfId="0" applyNumberFormat="1" applyFont="1" applyFill="1" applyBorder="1" applyAlignment="1"/>
    <xf numFmtId="49" fontId="15" fillId="2" borderId="27" xfId="0" applyNumberFormat="1" applyFont="1" applyFill="1" applyBorder="1" applyAlignment="1">
      <alignment horizontal="center"/>
    </xf>
    <xf numFmtId="0" fontId="15" fillId="2" borderId="28" xfId="0" applyNumberFormat="1" applyFont="1" applyFill="1" applyBorder="1" applyAlignment="1">
      <alignment horizontal="center"/>
    </xf>
    <xf numFmtId="0" fontId="15" fillId="2" borderId="29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457200</xdr:colOff>
      <xdr:row>24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91450" cy="393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285750</xdr:colOff>
      <xdr:row>21</xdr:row>
      <xdr:rowOff>95249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349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28575</xdr:colOff>
      <xdr:row>22</xdr:row>
      <xdr:rowOff>9524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01050" cy="420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5"/>
  <sheetViews>
    <sheetView showGridLines="0" tabSelected="1" zoomScale="110" zoomScaleNormal="110" workbookViewId="0">
      <pane ySplit="2" topLeftCell="A3" activePane="bottomLeft" state="frozen"/>
      <selection pane="bottomLeft" activeCell="A3" sqref="A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7.140625" style="40" customWidth="1"/>
    <col min="12" max="12" width="19" style="1" customWidth="1"/>
    <col min="13" max="13" width="17.7109375" style="1" customWidth="1"/>
    <col min="14" max="14" width="21.140625" style="1" customWidth="1"/>
    <col min="15" max="15" width="19.42578125" style="1" customWidth="1"/>
    <col min="16" max="16" width="21.7109375" style="1" customWidth="1"/>
    <col min="17" max="17" width="9.28515625" style="1" customWidth="1"/>
    <col min="18" max="18" width="21" style="1" customWidth="1"/>
    <col min="19" max="19" width="9.140625" style="1" customWidth="1"/>
    <col min="20" max="20" width="10.140625" style="1" customWidth="1"/>
    <col min="21" max="21" width="11" style="1" customWidth="1"/>
    <col min="22" max="22" width="12.140625" style="1" customWidth="1"/>
    <col min="23" max="23" width="15.42578125" style="1" customWidth="1"/>
    <col min="24" max="24" width="16.7109375" style="1" customWidth="1"/>
    <col min="25" max="25" width="15" style="1" customWidth="1"/>
    <col min="26" max="26" width="14.42578125" style="1" customWidth="1"/>
    <col min="27" max="27" width="14.7109375" style="1" customWidth="1"/>
    <col min="28" max="28" width="20" style="1" customWidth="1"/>
    <col min="29" max="29" width="18.140625" style="1" customWidth="1"/>
    <col min="30" max="30" width="18.42578125" style="1" customWidth="1"/>
    <col min="31" max="31" width="12.42578125" style="1" customWidth="1"/>
    <col min="32" max="257" width="8.85546875" style="1" customWidth="1"/>
  </cols>
  <sheetData>
    <row r="1" spans="1:257" ht="34.5" customHeight="1" x14ac:dyDescent="0.7">
      <c r="A1" s="246" t="s">
        <v>187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8"/>
      <c r="AC1" s="196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</row>
    <row r="2" spans="1:257" ht="54" customHeight="1" x14ac:dyDescent="0.25">
      <c r="A2" s="202" t="s">
        <v>0</v>
      </c>
      <c r="B2" s="197" t="s">
        <v>1</v>
      </c>
      <c r="C2" s="197" t="s">
        <v>2</v>
      </c>
      <c r="D2" s="197" t="s">
        <v>3</v>
      </c>
      <c r="E2" s="197" t="s">
        <v>4</v>
      </c>
      <c r="F2" s="197" t="s">
        <v>5</v>
      </c>
      <c r="G2" s="197" t="s">
        <v>6</v>
      </c>
      <c r="H2" s="197" t="s">
        <v>7</v>
      </c>
      <c r="I2" s="197" t="s">
        <v>8</v>
      </c>
      <c r="J2" s="197" t="s">
        <v>9</v>
      </c>
      <c r="K2" s="197" t="s">
        <v>188</v>
      </c>
      <c r="L2" s="197" t="s">
        <v>10</v>
      </c>
      <c r="M2" s="197" t="s">
        <v>11</v>
      </c>
      <c r="N2" s="197" t="s">
        <v>12</v>
      </c>
      <c r="O2" s="197" t="s">
        <v>13</v>
      </c>
      <c r="P2" s="197" t="s">
        <v>189</v>
      </c>
      <c r="Q2" s="197" t="s">
        <v>14</v>
      </c>
      <c r="R2" s="197" t="s">
        <v>15</v>
      </c>
      <c r="S2" s="197" t="s">
        <v>14</v>
      </c>
      <c r="T2" s="197" t="s">
        <v>16</v>
      </c>
      <c r="U2" s="197" t="s">
        <v>17</v>
      </c>
      <c r="V2" s="197" t="s">
        <v>18</v>
      </c>
      <c r="W2" s="197" t="s">
        <v>19</v>
      </c>
      <c r="X2" s="197" t="s">
        <v>20</v>
      </c>
      <c r="Y2" s="197" t="s">
        <v>21</v>
      </c>
      <c r="Z2" s="197" t="s">
        <v>22</v>
      </c>
      <c r="AA2" s="197" t="s">
        <v>23</v>
      </c>
      <c r="AB2" s="203" t="s">
        <v>24</v>
      </c>
      <c r="AC2" s="48"/>
      <c r="AD2" s="4"/>
      <c r="AE2" s="4"/>
      <c r="AF2" s="4"/>
      <c r="AG2" s="5"/>
      <c r="AH2" s="6"/>
      <c r="AI2" s="6"/>
      <c r="AJ2" s="6"/>
      <c r="AK2" s="7"/>
      <c r="AL2" s="5"/>
      <c r="AM2" s="6"/>
      <c r="AN2" s="6"/>
      <c r="AO2" s="6"/>
      <c r="AP2" s="7"/>
      <c r="AQ2" s="5"/>
      <c r="AR2" s="6"/>
      <c r="AS2" s="6"/>
      <c r="AT2" s="6"/>
      <c r="AU2" s="7"/>
    </row>
    <row r="3" spans="1:257" ht="18" customHeight="1" x14ac:dyDescent="0.3">
      <c r="A3" s="204"/>
      <c r="B3" s="89"/>
      <c r="C3" s="198" t="s">
        <v>25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205"/>
      <c r="AC3" s="13"/>
      <c r="AD3" s="4"/>
      <c r="AE3" s="4"/>
      <c r="AF3" s="4"/>
      <c r="AG3" s="5"/>
      <c r="AH3" s="6"/>
      <c r="AI3" s="6"/>
      <c r="AJ3" s="6"/>
      <c r="AK3" s="7"/>
      <c r="AL3" s="5"/>
      <c r="AM3" s="6"/>
      <c r="AN3" s="6"/>
      <c r="AO3" s="6"/>
      <c r="AP3" s="7"/>
      <c r="AQ3" s="5"/>
      <c r="AR3" s="6"/>
      <c r="AS3" s="6"/>
      <c r="AT3" s="6"/>
      <c r="AU3" s="7"/>
    </row>
    <row r="4" spans="1:257" ht="18" customHeight="1" x14ac:dyDescent="0.35">
      <c r="A4" s="206">
        <v>1</v>
      </c>
      <c r="B4" s="191" t="s">
        <v>26</v>
      </c>
      <c r="C4" s="135" t="s">
        <v>27</v>
      </c>
      <c r="D4" s="124">
        <v>4831638205.7200003</v>
      </c>
      <c r="E4" s="166">
        <v>9282320.5500000007</v>
      </c>
      <c r="F4" s="126">
        <v>1813337888.6500001</v>
      </c>
      <c r="G4" s="126"/>
      <c r="H4" s="126"/>
      <c r="I4" s="126"/>
      <c r="J4" s="127">
        <v>6715808000.1000004</v>
      </c>
      <c r="K4" s="127">
        <v>42696832.079999998</v>
      </c>
      <c r="L4" s="127">
        <v>21376960.829999998</v>
      </c>
      <c r="M4" s="56">
        <v>82332697.450000003</v>
      </c>
      <c r="N4" s="55">
        <v>6832076961.7700005</v>
      </c>
      <c r="O4" s="55">
        <v>69999052.560000002</v>
      </c>
      <c r="P4" s="185">
        <v>6680685989.0900002</v>
      </c>
      <c r="Q4" s="58">
        <f t="shared" ref="Q4:Q18" si="0">(P4/$P$19)</f>
        <v>0.44206314670462121</v>
      </c>
      <c r="R4" s="57">
        <v>6762077909.21</v>
      </c>
      <c r="S4" s="58">
        <f t="shared" ref="S4:S18" si="1">(R4/$R$19)</f>
        <v>0.44488332636071398</v>
      </c>
      <c r="T4" s="59">
        <f t="shared" ref="T4:T19" si="2">((R4-P4)/P4)</f>
        <v>1.2183168053837323E-2</v>
      </c>
      <c r="U4" s="141">
        <f t="shared" ref="U4:U18" si="3">(L4/R4)</f>
        <v>3.1613005820125824E-3</v>
      </c>
      <c r="V4" s="60">
        <f t="shared" ref="V4:V18" si="4">M4/R4</f>
        <v>1.2175650525685642E-2</v>
      </c>
      <c r="W4" s="61">
        <f t="shared" ref="W4:W18" si="5">R4/AB4</f>
        <v>639412.17774073186</v>
      </c>
      <c r="X4" s="61">
        <f t="shared" ref="X4:X18" si="6">M4/AB4</f>
        <v>7785.2592180387437</v>
      </c>
      <c r="Y4" s="54">
        <v>10575.46</v>
      </c>
      <c r="Z4" s="54">
        <v>10723.39</v>
      </c>
      <c r="AA4" s="62">
        <v>17174</v>
      </c>
      <c r="AB4" s="207">
        <v>10575.46</v>
      </c>
      <c r="AC4" s="44"/>
      <c r="AD4" s="4"/>
      <c r="AE4" s="4"/>
      <c r="AF4" s="4"/>
      <c r="AG4" s="5"/>
      <c r="AH4" s="6"/>
      <c r="AI4" s="6"/>
      <c r="AJ4" s="6"/>
      <c r="AK4" s="7"/>
      <c r="AL4" s="5"/>
      <c r="AM4" s="6"/>
      <c r="AN4" s="6"/>
      <c r="AO4" s="6"/>
      <c r="AP4" s="7"/>
      <c r="AQ4" s="5"/>
      <c r="AR4" s="6"/>
      <c r="AS4" s="6"/>
      <c r="AT4" s="6"/>
      <c r="AU4" s="7"/>
    </row>
    <row r="5" spans="1:257" ht="18" customHeight="1" x14ac:dyDescent="0.35">
      <c r="A5" s="206">
        <v>2</v>
      </c>
      <c r="B5" s="192" t="s">
        <v>28</v>
      </c>
      <c r="C5" s="135" t="s">
        <v>29</v>
      </c>
      <c r="D5" s="126">
        <v>643129598.60000002</v>
      </c>
      <c r="E5" s="126"/>
      <c r="F5" s="126">
        <v>62565734.789999999</v>
      </c>
      <c r="G5" s="126">
        <v>55186545.670000002</v>
      </c>
      <c r="H5" s="126"/>
      <c r="I5" s="126"/>
      <c r="J5" s="126">
        <v>812584351.63</v>
      </c>
      <c r="K5" s="126">
        <v>5647548.9299999997</v>
      </c>
      <c r="L5" s="128">
        <v>1125417.57</v>
      </c>
      <c r="M5" s="64">
        <v>4522131.3600000003</v>
      </c>
      <c r="N5" s="63">
        <v>812584351.63</v>
      </c>
      <c r="O5" s="54">
        <v>3453181.85</v>
      </c>
      <c r="P5" s="185">
        <v>818825682.95000005</v>
      </c>
      <c r="Q5" s="58">
        <f t="shared" si="0"/>
        <v>5.4181959547052905E-2</v>
      </c>
      <c r="R5" s="57">
        <v>809131169.77999997</v>
      </c>
      <c r="S5" s="58">
        <f t="shared" si="1"/>
        <v>5.3233484012892192E-2</v>
      </c>
      <c r="T5" s="59">
        <f t="shared" si="2"/>
        <v>-1.1839532359407018E-2</v>
      </c>
      <c r="U5" s="141">
        <f t="shared" si="3"/>
        <v>1.3908963243944702E-3</v>
      </c>
      <c r="V5" s="60">
        <f t="shared" si="4"/>
        <v>5.5888730145318127E-3</v>
      </c>
      <c r="W5" s="61">
        <f t="shared" si="5"/>
        <v>1.6381039755260052</v>
      </c>
      <c r="X5" s="61">
        <f t="shared" si="6"/>
        <v>9.1551551038145714E-3</v>
      </c>
      <c r="Y5" s="54">
        <v>1.63</v>
      </c>
      <c r="Z5" s="65">
        <v>1.66</v>
      </c>
      <c r="AA5" s="62">
        <v>3696</v>
      </c>
      <c r="AB5" s="208">
        <v>493943719</v>
      </c>
      <c r="AC5" s="45"/>
      <c r="AD5" s="9"/>
      <c r="AE5" s="9"/>
      <c r="AF5" s="9"/>
      <c r="AG5" s="5"/>
      <c r="AH5" s="6"/>
      <c r="AI5" s="6"/>
      <c r="AJ5" s="6"/>
      <c r="AK5" s="7"/>
      <c r="AL5" s="5"/>
      <c r="AM5" s="6"/>
      <c r="AN5" s="6"/>
      <c r="AO5" s="6"/>
      <c r="AP5" s="7"/>
      <c r="AQ5" s="5"/>
      <c r="AR5" s="6"/>
      <c r="AS5" s="6"/>
      <c r="AT5" s="6"/>
      <c r="AU5" s="7"/>
    </row>
    <row r="6" spans="1:257" ht="18" customHeight="1" x14ac:dyDescent="0.35">
      <c r="A6" s="206">
        <v>3</v>
      </c>
      <c r="B6" s="192" t="s">
        <v>30</v>
      </c>
      <c r="C6" s="135" t="s">
        <v>31</v>
      </c>
      <c r="D6" s="127">
        <v>114569538.2</v>
      </c>
      <c r="E6" s="127"/>
      <c r="F6" s="129">
        <v>157027561.19999999</v>
      </c>
      <c r="G6" s="126"/>
      <c r="H6" s="126"/>
      <c r="I6" s="130"/>
      <c r="J6" s="127">
        <f>F6+D6</f>
        <v>271597099.39999998</v>
      </c>
      <c r="K6" s="126">
        <v>2195902.17</v>
      </c>
      <c r="L6" s="127">
        <v>635868.91</v>
      </c>
      <c r="M6" s="66">
        <v>1560033.26</v>
      </c>
      <c r="N6" s="55">
        <v>273745516.81999999</v>
      </c>
      <c r="O6" s="55">
        <v>10430582.68</v>
      </c>
      <c r="P6" s="186">
        <v>262338923.06999999</v>
      </c>
      <c r="Q6" s="58">
        <f t="shared" si="0"/>
        <v>1.7359051155047999E-2</v>
      </c>
      <c r="R6" s="67">
        <f>N6-O6</f>
        <v>263314934.13999999</v>
      </c>
      <c r="S6" s="58">
        <f t="shared" si="1"/>
        <v>1.7323731751316258E-2</v>
      </c>
      <c r="T6" s="59">
        <f t="shared" si="2"/>
        <v>3.7204203576743488E-3</v>
      </c>
      <c r="U6" s="141">
        <f t="shared" si="3"/>
        <v>2.4148607904704699E-3</v>
      </c>
      <c r="V6" s="60">
        <f t="shared" si="4"/>
        <v>5.9245908899741989E-3</v>
      </c>
      <c r="W6" s="61">
        <f t="shared" si="5"/>
        <v>132.08224356530602</v>
      </c>
      <c r="X6" s="61">
        <f t="shared" si="6"/>
        <v>0.78253325695436526</v>
      </c>
      <c r="Y6" s="68">
        <v>132.08000000000001</v>
      </c>
      <c r="Z6" s="68">
        <v>132.08000000000001</v>
      </c>
      <c r="AA6" s="62">
        <v>2470</v>
      </c>
      <c r="AB6" s="208">
        <v>1993568</v>
      </c>
      <c r="AC6" s="46"/>
      <c r="AD6" s="10"/>
      <c r="AE6" s="10"/>
      <c r="AF6" s="11"/>
      <c r="AG6" s="5"/>
      <c r="AH6" s="6"/>
      <c r="AI6" s="6"/>
      <c r="AJ6" s="6"/>
      <c r="AK6" s="7"/>
      <c r="AL6" s="5"/>
      <c r="AM6" s="6"/>
      <c r="AN6" s="6"/>
      <c r="AO6" s="6"/>
      <c r="AP6" s="7"/>
      <c r="AQ6" s="5"/>
      <c r="AR6" s="6"/>
      <c r="AS6" s="6"/>
      <c r="AT6" s="6"/>
      <c r="AU6" s="7"/>
    </row>
    <row r="7" spans="1:257" s="150" customFormat="1" ht="18" customHeight="1" x14ac:dyDescent="0.35">
      <c r="A7" s="206">
        <v>4</v>
      </c>
      <c r="B7" s="191" t="s">
        <v>32</v>
      </c>
      <c r="C7" s="135" t="s">
        <v>33</v>
      </c>
      <c r="D7" s="126">
        <v>506691178.39999998</v>
      </c>
      <c r="E7" s="130"/>
      <c r="F7" s="126">
        <v>89728475.079999998</v>
      </c>
      <c r="G7" s="126"/>
      <c r="H7" s="126"/>
      <c r="I7" s="127"/>
      <c r="J7" s="126">
        <v>598259680.95000005</v>
      </c>
      <c r="K7" s="126">
        <v>3611396.59</v>
      </c>
      <c r="L7" s="126">
        <v>896494.55</v>
      </c>
      <c r="M7" s="66">
        <v>2714902.04</v>
      </c>
      <c r="N7" s="128">
        <v>598259680.95000005</v>
      </c>
      <c r="O7" s="126">
        <v>3460406.46</v>
      </c>
      <c r="P7" s="186">
        <v>580087859</v>
      </c>
      <c r="Q7" s="123">
        <f t="shared" si="0"/>
        <v>3.838460073313768E-2</v>
      </c>
      <c r="R7" s="159">
        <v>594799274.49000001</v>
      </c>
      <c r="S7" s="123">
        <f t="shared" si="1"/>
        <v>3.9132391449030961E-2</v>
      </c>
      <c r="T7" s="162">
        <f t="shared" si="2"/>
        <v>2.5360667805322933E-2</v>
      </c>
      <c r="U7" s="141">
        <f t="shared" si="3"/>
        <v>1.5072219964771868E-3</v>
      </c>
      <c r="V7" s="163">
        <f t="shared" si="4"/>
        <v>4.5644003892369306E-3</v>
      </c>
      <c r="W7" s="164">
        <f t="shared" si="5"/>
        <v>17.033589216166991</v>
      </c>
      <c r="X7" s="164">
        <f t="shared" si="6"/>
        <v>7.7748121248374602E-2</v>
      </c>
      <c r="Y7" s="130">
        <v>16.86</v>
      </c>
      <c r="Z7" s="126">
        <v>17.18</v>
      </c>
      <c r="AA7" s="151">
        <v>8867</v>
      </c>
      <c r="AB7" s="209">
        <v>34919198</v>
      </c>
      <c r="AC7" s="177"/>
      <c r="AD7" s="178"/>
      <c r="AE7" s="178"/>
      <c r="AF7" s="178"/>
      <c r="AG7" s="179"/>
      <c r="AH7" s="180"/>
      <c r="AI7" s="180"/>
      <c r="AJ7" s="180"/>
      <c r="AK7" s="181"/>
      <c r="AL7" s="179"/>
      <c r="AM7" s="180"/>
      <c r="AN7" s="180"/>
      <c r="AO7" s="180"/>
      <c r="AP7" s="181"/>
      <c r="AQ7" s="179"/>
      <c r="AR7" s="180"/>
      <c r="AS7" s="147"/>
      <c r="AT7" s="147"/>
      <c r="AU7" s="148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  <c r="HI7" s="149"/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49"/>
      <c r="HV7" s="149"/>
      <c r="HW7" s="149"/>
      <c r="HX7" s="149"/>
      <c r="HY7" s="149"/>
      <c r="HZ7" s="149"/>
      <c r="IA7" s="149"/>
      <c r="IB7" s="149"/>
      <c r="IC7" s="149"/>
      <c r="ID7" s="149"/>
      <c r="IE7" s="149"/>
      <c r="IF7" s="149"/>
      <c r="IG7" s="149"/>
      <c r="IH7" s="149"/>
      <c r="II7" s="149"/>
      <c r="IJ7" s="149"/>
      <c r="IK7" s="149"/>
      <c r="IL7" s="149"/>
      <c r="IM7" s="149"/>
      <c r="IN7" s="149"/>
      <c r="IO7" s="149"/>
      <c r="IP7" s="149"/>
      <c r="IQ7" s="149"/>
      <c r="IR7" s="149"/>
      <c r="IS7" s="149"/>
      <c r="IT7" s="149"/>
      <c r="IU7" s="149"/>
      <c r="IV7" s="149"/>
      <c r="IW7" s="149"/>
    </row>
    <row r="8" spans="1:257" s="150" customFormat="1" ht="16.5" customHeight="1" x14ac:dyDescent="0.3">
      <c r="A8" s="206">
        <v>5</v>
      </c>
      <c r="B8" s="191" t="s">
        <v>34</v>
      </c>
      <c r="C8" s="135" t="s">
        <v>35</v>
      </c>
      <c r="D8" s="126">
        <v>246522103.09</v>
      </c>
      <c r="E8" s="125"/>
      <c r="F8" s="126">
        <v>90791367.810000002</v>
      </c>
      <c r="G8" s="126"/>
      <c r="H8" s="126"/>
      <c r="I8" s="126"/>
      <c r="J8" s="126">
        <v>337313470.89999998</v>
      </c>
      <c r="K8" s="126">
        <v>1410282.48</v>
      </c>
      <c r="L8" s="126">
        <v>656839.94999999995</v>
      </c>
      <c r="M8" s="161">
        <v>753442.53</v>
      </c>
      <c r="N8" s="128">
        <v>339339635.43000001</v>
      </c>
      <c r="O8" s="126">
        <v>3255882.52</v>
      </c>
      <c r="P8" s="186">
        <v>333577159.31</v>
      </c>
      <c r="Q8" s="123">
        <f t="shared" si="0"/>
        <v>2.2072908224422278E-2</v>
      </c>
      <c r="R8" s="159">
        <v>336083752.91000003</v>
      </c>
      <c r="S8" s="123">
        <f t="shared" si="1"/>
        <v>2.2111259281226026E-2</v>
      </c>
      <c r="T8" s="162">
        <f t="shared" si="2"/>
        <v>7.5142842668990883E-3</v>
      </c>
      <c r="U8" s="141">
        <f t="shared" si="3"/>
        <v>1.9543936423963206E-3</v>
      </c>
      <c r="V8" s="163">
        <f t="shared" si="4"/>
        <v>2.2418296733367074E-3</v>
      </c>
      <c r="W8" s="164">
        <f t="shared" si="5"/>
        <v>158.54711295054571</v>
      </c>
      <c r="X8" s="164">
        <f t="shared" si="6"/>
        <v>0.35543562243439997</v>
      </c>
      <c r="Y8" s="126">
        <v>158.5471</v>
      </c>
      <c r="Z8" s="126">
        <v>160.0831</v>
      </c>
      <c r="AA8" s="151">
        <v>1798</v>
      </c>
      <c r="AB8" s="209">
        <v>2119772.14</v>
      </c>
      <c r="AC8" s="182"/>
      <c r="AD8" s="183"/>
      <c r="AE8" s="183"/>
      <c r="AF8" s="183"/>
      <c r="AG8" s="179"/>
      <c r="AH8" s="180"/>
      <c r="AI8" s="180"/>
      <c r="AJ8" s="180"/>
      <c r="AK8" s="181"/>
      <c r="AL8" s="179"/>
      <c r="AM8" s="180"/>
      <c r="AN8" s="180"/>
      <c r="AO8" s="180"/>
      <c r="AP8" s="181"/>
      <c r="AQ8" s="179"/>
      <c r="AR8" s="180"/>
      <c r="AS8" s="147"/>
      <c r="AT8" s="147"/>
      <c r="AU8" s="148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  <c r="GY8" s="149"/>
      <c r="GZ8" s="149"/>
      <c r="HA8" s="149"/>
      <c r="HB8" s="149"/>
      <c r="HC8" s="149"/>
      <c r="HD8" s="149"/>
      <c r="HE8" s="149"/>
      <c r="HF8" s="149"/>
      <c r="HG8" s="149"/>
      <c r="HH8" s="149"/>
      <c r="HI8" s="149"/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/>
      <c r="HV8" s="149"/>
      <c r="HW8" s="149"/>
      <c r="HX8" s="149"/>
      <c r="HY8" s="149"/>
      <c r="HZ8" s="149"/>
      <c r="IA8" s="149"/>
      <c r="IB8" s="149"/>
      <c r="IC8" s="149"/>
      <c r="ID8" s="149"/>
      <c r="IE8" s="149"/>
      <c r="IF8" s="149"/>
      <c r="IG8" s="149"/>
      <c r="IH8" s="149"/>
      <c r="II8" s="149"/>
      <c r="IJ8" s="149"/>
      <c r="IK8" s="149"/>
      <c r="IL8" s="149"/>
      <c r="IM8" s="149"/>
      <c r="IN8" s="149"/>
      <c r="IO8" s="149"/>
      <c r="IP8" s="149"/>
      <c r="IQ8" s="149"/>
      <c r="IR8" s="149"/>
      <c r="IS8" s="149"/>
      <c r="IT8" s="149"/>
      <c r="IU8" s="149"/>
      <c r="IV8" s="149"/>
      <c r="IW8" s="149"/>
    </row>
    <row r="9" spans="1:257" ht="18" customHeight="1" x14ac:dyDescent="0.35">
      <c r="A9" s="206">
        <v>6</v>
      </c>
      <c r="B9" s="191" t="s">
        <v>36</v>
      </c>
      <c r="C9" s="135" t="s">
        <v>37</v>
      </c>
      <c r="D9" s="126">
        <v>1438878168</v>
      </c>
      <c r="E9" s="126"/>
      <c r="F9" s="126">
        <v>106437227</v>
      </c>
      <c r="G9" s="126"/>
      <c r="H9" s="126"/>
      <c r="I9" s="126"/>
      <c r="J9" s="126">
        <v>1545315395</v>
      </c>
      <c r="K9" s="126">
        <v>6751945</v>
      </c>
      <c r="L9" s="126">
        <v>2639440</v>
      </c>
      <c r="M9" s="56">
        <v>40295711</v>
      </c>
      <c r="N9" s="54">
        <v>1806799713</v>
      </c>
      <c r="O9" s="55">
        <v>84431770.5</v>
      </c>
      <c r="P9" s="186">
        <v>1681494860</v>
      </c>
      <c r="Q9" s="123">
        <f t="shared" si="0"/>
        <v>0.11126505724010204</v>
      </c>
      <c r="R9" s="67">
        <v>1722367943</v>
      </c>
      <c r="S9" s="123">
        <f t="shared" si="1"/>
        <v>0.11331617144713146</v>
      </c>
      <c r="T9" s="59">
        <f t="shared" si="2"/>
        <v>2.4307587238179246E-2</v>
      </c>
      <c r="U9" s="141">
        <f t="shared" si="3"/>
        <v>1.5324484008931651E-3</v>
      </c>
      <c r="V9" s="60">
        <f t="shared" si="4"/>
        <v>2.3395530068803655E-2</v>
      </c>
      <c r="W9" s="61">
        <f t="shared" si="5"/>
        <v>0.90580726713487492</v>
      </c>
      <c r="X9" s="61">
        <f t="shared" si="6"/>
        <v>2.1191841154794829E-2</v>
      </c>
      <c r="Y9" s="54">
        <v>0.91</v>
      </c>
      <c r="Z9" s="54">
        <v>0.93</v>
      </c>
      <c r="AA9" s="65">
        <v>2723</v>
      </c>
      <c r="AB9" s="208">
        <v>1901472869</v>
      </c>
      <c r="AC9" s="44"/>
      <c r="AD9" s="4"/>
      <c r="AE9" s="4"/>
      <c r="AF9" s="4"/>
      <c r="AG9" s="5"/>
      <c r="AH9" s="6"/>
      <c r="AI9" s="6"/>
      <c r="AJ9" s="6"/>
      <c r="AK9" s="7"/>
      <c r="AL9" s="5"/>
      <c r="AM9" s="6"/>
      <c r="AN9" s="6"/>
      <c r="AO9" s="6"/>
      <c r="AP9" s="7"/>
      <c r="AQ9" s="5"/>
      <c r="AR9" s="6"/>
      <c r="AS9" s="6"/>
      <c r="AT9" s="6"/>
      <c r="AU9" s="7"/>
    </row>
    <row r="10" spans="1:257" ht="18" customHeight="1" x14ac:dyDescent="0.35">
      <c r="A10" s="206">
        <v>7</v>
      </c>
      <c r="B10" s="192" t="s">
        <v>38</v>
      </c>
      <c r="C10" s="135" t="s">
        <v>39</v>
      </c>
      <c r="D10" s="126">
        <v>2125334292.46</v>
      </c>
      <c r="E10" s="126"/>
      <c r="F10" s="126"/>
      <c r="G10" s="126">
        <v>83612933.870000005</v>
      </c>
      <c r="H10" s="126"/>
      <c r="I10" s="126"/>
      <c r="J10" s="126">
        <v>2239654467.4200001</v>
      </c>
      <c r="K10" s="126">
        <v>8942084.8100000005</v>
      </c>
      <c r="L10" s="126">
        <v>6121566.1299999999</v>
      </c>
      <c r="M10" s="64">
        <v>2829516.68</v>
      </c>
      <c r="N10" s="54">
        <v>2675907568</v>
      </c>
      <c r="O10" s="54">
        <v>23963105</v>
      </c>
      <c r="P10" s="186">
        <v>2607535412</v>
      </c>
      <c r="Q10" s="123">
        <f t="shared" si="0"/>
        <v>0.1725414592535674</v>
      </c>
      <c r="R10" s="67">
        <v>2651944463</v>
      </c>
      <c r="S10" s="58">
        <f t="shared" si="1"/>
        <v>0.17447386585363253</v>
      </c>
      <c r="T10" s="59">
        <f t="shared" si="2"/>
        <v>1.7031044255670497E-2</v>
      </c>
      <c r="U10" s="141">
        <f t="shared" si="3"/>
        <v>2.3083311944907801E-3</v>
      </c>
      <c r="V10" s="60">
        <f t="shared" si="4"/>
        <v>1.0669592517782679E-3</v>
      </c>
      <c r="W10" s="61">
        <f t="shared" si="5"/>
        <v>20.084360039626393</v>
      </c>
      <c r="X10" s="61">
        <f t="shared" si="6"/>
        <v>2.1429193760325118E-2</v>
      </c>
      <c r="Y10" s="54">
        <v>20.02</v>
      </c>
      <c r="Z10" s="54">
        <v>20.63</v>
      </c>
      <c r="AA10" s="62">
        <v>363</v>
      </c>
      <c r="AB10" s="208">
        <v>132040277</v>
      </c>
      <c r="AC10" s="44"/>
      <c r="AD10" s="4"/>
      <c r="AE10" s="4"/>
      <c r="AF10" s="4"/>
      <c r="AG10" s="5"/>
      <c r="AH10" s="6"/>
      <c r="AI10" s="6"/>
      <c r="AJ10" s="6"/>
      <c r="AK10" s="7"/>
      <c r="AL10" s="5"/>
      <c r="AM10" s="6"/>
      <c r="AN10" s="6"/>
      <c r="AO10" s="6"/>
      <c r="AP10" s="7"/>
      <c r="AQ10" s="5"/>
      <c r="AR10" s="6"/>
      <c r="AS10" s="6"/>
      <c r="AT10" s="6"/>
      <c r="AU10" s="7"/>
    </row>
    <row r="11" spans="1:257" ht="15" customHeight="1" x14ac:dyDescent="0.35">
      <c r="A11" s="206">
        <v>8</v>
      </c>
      <c r="B11" s="191" t="s">
        <v>40</v>
      </c>
      <c r="C11" s="135" t="s">
        <v>41</v>
      </c>
      <c r="D11" s="126">
        <v>270184665.29000002</v>
      </c>
      <c r="E11" s="126"/>
      <c r="F11" s="126">
        <v>48710256.079999998</v>
      </c>
      <c r="G11" s="126"/>
      <c r="H11" s="126"/>
      <c r="I11" s="126"/>
      <c r="J11" s="126">
        <v>354981308.07999998</v>
      </c>
      <c r="K11" s="126">
        <v>945218.92</v>
      </c>
      <c r="L11" s="128">
        <v>644663.81999999995</v>
      </c>
      <c r="M11" s="64">
        <v>6847465.7800000003</v>
      </c>
      <c r="N11" s="54">
        <v>373553975.87</v>
      </c>
      <c r="O11" s="63">
        <v>18572667.800000001</v>
      </c>
      <c r="P11" s="186">
        <v>317733588.42000002</v>
      </c>
      <c r="Q11" s="58">
        <f t="shared" si="0"/>
        <v>2.1024534028402753E-2</v>
      </c>
      <c r="R11" s="67">
        <v>354981308.07999998</v>
      </c>
      <c r="S11" s="58">
        <f t="shared" si="1"/>
        <v>2.3354546820499127E-2</v>
      </c>
      <c r="T11" s="59">
        <f t="shared" si="2"/>
        <v>0.11722940544379468</v>
      </c>
      <c r="U11" s="141">
        <f t="shared" si="3"/>
        <v>1.8160500435552961E-3</v>
      </c>
      <c r="V11" s="60">
        <f t="shared" si="4"/>
        <v>1.9289651663734444E-2</v>
      </c>
      <c r="W11" s="61">
        <f t="shared" si="5"/>
        <v>161.70935703251803</v>
      </c>
      <c r="X11" s="61">
        <f t="shared" si="6"/>
        <v>3.1193171679237386</v>
      </c>
      <c r="Y11" s="54">
        <v>161.71</v>
      </c>
      <c r="Z11" s="54">
        <v>163.88</v>
      </c>
      <c r="AA11" s="62">
        <v>1428</v>
      </c>
      <c r="AB11" s="208">
        <v>2195181</v>
      </c>
      <c r="AC11" s="47"/>
      <c r="AD11" s="4"/>
      <c r="AE11" s="4"/>
      <c r="AF11" s="4"/>
      <c r="AG11" s="5"/>
      <c r="AH11" s="6"/>
      <c r="AI11" s="6"/>
      <c r="AJ11" s="6"/>
      <c r="AK11" s="7"/>
      <c r="AL11" s="5"/>
      <c r="AM11" s="6"/>
      <c r="AN11" s="6"/>
      <c r="AO11" s="6"/>
      <c r="AP11" s="7"/>
      <c r="AQ11" s="5"/>
      <c r="AR11" s="6"/>
      <c r="AS11" s="6"/>
      <c r="AT11" s="6"/>
      <c r="AU11" s="7"/>
    </row>
    <row r="12" spans="1:257" ht="16.5" customHeight="1" x14ac:dyDescent="0.3">
      <c r="A12" s="206">
        <v>9</v>
      </c>
      <c r="B12" s="191" t="s">
        <v>42</v>
      </c>
      <c r="C12" s="135" t="s">
        <v>43</v>
      </c>
      <c r="D12" s="128">
        <v>194956374.25</v>
      </c>
      <c r="E12" s="130"/>
      <c r="F12" s="126">
        <v>36614700.68</v>
      </c>
      <c r="G12" s="130"/>
      <c r="H12" s="126"/>
      <c r="I12" s="128"/>
      <c r="J12" s="128">
        <v>231571074.93000001</v>
      </c>
      <c r="K12" s="128">
        <v>4019047.33</v>
      </c>
      <c r="L12" s="128">
        <v>455044.09</v>
      </c>
      <c r="M12" s="69">
        <v>8512598.0299999993</v>
      </c>
      <c r="N12" s="63">
        <v>238116752.13</v>
      </c>
      <c r="O12" s="63">
        <v>2319648.2599999998</v>
      </c>
      <c r="P12" s="185">
        <v>232867111.47</v>
      </c>
      <c r="Q12" s="58">
        <f t="shared" si="0"/>
        <v>1.5408891875558139E-2</v>
      </c>
      <c r="R12" s="57">
        <v>235797103.87</v>
      </c>
      <c r="S12" s="58">
        <f t="shared" si="1"/>
        <v>1.5513308383068291E-2</v>
      </c>
      <c r="T12" s="59">
        <f t="shared" si="2"/>
        <v>1.2582250801773154E-2</v>
      </c>
      <c r="U12" s="141">
        <f t="shared" si="3"/>
        <v>1.9298120398072217E-3</v>
      </c>
      <c r="V12" s="60">
        <f t="shared" si="4"/>
        <v>3.6101368041794001E-2</v>
      </c>
      <c r="W12" s="61">
        <f t="shared" si="5"/>
        <v>11.649137911880937</v>
      </c>
      <c r="X12" s="61">
        <f t="shared" si="6"/>
        <v>0.42054981512642942</v>
      </c>
      <c r="Y12" s="63">
        <v>11.65</v>
      </c>
      <c r="Z12" s="63">
        <v>11.68</v>
      </c>
      <c r="AA12" s="70">
        <v>114</v>
      </c>
      <c r="AB12" s="210">
        <v>20241592.609999999</v>
      </c>
      <c r="AC12" s="13"/>
      <c r="AD12" s="4"/>
      <c r="AE12" s="4"/>
      <c r="AF12" s="4"/>
      <c r="AG12" s="5"/>
      <c r="AH12" s="6"/>
      <c r="AI12" s="6"/>
      <c r="AJ12" s="6"/>
      <c r="AK12" s="7"/>
      <c r="AL12" s="5"/>
      <c r="AM12" s="6"/>
      <c r="AN12" s="6"/>
      <c r="AO12" s="6"/>
      <c r="AP12" s="7"/>
      <c r="AQ12" s="5"/>
      <c r="AR12" s="6"/>
      <c r="AS12" s="6"/>
      <c r="AT12" s="6"/>
      <c r="AU12" s="7"/>
    </row>
    <row r="13" spans="1:257" ht="16.5" customHeight="1" x14ac:dyDescent="0.3">
      <c r="A13" s="206">
        <v>10</v>
      </c>
      <c r="B13" s="191" t="s">
        <v>26</v>
      </c>
      <c r="C13" s="132" t="s">
        <v>44</v>
      </c>
      <c r="D13" s="126">
        <v>234322771.49000001</v>
      </c>
      <c r="E13" s="126"/>
      <c r="F13" s="126">
        <v>83212264.670000002</v>
      </c>
      <c r="G13" s="126"/>
      <c r="H13" s="126"/>
      <c r="I13" s="126"/>
      <c r="J13" s="127">
        <v>317625481.38999999</v>
      </c>
      <c r="K13" s="127">
        <v>1425918.82</v>
      </c>
      <c r="L13" s="126">
        <v>307846.38</v>
      </c>
      <c r="M13" s="64">
        <v>1047650.62</v>
      </c>
      <c r="N13" s="55">
        <v>323379766.31999999</v>
      </c>
      <c r="O13" s="55">
        <v>2554719.02</v>
      </c>
      <c r="P13" s="186">
        <v>320235553.35000002</v>
      </c>
      <c r="Q13" s="58">
        <f t="shared" si="0"/>
        <v>2.1190089854811391E-2</v>
      </c>
      <c r="R13" s="67">
        <v>320825047.30000001</v>
      </c>
      <c r="S13" s="58">
        <f t="shared" si="1"/>
        <v>2.1107375002032806E-2</v>
      </c>
      <c r="T13" s="59">
        <f t="shared" si="2"/>
        <v>1.8408135631202175E-3</v>
      </c>
      <c r="U13" s="141">
        <f t="shared" si="3"/>
        <v>9.5954596622294336E-4</v>
      </c>
      <c r="V13" s="60">
        <f t="shared" si="4"/>
        <v>3.2654888663364032E-3</v>
      </c>
      <c r="W13" s="61">
        <f t="shared" si="5"/>
        <v>2735.3605248549234</v>
      </c>
      <c r="X13" s="61">
        <f t="shared" si="6"/>
        <v>8.9322893393298539</v>
      </c>
      <c r="Y13" s="55">
        <v>2709.96</v>
      </c>
      <c r="Z13" s="55">
        <v>2749.4</v>
      </c>
      <c r="AA13" s="62">
        <v>20</v>
      </c>
      <c r="AB13" s="208">
        <v>117288.03</v>
      </c>
      <c r="AC13" s="13"/>
      <c r="AD13" s="4"/>
      <c r="AE13" s="4"/>
      <c r="AF13" s="4"/>
      <c r="AG13" s="5"/>
      <c r="AH13" s="6"/>
      <c r="AI13" s="6"/>
      <c r="AJ13" s="6"/>
      <c r="AK13" s="7"/>
      <c r="AL13" s="5"/>
      <c r="AM13" s="6"/>
      <c r="AN13" s="6"/>
      <c r="AO13" s="6"/>
      <c r="AP13" s="7"/>
      <c r="AQ13" s="5"/>
      <c r="AR13" s="6"/>
      <c r="AS13" s="6"/>
      <c r="AT13" s="6"/>
      <c r="AU13" s="7"/>
    </row>
    <row r="14" spans="1:257" ht="16.5" customHeight="1" x14ac:dyDescent="0.3">
      <c r="A14" s="206">
        <v>11</v>
      </c>
      <c r="B14" s="193" t="s">
        <v>45</v>
      </c>
      <c r="C14" s="142" t="s">
        <v>46</v>
      </c>
      <c r="D14" s="126">
        <v>236053846.86000001</v>
      </c>
      <c r="E14" s="126"/>
      <c r="F14" s="126"/>
      <c r="G14" s="126"/>
      <c r="H14" s="126"/>
      <c r="I14" s="126"/>
      <c r="J14" s="126">
        <v>236053846.86000001</v>
      </c>
      <c r="K14" s="126">
        <v>298787.48</v>
      </c>
      <c r="L14" s="126">
        <v>468004.8</v>
      </c>
      <c r="M14" s="64">
        <v>-169217.32</v>
      </c>
      <c r="N14" s="54">
        <v>274515325.13999999</v>
      </c>
      <c r="O14" s="54">
        <v>2622191.4500000002</v>
      </c>
      <c r="P14" s="186">
        <v>272572131.32999998</v>
      </c>
      <c r="Q14" s="58">
        <f t="shared" si="0"/>
        <v>1.8036185846258879E-2</v>
      </c>
      <c r="R14" s="67">
        <v>271893133.69</v>
      </c>
      <c r="S14" s="58">
        <f t="shared" si="1"/>
        <v>1.7888099391149593E-2</v>
      </c>
      <c r="T14" s="59">
        <f t="shared" si="2"/>
        <v>-2.4910750658435105E-3</v>
      </c>
      <c r="U14" s="141">
        <f t="shared" si="3"/>
        <v>1.7212821583556335E-3</v>
      </c>
      <c r="V14" s="60">
        <f t="shared" si="4"/>
        <v>-6.223670223056599E-4</v>
      </c>
      <c r="W14" s="61">
        <f t="shared" si="5"/>
        <v>126.48849111283096</v>
      </c>
      <c r="X14" s="61">
        <f t="shared" si="6"/>
        <v>-7.8722265569828531E-2</v>
      </c>
      <c r="Y14" s="54">
        <v>130.5</v>
      </c>
      <c r="Z14" s="54">
        <v>131.41</v>
      </c>
      <c r="AA14" s="62">
        <v>568</v>
      </c>
      <c r="AB14" s="211">
        <v>2149548.4</v>
      </c>
      <c r="AC14" s="13"/>
      <c r="AD14" s="4"/>
      <c r="AE14" s="4"/>
      <c r="AF14" s="4"/>
      <c r="AG14" s="5"/>
      <c r="AH14" s="6"/>
      <c r="AI14" s="6"/>
      <c r="AJ14" s="6"/>
      <c r="AK14" s="7"/>
      <c r="AL14" s="5"/>
      <c r="AM14" s="6"/>
      <c r="AN14" s="6"/>
      <c r="AO14" s="6"/>
      <c r="AP14" s="7"/>
      <c r="AQ14" s="5"/>
      <c r="AR14" s="6"/>
      <c r="AS14" s="6"/>
      <c r="AT14" s="6"/>
      <c r="AU14" s="7"/>
    </row>
    <row r="15" spans="1:257" ht="16.5" customHeight="1" x14ac:dyDescent="0.3">
      <c r="A15" s="206">
        <v>12</v>
      </c>
      <c r="B15" s="191" t="s">
        <v>47</v>
      </c>
      <c r="C15" s="132" t="s">
        <v>48</v>
      </c>
      <c r="D15" s="127">
        <v>253544967</v>
      </c>
      <c r="E15" s="126"/>
      <c r="F15" s="127">
        <v>59269910.640000001</v>
      </c>
      <c r="G15" s="126"/>
      <c r="H15" s="126"/>
      <c r="I15" s="126"/>
      <c r="J15" s="127">
        <v>312814877.63999999</v>
      </c>
      <c r="K15" s="127">
        <v>1234674.6299999999</v>
      </c>
      <c r="L15" s="127">
        <v>590344.02</v>
      </c>
      <c r="M15" s="64">
        <v>9194156.0999999996</v>
      </c>
      <c r="N15" s="71">
        <v>316896473.56</v>
      </c>
      <c r="O15" s="71">
        <v>5114533.26</v>
      </c>
      <c r="P15" s="186">
        <v>302429247.00999999</v>
      </c>
      <c r="Q15" s="58">
        <f t="shared" si="0"/>
        <v>2.0011840820999362E-2</v>
      </c>
      <c r="R15" s="67">
        <v>311781940.30000001</v>
      </c>
      <c r="S15" s="58">
        <f t="shared" si="1"/>
        <v>2.0512420673376473E-2</v>
      </c>
      <c r="T15" s="59">
        <f t="shared" si="2"/>
        <v>3.0925227577909387E-2</v>
      </c>
      <c r="U15" s="141">
        <f t="shared" si="3"/>
        <v>1.8934516201674944E-3</v>
      </c>
      <c r="V15" s="60">
        <f t="shared" si="4"/>
        <v>2.9489059216044656E-2</v>
      </c>
      <c r="W15" s="61">
        <f t="shared" si="5"/>
        <v>1.1703963784691307</v>
      </c>
      <c r="X15" s="61">
        <f t="shared" si="6"/>
        <v>3.4513888110920411E-2</v>
      </c>
      <c r="Y15" s="54">
        <v>1.31</v>
      </c>
      <c r="Z15" s="63">
        <v>1.36</v>
      </c>
      <c r="AA15" s="62">
        <v>99</v>
      </c>
      <c r="AB15" s="212">
        <v>266390041.90000001</v>
      </c>
      <c r="AC15" s="13"/>
      <c r="AD15" s="4"/>
      <c r="AE15" s="4"/>
      <c r="AF15" s="4"/>
      <c r="AG15" s="5"/>
      <c r="AH15" s="6"/>
      <c r="AI15" s="6"/>
      <c r="AJ15" s="6"/>
      <c r="AK15" s="7"/>
      <c r="AL15" s="5"/>
      <c r="AM15" s="6"/>
      <c r="AN15" s="6"/>
      <c r="AO15" s="6"/>
      <c r="AP15" s="7"/>
      <c r="AQ15" s="5"/>
      <c r="AR15" s="6"/>
      <c r="AS15" s="6"/>
      <c r="AT15" s="6"/>
      <c r="AU15" s="7"/>
    </row>
    <row r="16" spans="1:257" ht="16.5" customHeight="1" x14ac:dyDescent="0.3">
      <c r="A16" s="206">
        <v>13</v>
      </c>
      <c r="B16" s="193" t="s">
        <v>49</v>
      </c>
      <c r="C16" s="142" t="s">
        <v>50</v>
      </c>
      <c r="D16" s="54">
        <v>74691776.299999997</v>
      </c>
      <c r="E16" s="54"/>
      <c r="F16" s="54">
        <v>28579728.760000002</v>
      </c>
      <c r="G16" s="54">
        <v>49556563.740000002</v>
      </c>
      <c r="H16" s="54">
        <v>814800</v>
      </c>
      <c r="I16" s="54"/>
      <c r="J16" s="54">
        <v>153642868.80000001</v>
      </c>
      <c r="K16" s="54">
        <v>806422.82</v>
      </c>
      <c r="L16" s="54">
        <v>177816.1</v>
      </c>
      <c r="M16" s="64">
        <v>628606.71999999997</v>
      </c>
      <c r="N16" s="54">
        <v>155995439.83000001</v>
      </c>
      <c r="O16" s="54">
        <v>177762.35</v>
      </c>
      <c r="P16" s="186">
        <v>304304948.89999998</v>
      </c>
      <c r="Q16" s="58">
        <f t="shared" si="0"/>
        <v>2.0135956620054622E-2</v>
      </c>
      <c r="R16" s="67">
        <v>153425974.52000001</v>
      </c>
      <c r="S16" s="58">
        <f t="shared" si="1"/>
        <v>1.0094036006539599E-2</v>
      </c>
      <c r="T16" s="59">
        <f t="shared" si="2"/>
        <v>-0.49581505304266832</v>
      </c>
      <c r="U16" s="141">
        <f t="shared" si="3"/>
        <v>1.1589699889885373E-3</v>
      </c>
      <c r="V16" s="60">
        <f t="shared" si="4"/>
        <v>4.0971336305121999E-3</v>
      </c>
      <c r="W16" s="61">
        <f t="shared" si="5"/>
        <v>1.5287016154315334</v>
      </c>
      <c r="X16" s="61">
        <f t="shared" si="6"/>
        <v>6.2632947996028639E-3</v>
      </c>
      <c r="Y16" s="54">
        <v>1.4136</v>
      </c>
      <c r="Z16" s="54">
        <v>1.4269000000000001</v>
      </c>
      <c r="AA16" s="62">
        <v>99</v>
      </c>
      <c r="AB16" s="208">
        <v>100363585</v>
      </c>
      <c r="AC16" s="13"/>
      <c r="AD16" s="4"/>
      <c r="AE16" s="4"/>
      <c r="AF16" s="4"/>
      <c r="AG16" s="5"/>
      <c r="AH16" s="6"/>
      <c r="AI16" s="6"/>
      <c r="AJ16" s="6"/>
      <c r="AK16" s="7"/>
      <c r="AL16" s="5"/>
      <c r="AM16" s="6"/>
      <c r="AN16" s="6"/>
      <c r="AO16" s="6"/>
      <c r="AP16" s="7"/>
      <c r="AQ16" s="5"/>
      <c r="AR16" s="6"/>
      <c r="AS16" s="6"/>
      <c r="AT16" s="6"/>
      <c r="AU16" s="7"/>
    </row>
    <row r="17" spans="1:47" ht="18" customHeight="1" x14ac:dyDescent="0.3">
      <c r="A17" s="206">
        <v>14</v>
      </c>
      <c r="B17" s="194" t="s">
        <v>51</v>
      </c>
      <c r="C17" s="168" t="s">
        <v>52</v>
      </c>
      <c r="D17" s="72">
        <v>1705425.46</v>
      </c>
      <c r="E17" s="72"/>
      <c r="F17" s="72"/>
      <c r="G17" s="72"/>
      <c r="H17" s="72"/>
      <c r="I17" s="72"/>
      <c r="J17" s="72"/>
      <c r="K17" s="72"/>
      <c r="L17" s="72"/>
      <c r="M17" s="73"/>
      <c r="N17" s="72"/>
      <c r="O17" s="72"/>
      <c r="P17" s="186">
        <v>3349445.32</v>
      </c>
      <c r="Q17" s="58">
        <f t="shared" si="0"/>
        <v>2.2163387716355663E-4</v>
      </c>
      <c r="R17" s="67">
        <v>3349445.32</v>
      </c>
      <c r="S17" s="74">
        <f t="shared" si="1"/>
        <v>2.2036308889540921E-4</v>
      </c>
      <c r="T17" s="75">
        <f t="shared" si="2"/>
        <v>0</v>
      </c>
      <c r="U17" s="141">
        <f t="shared" si="3"/>
        <v>0</v>
      </c>
      <c r="V17" s="76">
        <f t="shared" si="4"/>
        <v>0</v>
      </c>
      <c r="W17" s="77">
        <f t="shared" si="5"/>
        <v>0.84748882141592019</v>
      </c>
      <c r="X17" s="77">
        <f t="shared" si="6"/>
        <v>0</v>
      </c>
      <c r="Y17" s="72">
        <v>0.85</v>
      </c>
      <c r="Z17" s="72">
        <v>0.91</v>
      </c>
      <c r="AA17" s="78">
        <v>2405</v>
      </c>
      <c r="AB17" s="184">
        <v>3952200</v>
      </c>
      <c r="AC17" s="13"/>
      <c r="AD17" s="4"/>
      <c r="AE17" s="4"/>
      <c r="AF17" s="4"/>
      <c r="AG17" s="5"/>
      <c r="AH17" s="6"/>
      <c r="AI17" s="6"/>
      <c r="AJ17" s="6"/>
      <c r="AK17" s="7"/>
      <c r="AL17" s="5"/>
      <c r="AM17" s="6"/>
      <c r="AN17" s="6"/>
      <c r="AO17" s="6"/>
      <c r="AP17" s="7"/>
      <c r="AQ17" s="5"/>
      <c r="AR17" s="6"/>
      <c r="AS17" s="6"/>
      <c r="AT17" s="6"/>
      <c r="AU17" s="7"/>
    </row>
    <row r="18" spans="1:47" ht="16.5" customHeight="1" x14ac:dyDescent="0.3">
      <c r="A18" s="206">
        <v>15</v>
      </c>
      <c r="B18" s="191" t="s">
        <v>53</v>
      </c>
      <c r="C18" s="135" t="s">
        <v>54</v>
      </c>
      <c r="D18" s="54">
        <v>340885804.10000002</v>
      </c>
      <c r="E18" s="54"/>
      <c r="F18" s="54">
        <v>15993604.810000001</v>
      </c>
      <c r="G18" s="54">
        <v>49423784.530000001</v>
      </c>
      <c r="H18" s="54"/>
      <c r="I18" s="54"/>
      <c r="J18" s="54">
        <v>406303193.44</v>
      </c>
      <c r="K18" s="54">
        <v>1806075.07</v>
      </c>
      <c r="L18" s="54">
        <v>3589255</v>
      </c>
      <c r="M18" s="56">
        <v>-1783179.93</v>
      </c>
      <c r="N18" s="54">
        <v>411481719.52999997</v>
      </c>
      <c r="O18" s="54">
        <v>3589255</v>
      </c>
      <c r="P18" s="186">
        <v>394477209.95999998</v>
      </c>
      <c r="Q18" s="58">
        <f t="shared" si="0"/>
        <v>2.6102684218799899E-2</v>
      </c>
      <c r="R18" s="67">
        <v>407892464.52999997</v>
      </c>
      <c r="S18" s="58">
        <f t="shared" si="1"/>
        <v>2.6835620478495206E-2</v>
      </c>
      <c r="T18" s="59">
        <f t="shared" si="2"/>
        <v>3.4007679610592208E-2</v>
      </c>
      <c r="U18" s="141">
        <f t="shared" si="3"/>
        <v>8.7995128915553059E-3</v>
      </c>
      <c r="V18" s="60">
        <f t="shared" si="4"/>
        <v>-4.3716912791088086E-3</v>
      </c>
      <c r="W18" s="61">
        <f t="shared" si="5"/>
        <v>137.10601763209908</v>
      </c>
      <c r="X18" s="61">
        <f t="shared" si="6"/>
        <v>-0.59938518159558607</v>
      </c>
      <c r="Y18" s="54">
        <v>136.66</v>
      </c>
      <c r="Z18" s="54">
        <v>138.36000000000001</v>
      </c>
      <c r="AA18" s="62">
        <v>108</v>
      </c>
      <c r="AB18" s="207">
        <v>2975015.04</v>
      </c>
      <c r="AC18" s="3"/>
      <c r="AD18" s="9"/>
      <c r="AE18" s="4"/>
      <c r="AF18" s="4"/>
      <c r="AG18" s="5"/>
      <c r="AH18" s="6"/>
      <c r="AI18" s="6"/>
      <c r="AJ18" s="6"/>
      <c r="AK18" s="7"/>
      <c r="AL18" s="5"/>
      <c r="AM18" s="6"/>
      <c r="AN18" s="6"/>
      <c r="AO18" s="6"/>
      <c r="AP18" s="7"/>
      <c r="AQ18" s="5"/>
      <c r="AR18" s="6"/>
      <c r="AS18" s="6"/>
      <c r="AT18" s="6"/>
      <c r="AU18" s="7"/>
    </row>
    <row r="19" spans="1:47" ht="16.5" customHeight="1" x14ac:dyDescent="0.3">
      <c r="A19" s="213"/>
      <c r="B19" s="79"/>
      <c r="C19" s="80" t="s">
        <v>55</v>
      </c>
      <c r="D19" s="81"/>
      <c r="E19" s="81"/>
      <c r="F19" s="81"/>
      <c r="G19" s="81"/>
      <c r="H19" s="81"/>
      <c r="I19" s="81"/>
      <c r="J19" s="81"/>
      <c r="K19" s="81"/>
      <c r="L19" s="81"/>
      <c r="M19" s="82"/>
      <c r="N19" s="81"/>
      <c r="O19" s="81"/>
      <c r="P19" s="187">
        <f>SUM(P4:P18)</f>
        <v>15112515121.179998</v>
      </c>
      <c r="Q19" s="83">
        <f>(P19/$P$136)</f>
        <v>1.1813333506846746E-2</v>
      </c>
      <c r="R19" s="84">
        <f>SUM(R4:R18)</f>
        <v>15199665864.140001</v>
      </c>
      <c r="S19" s="83">
        <f>(R19/$R$136)</f>
        <v>1.1951906080944638E-2</v>
      </c>
      <c r="T19" s="85">
        <f t="shared" si="2"/>
        <v>5.7667927714998438E-3</v>
      </c>
      <c r="U19" s="121"/>
      <c r="V19" s="86"/>
      <c r="W19" s="87"/>
      <c r="X19" s="87"/>
      <c r="Y19" s="81"/>
      <c r="Z19" s="81"/>
      <c r="AA19" s="88">
        <f>SUM(AA4:AA18)</f>
        <v>41932</v>
      </c>
      <c r="AB19" s="214"/>
      <c r="AC19" s="10"/>
      <c r="AD19" s="10"/>
      <c r="AE19" s="13"/>
      <c r="AF19" s="4"/>
      <c r="AG19" s="5"/>
      <c r="AH19" s="6"/>
      <c r="AI19" s="6"/>
      <c r="AJ19" s="6"/>
      <c r="AK19" s="7"/>
      <c r="AL19" s="5"/>
      <c r="AM19" s="6"/>
      <c r="AN19" s="6"/>
      <c r="AO19" s="6"/>
      <c r="AP19" s="7"/>
      <c r="AQ19" s="5"/>
      <c r="AR19" s="6"/>
      <c r="AS19" s="6"/>
      <c r="AT19" s="6"/>
      <c r="AU19" s="7"/>
    </row>
    <row r="20" spans="1:47" ht="15.75" customHeight="1" x14ac:dyDescent="0.3">
      <c r="A20" s="215"/>
      <c r="B20" s="89"/>
      <c r="C20" s="90" t="s">
        <v>56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187"/>
      <c r="Q20" s="91"/>
      <c r="R20" s="91"/>
      <c r="S20" s="91"/>
      <c r="T20" s="59"/>
      <c r="U20" s="122"/>
      <c r="V20" s="91"/>
      <c r="W20" s="91"/>
      <c r="X20" s="91"/>
      <c r="Y20" s="91"/>
      <c r="Z20" s="91"/>
      <c r="AA20" s="91"/>
      <c r="AB20" s="216"/>
      <c r="AC20" s="10"/>
      <c r="AD20" s="10"/>
      <c r="AE20" s="13"/>
      <c r="AF20" s="4"/>
      <c r="AG20" s="5"/>
      <c r="AH20" s="6"/>
      <c r="AI20" s="6"/>
      <c r="AJ20" s="6"/>
      <c r="AK20" s="7"/>
      <c r="AL20" s="5"/>
      <c r="AM20" s="6"/>
      <c r="AN20" s="6"/>
      <c r="AO20" s="6"/>
      <c r="AP20" s="7"/>
      <c r="AQ20" s="5"/>
      <c r="AR20" s="6"/>
      <c r="AS20" s="6"/>
      <c r="AT20" s="6"/>
      <c r="AU20" s="7"/>
    </row>
    <row r="21" spans="1:47" ht="18" customHeight="1" x14ac:dyDescent="0.35">
      <c r="A21" s="206">
        <v>16</v>
      </c>
      <c r="B21" s="191" t="s">
        <v>26</v>
      </c>
      <c r="C21" s="135" t="s">
        <v>57</v>
      </c>
      <c r="D21" s="126"/>
      <c r="E21" s="126"/>
      <c r="F21" s="126">
        <v>196595555979.84</v>
      </c>
      <c r="G21" s="126">
        <v>17542229200.66</v>
      </c>
      <c r="H21" s="126"/>
      <c r="I21" s="126"/>
      <c r="J21" s="126">
        <v>214137785180.5</v>
      </c>
      <c r="K21" s="126">
        <v>1650003668.53</v>
      </c>
      <c r="L21" s="126">
        <v>323254203.26999998</v>
      </c>
      <c r="M21" s="64">
        <v>1326749465.26</v>
      </c>
      <c r="N21" s="54">
        <v>216020623060.95999</v>
      </c>
      <c r="O21" s="54">
        <v>990885880.17999995</v>
      </c>
      <c r="P21" s="186">
        <v>216156918983.35999</v>
      </c>
      <c r="Q21" s="58">
        <f t="shared" ref="Q21:Q49" si="7">(P21/$P$50)</f>
        <v>0.421125851951061</v>
      </c>
      <c r="R21" s="67">
        <v>215029737180.78</v>
      </c>
      <c r="S21" s="58">
        <f t="shared" ref="S21:S49" si="8">(R21/$R$50)</f>
        <v>0.40963312414584213</v>
      </c>
      <c r="T21" s="59">
        <f t="shared" ref="T21:T50" si="9">((R21-P21)/P21)</f>
        <v>-5.2146459520306093E-3</v>
      </c>
      <c r="U21" s="141">
        <f t="shared" ref="U21:U49" si="10">(L21/R21)</f>
        <v>1.5032999970521911E-3</v>
      </c>
      <c r="V21" s="60">
        <f t="shared" ref="V21:V49" si="11">M21/R21</f>
        <v>6.1700743471800549E-3</v>
      </c>
      <c r="W21" s="61">
        <f t="shared" ref="W21:W49" si="12">R21/AB21</f>
        <v>106.98514832349859</v>
      </c>
      <c r="X21" s="61">
        <f t="shared" ref="X21:X49" si="13">M21/AB21</f>
        <v>0.6601063192000719</v>
      </c>
      <c r="Y21" s="54">
        <v>100</v>
      </c>
      <c r="Z21" s="54">
        <v>100</v>
      </c>
      <c r="AA21" s="62">
        <v>89124</v>
      </c>
      <c r="AB21" s="208">
        <v>2009902687.9000001</v>
      </c>
      <c r="AC21" s="46"/>
      <c r="AD21" s="10"/>
      <c r="AE21" s="13"/>
      <c r="AF21" s="4"/>
      <c r="AG21" s="5"/>
      <c r="AH21" s="6"/>
      <c r="AI21" s="6"/>
      <c r="AJ21" s="6"/>
      <c r="AK21" s="7"/>
      <c r="AL21" s="5"/>
      <c r="AM21" s="6"/>
      <c r="AN21" s="6"/>
      <c r="AO21" s="6"/>
      <c r="AP21" s="7"/>
      <c r="AQ21" s="5"/>
      <c r="AR21" s="6"/>
      <c r="AS21" s="6"/>
      <c r="AT21" s="6"/>
      <c r="AU21" s="7"/>
    </row>
    <row r="22" spans="1:47" ht="18" customHeight="1" x14ac:dyDescent="0.35">
      <c r="A22" s="206">
        <v>17</v>
      </c>
      <c r="B22" s="191" t="s">
        <v>58</v>
      </c>
      <c r="C22" s="135" t="s">
        <v>59</v>
      </c>
      <c r="D22" s="126"/>
      <c r="E22" s="126"/>
      <c r="F22" s="126">
        <v>149949833478.67001</v>
      </c>
      <c r="G22" s="126">
        <v>2110408206.52</v>
      </c>
      <c r="H22" s="126"/>
      <c r="I22" s="126"/>
      <c r="J22" s="126">
        <v>151084229920.59</v>
      </c>
      <c r="K22" s="126">
        <v>2493389000.4400001</v>
      </c>
      <c r="L22" s="128">
        <v>176639277.87</v>
      </c>
      <c r="M22" s="64">
        <v>2316749722.5700002</v>
      </c>
      <c r="N22" s="54">
        <v>154634647515.32001</v>
      </c>
      <c r="O22" s="63">
        <v>3550417594.73</v>
      </c>
      <c r="P22" s="186">
        <v>143531687535.14001</v>
      </c>
      <c r="Q22" s="58">
        <f t="shared" si="7"/>
        <v>0.27963437154589738</v>
      </c>
      <c r="R22" s="67">
        <v>151084229920.59</v>
      </c>
      <c r="S22" s="58">
        <f t="shared" si="8"/>
        <v>0.28781649423450922</v>
      </c>
      <c r="T22" s="59">
        <f t="shared" si="9"/>
        <v>5.2619338037121155E-2</v>
      </c>
      <c r="U22" s="141">
        <f t="shared" si="10"/>
        <v>1.1691443770328761E-3</v>
      </c>
      <c r="V22" s="60">
        <f t="shared" si="11"/>
        <v>1.533415978482788E-2</v>
      </c>
      <c r="W22" s="61">
        <f t="shared" si="12"/>
        <v>101.74464117489013</v>
      </c>
      <c r="X22" s="61">
        <f t="shared" si="13"/>
        <v>1.5601685850257432</v>
      </c>
      <c r="Y22" s="54">
        <v>101.72</v>
      </c>
      <c r="Z22" s="54">
        <v>101.72</v>
      </c>
      <c r="AA22" s="62">
        <v>360</v>
      </c>
      <c r="AB22" s="208">
        <v>1484935503</v>
      </c>
      <c r="AC22" s="46"/>
      <c r="AD22" s="10"/>
      <c r="AE22" s="13"/>
      <c r="AF22" s="4"/>
      <c r="AG22" s="5"/>
      <c r="AH22" s="6"/>
      <c r="AI22" s="6"/>
      <c r="AJ22" s="6"/>
      <c r="AK22" s="7"/>
      <c r="AL22" s="5"/>
      <c r="AM22" s="6"/>
      <c r="AN22" s="6"/>
      <c r="AO22" s="6"/>
      <c r="AP22" s="7"/>
      <c r="AQ22" s="5"/>
      <c r="AR22" s="6"/>
      <c r="AS22" s="6"/>
      <c r="AT22" s="6"/>
      <c r="AU22" s="7"/>
    </row>
    <row r="23" spans="1:47" ht="18" customHeight="1" x14ac:dyDescent="0.35">
      <c r="A23" s="206">
        <v>18</v>
      </c>
      <c r="B23" s="191" t="s">
        <v>36</v>
      </c>
      <c r="C23" s="135" t="s">
        <v>60</v>
      </c>
      <c r="D23" s="126"/>
      <c r="E23" s="126"/>
      <c r="F23" s="126">
        <v>6372675541</v>
      </c>
      <c r="G23" s="126"/>
      <c r="H23" s="130"/>
      <c r="I23" s="126"/>
      <c r="J23" s="126">
        <v>6372675541</v>
      </c>
      <c r="K23" s="126">
        <v>143604648</v>
      </c>
      <c r="L23" s="128">
        <v>16546266</v>
      </c>
      <c r="M23" s="64">
        <v>127058382</v>
      </c>
      <c r="N23" s="54">
        <v>17793923802.77</v>
      </c>
      <c r="O23" s="54">
        <v>387044672.72000003</v>
      </c>
      <c r="P23" s="186">
        <v>16098435065</v>
      </c>
      <c r="Q23" s="58">
        <f t="shared" si="7"/>
        <v>3.1363637184099805E-2</v>
      </c>
      <c r="R23" s="67">
        <v>17406879130</v>
      </c>
      <c r="S23" s="58">
        <f t="shared" si="8"/>
        <v>3.3160224130564103E-2</v>
      </c>
      <c r="T23" s="59">
        <f t="shared" si="9"/>
        <v>8.1277717971774799E-2</v>
      </c>
      <c r="U23" s="141">
        <f t="shared" si="10"/>
        <v>9.5055902189170884E-4</v>
      </c>
      <c r="V23" s="60">
        <f t="shared" si="11"/>
        <v>7.2993200591035525E-3</v>
      </c>
      <c r="W23" s="61">
        <f t="shared" si="12"/>
        <v>1.0555237470861751</v>
      </c>
      <c r="X23" s="61">
        <f t="shared" si="13"/>
        <v>7.7046056599662637E-3</v>
      </c>
      <c r="Y23" s="68">
        <v>1</v>
      </c>
      <c r="Z23" s="54">
        <v>1</v>
      </c>
      <c r="AA23" s="62">
        <v>3245</v>
      </c>
      <c r="AB23" s="208">
        <v>16491224549</v>
      </c>
      <c r="AC23" s="46"/>
      <c r="AD23" s="10"/>
      <c r="AE23" s="13"/>
      <c r="AF23" s="4"/>
      <c r="AG23" s="5"/>
      <c r="AH23" s="6"/>
      <c r="AI23" s="6"/>
      <c r="AJ23" s="6"/>
      <c r="AK23" s="7"/>
      <c r="AL23" s="5"/>
      <c r="AM23" s="6"/>
      <c r="AN23" s="6"/>
      <c r="AO23" s="6"/>
      <c r="AP23" s="7"/>
      <c r="AQ23" s="5"/>
      <c r="AR23" s="6"/>
      <c r="AS23" s="6"/>
      <c r="AT23" s="6"/>
      <c r="AU23" s="7"/>
    </row>
    <row r="24" spans="1:47" ht="18" customHeight="1" x14ac:dyDescent="0.35">
      <c r="A24" s="206">
        <v>19</v>
      </c>
      <c r="B24" s="191" t="s">
        <v>61</v>
      </c>
      <c r="C24" s="135" t="s">
        <v>62</v>
      </c>
      <c r="D24" s="126"/>
      <c r="E24" s="126"/>
      <c r="F24" s="127">
        <v>734796305.48000002</v>
      </c>
      <c r="G24" s="126"/>
      <c r="H24" s="126"/>
      <c r="I24" s="127"/>
      <c r="J24" s="127">
        <v>734796305.48000002</v>
      </c>
      <c r="K24" s="127">
        <v>7085420.1399999997</v>
      </c>
      <c r="L24" s="127">
        <v>1365585.28</v>
      </c>
      <c r="M24" s="64">
        <v>5719834.8600000003</v>
      </c>
      <c r="N24" s="71">
        <v>739751575.60000002</v>
      </c>
      <c r="O24" s="71">
        <v>38744717.990000002</v>
      </c>
      <c r="P24" s="186">
        <v>688728711.36000001</v>
      </c>
      <c r="Q24" s="58">
        <f t="shared" si="7"/>
        <v>1.3418097681016823E-3</v>
      </c>
      <c r="R24" s="67">
        <v>701006857.61000001</v>
      </c>
      <c r="S24" s="58">
        <f t="shared" si="8"/>
        <v>1.3354228717166968E-3</v>
      </c>
      <c r="T24" s="59">
        <f t="shared" si="9"/>
        <v>1.7827260643388781E-2</v>
      </c>
      <c r="U24" s="141">
        <f t="shared" si="10"/>
        <v>1.948034124310569E-3</v>
      </c>
      <c r="V24" s="60">
        <f t="shared" si="11"/>
        <v>8.1594563561062736E-3</v>
      </c>
      <c r="W24" s="61">
        <f t="shared" si="12"/>
        <v>102.37829426286268</v>
      </c>
      <c r="X24" s="61">
        <f t="shared" si="13"/>
        <v>0.83535122385043337</v>
      </c>
      <c r="Y24" s="54">
        <v>100</v>
      </c>
      <c r="Z24" s="54">
        <v>100</v>
      </c>
      <c r="AA24" s="92">
        <v>711</v>
      </c>
      <c r="AB24" s="212">
        <v>6847221.5</v>
      </c>
      <c r="AC24" s="46"/>
      <c r="AD24" s="10"/>
      <c r="AE24" s="13"/>
      <c r="AF24" s="4"/>
      <c r="AG24" s="5"/>
      <c r="AH24" s="6"/>
      <c r="AI24" s="6"/>
      <c r="AJ24" s="6"/>
      <c r="AK24" s="7"/>
      <c r="AL24" s="5"/>
      <c r="AM24" s="6"/>
      <c r="AN24" s="6"/>
      <c r="AO24" s="6"/>
      <c r="AP24" s="7"/>
      <c r="AQ24" s="5"/>
      <c r="AR24" s="6"/>
      <c r="AS24" s="6"/>
      <c r="AT24" s="6"/>
      <c r="AU24" s="7"/>
    </row>
    <row r="25" spans="1:47" ht="18" customHeight="1" x14ac:dyDescent="0.35">
      <c r="A25" s="206">
        <v>20</v>
      </c>
      <c r="B25" s="192" t="s">
        <v>38</v>
      </c>
      <c r="C25" s="135" t="s">
        <v>63</v>
      </c>
      <c r="D25" s="126"/>
      <c r="E25" s="126"/>
      <c r="F25" s="126">
        <v>15534561430.15</v>
      </c>
      <c r="G25" s="126"/>
      <c r="H25" s="126"/>
      <c r="I25" s="126"/>
      <c r="J25" s="126">
        <v>15534561430.15</v>
      </c>
      <c r="K25" s="126">
        <v>480142771.94</v>
      </c>
      <c r="L25" s="126">
        <v>83077721.120000005</v>
      </c>
      <c r="M25" s="64">
        <v>397065050.81999999</v>
      </c>
      <c r="N25" s="54">
        <v>55824098928</v>
      </c>
      <c r="O25" s="54">
        <v>292863576</v>
      </c>
      <c r="P25" s="186">
        <v>54986582337</v>
      </c>
      <c r="Q25" s="58">
        <f t="shared" si="7"/>
        <v>0.10712713449773442</v>
      </c>
      <c r="R25" s="67">
        <v>55531235353</v>
      </c>
      <c r="S25" s="58">
        <f t="shared" si="8"/>
        <v>0.10578738421748236</v>
      </c>
      <c r="T25" s="59">
        <f t="shared" si="9"/>
        <v>9.9051985566578418E-3</v>
      </c>
      <c r="U25" s="141">
        <f t="shared" si="10"/>
        <v>1.4960538981690751E-3</v>
      </c>
      <c r="V25" s="60">
        <f t="shared" si="11"/>
        <v>7.1503010566205437E-3</v>
      </c>
      <c r="W25" s="61">
        <f t="shared" si="12"/>
        <v>0.99997686460118818</v>
      </c>
      <c r="X25" s="61">
        <f t="shared" si="13"/>
        <v>7.1501356315539742E-3</v>
      </c>
      <c r="Y25" s="54">
        <v>1</v>
      </c>
      <c r="Z25" s="54">
        <v>1</v>
      </c>
      <c r="AA25" s="62">
        <v>77658</v>
      </c>
      <c r="AB25" s="208">
        <v>55532520120</v>
      </c>
      <c r="AC25" s="46"/>
      <c r="AD25" s="10"/>
      <c r="AE25" s="13"/>
      <c r="AF25" s="4"/>
      <c r="AG25" s="5"/>
      <c r="AH25" s="6"/>
      <c r="AI25" s="6"/>
      <c r="AJ25" s="6"/>
      <c r="AK25" s="7"/>
      <c r="AL25" s="5"/>
      <c r="AM25" s="6"/>
      <c r="AN25" s="6"/>
      <c r="AO25" s="6"/>
      <c r="AP25" s="7"/>
      <c r="AQ25" s="5"/>
      <c r="AR25" s="6"/>
      <c r="AS25" s="6"/>
      <c r="AT25" s="6"/>
      <c r="AU25" s="7"/>
    </row>
    <row r="26" spans="1:47" ht="18" customHeight="1" x14ac:dyDescent="0.35">
      <c r="A26" s="206">
        <v>21</v>
      </c>
      <c r="B26" s="191" t="s">
        <v>42</v>
      </c>
      <c r="C26" s="135" t="s">
        <v>64</v>
      </c>
      <c r="D26" s="126"/>
      <c r="E26" s="126"/>
      <c r="F26" s="126">
        <v>928246746.35000002</v>
      </c>
      <c r="G26" s="126"/>
      <c r="H26" s="126"/>
      <c r="I26" s="126"/>
      <c r="J26" s="126">
        <v>1385382457.3</v>
      </c>
      <c r="K26" s="126">
        <v>10139904.49</v>
      </c>
      <c r="L26" s="126">
        <v>1999305.69</v>
      </c>
      <c r="M26" s="64">
        <v>1999305.69</v>
      </c>
      <c r="N26" s="54">
        <v>1416074886.0599999</v>
      </c>
      <c r="O26" s="54">
        <v>6372632.2699999996</v>
      </c>
      <c r="P26" s="186">
        <v>1343539414.53</v>
      </c>
      <c r="Q26" s="58">
        <f t="shared" si="7"/>
        <v>2.6175390694633829E-3</v>
      </c>
      <c r="R26" s="67">
        <v>1409702253.8</v>
      </c>
      <c r="S26" s="58">
        <f t="shared" si="8"/>
        <v>2.6854924621613871E-3</v>
      </c>
      <c r="T26" s="59">
        <f t="shared" si="9"/>
        <v>4.924517922918191E-2</v>
      </c>
      <c r="U26" s="141">
        <f t="shared" si="10"/>
        <v>1.418246785525569E-3</v>
      </c>
      <c r="V26" s="60">
        <f t="shared" si="11"/>
        <v>1.418246785525569E-3</v>
      </c>
      <c r="W26" s="61">
        <f t="shared" si="12"/>
        <v>10.014585473431772</v>
      </c>
      <c r="X26" s="61">
        <f t="shared" si="13"/>
        <v>1.420315365606567E-2</v>
      </c>
      <c r="Y26" s="54">
        <v>10</v>
      </c>
      <c r="Z26" s="54">
        <v>10</v>
      </c>
      <c r="AA26" s="62">
        <v>1176</v>
      </c>
      <c r="AB26" s="208">
        <v>140764913.09</v>
      </c>
      <c r="AC26" s="46"/>
      <c r="AD26" s="10"/>
      <c r="AE26" s="3"/>
      <c r="AF26" s="9"/>
      <c r="AG26" s="5"/>
      <c r="AH26" s="6"/>
      <c r="AI26" s="6"/>
      <c r="AJ26" s="6"/>
      <c r="AK26" s="7"/>
      <c r="AL26" s="5"/>
      <c r="AM26" s="6"/>
      <c r="AN26" s="6"/>
      <c r="AO26" s="6"/>
      <c r="AP26" s="7"/>
      <c r="AQ26" s="5"/>
      <c r="AR26" s="6"/>
      <c r="AS26" s="6"/>
      <c r="AT26" s="6"/>
      <c r="AU26" s="7"/>
    </row>
    <row r="27" spans="1:47" ht="18" customHeight="1" x14ac:dyDescent="0.35">
      <c r="A27" s="206">
        <v>22</v>
      </c>
      <c r="B27" s="191" t="s">
        <v>65</v>
      </c>
      <c r="C27" s="135" t="s">
        <v>66</v>
      </c>
      <c r="D27" s="126"/>
      <c r="E27" s="126"/>
      <c r="F27" s="127">
        <v>8224868131.71</v>
      </c>
      <c r="G27" s="126"/>
      <c r="H27" s="126"/>
      <c r="I27" s="126"/>
      <c r="J27" s="127">
        <v>8224868131.71</v>
      </c>
      <c r="K27" s="127">
        <v>220549580.84999999</v>
      </c>
      <c r="L27" s="127">
        <v>29656704.780000001</v>
      </c>
      <c r="M27" s="64">
        <v>190892876.06999999</v>
      </c>
      <c r="N27" s="71">
        <v>26947662585.5</v>
      </c>
      <c r="O27" s="71">
        <v>93440031.799999997</v>
      </c>
      <c r="P27" s="186">
        <v>26247787071.900002</v>
      </c>
      <c r="Q27" s="58">
        <f t="shared" si="7"/>
        <v>5.1137024641505248E-2</v>
      </c>
      <c r="R27" s="67">
        <v>26854222553.700001</v>
      </c>
      <c r="S27" s="58">
        <f t="shared" si="8"/>
        <v>5.1157478148855372E-2</v>
      </c>
      <c r="T27" s="59">
        <f t="shared" si="9"/>
        <v>2.3104251803735053E-2</v>
      </c>
      <c r="U27" s="141">
        <f>(L27/R27)</f>
        <v>1.1043590899232297E-3</v>
      </c>
      <c r="V27" s="60">
        <f t="shared" si="11"/>
        <v>7.1084864098476235E-3</v>
      </c>
      <c r="W27" s="61">
        <f t="shared" si="12"/>
        <v>1.0214965994725169</v>
      </c>
      <c r="X27" s="61">
        <f t="shared" si="13"/>
        <v>7.2612946950559474E-3</v>
      </c>
      <c r="Y27" s="54">
        <v>1</v>
      </c>
      <c r="Z27" s="54">
        <v>1</v>
      </c>
      <c r="AA27" s="93">
        <v>18991</v>
      </c>
      <c r="AB27" s="212">
        <v>26289096378.360001</v>
      </c>
      <c r="AC27" s="46"/>
      <c r="AD27" s="10"/>
      <c r="AE27" s="10"/>
      <c r="AF27" s="11"/>
      <c r="AG27" s="5"/>
      <c r="AH27" s="6"/>
      <c r="AI27" s="6"/>
      <c r="AJ27" s="6"/>
      <c r="AK27" s="7"/>
      <c r="AL27" s="5"/>
      <c r="AM27" s="6"/>
      <c r="AN27" s="6"/>
      <c r="AO27" s="6"/>
      <c r="AP27" s="7"/>
      <c r="AQ27" s="5"/>
      <c r="AR27" s="6"/>
      <c r="AS27" s="6"/>
      <c r="AT27" s="6"/>
      <c r="AU27" s="7"/>
    </row>
    <row r="28" spans="1:47" ht="16.5" customHeight="1" x14ac:dyDescent="0.3">
      <c r="A28" s="206">
        <v>23</v>
      </c>
      <c r="B28" s="191" t="s">
        <v>67</v>
      </c>
      <c r="C28" s="135" t="s">
        <v>68</v>
      </c>
      <c r="D28" s="126"/>
      <c r="E28" s="126"/>
      <c r="F28" s="126">
        <v>593529643.83000004</v>
      </c>
      <c r="G28" s="126"/>
      <c r="H28" s="126"/>
      <c r="I28" s="126"/>
      <c r="J28" s="126">
        <v>593529643.83000004</v>
      </c>
      <c r="K28" s="126">
        <v>14384559.140000001</v>
      </c>
      <c r="L28" s="126">
        <v>3517327.19</v>
      </c>
      <c r="M28" s="64">
        <v>10867231.949999999</v>
      </c>
      <c r="N28" s="54">
        <v>2081781520.9300001</v>
      </c>
      <c r="O28" s="54">
        <v>3517327.19</v>
      </c>
      <c r="P28" s="186">
        <v>2094362429.3299999</v>
      </c>
      <c r="Q28" s="58">
        <f t="shared" si="7"/>
        <v>4.0803235283612951E-3</v>
      </c>
      <c r="R28" s="67">
        <v>2081665736.1900001</v>
      </c>
      <c r="S28" s="58">
        <f t="shared" si="8"/>
        <v>3.9655875048852669E-3</v>
      </c>
      <c r="T28" s="59">
        <f t="shared" si="9"/>
        <v>-6.0623189960782578E-3</v>
      </c>
      <c r="U28" s="141">
        <f t="shared" si="10"/>
        <v>1.6896695414882702E-3</v>
      </c>
      <c r="V28" s="60">
        <f t="shared" si="11"/>
        <v>5.2204500276254312E-3</v>
      </c>
      <c r="W28" s="61">
        <f t="shared" si="12"/>
        <v>99.393769492328545</v>
      </c>
      <c r="X28" s="61">
        <f t="shared" si="13"/>
        <v>0.51888020669202228</v>
      </c>
      <c r="Y28" s="54">
        <v>100</v>
      </c>
      <c r="Z28" s="54">
        <v>100</v>
      </c>
      <c r="AA28" s="62">
        <v>691</v>
      </c>
      <c r="AB28" s="208">
        <v>20943624</v>
      </c>
      <c r="AC28" s="11"/>
      <c r="AD28" s="14"/>
      <c r="AE28" s="15"/>
      <c r="AF28" s="15"/>
      <c r="AG28" s="5"/>
      <c r="AH28" s="6"/>
      <c r="AI28" s="6"/>
      <c r="AJ28" s="6"/>
      <c r="AK28" s="7"/>
      <c r="AL28" s="5"/>
      <c r="AM28" s="6"/>
      <c r="AN28" s="6"/>
      <c r="AO28" s="6"/>
      <c r="AP28" s="7"/>
      <c r="AQ28" s="5"/>
      <c r="AR28" s="6"/>
      <c r="AS28" s="6"/>
      <c r="AT28" s="6"/>
      <c r="AU28" s="7"/>
    </row>
    <row r="29" spans="1:47" ht="18" customHeight="1" x14ac:dyDescent="0.35">
      <c r="A29" s="206">
        <v>24</v>
      </c>
      <c r="B29" s="191" t="s">
        <v>69</v>
      </c>
      <c r="C29" s="135" t="s">
        <v>70</v>
      </c>
      <c r="D29" s="126"/>
      <c r="E29" s="126"/>
      <c r="F29" s="128">
        <v>1848259714.96</v>
      </c>
      <c r="G29" s="126"/>
      <c r="H29" s="126"/>
      <c r="I29" s="126"/>
      <c r="J29" s="128">
        <v>1848259714.96</v>
      </c>
      <c r="K29" s="128">
        <v>32243875.920000002</v>
      </c>
      <c r="L29" s="124">
        <v>2775652.3</v>
      </c>
      <c r="M29" s="64">
        <v>29468223.530000001</v>
      </c>
      <c r="N29" s="54">
        <v>4596399095.0699997</v>
      </c>
      <c r="O29" s="54">
        <v>103151436.13</v>
      </c>
      <c r="P29" s="186">
        <v>4527012401.1899996</v>
      </c>
      <c r="Q29" s="58">
        <f t="shared" si="7"/>
        <v>8.8197128419975172E-3</v>
      </c>
      <c r="R29" s="67">
        <v>4493247658.9399996</v>
      </c>
      <c r="S29" s="58">
        <f t="shared" si="8"/>
        <v>8.559667607951205E-3</v>
      </c>
      <c r="T29" s="59">
        <f t="shared" si="9"/>
        <v>-7.4585044744132755E-3</v>
      </c>
      <c r="U29" s="141">
        <f t="shared" si="10"/>
        <v>6.1773855141890907E-4</v>
      </c>
      <c r="V29" s="60">
        <f t="shared" si="11"/>
        <v>6.5583350322051554E-3</v>
      </c>
      <c r="W29" s="61">
        <f t="shared" si="12"/>
        <v>99.710687598558167</v>
      </c>
      <c r="X29" s="61">
        <f t="shared" si="13"/>
        <v>0.65393609556288823</v>
      </c>
      <c r="Y29" s="54">
        <v>100</v>
      </c>
      <c r="Z29" s="54">
        <v>100</v>
      </c>
      <c r="AA29" s="62">
        <v>5352</v>
      </c>
      <c r="AB29" s="208">
        <v>45062849</v>
      </c>
      <c r="AC29" s="46"/>
      <c r="AD29" s="10"/>
      <c r="AE29" s="13"/>
      <c r="AF29" s="4"/>
      <c r="AG29" s="5"/>
      <c r="AH29" s="6"/>
      <c r="AI29" s="6"/>
      <c r="AJ29" s="6"/>
      <c r="AK29" s="7"/>
      <c r="AL29" s="5"/>
      <c r="AM29" s="6"/>
      <c r="AN29" s="6"/>
      <c r="AO29" s="6"/>
      <c r="AP29" s="7"/>
      <c r="AQ29" s="5"/>
      <c r="AR29" s="6"/>
      <c r="AS29" s="6"/>
      <c r="AT29" s="6"/>
      <c r="AU29" s="7"/>
    </row>
    <row r="30" spans="1:47" ht="18" customHeight="1" x14ac:dyDescent="0.35">
      <c r="A30" s="206">
        <v>25</v>
      </c>
      <c r="B30" s="192" t="s">
        <v>49</v>
      </c>
      <c r="C30" s="132" t="s">
        <v>71</v>
      </c>
      <c r="D30" s="130"/>
      <c r="E30" s="126"/>
      <c r="F30" s="126">
        <v>999144724.24000001</v>
      </c>
      <c r="G30" s="126"/>
      <c r="H30" s="130"/>
      <c r="I30" s="126"/>
      <c r="J30" s="126">
        <v>999144724.24000001</v>
      </c>
      <c r="K30" s="126">
        <v>6060151.6200000001</v>
      </c>
      <c r="L30" s="126">
        <v>1149104.3899999999</v>
      </c>
      <c r="M30" s="64">
        <v>4911046.5599999996</v>
      </c>
      <c r="N30" s="54">
        <v>1020110950.39</v>
      </c>
      <c r="O30" s="54">
        <v>1147481.1100000001</v>
      </c>
      <c r="P30" s="186">
        <v>1022656024.52</v>
      </c>
      <c r="Q30" s="58">
        <f t="shared" si="7"/>
        <v>1.9923807741357717E-3</v>
      </c>
      <c r="R30" s="67">
        <v>1017387427.88</v>
      </c>
      <c r="S30" s="58">
        <f t="shared" si="8"/>
        <v>1.9381300280286902E-3</v>
      </c>
      <c r="T30" s="59">
        <f t="shared" si="9"/>
        <v>-5.1518756196374882E-3</v>
      </c>
      <c r="U30" s="141">
        <f t="shared" si="10"/>
        <v>1.1294658834093002E-3</v>
      </c>
      <c r="V30" s="60">
        <f t="shared" si="11"/>
        <v>4.8271154384455922E-3</v>
      </c>
      <c r="W30" s="61">
        <f t="shared" si="12"/>
        <v>11.001955730260592</v>
      </c>
      <c r="X30" s="61">
        <f t="shared" si="13"/>
        <v>5.3107710358635853E-2</v>
      </c>
      <c r="Y30" s="54">
        <v>10</v>
      </c>
      <c r="Z30" s="54">
        <v>10</v>
      </c>
      <c r="AA30" s="62">
        <v>311</v>
      </c>
      <c r="AB30" s="208">
        <v>92473325</v>
      </c>
      <c r="AC30" s="46"/>
      <c r="AD30" s="10"/>
      <c r="AE30" s="13"/>
      <c r="AF30" s="4"/>
      <c r="AG30" s="5"/>
      <c r="AH30" s="6"/>
      <c r="AI30" s="6"/>
      <c r="AJ30" s="6"/>
      <c r="AK30" s="7"/>
      <c r="AL30" s="5"/>
      <c r="AM30" s="6"/>
      <c r="AN30" s="6"/>
      <c r="AO30" s="6"/>
      <c r="AP30" s="7"/>
      <c r="AQ30" s="5"/>
      <c r="AR30" s="6"/>
      <c r="AS30" s="6"/>
      <c r="AT30" s="6"/>
      <c r="AU30" s="7"/>
    </row>
    <row r="31" spans="1:47" ht="18" customHeight="1" x14ac:dyDescent="0.35">
      <c r="A31" s="206">
        <v>26</v>
      </c>
      <c r="B31" s="192" t="s">
        <v>32</v>
      </c>
      <c r="C31" s="132" t="s">
        <v>72</v>
      </c>
      <c r="D31" s="126"/>
      <c r="E31" s="126"/>
      <c r="F31" s="127">
        <v>1978417930.74</v>
      </c>
      <c r="G31" s="126"/>
      <c r="H31" s="126"/>
      <c r="I31" s="127"/>
      <c r="J31" s="127">
        <v>1996470219.3399999</v>
      </c>
      <c r="K31" s="127">
        <v>13245211.789999999</v>
      </c>
      <c r="L31" s="127">
        <v>2939828.76</v>
      </c>
      <c r="M31" s="64">
        <v>10305383.029999999</v>
      </c>
      <c r="N31" s="71">
        <v>1996470219.3399999</v>
      </c>
      <c r="O31" s="71">
        <v>35349806.689999998</v>
      </c>
      <c r="P31" s="186">
        <v>1916551323.52</v>
      </c>
      <c r="Q31" s="58">
        <f t="shared" si="7"/>
        <v>3.7339045759965969E-3</v>
      </c>
      <c r="R31" s="67">
        <v>1961120412.6500001</v>
      </c>
      <c r="S31" s="58">
        <f t="shared" si="8"/>
        <v>3.7359478367618429E-3</v>
      </c>
      <c r="T31" s="59">
        <f t="shared" si="9"/>
        <v>2.3254837260576505E-2</v>
      </c>
      <c r="U31" s="141">
        <f t="shared" si="10"/>
        <v>1.4990557137832766E-3</v>
      </c>
      <c r="V31" s="60">
        <f t="shared" si="11"/>
        <v>5.2548446100128344E-3</v>
      </c>
      <c r="W31" s="61">
        <f t="shared" si="12"/>
        <v>99.999999982153071</v>
      </c>
      <c r="X31" s="61">
        <f t="shared" si="13"/>
        <v>0.52548446090750067</v>
      </c>
      <c r="Y31" s="94">
        <v>100</v>
      </c>
      <c r="Z31" s="94">
        <v>100</v>
      </c>
      <c r="AA31" s="62">
        <v>1152</v>
      </c>
      <c r="AB31" s="212">
        <v>19611204.129999999</v>
      </c>
      <c r="AC31" s="46"/>
      <c r="AD31" s="10"/>
      <c r="AE31" s="13"/>
      <c r="AF31" s="4"/>
      <c r="AG31" s="5"/>
      <c r="AH31" s="6"/>
      <c r="AI31" s="6"/>
      <c r="AJ31" s="6"/>
      <c r="AK31" s="7"/>
      <c r="AL31" s="5"/>
      <c r="AM31" s="6"/>
      <c r="AN31" s="6"/>
      <c r="AO31" s="6"/>
      <c r="AP31" s="7"/>
      <c r="AQ31" s="5"/>
      <c r="AR31" s="6"/>
      <c r="AS31" s="6"/>
      <c r="AT31" s="6"/>
      <c r="AU31" s="7"/>
    </row>
    <row r="32" spans="1:47" ht="16.5" customHeight="1" x14ac:dyDescent="0.3">
      <c r="A32" s="206">
        <v>27</v>
      </c>
      <c r="B32" s="191" t="s">
        <v>47</v>
      </c>
      <c r="C32" s="135" t="s">
        <v>73</v>
      </c>
      <c r="D32" s="126"/>
      <c r="E32" s="126"/>
      <c r="F32" s="126">
        <v>8442378542.4499998</v>
      </c>
      <c r="G32" s="126"/>
      <c r="H32" s="126"/>
      <c r="I32" s="126"/>
      <c r="J32" s="126">
        <v>8442378542.4499998</v>
      </c>
      <c r="K32" s="126">
        <v>61687671.43</v>
      </c>
      <c r="L32" s="127">
        <v>11081966.130000001</v>
      </c>
      <c r="M32" s="64">
        <v>50605705.289999999</v>
      </c>
      <c r="N32" s="54">
        <v>8458078542.4499998</v>
      </c>
      <c r="O32" s="54">
        <v>208634124.49000001</v>
      </c>
      <c r="P32" s="186">
        <v>8080974400.3100004</v>
      </c>
      <c r="Q32" s="58">
        <f t="shared" si="7"/>
        <v>1.5743688635695433E-2</v>
      </c>
      <c r="R32" s="67">
        <v>8249444417.96</v>
      </c>
      <c r="S32" s="58">
        <f t="shared" si="8"/>
        <v>1.5715248196371233E-2</v>
      </c>
      <c r="T32" s="59">
        <f t="shared" si="9"/>
        <v>2.0847735595293657E-2</v>
      </c>
      <c r="U32" s="141">
        <f t="shared" si="10"/>
        <v>1.3433590880221305E-3</v>
      </c>
      <c r="V32" s="60">
        <f t="shared" si="11"/>
        <v>6.134437996797153E-3</v>
      </c>
      <c r="W32" s="61">
        <f t="shared" si="12"/>
        <v>99.998923974993389</v>
      </c>
      <c r="X32" s="61">
        <f t="shared" si="13"/>
        <v>0.61343719887102921</v>
      </c>
      <c r="Y32" s="54">
        <v>100</v>
      </c>
      <c r="Z32" s="54">
        <v>100</v>
      </c>
      <c r="AA32" s="62">
        <v>5481</v>
      </c>
      <c r="AB32" s="208">
        <v>82495331.849999994</v>
      </c>
      <c r="AC32" s="34"/>
      <c r="AD32" s="12"/>
      <c r="AE32" s="4"/>
      <c r="AF32" s="4"/>
      <c r="AG32" s="5"/>
      <c r="AH32" s="6"/>
      <c r="AI32" s="6"/>
      <c r="AJ32" s="6"/>
      <c r="AK32" s="7"/>
      <c r="AL32" s="5"/>
      <c r="AM32" s="6"/>
      <c r="AN32" s="6"/>
      <c r="AO32" s="6"/>
      <c r="AP32" s="7"/>
      <c r="AQ32" s="5"/>
      <c r="AR32" s="6"/>
      <c r="AS32" s="6"/>
      <c r="AT32" s="6"/>
      <c r="AU32" s="7"/>
    </row>
    <row r="33" spans="1:257" ht="16.5" customHeight="1" x14ac:dyDescent="0.3">
      <c r="A33" s="206">
        <v>28</v>
      </c>
      <c r="B33" s="191" t="s">
        <v>74</v>
      </c>
      <c r="C33" s="135" t="s">
        <v>201</v>
      </c>
      <c r="D33" s="126"/>
      <c r="E33" s="126"/>
      <c r="F33" s="127">
        <v>2765131702.48</v>
      </c>
      <c r="G33" s="126"/>
      <c r="H33" s="126"/>
      <c r="I33" s="126"/>
      <c r="J33" s="126">
        <v>7762007737.5</v>
      </c>
      <c r="K33" s="126">
        <v>57534847.869999997</v>
      </c>
      <c r="L33" s="126">
        <v>9980961.5600000005</v>
      </c>
      <c r="M33" s="64">
        <v>47553886.310000002</v>
      </c>
      <c r="N33" s="54">
        <v>7762007737.5</v>
      </c>
      <c r="O33" s="54">
        <v>75592425.040000007</v>
      </c>
      <c r="P33" s="186">
        <v>6639563116.5500002</v>
      </c>
      <c r="Q33" s="58">
        <f t="shared" si="7"/>
        <v>1.2935471541649828E-2</v>
      </c>
      <c r="R33" s="67">
        <v>7686415312.46</v>
      </c>
      <c r="S33" s="58">
        <f t="shared" si="8"/>
        <v>1.4642673888766959E-2</v>
      </c>
      <c r="T33" s="59">
        <f t="shared" si="9"/>
        <v>0.15766883717101515</v>
      </c>
      <c r="U33" s="141">
        <f t="shared" si="10"/>
        <v>1.2985196810560633E-3</v>
      </c>
      <c r="V33" s="60">
        <f t="shared" si="11"/>
        <v>6.1867443244854551E-3</v>
      </c>
      <c r="W33" s="61">
        <f t="shared" si="12"/>
        <v>100.00975468487727</v>
      </c>
      <c r="X33" s="61">
        <f t="shared" si="13"/>
        <v>0.61873478218984701</v>
      </c>
      <c r="Y33" s="54">
        <v>100</v>
      </c>
      <c r="Z33" s="54">
        <v>100</v>
      </c>
      <c r="AA33" s="62">
        <v>3120</v>
      </c>
      <c r="AB33" s="217">
        <v>76856656</v>
      </c>
      <c r="AC33" s="13"/>
      <c r="AD33" s="4"/>
      <c r="AE33" s="4"/>
      <c r="AF33" s="4"/>
      <c r="AG33" s="5"/>
      <c r="AH33" s="6"/>
      <c r="AI33" s="6"/>
      <c r="AJ33" s="6"/>
      <c r="AK33" s="7"/>
      <c r="AL33" s="5"/>
      <c r="AM33" s="6"/>
      <c r="AN33" s="6"/>
      <c r="AO33" s="6"/>
      <c r="AP33" s="7"/>
      <c r="AQ33" s="5"/>
      <c r="AR33" s="6"/>
      <c r="AS33" s="6"/>
      <c r="AT33" s="6"/>
      <c r="AU33" s="7"/>
    </row>
    <row r="34" spans="1:257" ht="16.5" customHeight="1" x14ac:dyDescent="0.3">
      <c r="A34" s="206">
        <v>29</v>
      </c>
      <c r="B34" s="191" t="s">
        <v>74</v>
      </c>
      <c r="C34" s="135" t="s">
        <v>75</v>
      </c>
      <c r="D34" s="126"/>
      <c r="E34" s="126"/>
      <c r="F34" s="126">
        <v>85646479.560000002</v>
      </c>
      <c r="G34" s="126"/>
      <c r="H34" s="126"/>
      <c r="I34" s="128"/>
      <c r="J34" s="126">
        <v>364114363.94</v>
      </c>
      <c r="K34" s="126">
        <v>1593106.75</v>
      </c>
      <c r="L34" s="126">
        <v>166865.85</v>
      </c>
      <c r="M34" s="64">
        <v>1426240.9</v>
      </c>
      <c r="N34" s="54">
        <v>364114363.94</v>
      </c>
      <c r="O34" s="54">
        <v>1617321.37</v>
      </c>
      <c r="P34" s="186">
        <v>154820249.31</v>
      </c>
      <c r="Q34" s="58">
        <f t="shared" si="7"/>
        <v>3.0162721460222375E-4</v>
      </c>
      <c r="R34" s="67">
        <v>362497042.56999999</v>
      </c>
      <c r="S34" s="58">
        <f t="shared" si="8"/>
        <v>6.9055935234082577E-4</v>
      </c>
      <c r="T34" s="59">
        <f t="shared" si="9"/>
        <v>1.3414058831811086</v>
      </c>
      <c r="U34" s="141">
        <f t="shared" si="10"/>
        <v>4.6032334172154625E-4</v>
      </c>
      <c r="V34" s="60">
        <f t="shared" si="11"/>
        <v>3.9344897544221638E-3</v>
      </c>
      <c r="W34" s="61">
        <f t="shared" si="12"/>
        <v>1018250.1195786516</v>
      </c>
      <c r="X34" s="61">
        <f t="shared" si="13"/>
        <v>4006.2946629213479</v>
      </c>
      <c r="Y34" s="54">
        <v>100</v>
      </c>
      <c r="Z34" s="54">
        <v>100</v>
      </c>
      <c r="AA34" s="62">
        <v>8</v>
      </c>
      <c r="AB34" s="208">
        <v>356</v>
      </c>
      <c r="AC34" s="13"/>
      <c r="AD34" s="4"/>
      <c r="AE34" s="4"/>
      <c r="AF34" s="4"/>
      <c r="AG34" s="5"/>
      <c r="AH34" s="6"/>
      <c r="AI34" s="6"/>
      <c r="AJ34" s="6"/>
      <c r="AK34" s="7"/>
      <c r="AL34" s="5"/>
      <c r="AM34" s="6"/>
      <c r="AN34" s="6"/>
      <c r="AO34" s="6"/>
      <c r="AP34" s="7"/>
      <c r="AQ34" s="5"/>
      <c r="AR34" s="6"/>
      <c r="AS34" s="6"/>
      <c r="AT34" s="6"/>
      <c r="AU34" s="7"/>
    </row>
    <row r="35" spans="1:257" ht="16.5" customHeight="1" x14ac:dyDescent="0.3">
      <c r="A35" s="206">
        <v>30</v>
      </c>
      <c r="B35" s="191" t="s">
        <v>76</v>
      </c>
      <c r="C35" s="135" t="s">
        <v>77</v>
      </c>
      <c r="D35" s="128"/>
      <c r="E35" s="126"/>
      <c r="F35" s="127">
        <v>1987507406.29</v>
      </c>
      <c r="G35" s="126"/>
      <c r="H35" s="126"/>
      <c r="I35" s="127"/>
      <c r="J35" s="127">
        <v>1987507406.29</v>
      </c>
      <c r="K35" s="127">
        <v>38073317.950000003</v>
      </c>
      <c r="L35" s="127">
        <v>4928677.28</v>
      </c>
      <c r="M35" s="64">
        <v>33144640.66</v>
      </c>
      <c r="N35" s="71">
        <v>4651457358.5600004</v>
      </c>
      <c r="O35" s="71">
        <v>18808502.350000001</v>
      </c>
      <c r="P35" s="186">
        <v>4343492420.0200005</v>
      </c>
      <c r="Q35" s="58">
        <f t="shared" si="7"/>
        <v>8.4621716224809306E-3</v>
      </c>
      <c r="R35" s="67">
        <v>4632648856.21</v>
      </c>
      <c r="S35" s="58">
        <f t="shared" si="8"/>
        <v>8.8252278448563599E-3</v>
      </c>
      <c r="T35" s="59">
        <f t="shared" si="9"/>
        <v>6.657233585978449E-2</v>
      </c>
      <c r="U35" s="141">
        <f t="shared" si="10"/>
        <v>1.0639004666613526E-3</v>
      </c>
      <c r="V35" s="60">
        <f t="shared" si="11"/>
        <v>7.1545765044484389E-3</v>
      </c>
      <c r="W35" s="61">
        <f t="shared" si="12"/>
        <v>0.95192602032192275</v>
      </c>
      <c r="X35" s="61">
        <f t="shared" si="13"/>
        <v>6.8106275389683358E-3</v>
      </c>
      <c r="Y35" s="54">
        <v>1</v>
      </c>
      <c r="Z35" s="54">
        <v>1</v>
      </c>
      <c r="AA35" s="62">
        <v>1389</v>
      </c>
      <c r="AB35" s="212">
        <v>4866605972.8500004</v>
      </c>
      <c r="AC35" s="13"/>
      <c r="AD35" s="4"/>
      <c r="AE35" s="4"/>
      <c r="AF35" s="4"/>
      <c r="AG35" s="5"/>
      <c r="AH35" s="6"/>
      <c r="AI35" s="6"/>
      <c r="AJ35" s="6"/>
      <c r="AK35" s="7"/>
      <c r="AL35" s="5"/>
      <c r="AM35" s="6"/>
      <c r="AN35" s="6"/>
      <c r="AO35" s="6"/>
      <c r="AP35" s="7"/>
      <c r="AQ35" s="5"/>
      <c r="AR35" s="6"/>
      <c r="AS35" s="6"/>
      <c r="AT35" s="6"/>
      <c r="AU35" s="7"/>
    </row>
    <row r="36" spans="1:257" ht="16.5" customHeight="1" x14ac:dyDescent="0.3">
      <c r="A36" s="206">
        <v>31</v>
      </c>
      <c r="B36" s="191" t="s">
        <v>78</v>
      </c>
      <c r="C36" s="135" t="s">
        <v>79</v>
      </c>
      <c r="D36" s="126"/>
      <c r="E36" s="126"/>
      <c r="F36" s="126">
        <v>9605701679.1700001</v>
      </c>
      <c r="G36" s="126"/>
      <c r="H36" s="126"/>
      <c r="I36" s="126"/>
      <c r="J36" s="126">
        <v>9605701679.1700001</v>
      </c>
      <c r="K36" s="126">
        <v>46979515.5</v>
      </c>
      <c r="L36" s="126">
        <v>9002106.2400000002</v>
      </c>
      <c r="M36" s="64">
        <v>37977409.259999998</v>
      </c>
      <c r="N36" s="54">
        <v>9605701679.1700001</v>
      </c>
      <c r="O36" s="54">
        <v>27560799.399999999</v>
      </c>
      <c r="P36" s="186">
        <v>9116487752.7600002</v>
      </c>
      <c r="Q36" s="58">
        <f t="shared" si="7"/>
        <v>1.7761118588010657E-2</v>
      </c>
      <c r="R36" s="67">
        <v>9578140879.7700005</v>
      </c>
      <c r="S36" s="58">
        <f t="shared" si="8"/>
        <v>1.8246424069200261E-2</v>
      </c>
      <c r="T36" s="59">
        <f t="shared" si="9"/>
        <v>5.0639362387146912E-2</v>
      </c>
      <c r="U36" s="141">
        <f t="shared" si="10"/>
        <v>9.3985945216293028E-4</v>
      </c>
      <c r="V36" s="60">
        <f t="shared" si="11"/>
        <v>3.9650084224812478E-3</v>
      </c>
      <c r="W36" s="61">
        <f t="shared" si="12"/>
        <v>1.0176928301470358</v>
      </c>
      <c r="X36" s="61">
        <f t="shared" si="13"/>
        <v>4.035160643031774E-3</v>
      </c>
      <c r="Y36" s="54">
        <v>1</v>
      </c>
      <c r="Z36" s="54">
        <v>1</v>
      </c>
      <c r="AA36" s="62">
        <v>2440</v>
      </c>
      <c r="AB36" s="208">
        <v>9411622639.0100002</v>
      </c>
      <c r="AC36" s="48"/>
      <c r="AD36" s="16"/>
      <c r="AE36" s="16"/>
      <c r="AF36" s="16"/>
      <c r="AG36" s="5"/>
      <c r="AH36" s="6"/>
      <c r="AI36" s="6"/>
      <c r="AJ36" s="6"/>
      <c r="AK36" s="7"/>
      <c r="AL36" s="5"/>
      <c r="AM36" s="6"/>
      <c r="AN36" s="6"/>
      <c r="AO36" s="6"/>
      <c r="AP36" s="7"/>
      <c r="AQ36" s="5"/>
      <c r="AR36" s="6"/>
      <c r="AS36" s="6"/>
      <c r="AT36" s="6"/>
      <c r="AU36" s="7"/>
    </row>
    <row r="37" spans="1:257" ht="16.5" customHeight="1" x14ac:dyDescent="0.3">
      <c r="A37" s="206">
        <v>32</v>
      </c>
      <c r="B37" s="191" t="s">
        <v>34</v>
      </c>
      <c r="C37" s="135" t="s">
        <v>80</v>
      </c>
      <c r="D37" s="126"/>
      <c r="E37" s="126"/>
      <c r="F37" s="126">
        <v>508021345.99000001</v>
      </c>
      <c r="G37" s="126"/>
      <c r="H37" s="130"/>
      <c r="I37" s="126"/>
      <c r="J37" s="126">
        <v>508021345.99000001</v>
      </c>
      <c r="K37" s="126">
        <v>3731618.71</v>
      </c>
      <c r="L37" s="127">
        <v>1206892.82</v>
      </c>
      <c r="M37" s="64">
        <v>2524725.89</v>
      </c>
      <c r="N37" s="54">
        <v>531575349.88999999</v>
      </c>
      <c r="O37" s="54">
        <v>14651930.16</v>
      </c>
      <c r="P37" s="186">
        <v>525106220.30000001</v>
      </c>
      <c r="Q37" s="58">
        <f t="shared" si="7"/>
        <v>1.0230336619743471E-3</v>
      </c>
      <c r="R37" s="67">
        <v>516923419.73000002</v>
      </c>
      <c r="S37" s="58">
        <f t="shared" si="8"/>
        <v>9.8474265998907211E-4</v>
      </c>
      <c r="T37" s="59">
        <f t="shared" si="9"/>
        <v>-1.5583133952069835E-2</v>
      </c>
      <c r="U37" s="141">
        <f t="shared" si="10"/>
        <v>2.3347613474939588E-3</v>
      </c>
      <c r="V37" s="60">
        <f t="shared" si="11"/>
        <v>4.8841391077206709E-3</v>
      </c>
      <c r="W37" s="61">
        <f t="shared" si="12"/>
        <v>102.44621514751964</v>
      </c>
      <c r="X37" s="61">
        <f t="shared" si="13"/>
        <v>0.50036156583996638</v>
      </c>
      <c r="Y37" s="65">
        <v>100</v>
      </c>
      <c r="Z37" s="65">
        <v>100</v>
      </c>
      <c r="AA37" s="62">
        <v>573</v>
      </c>
      <c r="AB37" s="208">
        <v>5045803</v>
      </c>
      <c r="AC37" s="13"/>
      <c r="AD37" s="4"/>
      <c r="AE37" s="4"/>
      <c r="AF37" s="4"/>
      <c r="AG37" s="5"/>
      <c r="AH37" s="6"/>
      <c r="AI37" s="6"/>
      <c r="AJ37" s="6"/>
      <c r="AK37" s="7"/>
      <c r="AL37" s="5"/>
      <c r="AM37" s="6"/>
      <c r="AN37" s="6"/>
      <c r="AO37" s="6"/>
      <c r="AP37" s="7"/>
      <c r="AQ37" s="5"/>
      <c r="AR37" s="6"/>
      <c r="AS37" s="6"/>
      <c r="AT37" s="6"/>
      <c r="AU37" s="7"/>
    </row>
    <row r="38" spans="1:257" ht="16.5" customHeight="1" x14ac:dyDescent="0.3">
      <c r="A38" s="206">
        <v>33</v>
      </c>
      <c r="B38" s="191" t="s">
        <v>28</v>
      </c>
      <c r="C38" s="135" t="s">
        <v>81</v>
      </c>
      <c r="D38" s="126"/>
      <c r="E38" s="126"/>
      <c r="F38" s="126">
        <v>4965469649.3599997</v>
      </c>
      <c r="G38" s="126"/>
      <c r="H38" s="126"/>
      <c r="I38" s="133">
        <v>70279581</v>
      </c>
      <c r="J38" s="126">
        <v>4937120927.8000002</v>
      </c>
      <c r="K38" s="126">
        <v>34576438.710000001</v>
      </c>
      <c r="L38" s="126">
        <v>4894199.9800000004</v>
      </c>
      <c r="M38" s="64">
        <v>29682238.73</v>
      </c>
      <c r="N38" s="54">
        <v>4937120927</v>
      </c>
      <c r="O38" s="54">
        <v>16317346.82</v>
      </c>
      <c r="P38" s="186">
        <v>4993991789.1499996</v>
      </c>
      <c r="Q38" s="58">
        <f t="shared" si="7"/>
        <v>9.7295014045064923E-3</v>
      </c>
      <c r="R38" s="67">
        <v>4920803580.9799995</v>
      </c>
      <c r="S38" s="58">
        <f t="shared" si="8"/>
        <v>9.3741645718992961E-3</v>
      </c>
      <c r="T38" s="59">
        <f t="shared" si="9"/>
        <v>-1.4655252002818581E-2</v>
      </c>
      <c r="U38" s="141">
        <f t="shared" si="10"/>
        <v>9.9459364704520452E-4</v>
      </c>
      <c r="V38" s="60">
        <f t="shared" si="11"/>
        <v>6.0319901498869935E-3</v>
      </c>
      <c r="W38" s="61">
        <f t="shared" si="12"/>
        <v>0.99374221426094167</v>
      </c>
      <c r="X38" s="61">
        <f t="shared" si="13"/>
        <v>5.9942432479488904E-3</v>
      </c>
      <c r="Y38" s="54">
        <v>0.99</v>
      </c>
      <c r="Z38" s="54">
        <v>0.99</v>
      </c>
      <c r="AA38" s="62">
        <v>804</v>
      </c>
      <c r="AB38" s="208">
        <v>4951790827</v>
      </c>
      <c r="AC38" s="13"/>
      <c r="AD38" s="4"/>
      <c r="AE38" s="4"/>
      <c r="AF38" s="4"/>
      <c r="AG38" s="5"/>
      <c r="AH38" s="6"/>
      <c r="AI38" s="6"/>
      <c r="AJ38" s="6"/>
      <c r="AK38" s="7"/>
      <c r="AL38" s="5"/>
      <c r="AM38" s="6"/>
      <c r="AN38" s="6"/>
      <c r="AO38" s="6"/>
      <c r="AP38" s="7"/>
      <c r="AQ38" s="5"/>
      <c r="AR38" s="6"/>
      <c r="AS38" s="6"/>
      <c r="AT38" s="6"/>
      <c r="AU38" s="7"/>
    </row>
    <row r="39" spans="1:257" ht="16.5" customHeight="1" x14ac:dyDescent="0.3">
      <c r="A39" s="206">
        <v>34</v>
      </c>
      <c r="B39" s="191" t="s">
        <v>82</v>
      </c>
      <c r="C39" s="135" t="s">
        <v>83</v>
      </c>
      <c r="D39" s="126"/>
      <c r="E39" s="128"/>
      <c r="F39" s="127">
        <v>407286346.06</v>
      </c>
      <c r="G39" s="126"/>
      <c r="H39" s="126"/>
      <c r="I39" s="126">
        <v>14173202.09</v>
      </c>
      <c r="J39" s="134">
        <v>637623173.51999998</v>
      </c>
      <c r="K39" s="134">
        <v>3130624.65</v>
      </c>
      <c r="L39" s="134">
        <v>515137.52</v>
      </c>
      <c r="M39" s="64">
        <f>K39-L39</f>
        <v>2615487.13</v>
      </c>
      <c r="N39" s="55">
        <v>657438416.30999994</v>
      </c>
      <c r="O39" s="96">
        <v>15334604.140000001</v>
      </c>
      <c r="P39" s="186">
        <v>651610252.41999996</v>
      </c>
      <c r="Q39" s="58">
        <f t="shared" si="7"/>
        <v>1.2694940508082592E-3</v>
      </c>
      <c r="R39" s="67">
        <v>642103812.16999996</v>
      </c>
      <c r="S39" s="58">
        <f t="shared" si="8"/>
        <v>1.2232121661573711E-3</v>
      </c>
      <c r="T39" s="59">
        <f t="shared" si="9"/>
        <v>-1.4589150822434508E-2</v>
      </c>
      <c r="U39" s="141">
        <f t="shared" si="10"/>
        <v>8.0226516372653919E-4</v>
      </c>
      <c r="V39" s="60">
        <f t="shared" si="11"/>
        <v>4.073308833288063E-3</v>
      </c>
      <c r="W39" s="61">
        <f t="shared" si="12"/>
        <v>10.004891977802391</v>
      </c>
      <c r="X39" s="61">
        <f t="shared" si="13"/>
        <v>4.0753014869275357E-2</v>
      </c>
      <c r="Y39" s="54">
        <v>10</v>
      </c>
      <c r="Z39" s="54">
        <v>10</v>
      </c>
      <c r="AA39" s="62">
        <v>270</v>
      </c>
      <c r="AB39" s="207">
        <v>64178985</v>
      </c>
      <c r="AC39" s="13"/>
      <c r="AD39" s="4"/>
      <c r="AE39" s="4"/>
      <c r="AF39" s="4"/>
      <c r="AG39" s="5"/>
      <c r="AH39" s="6"/>
      <c r="AI39" s="6"/>
      <c r="AJ39" s="6"/>
      <c r="AK39" s="7"/>
      <c r="AL39" s="5"/>
      <c r="AM39" s="6"/>
      <c r="AN39" s="6"/>
      <c r="AO39" s="6"/>
      <c r="AP39" s="7"/>
      <c r="AQ39" s="5"/>
      <c r="AR39" s="6"/>
      <c r="AS39" s="6"/>
      <c r="AT39" s="6"/>
      <c r="AU39" s="7"/>
    </row>
    <row r="40" spans="1:257" ht="16.5" customHeight="1" x14ac:dyDescent="0.3">
      <c r="A40" s="206">
        <v>35</v>
      </c>
      <c r="B40" s="191" t="s">
        <v>84</v>
      </c>
      <c r="C40" s="135" t="s">
        <v>85</v>
      </c>
      <c r="D40" s="126"/>
      <c r="E40" s="126"/>
      <c r="F40" s="127">
        <v>550179543.61000001</v>
      </c>
      <c r="G40" s="126"/>
      <c r="H40" s="126"/>
      <c r="I40" s="127"/>
      <c r="J40" s="127">
        <v>550179543.61000001</v>
      </c>
      <c r="K40" s="127">
        <v>4976279</v>
      </c>
      <c r="L40" s="127">
        <v>876487.27</v>
      </c>
      <c r="M40" s="97">
        <v>4099791.73</v>
      </c>
      <c r="N40" s="71">
        <v>740765576.28999996</v>
      </c>
      <c r="O40" s="71">
        <v>400000</v>
      </c>
      <c r="P40" s="186">
        <v>774867919.41999996</v>
      </c>
      <c r="Q40" s="58">
        <f t="shared" si="7"/>
        <v>1.509629736813624E-3</v>
      </c>
      <c r="R40" s="67">
        <v>736369792.40999997</v>
      </c>
      <c r="S40" s="58">
        <f t="shared" si="8"/>
        <v>1.4027895050531417E-3</v>
      </c>
      <c r="T40" s="59">
        <f t="shared" si="9"/>
        <v>-4.9683469976168848E-2</v>
      </c>
      <c r="U40" s="141">
        <f t="shared" si="10"/>
        <v>1.1902814034935108E-3</v>
      </c>
      <c r="V40" s="60">
        <f t="shared" si="11"/>
        <v>5.5675718535141859E-3</v>
      </c>
      <c r="W40" s="61">
        <f t="shared" si="12"/>
        <v>1.0148451056617105</v>
      </c>
      <c r="X40" s="61">
        <f t="shared" si="13"/>
        <v>5.65022304595877E-3</v>
      </c>
      <c r="Y40" s="54">
        <v>1</v>
      </c>
      <c r="Z40" s="54">
        <v>1</v>
      </c>
      <c r="AA40" s="62">
        <v>149</v>
      </c>
      <c r="AB40" s="212">
        <v>725598210.30999994</v>
      </c>
      <c r="AC40" s="13"/>
      <c r="AD40" s="4"/>
      <c r="AE40" s="4"/>
      <c r="AF40" s="4"/>
      <c r="AG40" s="5"/>
      <c r="AH40" s="6"/>
      <c r="AI40" s="6"/>
      <c r="AJ40" s="6"/>
      <c r="AK40" s="7"/>
      <c r="AL40" s="5"/>
      <c r="AM40" s="6"/>
      <c r="AN40" s="6"/>
      <c r="AO40" s="6"/>
      <c r="AP40" s="7"/>
      <c r="AQ40" s="5"/>
      <c r="AR40" s="6"/>
      <c r="AS40" s="6"/>
      <c r="AT40" s="6"/>
      <c r="AU40" s="7"/>
    </row>
    <row r="41" spans="1:257" ht="16.5" customHeight="1" x14ac:dyDescent="0.3">
      <c r="A41" s="206">
        <v>36</v>
      </c>
      <c r="B41" s="191" t="s">
        <v>86</v>
      </c>
      <c r="C41" s="135" t="s">
        <v>169</v>
      </c>
      <c r="D41" s="126"/>
      <c r="E41" s="126"/>
      <c r="F41" s="127">
        <v>6062327712.8400002</v>
      </c>
      <c r="G41" s="126"/>
      <c r="H41" s="126"/>
      <c r="I41" s="127">
        <v>96944102.239999995</v>
      </c>
      <c r="J41" s="127">
        <f>I41+F41</f>
        <v>6159271815.0799999</v>
      </c>
      <c r="K41" s="127">
        <v>44560126.340000004</v>
      </c>
      <c r="L41" s="127">
        <v>23748453.57</v>
      </c>
      <c r="M41" s="97">
        <f>K41-L41</f>
        <v>20811672.770000003</v>
      </c>
      <c r="N41" s="71">
        <v>6227973573.4399996</v>
      </c>
      <c r="O41" s="71">
        <v>120685939.22</v>
      </c>
      <c r="P41" s="186">
        <v>6093243208.0500002</v>
      </c>
      <c r="Q41" s="58">
        <f t="shared" si="7"/>
        <v>1.187110849471632E-2</v>
      </c>
      <c r="R41" s="67">
        <f>N41-O41</f>
        <v>6107287634.2199993</v>
      </c>
      <c r="S41" s="58">
        <f t="shared" si="8"/>
        <v>1.1634424831015518E-2</v>
      </c>
      <c r="T41" s="59">
        <f t="shared" si="9"/>
        <v>2.3049180363331851E-3</v>
      </c>
      <c r="U41" s="141">
        <f t="shared" si="10"/>
        <v>3.8885434897374155E-3</v>
      </c>
      <c r="V41" s="60">
        <f t="shared" si="11"/>
        <v>3.4076785009091838E-3</v>
      </c>
      <c r="W41" s="61">
        <f t="shared" si="12"/>
        <v>99.999983629724071</v>
      </c>
      <c r="X41" s="61">
        <f t="shared" si="13"/>
        <v>0.34076779430628107</v>
      </c>
      <c r="Y41" s="54">
        <v>100</v>
      </c>
      <c r="Z41" s="54">
        <v>100</v>
      </c>
      <c r="AA41" s="62">
        <v>1093</v>
      </c>
      <c r="AB41" s="212">
        <v>61072886.340000004</v>
      </c>
      <c r="AC41" s="3"/>
      <c r="AD41" s="9"/>
      <c r="AE41" s="9"/>
      <c r="AF41" s="9"/>
      <c r="AG41" s="5"/>
      <c r="AH41" s="6"/>
      <c r="AI41" s="6"/>
      <c r="AJ41" s="6"/>
      <c r="AK41" s="7"/>
      <c r="AL41" s="5"/>
      <c r="AM41" s="6"/>
      <c r="AN41" s="6"/>
      <c r="AO41" s="6"/>
      <c r="AP41" s="7"/>
      <c r="AQ41" s="5"/>
      <c r="AR41" s="6"/>
      <c r="AS41" s="6"/>
      <c r="AT41" s="6"/>
      <c r="AU41" s="7"/>
    </row>
    <row r="42" spans="1:257" ht="16.5" customHeight="1" x14ac:dyDescent="0.3">
      <c r="A42" s="206">
        <v>37</v>
      </c>
      <c r="B42" s="191" t="s">
        <v>87</v>
      </c>
      <c r="C42" s="135" t="s">
        <v>88</v>
      </c>
      <c r="D42" s="126"/>
      <c r="E42" s="126"/>
      <c r="F42" s="126">
        <v>270604339.94999999</v>
      </c>
      <c r="G42" s="126"/>
      <c r="H42" s="126"/>
      <c r="I42" s="126"/>
      <c r="J42" s="126">
        <v>270604339.94999999</v>
      </c>
      <c r="K42" s="126">
        <v>2672271.71</v>
      </c>
      <c r="L42" s="126">
        <v>522931.67</v>
      </c>
      <c r="M42" s="64">
        <v>2149340.04</v>
      </c>
      <c r="N42" s="54">
        <v>430209844.13999999</v>
      </c>
      <c r="O42" s="54">
        <v>4586097.6500000004</v>
      </c>
      <c r="P42" s="186">
        <v>413214587.35000002</v>
      </c>
      <c r="Q42" s="58">
        <f t="shared" si="7"/>
        <v>8.0504175371675594E-4</v>
      </c>
      <c r="R42" s="67">
        <v>425623746.49000001</v>
      </c>
      <c r="S42" s="58">
        <f t="shared" si="8"/>
        <v>8.1081615627320077E-4</v>
      </c>
      <c r="T42" s="59">
        <f t="shared" si="9"/>
        <v>3.003078671443225E-2</v>
      </c>
      <c r="U42" s="141">
        <f t="shared" si="10"/>
        <v>1.2286242821564145E-3</v>
      </c>
      <c r="V42" s="60">
        <f t="shared" si="11"/>
        <v>5.0498593128908012E-3</v>
      </c>
      <c r="W42" s="61">
        <f t="shared" si="12"/>
        <v>1.0458922826437458</v>
      </c>
      <c r="X42" s="61">
        <f t="shared" si="13"/>
        <v>5.2816088837891384E-3</v>
      </c>
      <c r="Y42" s="54">
        <v>1</v>
      </c>
      <c r="Z42" s="54">
        <v>1</v>
      </c>
      <c r="AA42" s="62">
        <v>437</v>
      </c>
      <c r="AB42" s="208">
        <v>406947975</v>
      </c>
      <c r="AC42" s="10"/>
      <c r="AD42" s="10"/>
      <c r="AE42" s="10"/>
      <c r="AF42" s="11"/>
      <c r="AG42" s="5"/>
      <c r="AH42" s="6"/>
      <c r="AI42" s="6"/>
      <c r="AJ42" s="6"/>
      <c r="AK42" s="7"/>
      <c r="AL42" s="5"/>
      <c r="AM42" s="6"/>
      <c r="AN42" s="6"/>
      <c r="AO42" s="6"/>
      <c r="AP42" s="7"/>
      <c r="AQ42" s="5"/>
      <c r="AR42" s="6"/>
      <c r="AS42" s="6"/>
      <c r="AT42" s="6"/>
      <c r="AU42" s="7"/>
    </row>
    <row r="43" spans="1:257" ht="16.5" customHeight="1" x14ac:dyDescent="0.3">
      <c r="A43" s="206">
        <v>38</v>
      </c>
      <c r="B43" s="191" t="s">
        <v>53</v>
      </c>
      <c r="C43" s="135" t="s">
        <v>89</v>
      </c>
      <c r="D43" s="126"/>
      <c r="E43" s="126"/>
      <c r="F43" s="127">
        <v>229410982.90000001</v>
      </c>
      <c r="G43" s="126"/>
      <c r="H43" s="126"/>
      <c r="I43" s="127"/>
      <c r="J43" s="127">
        <v>229410982.90000001</v>
      </c>
      <c r="K43" s="127">
        <v>3004400.23</v>
      </c>
      <c r="L43" s="126">
        <v>329017.95</v>
      </c>
      <c r="M43" s="64">
        <v>2675382.2799999998</v>
      </c>
      <c r="N43" s="55">
        <v>231582066.28</v>
      </c>
      <c r="O43" s="55">
        <v>329017.95</v>
      </c>
      <c r="P43" s="186">
        <v>228159280.71000001</v>
      </c>
      <c r="Q43" s="58">
        <f t="shared" si="7"/>
        <v>4.4450934960326978E-4</v>
      </c>
      <c r="R43" s="67">
        <v>231253048.33000001</v>
      </c>
      <c r="S43" s="58">
        <f t="shared" si="8"/>
        <v>4.4053864315532671E-4</v>
      </c>
      <c r="T43" s="59">
        <f t="shared" si="9"/>
        <v>1.3559683438572516E-2</v>
      </c>
      <c r="U43" s="141">
        <f t="shared" si="10"/>
        <v>1.4227615695274584E-3</v>
      </c>
      <c r="V43" s="60">
        <f t="shared" si="11"/>
        <v>1.1569068167188902E-2</v>
      </c>
      <c r="W43" s="61">
        <f t="shared" si="12"/>
        <v>98.407763096091003</v>
      </c>
      <c r="X43" s="61">
        <f t="shared" si="13"/>
        <v>1.1384861194392533</v>
      </c>
      <c r="Y43" s="54">
        <v>100</v>
      </c>
      <c r="Z43" s="54">
        <v>100</v>
      </c>
      <c r="AA43" s="62">
        <v>577</v>
      </c>
      <c r="AB43" s="207">
        <v>2349947.21</v>
      </c>
      <c r="AC43" s="49"/>
      <c r="AD43" s="15"/>
      <c r="AE43" s="15"/>
      <c r="AF43" s="15"/>
      <c r="AG43" s="5"/>
      <c r="AH43" s="6"/>
      <c r="AI43" s="6"/>
      <c r="AJ43" s="6"/>
      <c r="AK43" s="7"/>
      <c r="AL43" s="5"/>
      <c r="AM43" s="6"/>
      <c r="AN43" s="6"/>
      <c r="AO43" s="6"/>
      <c r="AP43" s="7"/>
      <c r="AQ43" s="5"/>
      <c r="AR43" s="6"/>
      <c r="AS43" s="6"/>
      <c r="AT43" s="6"/>
      <c r="AU43" s="7"/>
    </row>
    <row r="44" spans="1:257" ht="16.5" customHeight="1" x14ac:dyDescent="0.3">
      <c r="A44" s="206">
        <v>39</v>
      </c>
      <c r="B44" s="191" t="s">
        <v>90</v>
      </c>
      <c r="C44" s="135" t="s">
        <v>91</v>
      </c>
      <c r="D44" s="126"/>
      <c r="E44" s="126"/>
      <c r="F44" s="127">
        <v>107626503.53</v>
      </c>
      <c r="G44" s="126"/>
      <c r="H44" s="126"/>
      <c r="I44" s="128"/>
      <c r="J44" s="127">
        <v>107626503.53</v>
      </c>
      <c r="K44" s="127">
        <v>605989.88</v>
      </c>
      <c r="L44" s="129">
        <v>138680.22</v>
      </c>
      <c r="M44" s="98">
        <v>467309.66</v>
      </c>
      <c r="N44" s="55">
        <v>110684004.48</v>
      </c>
      <c r="O44" s="55">
        <v>111737619.79000001</v>
      </c>
      <c r="P44" s="185">
        <v>111413003.15000001</v>
      </c>
      <c r="Q44" s="58">
        <f t="shared" si="7"/>
        <v>2.1705942188036953E-4</v>
      </c>
      <c r="R44" s="57">
        <v>111413003.15000001</v>
      </c>
      <c r="S44" s="58">
        <f t="shared" si="8"/>
        <v>2.1224253514496856E-4</v>
      </c>
      <c r="T44" s="59">
        <f t="shared" si="9"/>
        <v>0</v>
      </c>
      <c r="U44" s="141">
        <f t="shared" si="10"/>
        <v>1.2447399861691996E-3</v>
      </c>
      <c r="V44" s="60">
        <f t="shared" si="11"/>
        <v>4.194390661661291E-3</v>
      </c>
      <c r="W44" s="61">
        <f t="shared" si="12"/>
        <v>0.99709483126085841</v>
      </c>
      <c r="X44" s="61">
        <f t="shared" si="13"/>
        <v>4.1822052490312848E-3</v>
      </c>
      <c r="Y44" s="54">
        <v>1</v>
      </c>
      <c r="Z44" s="54">
        <v>1</v>
      </c>
      <c r="AA44" s="65">
        <v>38</v>
      </c>
      <c r="AB44" s="207">
        <v>111737619.79000001</v>
      </c>
      <c r="AC44" s="48"/>
      <c r="AD44" s="16"/>
      <c r="AE44" s="16"/>
      <c r="AF44" s="16"/>
      <c r="AG44" s="5"/>
      <c r="AH44" s="6"/>
      <c r="AI44" s="6"/>
      <c r="AJ44" s="6"/>
      <c r="AK44" s="7"/>
      <c r="AL44" s="5"/>
      <c r="AM44" s="6"/>
      <c r="AN44" s="6"/>
      <c r="AO44" s="6"/>
      <c r="AP44" s="7"/>
      <c r="AQ44" s="5"/>
      <c r="AR44" s="6"/>
      <c r="AS44" s="6"/>
      <c r="AT44" s="6"/>
      <c r="AU44" s="7"/>
    </row>
    <row r="45" spans="1:257" ht="16.5" customHeight="1" x14ac:dyDescent="0.3">
      <c r="A45" s="206">
        <v>40</v>
      </c>
      <c r="B45" s="191" t="s">
        <v>92</v>
      </c>
      <c r="C45" s="143" t="s">
        <v>93</v>
      </c>
      <c r="D45" s="126"/>
      <c r="E45" s="126"/>
      <c r="F45" s="127">
        <v>682226824.21000004</v>
      </c>
      <c r="G45" s="126"/>
      <c r="H45" s="126"/>
      <c r="I45" s="127"/>
      <c r="J45" s="127">
        <v>966141201.51999998</v>
      </c>
      <c r="K45" s="127">
        <v>9060064.0999999996</v>
      </c>
      <c r="L45" s="127">
        <v>1473814.93</v>
      </c>
      <c r="M45" s="56">
        <v>7586249.1699999999</v>
      </c>
      <c r="N45" s="55">
        <v>1791430160.03</v>
      </c>
      <c r="O45" s="55">
        <v>1523419.4</v>
      </c>
      <c r="P45" s="186">
        <v>1710341587.8699999</v>
      </c>
      <c r="Q45" s="58">
        <f t="shared" si="7"/>
        <v>3.332158238129455E-3</v>
      </c>
      <c r="R45" s="67">
        <v>1786927837.04</v>
      </c>
      <c r="S45" s="58">
        <f t="shared" si="8"/>
        <v>3.4041097854966566E-3</v>
      </c>
      <c r="T45" s="59">
        <f t="shared" si="9"/>
        <v>4.4778335341408577E-2</v>
      </c>
      <c r="U45" s="141">
        <f t="shared" si="10"/>
        <v>8.2477585241569492E-4</v>
      </c>
      <c r="V45" s="60">
        <f t="shared" si="11"/>
        <v>4.2454143993673667E-3</v>
      </c>
      <c r="W45" s="61">
        <f t="shared" si="12"/>
        <v>1.0127238773577563</v>
      </c>
      <c r="X45" s="61">
        <f t="shared" si="13"/>
        <v>4.2994325315177696E-3</v>
      </c>
      <c r="Y45" s="54">
        <v>1</v>
      </c>
      <c r="Z45" s="54">
        <v>1</v>
      </c>
      <c r="AA45" s="62">
        <v>29</v>
      </c>
      <c r="AB45" s="207">
        <v>1764476850</v>
      </c>
      <c r="AC45" s="48"/>
      <c r="AD45" s="16"/>
      <c r="AE45" s="16"/>
      <c r="AF45" s="16"/>
      <c r="AG45" s="5"/>
      <c r="AH45" s="6"/>
      <c r="AI45" s="6"/>
      <c r="AJ45" s="6"/>
      <c r="AK45" s="7"/>
      <c r="AL45" s="5"/>
      <c r="AM45" s="6"/>
      <c r="AN45" s="6"/>
      <c r="AO45" s="6"/>
      <c r="AP45" s="7"/>
      <c r="AQ45" s="5"/>
      <c r="AR45" s="6"/>
      <c r="AS45" s="6"/>
      <c r="AT45" s="6"/>
      <c r="AU45" s="7"/>
    </row>
    <row r="46" spans="1:257" ht="16.5" customHeight="1" x14ac:dyDescent="0.3">
      <c r="A46" s="206">
        <v>41</v>
      </c>
      <c r="B46" s="192" t="s">
        <v>94</v>
      </c>
      <c r="C46" s="135" t="s">
        <v>95</v>
      </c>
      <c r="D46" s="126"/>
      <c r="E46" s="126"/>
      <c r="F46" s="126">
        <v>126023773.56</v>
      </c>
      <c r="G46" s="126"/>
      <c r="H46" s="126"/>
      <c r="I46" s="127"/>
      <c r="J46" s="126">
        <v>126023773.56</v>
      </c>
      <c r="K46" s="127">
        <v>461035.23</v>
      </c>
      <c r="L46" s="127">
        <v>63685.67</v>
      </c>
      <c r="M46" s="64">
        <v>397349.56</v>
      </c>
      <c r="N46" s="55">
        <v>202910342.94999999</v>
      </c>
      <c r="O46" s="55">
        <v>1533312.37</v>
      </c>
      <c r="P46" s="186">
        <v>182573179.61000001</v>
      </c>
      <c r="Q46" s="58">
        <f t="shared" ref="Q46:Q48" si="14">(P46/$P$50)</f>
        <v>3.5569662154832124E-4</v>
      </c>
      <c r="R46" s="67">
        <v>198768885.58000001</v>
      </c>
      <c r="S46" s="58">
        <f t="shared" ref="S46:S48" si="15">(R46/$R$50)</f>
        <v>3.7865609031865853E-4</v>
      </c>
      <c r="T46" s="59">
        <f t="shared" ref="T46:T48" si="16">((R46-P46)/P46)</f>
        <v>8.8708023843349429E-2</v>
      </c>
      <c r="U46" s="141">
        <f t="shared" ref="U46" si="17">(L46/R46)</f>
        <v>3.2040059898795351E-4</v>
      </c>
      <c r="V46" s="60">
        <f t="shared" ref="V46" si="18">M46/R46</f>
        <v>1.9990531155847113E-3</v>
      </c>
      <c r="W46" s="61">
        <f t="shared" ref="W46" si="19">R46/AB46</f>
        <v>1.0908255316992073</v>
      </c>
      <c r="X46" s="61">
        <f t="shared" ref="X46" si="20">M46/AB46</f>
        <v>2.1806181777026491E-3</v>
      </c>
      <c r="Y46" s="54">
        <v>1</v>
      </c>
      <c r="Z46" s="54">
        <v>1</v>
      </c>
      <c r="AA46" s="62">
        <v>36</v>
      </c>
      <c r="AB46" s="207">
        <v>182218769</v>
      </c>
      <c r="AC46" s="48"/>
      <c r="AD46" s="16"/>
      <c r="AE46" s="16"/>
      <c r="AF46" s="16"/>
      <c r="AG46" s="5"/>
      <c r="AH46" s="6"/>
      <c r="AI46" s="6"/>
      <c r="AJ46" s="6"/>
      <c r="AK46" s="7"/>
      <c r="AL46" s="5"/>
      <c r="AM46" s="6"/>
      <c r="AN46" s="6"/>
      <c r="AO46" s="6"/>
      <c r="AP46" s="7"/>
      <c r="AQ46" s="5"/>
      <c r="AR46" s="6"/>
      <c r="AS46" s="6"/>
      <c r="AT46" s="6"/>
      <c r="AU46" s="7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  <c r="HY46" s="40"/>
      <c r="HZ46" s="40"/>
      <c r="IA46" s="40"/>
      <c r="IB46" s="40"/>
      <c r="IC46" s="40"/>
      <c r="ID46" s="40"/>
      <c r="IE46" s="40"/>
      <c r="IF46" s="40"/>
      <c r="IG46" s="40"/>
      <c r="IH46" s="40"/>
      <c r="II46" s="40"/>
      <c r="IJ46" s="40"/>
      <c r="IK46" s="40"/>
      <c r="IL46" s="40"/>
      <c r="IM46" s="40"/>
      <c r="IN46" s="40"/>
      <c r="IO46" s="40"/>
      <c r="IP46" s="40"/>
      <c r="IQ46" s="40"/>
      <c r="IR46" s="40"/>
      <c r="IS46" s="40"/>
      <c r="IT46" s="40"/>
      <c r="IU46" s="40"/>
      <c r="IV46" s="40"/>
      <c r="IW46" s="40"/>
    </row>
    <row r="47" spans="1:257" ht="16.5" customHeight="1" x14ac:dyDescent="0.3">
      <c r="A47" s="206">
        <v>42</v>
      </c>
      <c r="B47" s="192" t="s">
        <v>178</v>
      </c>
      <c r="C47" s="132" t="s">
        <v>179</v>
      </c>
      <c r="D47" s="126"/>
      <c r="E47" s="126"/>
      <c r="F47" s="127">
        <v>282187015.64999998</v>
      </c>
      <c r="G47" s="126"/>
      <c r="H47" s="126"/>
      <c r="I47" s="127"/>
      <c r="J47" s="127">
        <v>282187015.64999998</v>
      </c>
      <c r="K47" s="127">
        <v>5668837.1200000001</v>
      </c>
      <c r="L47" s="127">
        <v>1399031.45</v>
      </c>
      <c r="M47" s="64">
        <v>4269805.67</v>
      </c>
      <c r="N47" s="55">
        <v>685076754.11000001</v>
      </c>
      <c r="O47" s="55">
        <v>665890304.44000006</v>
      </c>
      <c r="P47" s="186">
        <v>641094352.36000001</v>
      </c>
      <c r="Q47" s="58">
        <f t="shared" si="14"/>
        <v>1.2490065392697523E-3</v>
      </c>
      <c r="R47" s="67">
        <v>674241333.28999996</v>
      </c>
      <c r="S47" s="58">
        <f t="shared" si="15"/>
        <v>1.2844343643113913E-3</v>
      </c>
      <c r="T47" s="59">
        <f t="shared" si="16"/>
        <v>5.1703748142498993E-2</v>
      </c>
      <c r="U47" s="141">
        <f t="shared" ref="U47:U48" si="21">(L47/R47)</f>
        <v>2.0749713506488013E-3</v>
      </c>
      <c r="V47" s="60">
        <f t="shared" ref="V47:V48" si="22">M47/R47</f>
        <v>6.3327557347533613E-3</v>
      </c>
      <c r="W47" s="61">
        <f t="shared" ref="W47:W48" si="23">R47/AB47</f>
        <v>1.0125410751190538</v>
      </c>
      <c r="X47" s="61">
        <f t="shared" ref="X47:X48" si="24">M47/AB47</f>
        <v>6.4121753001335222E-3</v>
      </c>
      <c r="Y47" s="54">
        <v>1</v>
      </c>
      <c r="Z47" s="54">
        <v>1</v>
      </c>
      <c r="AA47" s="62">
        <v>98</v>
      </c>
      <c r="AB47" s="207">
        <v>665890352.36000001</v>
      </c>
      <c r="AC47" s="48"/>
      <c r="AD47" s="16"/>
      <c r="AE47" s="16"/>
      <c r="AF47" s="16"/>
      <c r="AG47" s="5"/>
      <c r="AH47" s="6"/>
      <c r="AI47" s="6"/>
      <c r="AJ47" s="6"/>
      <c r="AK47" s="7"/>
      <c r="AL47" s="5"/>
      <c r="AM47" s="6"/>
      <c r="AN47" s="6"/>
      <c r="AO47" s="6"/>
      <c r="AP47" s="7"/>
      <c r="AQ47" s="5"/>
      <c r="AR47" s="6"/>
      <c r="AS47" s="6"/>
      <c r="AT47" s="6"/>
      <c r="AU47" s="7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  <c r="IL47" s="40"/>
      <c r="IM47" s="40"/>
      <c r="IN47" s="40"/>
      <c r="IO47" s="40"/>
      <c r="IP47" s="40"/>
      <c r="IQ47" s="40"/>
      <c r="IR47" s="40"/>
      <c r="IS47" s="40"/>
      <c r="IT47" s="40"/>
      <c r="IU47" s="40"/>
      <c r="IV47" s="40"/>
      <c r="IW47" s="40"/>
    </row>
    <row r="48" spans="1:257" ht="16.5" customHeight="1" x14ac:dyDescent="0.3">
      <c r="A48" s="206">
        <v>43</v>
      </c>
      <c r="B48" s="192" t="s">
        <v>174</v>
      </c>
      <c r="C48" s="135" t="s">
        <v>175</v>
      </c>
      <c r="D48" s="126"/>
      <c r="E48" s="126"/>
      <c r="F48" s="126"/>
      <c r="G48" s="126"/>
      <c r="H48" s="126"/>
      <c r="I48" s="126"/>
      <c r="J48" s="126">
        <v>7496887.6200000001</v>
      </c>
      <c r="K48" s="126">
        <v>18353.2</v>
      </c>
      <c r="L48" s="126">
        <v>10084.469999999999</v>
      </c>
      <c r="M48" s="161">
        <v>8268.73</v>
      </c>
      <c r="N48" s="126">
        <v>7905380.3499999996</v>
      </c>
      <c r="O48" s="126">
        <v>174392.36</v>
      </c>
      <c r="P48" s="186">
        <v>8208811.54</v>
      </c>
      <c r="Q48" s="58">
        <f t="shared" si="14"/>
        <v>1.5992746239847729E-5</v>
      </c>
      <c r="R48" s="67">
        <v>7730987.9900000002</v>
      </c>
      <c r="S48" s="58">
        <f t="shared" si="15"/>
        <v>1.4727585145189624E-5</v>
      </c>
      <c r="T48" s="59">
        <f t="shared" si="16"/>
        <v>-5.8208614934288014E-2</v>
      </c>
      <c r="U48" s="141">
        <f t="shared" si="21"/>
        <v>1.304421894464746E-3</v>
      </c>
      <c r="V48" s="60">
        <f t="shared" si="22"/>
        <v>1.0695566996993873E-3</v>
      </c>
      <c r="W48" s="61">
        <f t="shared" si="23"/>
        <v>102.24145989552338</v>
      </c>
      <c r="X48" s="61">
        <f t="shared" si="24"/>
        <v>0.10935303841830324</v>
      </c>
      <c r="Y48" s="54">
        <v>100</v>
      </c>
      <c r="Z48" s="54">
        <v>100</v>
      </c>
      <c r="AA48" s="62">
        <v>73</v>
      </c>
      <c r="AB48" s="207">
        <v>75615</v>
      </c>
      <c r="AC48" s="48"/>
      <c r="AD48" s="16"/>
      <c r="AE48" s="16"/>
      <c r="AF48" s="16"/>
      <c r="AG48" s="5"/>
      <c r="AH48" s="6"/>
      <c r="AI48" s="6"/>
      <c r="AJ48" s="6"/>
      <c r="AK48" s="7"/>
      <c r="AL48" s="5"/>
      <c r="AM48" s="6"/>
      <c r="AN48" s="6"/>
      <c r="AO48" s="6"/>
      <c r="AP48" s="7"/>
      <c r="AQ48" s="5"/>
      <c r="AR48" s="6"/>
      <c r="AS48" s="6"/>
      <c r="AT48" s="6"/>
      <c r="AU48" s="7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  <c r="IC48" s="40"/>
      <c r="ID48" s="40"/>
      <c r="IE48" s="40"/>
      <c r="IF48" s="40"/>
      <c r="IG48" s="40"/>
      <c r="IH48" s="40"/>
      <c r="II48" s="40"/>
      <c r="IJ48" s="40"/>
      <c r="IK48" s="40"/>
      <c r="IL48" s="40"/>
      <c r="IM48" s="40"/>
      <c r="IN48" s="40"/>
      <c r="IO48" s="40"/>
      <c r="IP48" s="40"/>
      <c r="IQ48" s="40"/>
      <c r="IR48" s="40"/>
      <c r="IS48" s="40"/>
      <c r="IT48" s="40"/>
      <c r="IU48" s="40"/>
      <c r="IV48" s="40"/>
      <c r="IW48" s="40"/>
    </row>
    <row r="49" spans="1:257" ht="16.5" customHeight="1" x14ac:dyDescent="0.3">
      <c r="A49" s="206">
        <v>44</v>
      </c>
      <c r="B49" s="191" t="s">
        <v>171</v>
      </c>
      <c r="C49" s="135" t="s">
        <v>205</v>
      </c>
      <c r="D49" s="126"/>
      <c r="E49" s="126"/>
      <c r="F49" s="126">
        <v>198637567</v>
      </c>
      <c r="G49" s="126"/>
      <c r="H49" s="126"/>
      <c r="I49" s="126"/>
      <c r="J49" s="126">
        <v>198637567</v>
      </c>
      <c r="K49" s="126">
        <v>4966287</v>
      </c>
      <c r="L49" s="126">
        <v>902074</v>
      </c>
      <c r="M49" s="161">
        <v>4064214</v>
      </c>
      <c r="N49" s="126">
        <v>504764106</v>
      </c>
      <c r="O49" s="126">
        <v>11204234</v>
      </c>
      <c r="P49" s="186">
        <v>0</v>
      </c>
      <c r="Q49" s="58">
        <f t="shared" si="7"/>
        <v>0</v>
      </c>
      <c r="R49" s="67">
        <v>493465187</v>
      </c>
      <c r="S49" s="58">
        <f t="shared" si="8"/>
        <v>9.4005456574631412E-4</v>
      </c>
      <c r="T49" s="59" t="e">
        <f t="shared" si="9"/>
        <v>#DIV/0!</v>
      </c>
      <c r="U49" s="141">
        <f t="shared" si="10"/>
        <v>1.8280397964527536E-3</v>
      </c>
      <c r="V49" s="60">
        <f t="shared" si="11"/>
        <v>8.2360703593058124E-3</v>
      </c>
      <c r="W49" s="61">
        <f t="shared" si="12"/>
        <v>1.0000182387013015</v>
      </c>
      <c r="X49" s="61">
        <f t="shared" si="13"/>
        <v>8.2362205745329931E-3</v>
      </c>
      <c r="Y49" s="54">
        <v>100</v>
      </c>
      <c r="Z49" s="54">
        <v>100</v>
      </c>
      <c r="AA49" s="62">
        <v>301</v>
      </c>
      <c r="AB49" s="207">
        <v>493456187</v>
      </c>
      <c r="AC49" s="48"/>
      <c r="AD49" s="16"/>
      <c r="AE49" s="16"/>
      <c r="AF49" s="16"/>
      <c r="AG49" s="5"/>
      <c r="AH49" s="6"/>
      <c r="AI49" s="6"/>
      <c r="AJ49" s="6"/>
      <c r="AK49" s="7"/>
      <c r="AL49" s="5"/>
      <c r="AM49" s="6"/>
      <c r="AN49" s="6"/>
      <c r="AO49" s="6"/>
      <c r="AP49" s="7"/>
      <c r="AQ49" s="5"/>
      <c r="AR49" s="6"/>
      <c r="AS49" s="6"/>
      <c r="AT49" s="6"/>
      <c r="AU49" s="7"/>
    </row>
    <row r="50" spans="1:257" ht="16.5" customHeight="1" x14ac:dyDescent="0.3">
      <c r="A50" s="218" t="s">
        <v>96</v>
      </c>
      <c r="B50" s="99"/>
      <c r="C50" s="80" t="s">
        <v>55</v>
      </c>
      <c r="D50" s="81"/>
      <c r="E50" s="81"/>
      <c r="F50" s="81"/>
      <c r="G50" s="81"/>
      <c r="H50" s="81"/>
      <c r="I50" s="81"/>
      <c r="J50" s="81"/>
      <c r="K50" s="81"/>
      <c r="L50" s="81"/>
      <c r="M50" s="82"/>
      <c r="N50" s="81"/>
      <c r="O50" s="81"/>
      <c r="P50" s="187">
        <f>SUM(P21:P49)</f>
        <v>513283423427.73004</v>
      </c>
      <c r="Q50" s="83">
        <f>(P50/$P$136)</f>
        <v>0.40122959122732438</v>
      </c>
      <c r="R50" s="84">
        <f>SUM(R21:R49)</f>
        <v>524932493262.48999</v>
      </c>
      <c r="S50" s="83">
        <f>(R50/$R$136)</f>
        <v>0.41276853809735803</v>
      </c>
      <c r="T50" s="85">
        <f t="shared" si="9"/>
        <v>2.2695199772801801E-2</v>
      </c>
      <c r="U50" s="121"/>
      <c r="V50" s="86"/>
      <c r="W50" s="87"/>
      <c r="X50" s="87"/>
      <c r="Y50" s="81"/>
      <c r="Z50" s="81"/>
      <c r="AA50" s="88">
        <f>SUM(AA21:AA49)</f>
        <v>215687</v>
      </c>
      <c r="AB50" s="214"/>
      <c r="AC50" s="13"/>
      <c r="AD50" s="4"/>
      <c r="AE50" s="4"/>
      <c r="AF50" s="4"/>
      <c r="AG50" s="5"/>
      <c r="AH50" s="6"/>
      <c r="AI50" s="6"/>
      <c r="AJ50" s="6"/>
      <c r="AK50" s="7"/>
      <c r="AL50" s="5"/>
      <c r="AM50" s="6"/>
      <c r="AN50" s="6"/>
      <c r="AO50" s="6"/>
      <c r="AP50" s="7"/>
      <c r="AQ50" s="5"/>
      <c r="AR50" s="6"/>
      <c r="AS50" s="6"/>
      <c r="AT50" s="6"/>
      <c r="AU50" s="7"/>
    </row>
    <row r="51" spans="1:257" ht="16.5" customHeight="1" x14ac:dyDescent="0.3">
      <c r="A51" s="219"/>
      <c r="B51" s="100"/>
      <c r="C51" s="101" t="s">
        <v>97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86"/>
      <c r="Q51" s="59"/>
      <c r="R51" s="102">
        <v>0</v>
      </c>
      <c r="S51" s="59"/>
      <c r="T51" s="59"/>
      <c r="U51" s="121"/>
      <c r="V51" s="103"/>
      <c r="W51" s="104"/>
      <c r="X51" s="104"/>
      <c r="Y51" s="102"/>
      <c r="Z51" s="102"/>
      <c r="AA51" s="102"/>
      <c r="AB51" s="220"/>
      <c r="AC51" s="13"/>
      <c r="AD51" s="4"/>
      <c r="AE51" s="4"/>
      <c r="AF51" s="4"/>
      <c r="AG51" s="5"/>
      <c r="AH51" s="6"/>
      <c r="AI51" s="6"/>
      <c r="AJ51" s="6"/>
      <c r="AK51" s="7"/>
      <c r="AL51" s="5"/>
      <c r="AM51" s="6"/>
      <c r="AN51" s="6"/>
      <c r="AO51" s="6"/>
      <c r="AP51" s="7"/>
      <c r="AQ51" s="5"/>
      <c r="AR51" s="6"/>
      <c r="AS51" s="6"/>
      <c r="AT51" s="6"/>
      <c r="AU51" s="7"/>
    </row>
    <row r="52" spans="1:257" ht="16.5" customHeight="1" x14ac:dyDescent="0.3">
      <c r="A52" s="206">
        <v>45</v>
      </c>
      <c r="B52" s="191" t="s">
        <v>26</v>
      </c>
      <c r="C52" s="135" t="s">
        <v>98</v>
      </c>
      <c r="D52" s="54"/>
      <c r="E52" s="54"/>
      <c r="F52" s="54">
        <v>9181954491.6900005</v>
      </c>
      <c r="G52" s="54">
        <v>87706384699.669998</v>
      </c>
      <c r="H52" s="54"/>
      <c r="I52" s="54"/>
      <c r="J52" s="54">
        <v>97320770698.179993</v>
      </c>
      <c r="K52" s="54">
        <v>673554868.74000001</v>
      </c>
      <c r="L52" s="54">
        <v>144621852.75999999</v>
      </c>
      <c r="M52" s="64">
        <v>528933015.98000002</v>
      </c>
      <c r="N52" s="54">
        <v>97985992839.449997</v>
      </c>
      <c r="O52" s="54">
        <v>478218737.27999997</v>
      </c>
      <c r="P52" s="186">
        <v>105269514287.06</v>
      </c>
      <c r="Q52" s="58">
        <f t="shared" ref="Q52:Q58" si="25">(P52/$P$64)</f>
        <v>0.45463055382603512</v>
      </c>
      <c r="R52" s="67">
        <v>97507774102.169998</v>
      </c>
      <c r="S52" s="58">
        <f t="shared" ref="S52:S58" si="26">(R52/$R$64)</f>
        <v>0.45386186132801593</v>
      </c>
      <c r="T52" s="59">
        <f t="shared" ref="T52:T64" si="27">((R52-P52)/P52)</f>
        <v>-7.373207939123258E-2</v>
      </c>
      <c r="U52" s="141">
        <f t="shared" ref="U52:U63" si="28">(L52/R52)</f>
        <v>1.483182793286443E-3</v>
      </c>
      <c r="V52" s="60">
        <f t="shared" ref="V52:V63" si="29">M52/R52</f>
        <v>5.4245214891868688E-3</v>
      </c>
      <c r="W52" s="61">
        <f t="shared" ref="W52:W63" si="30">R52/AB52</f>
        <v>233.34770665612419</v>
      </c>
      <c r="X52" s="61">
        <f t="shared" ref="X52:X63" si="31">M52/AB52</f>
        <v>1.2657996492086194</v>
      </c>
      <c r="Y52" s="68">
        <v>233.35</v>
      </c>
      <c r="Z52" s="68">
        <v>233.35</v>
      </c>
      <c r="AA52" s="62">
        <v>7311</v>
      </c>
      <c r="AB52" s="208">
        <v>417864719.99000001</v>
      </c>
      <c r="AC52" s="13"/>
      <c r="AD52" s="4"/>
      <c r="AE52" s="4"/>
      <c r="AF52" s="4"/>
      <c r="AG52" s="5"/>
      <c r="AH52" s="6"/>
      <c r="AI52" s="6"/>
      <c r="AJ52" s="6"/>
      <c r="AK52" s="7"/>
      <c r="AL52" s="5"/>
      <c r="AM52" s="6"/>
      <c r="AN52" s="6"/>
      <c r="AO52" s="6"/>
      <c r="AP52" s="7"/>
      <c r="AQ52" s="5"/>
      <c r="AR52" s="6"/>
      <c r="AS52" s="6"/>
      <c r="AT52" s="6"/>
      <c r="AU52" s="7"/>
    </row>
    <row r="53" spans="1:257" ht="16.5" customHeight="1" x14ac:dyDescent="0.3">
      <c r="A53" s="206">
        <v>46</v>
      </c>
      <c r="B53" s="191" t="s">
        <v>34</v>
      </c>
      <c r="C53" s="135" t="s">
        <v>99</v>
      </c>
      <c r="D53" s="54"/>
      <c r="E53" s="54"/>
      <c r="F53" s="54">
        <v>276895769.35000002</v>
      </c>
      <c r="G53" s="54">
        <v>1057128794.6900001</v>
      </c>
      <c r="H53" s="54"/>
      <c r="I53" s="54"/>
      <c r="J53" s="54">
        <v>1334024564.04</v>
      </c>
      <c r="K53" s="54">
        <v>9650054.0800000001</v>
      </c>
      <c r="L53" s="63">
        <v>1799735.94</v>
      </c>
      <c r="M53" s="64">
        <v>7850318.1399999997</v>
      </c>
      <c r="N53" s="54">
        <v>1359530902.72</v>
      </c>
      <c r="O53" s="55">
        <v>8549353.1300000008</v>
      </c>
      <c r="P53" s="186">
        <v>1378412387.1700001</v>
      </c>
      <c r="Q53" s="58">
        <f t="shared" si="25"/>
        <v>5.9529902006662527E-3</v>
      </c>
      <c r="R53" s="67">
        <v>1350981549.5899999</v>
      </c>
      <c r="S53" s="58">
        <f t="shared" si="26"/>
        <v>6.2883088693445931E-3</v>
      </c>
      <c r="T53" s="59">
        <f t="shared" si="27"/>
        <v>-1.9900312733200292E-2</v>
      </c>
      <c r="U53" s="141">
        <f t="shared" si="28"/>
        <v>1.332169148088062E-3</v>
      </c>
      <c r="V53" s="60">
        <f t="shared" si="29"/>
        <v>5.8108255752141388E-3</v>
      </c>
      <c r="W53" s="61">
        <f t="shared" si="30"/>
        <v>317.79965423772256</v>
      </c>
      <c r="X53" s="61">
        <f t="shared" si="31"/>
        <v>1.8466783586387685</v>
      </c>
      <c r="Y53" s="54">
        <v>317.79969999999997</v>
      </c>
      <c r="Z53" s="68">
        <v>317.79969999999997</v>
      </c>
      <c r="AA53" s="62">
        <v>168</v>
      </c>
      <c r="AB53" s="208">
        <v>4251047.8899999997</v>
      </c>
      <c r="AC53" s="13"/>
      <c r="AD53" s="4"/>
      <c r="AE53" s="4"/>
      <c r="AF53" s="4"/>
      <c r="AG53" s="5"/>
      <c r="AH53" s="6"/>
      <c r="AI53" s="6"/>
      <c r="AJ53" s="6"/>
      <c r="AK53" s="7"/>
      <c r="AL53" s="5"/>
      <c r="AM53" s="6"/>
      <c r="AN53" s="6"/>
      <c r="AO53" s="6"/>
      <c r="AP53" s="7"/>
      <c r="AQ53" s="5"/>
      <c r="AR53" s="6"/>
      <c r="AS53" s="6"/>
      <c r="AT53" s="6"/>
      <c r="AU53" s="7"/>
    </row>
    <row r="54" spans="1:257" ht="16.5" customHeight="1" x14ac:dyDescent="0.3">
      <c r="A54" s="206">
        <v>47</v>
      </c>
      <c r="B54" s="191" t="s">
        <v>40</v>
      </c>
      <c r="C54" s="135" t="s">
        <v>183</v>
      </c>
      <c r="D54" s="54"/>
      <c r="E54" s="54"/>
      <c r="F54" s="54">
        <v>8882659662.6599998</v>
      </c>
      <c r="G54" s="54">
        <v>28108623224.560001</v>
      </c>
      <c r="H54" s="54"/>
      <c r="I54" s="54"/>
      <c r="J54" s="54">
        <v>37003522099.07</v>
      </c>
      <c r="K54" s="54">
        <v>754809845.01999998</v>
      </c>
      <c r="L54" s="63">
        <v>37943183.990000002</v>
      </c>
      <c r="M54" s="64">
        <v>716866661.02999997</v>
      </c>
      <c r="N54" s="54">
        <v>37122179222.949997</v>
      </c>
      <c r="O54" s="63">
        <v>118657123.88</v>
      </c>
      <c r="P54" s="186">
        <v>41683284102.169998</v>
      </c>
      <c r="Q54" s="58">
        <f t="shared" si="25"/>
        <v>0.18001882753045964</v>
      </c>
      <c r="R54" s="67">
        <v>37003522099.07</v>
      </c>
      <c r="S54" s="58">
        <f t="shared" si="26"/>
        <v>0.17223741973618209</v>
      </c>
      <c r="T54" s="59">
        <f t="shared" si="27"/>
        <v>-0.11226951292104102</v>
      </c>
      <c r="U54" s="141">
        <f t="shared" si="28"/>
        <v>1.0253938500344435E-3</v>
      </c>
      <c r="V54" s="60">
        <f t="shared" si="29"/>
        <v>1.9372930477015774E-2</v>
      </c>
      <c r="W54" s="61">
        <f t="shared" si="30"/>
        <v>1423.1500435065557</v>
      </c>
      <c r="X54" s="61">
        <f>M54/AB54</f>
        <v>27.570586851214479</v>
      </c>
      <c r="Y54" s="54">
        <v>1423.15</v>
      </c>
      <c r="Z54" s="54">
        <v>1423.15</v>
      </c>
      <c r="AA54" s="62">
        <v>1978</v>
      </c>
      <c r="AB54" s="208">
        <v>26001139</v>
      </c>
      <c r="AC54" s="13"/>
      <c r="AD54" s="4"/>
      <c r="AE54" s="4"/>
      <c r="AF54" s="4"/>
      <c r="AG54" s="5"/>
      <c r="AH54" s="6"/>
      <c r="AI54" s="6"/>
      <c r="AJ54" s="6"/>
      <c r="AK54" s="7"/>
      <c r="AL54" s="5"/>
      <c r="AM54" s="6"/>
      <c r="AN54" s="6"/>
      <c r="AO54" s="6"/>
      <c r="AP54" s="7"/>
      <c r="AQ54" s="5"/>
      <c r="AR54" s="6"/>
      <c r="AS54" s="6"/>
      <c r="AT54" s="6"/>
      <c r="AU54" s="7"/>
    </row>
    <row r="55" spans="1:257" ht="15.75" customHeight="1" x14ac:dyDescent="0.3">
      <c r="A55" s="221" t="s">
        <v>206</v>
      </c>
      <c r="B55" s="191" t="s">
        <v>40</v>
      </c>
      <c r="C55" s="135" t="s">
        <v>100</v>
      </c>
      <c r="D55" s="54"/>
      <c r="E55" s="54"/>
      <c r="F55" s="63">
        <v>0</v>
      </c>
      <c r="G55" s="54">
        <v>0</v>
      </c>
      <c r="H55" s="65"/>
      <c r="I55" s="105"/>
      <c r="J55" s="63">
        <v>0</v>
      </c>
      <c r="K55" s="63">
        <v>0</v>
      </c>
      <c r="L55" s="63">
        <v>0</v>
      </c>
      <c r="M55" s="98">
        <v>0</v>
      </c>
      <c r="N55" s="54">
        <v>0</v>
      </c>
      <c r="O55" s="63">
        <v>0</v>
      </c>
      <c r="P55" s="185">
        <v>0</v>
      </c>
      <c r="Q55" s="58">
        <f t="shared" si="25"/>
        <v>0</v>
      </c>
      <c r="R55" s="57">
        <v>0</v>
      </c>
      <c r="S55" s="58">
        <f t="shared" si="26"/>
        <v>0</v>
      </c>
      <c r="T55" s="59" t="e">
        <f t="shared" si="27"/>
        <v>#DIV/0!</v>
      </c>
      <c r="U55" s="141" t="e">
        <f t="shared" si="28"/>
        <v>#DIV/0!</v>
      </c>
      <c r="V55" s="60" t="e">
        <f t="shared" si="29"/>
        <v>#DIV/0!</v>
      </c>
      <c r="W55" s="61" t="e">
        <f>R55/AB55</f>
        <v>#DIV/0!</v>
      </c>
      <c r="X55" s="61" t="e">
        <f t="shared" ref="X55" si="32">M55/AB55</f>
        <v>#DIV/0!</v>
      </c>
      <c r="Y55" s="54">
        <v>127.09</v>
      </c>
      <c r="Z55" s="63">
        <v>127.09</v>
      </c>
      <c r="AA55" s="62">
        <v>0</v>
      </c>
      <c r="AB55" s="208">
        <v>0</v>
      </c>
      <c r="AC55" s="3"/>
      <c r="AD55" s="9"/>
      <c r="AE55" s="9"/>
      <c r="AF55" s="9"/>
      <c r="AG55" s="5"/>
      <c r="AH55" s="6"/>
      <c r="AI55" s="6"/>
      <c r="AJ55" s="6"/>
      <c r="AK55" s="7"/>
      <c r="AL55" s="5"/>
      <c r="AM55" s="6"/>
      <c r="AN55" s="6"/>
      <c r="AO55" s="6"/>
      <c r="AP55" s="7"/>
      <c r="AQ55" s="5"/>
      <c r="AR55" s="6"/>
      <c r="AS55" s="6"/>
      <c r="AT55" s="6"/>
      <c r="AU55" s="7"/>
    </row>
    <row r="56" spans="1:257" ht="15.75" customHeight="1" x14ac:dyDescent="0.3">
      <c r="A56" s="221" t="s">
        <v>207</v>
      </c>
      <c r="B56" s="191" t="s">
        <v>40</v>
      </c>
      <c r="C56" s="135" t="s">
        <v>101</v>
      </c>
      <c r="D56" s="65"/>
      <c r="E56" s="54"/>
      <c r="F56" s="63">
        <v>1943209261.8099999</v>
      </c>
      <c r="G56" s="54">
        <v>5624475055.8500004</v>
      </c>
      <c r="H56" s="54"/>
      <c r="I56" s="63"/>
      <c r="J56" s="63">
        <v>7738448521.0699997</v>
      </c>
      <c r="K56" s="63">
        <v>139443362.55000001</v>
      </c>
      <c r="L56" s="63">
        <v>10483883.699999999</v>
      </c>
      <c r="M56" s="98">
        <v>128959478.86</v>
      </c>
      <c r="N56" s="54">
        <v>7776397565.5500002</v>
      </c>
      <c r="O56" s="63">
        <v>37949044.479999997</v>
      </c>
      <c r="P56" s="185">
        <v>7468852936.3699999</v>
      </c>
      <c r="Q56" s="58">
        <f t="shared" si="25"/>
        <v>3.225595529630456E-2</v>
      </c>
      <c r="R56" s="57">
        <v>7738448521.0699997</v>
      </c>
      <c r="S56" s="58">
        <f t="shared" si="26"/>
        <v>3.6019555178069637E-2</v>
      </c>
      <c r="T56" s="59">
        <f t="shared" si="27"/>
        <v>3.6095982475058373E-2</v>
      </c>
      <c r="U56" s="141">
        <f t="shared" si="28"/>
        <v>1.3547785026229505E-3</v>
      </c>
      <c r="V56" s="60">
        <f t="shared" si="29"/>
        <v>1.6664771822009705E-2</v>
      </c>
      <c r="W56" s="61">
        <f>R56/AB56</f>
        <v>52491.018580594347</v>
      </c>
      <c r="X56" s="61">
        <f t="shared" si="31"/>
        <v>874.75084735047642</v>
      </c>
      <c r="Y56" s="63">
        <v>126.93</v>
      </c>
      <c r="Z56" s="54">
        <v>126.93</v>
      </c>
      <c r="AA56" s="62">
        <v>1591</v>
      </c>
      <c r="AB56" s="208">
        <v>147424.24</v>
      </c>
      <c r="AC56" s="10"/>
      <c r="AD56" s="10"/>
      <c r="AE56" s="10"/>
      <c r="AF56" s="11"/>
      <c r="AG56" s="5"/>
      <c r="AH56" s="6"/>
      <c r="AI56" s="6"/>
      <c r="AJ56" s="6"/>
      <c r="AK56" s="7"/>
      <c r="AL56" s="5"/>
      <c r="AM56" s="6"/>
      <c r="AN56" s="6"/>
      <c r="AO56" s="6"/>
      <c r="AP56" s="7"/>
      <c r="AQ56" s="5"/>
      <c r="AR56" s="6"/>
      <c r="AS56" s="6"/>
      <c r="AT56" s="6"/>
      <c r="AU56" s="7"/>
    </row>
    <row r="57" spans="1:257" ht="16.5" customHeight="1" x14ac:dyDescent="0.3">
      <c r="A57" s="206">
        <v>49</v>
      </c>
      <c r="B57" s="191" t="s">
        <v>28</v>
      </c>
      <c r="C57" s="135" t="s">
        <v>102</v>
      </c>
      <c r="D57" s="54"/>
      <c r="E57" s="54"/>
      <c r="F57" s="55">
        <f>410.8*1277752.77</f>
        <v>524900837.91600001</v>
      </c>
      <c r="G57" s="54">
        <f>11018695.66*410.8</f>
        <v>4526480177.1280003</v>
      </c>
      <c r="H57" s="54"/>
      <c r="I57" s="54">
        <f>410.8*2019.5</f>
        <v>829610.6</v>
      </c>
      <c r="J57" s="54">
        <f>410.8*12360176.42</f>
        <v>5077560473.3360004</v>
      </c>
      <c r="K57" s="54">
        <f>410.8*68766.55</f>
        <v>28249298.740000002</v>
      </c>
      <c r="L57" s="54">
        <f>410.8*17539.01</f>
        <v>7205025.3079999993</v>
      </c>
      <c r="M57" s="64">
        <f>410.8*51227.54</f>
        <v>21044273.432</v>
      </c>
      <c r="N57" s="55">
        <f>410.8*12362195.92</f>
        <v>5078390083.9359999</v>
      </c>
      <c r="O57" s="63">
        <f>52638*410.8</f>
        <v>21623690.400000002</v>
      </c>
      <c r="P57" s="186">
        <v>4972098835.3000002</v>
      </c>
      <c r="Q57" s="58">
        <f t="shared" si="25"/>
        <v>2.1473149776355394E-2</v>
      </c>
      <c r="R57" s="67">
        <f>410.8*12309557.63</f>
        <v>5056766274.4040003</v>
      </c>
      <c r="S57" s="58">
        <f t="shared" si="26"/>
        <v>2.3537337148081407E-2</v>
      </c>
      <c r="T57" s="59">
        <f t="shared" si="27"/>
        <v>1.702851087812126E-2</v>
      </c>
      <c r="U57" s="141">
        <f t="shared" si="28"/>
        <v>1.4248286191256084E-3</v>
      </c>
      <c r="V57" s="60">
        <f t="shared" si="29"/>
        <v>4.1616069025219712E-3</v>
      </c>
      <c r="W57" s="61">
        <f t="shared" si="30"/>
        <v>532.73790152921913</v>
      </c>
      <c r="X57" s="61">
        <f t="shared" si="31"/>
        <v>2.2170457282390688</v>
      </c>
      <c r="Y57" s="54">
        <f>1.19*410.8</f>
        <v>488.85199999999998</v>
      </c>
      <c r="Z57" s="54">
        <f>1.19*410.8</f>
        <v>488.85199999999998</v>
      </c>
      <c r="AA57" s="62">
        <v>121</v>
      </c>
      <c r="AB57" s="208">
        <v>9492034</v>
      </c>
      <c r="AC57" s="34"/>
      <c r="AD57" s="12"/>
      <c r="AE57" s="12"/>
      <c r="AF57" s="12"/>
      <c r="AG57" s="5"/>
      <c r="AH57" s="6"/>
      <c r="AI57" s="6"/>
      <c r="AJ57" s="6"/>
      <c r="AK57" s="7"/>
      <c r="AL57" s="5"/>
      <c r="AM57" s="6"/>
      <c r="AN57" s="6"/>
      <c r="AO57" s="6"/>
      <c r="AP57" s="7"/>
      <c r="AQ57" s="5"/>
      <c r="AR57" s="6"/>
      <c r="AS57" s="6"/>
      <c r="AT57" s="6"/>
      <c r="AU57" s="7"/>
    </row>
    <row r="58" spans="1:257" ht="16.5" customHeight="1" x14ac:dyDescent="0.3">
      <c r="A58" s="206">
        <v>50</v>
      </c>
      <c r="B58" s="191" t="s">
        <v>36</v>
      </c>
      <c r="C58" s="135" t="s">
        <v>103</v>
      </c>
      <c r="D58" s="136"/>
      <c r="E58" s="136"/>
      <c r="F58" s="137"/>
      <c r="G58" s="133">
        <f>410.8*121479276</f>
        <v>49903686580.800003</v>
      </c>
      <c r="H58" s="136"/>
      <c r="I58" s="128"/>
      <c r="J58" s="133">
        <f>410.8*121479276</f>
        <v>49903686580.800003</v>
      </c>
      <c r="K58" s="126">
        <f>866825*410.8</f>
        <v>356091710</v>
      </c>
      <c r="L58" s="128">
        <f>410.8*214981</f>
        <v>88314194.799999997</v>
      </c>
      <c r="M58" s="98">
        <f>410.8*651843</f>
        <v>267777104.40000001</v>
      </c>
      <c r="N58" s="54">
        <f>410.8*140241459</f>
        <v>57611191357.200005</v>
      </c>
      <c r="O58" s="63">
        <f>410.8*1202019</f>
        <v>493789405.19999999</v>
      </c>
      <c r="P58" s="185">
        <v>61847837647.120003</v>
      </c>
      <c r="Q58" s="58">
        <f t="shared" si="25"/>
        <v>0.26710407920927587</v>
      </c>
      <c r="R58" s="159">
        <f>410.8*139039440</f>
        <v>57117401952</v>
      </c>
      <c r="S58" s="58">
        <f t="shared" si="26"/>
        <v>0.26585993376274042</v>
      </c>
      <c r="T58" s="59">
        <f t="shared" si="27"/>
        <v>-7.6485061969507342E-2</v>
      </c>
      <c r="U58" s="141">
        <f t="shared" si="28"/>
        <v>1.5461871825720817E-3</v>
      </c>
      <c r="V58" s="60">
        <f t="shared" si="29"/>
        <v>4.6881877544961348E-3</v>
      </c>
      <c r="W58" s="61">
        <f t="shared" si="30"/>
        <v>49877.528986956328</v>
      </c>
      <c r="X58" s="61">
        <f t="shared" si="31"/>
        <v>233.83522062117464</v>
      </c>
      <c r="Y58" s="54">
        <f>410.8*121.42</f>
        <v>49879.336000000003</v>
      </c>
      <c r="Z58" s="54">
        <f>410.8*121.42</f>
        <v>49879.336000000003</v>
      </c>
      <c r="AA58" s="70">
        <v>1060</v>
      </c>
      <c r="AB58" s="210">
        <v>1145153</v>
      </c>
      <c r="AC58" s="13"/>
      <c r="AD58" s="4"/>
      <c r="AE58" s="4"/>
      <c r="AF58" s="4"/>
      <c r="AG58" s="5"/>
      <c r="AH58" s="6"/>
      <c r="AI58" s="6"/>
      <c r="AJ58" s="6"/>
      <c r="AK58" s="7"/>
      <c r="AL58" s="5"/>
      <c r="AM58" s="6"/>
      <c r="AN58" s="6"/>
      <c r="AO58" s="6"/>
      <c r="AP58" s="7"/>
      <c r="AQ58" s="5"/>
      <c r="AR58" s="6"/>
      <c r="AS58" s="6"/>
      <c r="AT58" s="6"/>
      <c r="AU58" s="7"/>
    </row>
    <row r="59" spans="1:257" ht="16.5" customHeight="1" x14ac:dyDescent="0.3">
      <c r="A59" s="206">
        <v>51</v>
      </c>
      <c r="B59" s="191" t="s">
        <v>49</v>
      </c>
      <c r="C59" s="135" t="s">
        <v>104</v>
      </c>
      <c r="D59" s="54"/>
      <c r="E59" s="54"/>
      <c r="F59" s="54"/>
      <c r="G59" s="54">
        <v>641935187.10000002</v>
      </c>
      <c r="H59" s="54"/>
      <c r="I59" s="54"/>
      <c r="J59" s="54">
        <v>641935187.10000002</v>
      </c>
      <c r="K59" s="54">
        <v>2475420.12</v>
      </c>
      <c r="L59" s="54">
        <v>705933.6</v>
      </c>
      <c r="M59" s="64">
        <v>1769486.52</v>
      </c>
      <c r="N59" s="54">
        <v>650022319</v>
      </c>
      <c r="O59" s="55">
        <v>705933.6</v>
      </c>
      <c r="P59" s="186">
        <v>638109101.78999996</v>
      </c>
      <c r="Q59" s="58">
        <f>(P58/$P$64)</f>
        <v>0.26710407920927587</v>
      </c>
      <c r="R59" s="67">
        <v>638681813.89999998</v>
      </c>
      <c r="S59" s="58">
        <f>(R58/$R$64)</f>
        <v>0.26585993376274042</v>
      </c>
      <c r="T59" s="59">
        <f t="shared" si="27"/>
        <v>8.9751440371789643E-4</v>
      </c>
      <c r="U59" s="141">
        <f t="shared" si="28"/>
        <v>1.1052977940444846E-3</v>
      </c>
      <c r="V59" s="60">
        <f t="shared" si="29"/>
        <v>2.770529051383093E-3</v>
      </c>
      <c r="W59" s="61">
        <f t="shared" si="30"/>
        <v>45898.800855192239</v>
      </c>
      <c r="X59" s="61">
        <f t="shared" si="31"/>
        <v>127.16396119295725</v>
      </c>
      <c r="Y59" s="54">
        <v>111.6724</v>
      </c>
      <c r="Z59" s="54">
        <v>113.6553</v>
      </c>
      <c r="AA59" s="106">
        <v>30</v>
      </c>
      <c r="AB59" s="222">
        <v>13915</v>
      </c>
      <c r="AC59" s="13"/>
      <c r="AD59" s="4"/>
      <c r="AE59" s="4"/>
      <c r="AF59" s="4"/>
      <c r="AG59" s="5"/>
      <c r="AH59" s="6"/>
      <c r="AI59" s="6"/>
      <c r="AJ59" s="6"/>
      <c r="AK59" s="7"/>
      <c r="AL59" s="5"/>
      <c r="AM59" s="6"/>
      <c r="AN59" s="6"/>
      <c r="AO59" s="6"/>
      <c r="AP59" s="7"/>
      <c r="AQ59" s="5"/>
      <c r="AR59" s="6"/>
      <c r="AS59" s="6"/>
      <c r="AT59" s="6"/>
      <c r="AU59" s="7"/>
    </row>
    <row r="60" spans="1:257" ht="16.5" customHeight="1" x14ac:dyDescent="0.3">
      <c r="A60" s="206">
        <v>52</v>
      </c>
      <c r="B60" s="191" t="s">
        <v>34</v>
      </c>
      <c r="C60" s="135" t="s">
        <v>105</v>
      </c>
      <c r="D60" s="54"/>
      <c r="E60" s="54"/>
      <c r="F60" s="54"/>
      <c r="G60" s="107">
        <v>770742639.58000004</v>
      </c>
      <c r="H60" s="54"/>
      <c r="I60" s="54"/>
      <c r="J60" s="107">
        <v>770742639.58000004</v>
      </c>
      <c r="K60" s="107">
        <v>4493149.6500000004</v>
      </c>
      <c r="L60" s="63">
        <v>1327151.02</v>
      </c>
      <c r="M60" s="169" t="s">
        <v>202</v>
      </c>
      <c r="N60" s="54">
        <v>771594967.41999996</v>
      </c>
      <c r="O60" s="55">
        <v>6395613.7400000002</v>
      </c>
      <c r="P60" s="186">
        <v>734482952.51999998</v>
      </c>
      <c r="Q60" s="58">
        <f>(P60/$P$64)</f>
        <v>3.1720331735300422E-3</v>
      </c>
      <c r="R60" s="67">
        <v>765199353.66999996</v>
      </c>
      <c r="S60" s="58">
        <f>(R60/$R$64)</f>
        <v>3.5617139878484009E-3</v>
      </c>
      <c r="T60" s="59">
        <f t="shared" si="27"/>
        <v>4.1820441229592144E-2</v>
      </c>
      <c r="U60" s="141">
        <f t="shared" si="28"/>
        <v>1.7343859657418732E-3</v>
      </c>
      <c r="V60" s="60" t="e">
        <f t="shared" si="29"/>
        <v>#VALUE!</v>
      </c>
      <c r="W60" s="61">
        <f t="shared" si="30"/>
        <v>44281.345485420999</v>
      </c>
      <c r="X60" s="61" t="e">
        <f t="shared" si="31"/>
        <v>#VALUE!</v>
      </c>
      <c r="Y60" s="54">
        <v>107.79300000000001</v>
      </c>
      <c r="Z60" s="54">
        <v>107.79300000000001</v>
      </c>
      <c r="AA60" s="106">
        <v>200</v>
      </c>
      <c r="AB60" s="222">
        <v>17280.399799999999</v>
      </c>
      <c r="AC60" s="13"/>
      <c r="AD60" s="4"/>
      <c r="AE60" s="4"/>
      <c r="AF60" s="4"/>
      <c r="AG60" s="5"/>
      <c r="AH60" s="6"/>
      <c r="AI60" s="6"/>
      <c r="AJ60" s="6"/>
      <c r="AK60" s="7"/>
      <c r="AL60" s="5"/>
      <c r="AM60" s="6"/>
      <c r="AN60" s="6"/>
      <c r="AO60" s="6"/>
      <c r="AP60" s="7"/>
      <c r="AQ60" s="5"/>
      <c r="AR60" s="6"/>
      <c r="AS60" s="6"/>
      <c r="AT60" s="6"/>
      <c r="AU60" s="7"/>
    </row>
    <row r="61" spans="1:257" ht="16.5" customHeight="1" x14ac:dyDescent="0.3">
      <c r="A61" s="206">
        <v>53</v>
      </c>
      <c r="B61" s="192" t="s">
        <v>38</v>
      </c>
      <c r="C61" s="135" t="s">
        <v>106</v>
      </c>
      <c r="D61" s="72"/>
      <c r="E61" s="72"/>
      <c r="F61" s="63"/>
      <c r="G61" s="63">
        <f>410.8*12103021.22</f>
        <v>4971921117.1760006</v>
      </c>
      <c r="H61" s="72"/>
      <c r="I61" s="63"/>
      <c r="J61" s="63">
        <f>410.8*12103021.22</f>
        <v>4971921117.1760006</v>
      </c>
      <c r="K61" s="63">
        <f>410.8*83585.56</f>
        <v>34336948.048</v>
      </c>
      <c r="L61" s="63">
        <f>410.8*32526.85</f>
        <v>13362029.98</v>
      </c>
      <c r="M61" s="98">
        <f>410.8*50689.53</f>
        <v>20823258.923999999</v>
      </c>
      <c r="N61" s="63">
        <f>410.8*15391935.91</f>
        <v>6323007271.8280001</v>
      </c>
      <c r="O61" s="63">
        <f>410.8*112745</f>
        <v>46315646</v>
      </c>
      <c r="P61" s="186">
        <v>6279890870</v>
      </c>
      <c r="Q61" s="58">
        <f>(P61/$P$64)</f>
        <v>2.7121149779505624E-2</v>
      </c>
      <c r="R61" s="67">
        <f>410.8*15279191</f>
        <v>6276691662.8000002</v>
      </c>
      <c r="S61" s="58">
        <f>(R61/$R$64)</f>
        <v>2.9215629084871599E-2</v>
      </c>
      <c r="T61" s="59">
        <f t="shared" ref="T61" si="33">((R61-P61)/P61)</f>
        <v>-5.0943675076949371E-4</v>
      </c>
      <c r="U61" s="141">
        <f t="shared" ref="U61" si="34">(L61/R61)</f>
        <v>2.1288332608709452E-3</v>
      </c>
      <c r="V61" s="60">
        <f t="shared" ref="V61" si="35">M61/R61</f>
        <v>3.3175532657455488E-3</v>
      </c>
      <c r="W61" s="61">
        <f t="shared" ref="W61" si="36">R61/AB61</f>
        <v>455.14628540110931</v>
      </c>
      <c r="X61" s="61">
        <f t="shared" ref="X61" si="37">M61/AB61</f>
        <v>1.5099720455244057</v>
      </c>
      <c r="Y61" s="63">
        <f>410.8*1.09</f>
        <v>447.77200000000005</v>
      </c>
      <c r="Z61" s="54">
        <f>410.8*1.0955</f>
        <v>450.03139999999996</v>
      </c>
      <c r="AA61" s="106">
        <v>436</v>
      </c>
      <c r="AB61" s="222">
        <v>13790493</v>
      </c>
      <c r="AC61" s="13"/>
      <c r="AD61" s="4"/>
      <c r="AE61" s="4"/>
      <c r="AF61" s="4"/>
      <c r="AG61" s="5"/>
      <c r="AH61" s="6"/>
      <c r="AI61" s="6"/>
      <c r="AJ61" s="6"/>
      <c r="AK61" s="7"/>
      <c r="AL61" s="5"/>
      <c r="AM61" s="6"/>
      <c r="AN61" s="6"/>
      <c r="AO61" s="6"/>
      <c r="AP61" s="7"/>
      <c r="AQ61" s="5"/>
      <c r="AR61" s="6"/>
      <c r="AS61" s="6"/>
      <c r="AT61" s="6"/>
      <c r="AU61" s="7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  <c r="HW61" s="40"/>
      <c r="HX61" s="40"/>
      <c r="HY61" s="40"/>
      <c r="HZ61" s="40"/>
      <c r="IA61" s="40"/>
      <c r="IB61" s="40"/>
      <c r="IC61" s="40"/>
      <c r="ID61" s="40"/>
      <c r="IE61" s="40"/>
      <c r="IF61" s="40"/>
      <c r="IG61" s="40"/>
      <c r="IH61" s="40"/>
      <c r="II61" s="40"/>
      <c r="IJ61" s="40"/>
      <c r="IK61" s="40"/>
      <c r="IL61" s="40"/>
      <c r="IM61" s="40"/>
      <c r="IN61" s="40"/>
      <c r="IO61" s="40"/>
      <c r="IP61" s="40"/>
      <c r="IQ61" s="40"/>
      <c r="IR61" s="40"/>
      <c r="IS61" s="40"/>
      <c r="IT61" s="40"/>
      <c r="IU61" s="40"/>
      <c r="IV61" s="40"/>
      <c r="IW61" s="40"/>
    </row>
    <row r="62" spans="1:257" ht="16.5" customHeight="1" x14ac:dyDescent="0.3">
      <c r="A62" s="206">
        <v>54</v>
      </c>
      <c r="B62" s="192" t="s">
        <v>178</v>
      </c>
      <c r="C62" s="135" t="s">
        <v>180</v>
      </c>
      <c r="D62" s="54"/>
      <c r="E62" s="54"/>
      <c r="F62" s="54">
        <v>62692558.689999998</v>
      </c>
      <c r="G62" s="107">
        <v>474355059.73000002</v>
      </c>
      <c r="H62" s="54"/>
      <c r="I62" s="63"/>
      <c r="J62" s="107">
        <v>614480603.40999997</v>
      </c>
      <c r="K62" s="107">
        <v>5117191.5599999996</v>
      </c>
      <c r="L62" s="63">
        <v>1121508.43</v>
      </c>
      <c r="M62" s="64">
        <v>3823615.95</v>
      </c>
      <c r="N62" s="54">
        <v>614480603.40999997</v>
      </c>
      <c r="O62" s="55">
        <v>597674723.02999997</v>
      </c>
      <c r="P62" s="186">
        <v>602555938.89999998</v>
      </c>
      <c r="Q62" s="58">
        <f>(P62/$P$64)</f>
        <v>2.602276091692265E-3</v>
      </c>
      <c r="R62" s="67">
        <v>609343205.60000002</v>
      </c>
      <c r="S62" s="58"/>
      <c r="T62" s="59"/>
      <c r="U62" s="141">
        <f t="shared" ref="U62" si="38">(L62/R62)</f>
        <v>1.8405201201770812E-3</v>
      </c>
      <c r="V62" s="60">
        <f t="shared" ref="V62" si="39">M62/R62</f>
        <v>6.2749792150960521E-3</v>
      </c>
      <c r="W62" s="61">
        <f t="shared" ref="W62" si="40">R62/AB62</f>
        <v>1.0216350518776918</v>
      </c>
      <c r="X62" s="61">
        <f t="shared" ref="X62" si="41">M62/AB62</f>
        <v>6.4107387159460915E-3</v>
      </c>
      <c r="Y62" s="54">
        <v>1.02</v>
      </c>
      <c r="Z62" s="54">
        <v>1.02</v>
      </c>
      <c r="AA62" s="106">
        <v>35</v>
      </c>
      <c r="AB62" s="222">
        <v>596439212.29999995</v>
      </c>
      <c r="AC62" s="13"/>
      <c r="AD62" s="4"/>
      <c r="AE62" s="4"/>
      <c r="AF62" s="4"/>
      <c r="AG62" s="5"/>
      <c r="AH62" s="6"/>
      <c r="AI62" s="6"/>
      <c r="AJ62" s="6"/>
      <c r="AK62" s="7"/>
      <c r="AL62" s="5"/>
      <c r="AM62" s="6"/>
      <c r="AN62" s="6"/>
      <c r="AO62" s="6"/>
      <c r="AP62" s="7"/>
      <c r="AQ62" s="5"/>
      <c r="AR62" s="6"/>
      <c r="AS62" s="6"/>
      <c r="AT62" s="6"/>
      <c r="AU62" s="7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  <c r="IJ62" s="40"/>
      <c r="IK62" s="40"/>
      <c r="IL62" s="40"/>
      <c r="IM62" s="40"/>
      <c r="IN62" s="40"/>
      <c r="IO62" s="40"/>
      <c r="IP62" s="40"/>
      <c r="IQ62" s="40"/>
      <c r="IR62" s="40"/>
      <c r="IS62" s="40"/>
      <c r="IT62" s="40"/>
      <c r="IU62" s="40"/>
      <c r="IV62" s="40"/>
      <c r="IW62" s="40"/>
    </row>
    <row r="63" spans="1:257" ht="16.5" customHeight="1" x14ac:dyDescent="0.3">
      <c r="A63" s="206">
        <v>55</v>
      </c>
      <c r="B63" s="192" t="s">
        <v>178</v>
      </c>
      <c r="C63" s="135" t="s">
        <v>181</v>
      </c>
      <c r="D63" s="72"/>
      <c r="E63" s="72"/>
      <c r="F63" s="63"/>
      <c r="G63" s="63">
        <v>729142423</v>
      </c>
      <c r="H63" s="72"/>
      <c r="I63" s="63"/>
      <c r="J63" s="63">
        <v>786117043.19000006</v>
      </c>
      <c r="K63" s="63">
        <v>786117043.19000006</v>
      </c>
      <c r="L63" s="63">
        <v>1337942.74</v>
      </c>
      <c r="M63" s="98">
        <v>2090717.3</v>
      </c>
      <c r="N63" s="63">
        <v>786117043.19000006</v>
      </c>
      <c r="O63" s="63">
        <v>762880777.92999995</v>
      </c>
      <c r="P63" s="186">
        <v>674542027.03999996</v>
      </c>
      <c r="Q63" s="58">
        <f>(P63/$P$64)</f>
        <v>2.9131645320969045E-3</v>
      </c>
      <c r="R63" s="67">
        <v>775391761.76999998</v>
      </c>
      <c r="S63" s="58">
        <f>(R63/$R$64)</f>
        <v>3.6091557980453357E-3</v>
      </c>
      <c r="T63" s="59">
        <f t="shared" si="27"/>
        <v>0.14950845267943502</v>
      </c>
      <c r="U63" s="141">
        <f t="shared" si="28"/>
        <v>1.7255054876335742E-3</v>
      </c>
      <c r="V63" s="60">
        <f t="shared" si="29"/>
        <v>2.6963367462500298E-3</v>
      </c>
      <c r="W63" s="61">
        <f t="shared" si="30"/>
        <v>42466.742708721278</v>
      </c>
      <c r="X63" s="61">
        <f t="shared" si="31"/>
        <v>114.5046388590707</v>
      </c>
      <c r="Y63" s="63">
        <v>103.31</v>
      </c>
      <c r="Z63" s="54">
        <v>103.31</v>
      </c>
      <c r="AA63" s="106">
        <v>30</v>
      </c>
      <c r="AB63" s="222">
        <v>18258.8</v>
      </c>
      <c r="AC63" s="165"/>
      <c r="AD63" s="4"/>
      <c r="AE63" s="4"/>
      <c r="AF63" s="4"/>
      <c r="AG63" s="5"/>
      <c r="AH63" s="6"/>
      <c r="AI63" s="6"/>
      <c r="AJ63" s="6"/>
      <c r="AK63" s="7"/>
      <c r="AL63" s="5"/>
      <c r="AM63" s="6"/>
      <c r="AN63" s="6"/>
      <c r="AO63" s="6"/>
      <c r="AP63" s="7"/>
      <c r="AQ63" s="5"/>
      <c r="AR63" s="6"/>
      <c r="AS63" s="6"/>
      <c r="AT63" s="6"/>
      <c r="AU63" s="7"/>
    </row>
    <row r="64" spans="1:257" ht="16.5" customHeight="1" x14ac:dyDescent="0.3">
      <c r="A64" s="223"/>
      <c r="B64" s="99"/>
      <c r="C64" s="80" t="s">
        <v>55</v>
      </c>
      <c r="D64" s="81"/>
      <c r="E64" s="81"/>
      <c r="F64" s="81"/>
      <c r="G64" s="81"/>
      <c r="H64" s="81"/>
      <c r="I64" s="81"/>
      <c r="J64" s="81" t="s">
        <v>96</v>
      </c>
      <c r="K64" s="81"/>
      <c r="L64" s="81"/>
      <c r="M64" s="82"/>
      <c r="N64" s="81"/>
      <c r="O64" s="81"/>
      <c r="P64" s="187">
        <f>SUM(P52:P63)</f>
        <v>231549581085.43997</v>
      </c>
      <c r="Q64" s="83">
        <f>(P64/$P$136)</f>
        <v>0.18100047561900307</v>
      </c>
      <c r="R64" s="84">
        <f>SUM(R52:R63)</f>
        <v>214840202296.04398</v>
      </c>
      <c r="S64" s="83">
        <f>(R64/$R$136)</f>
        <v>0.16893462943231269</v>
      </c>
      <c r="T64" s="85">
        <f t="shared" si="27"/>
        <v>-7.2163286632033974E-2</v>
      </c>
      <c r="U64" s="121"/>
      <c r="V64" s="86"/>
      <c r="W64" s="87"/>
      <c r="X64" s="87"/>
      <c r="Y64" s="81"/>
      <c r="Z64" s="81"/>
      <c r="AA64" s="88">
        <f>SUM(AA52:AA63)</f>
        <v>12960</v>
      </c>
      <c r="AB64" s="214"/>
      <c r="AC64" s="13"/>
      <c r="AD64" s="4"/>
      <c r="AE64" s="4"/>
      <c r="AF64" s="4"/>
      <c r="AG64" s="5"/>
      <c r="AH64" s="6"/>
      <c r="AI64" s="6"/>
      <c r="AJ64" s="6"/>
      <c r="AK64" s="7"/>
      <c r="AL64" s="5"/>
      <c r="AM64" s="6"/>
      <c r="AN64" s="6"/>
      <c r="AO64" s="6"/>
      <c r="AP64" s="7"/>
      <c r="AQ64" s="5"/>
      <c r="AR64" s="6"/>
      <c r="AS64" s="6"/>
      <c r="AT64" s="6"/>
      <c r="AU64" s="7"/>
    </row>
    <row r="65" spans="1:47" ht="15.75" customHeight="1" x14ac:dyDescent="0.3">
      <c r="A65" s="215"/>
      <c r="B65" s="89"/>
      <c r="C65" s="101" t="s">
        <v>107</v>
      </c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188"/>
      <c r="Q65" s="91"/>
      <c r="R65" s="91"/>
      <c r="S65" s="91"/>
      <c r="T65" s="59"/>
      <c r="U65" s="122"/>
      <c r="V65" s="91"/>
      <c r="W65" s="91"/>
      <c r="X65" s="91"/>
      <c r="Y65" s="91"/>
      <c r="Z65" s="91"/>
      <c r="AA65" s="91"/>
      <c r="AB65" s="216"/>
      <c r="AC65" s="13"/>
      <c r="AD65" s="4"/>
      <c r="AE65" s="4"/>
      <c r="AF65" s="4"/>
      <c r="AG65" s="5"/>
      <c r="AH65" s="6"/>
      <c r="AI65" s="6"/>
      <c r="AJ65" s="6"/>
      <c r="AK65" s="7"/>
      <c r="AL65" s="5"/>
      <c r="AM65" s="6"/>
      <c r="AN65" s="6"/>
      <c r="AO65" s="6"/>
      <c r="AP65" s="7"/>
      <c r="AQ65" s="5"/>
      <c r="AR65" s="6"/>
      <c r="AS65" s="6"/>
      <c r="AT65" s="6"/>
      <c r="AU65" s="7"/>
    </row>
    <row r="66" spans="1:47" ht="16.5" customHeight="1" x14ac:dyDescent="0.3">
      <c r="A66" s="206">
        <v>56</v>
      </c>
      <c r="B66" s="191" t="s">
        <v>86</v>
      </c>
      <c r="C66" s="132" t="s">
        <v>108</v>
      </c>
      <c r="D66" s="130"/>
      <c r="E66" s="126"/>
      <c r="F66" s="126"/>
      <c r="G66" s="126">
        <v>2969000190.6100001</v>
      </c>
      <c r="H66" s="126"/>
      <c r="I66" s="126"/>
      <c r="J66" s="126">
        <v>2969000190.6100001</v>
      </c>
      <c r="K66" s="126">
        <v>23992729.829999998</v>
      </c>
      <c r="L66" s="126">
        <v>1905719.67</v>
      </c>
      <c r="M66" s="56">
        <v>22087010.16</v>
      </c>
      <c r="N66" s="54">
        <v>2999582557.8400002</v>
      </c>
      <c r="O66" s="54">
        <v>54097253.5</v>
      </c>
      <c r="P66" s="186">
        <v>3458490594.0300002</v>
      </c>
      <c r="Q66" s="58">
        <f t="shared" ref="Q66:Q87" si="42">(P66/$P$95)</f>
        <v>7.9133362145544714E-3</v>
      </c>
      <c r="R66" s="67">
        <f>N66-O66</f>
        <v>2945485304.3400002</v>
      </c>
      <c r="S66" s="58">
        <f t="shared" ref="S66:S94" si="43">(R66/$R$95)</f>
        <v>6.7923238899328482E-3</v>
      </c>
      <c r="T66" s="59">
        <f t="shared" ref="T66:T95" si="44">((R66-P66)/P66)</f>
        <v>-0.14833213384345845</v>
      </c>
      <c r="U66" s="141">
        <f t="shared" ref="U66:U94" si="45">(L66/R66)</f>
        <v>6.4699683518774768E-4</v>
      </c>
      <c r="V66" s="60">
        <f t="shared" ref="V66:V94" si="46">M66/R66</f>
        <v>7.4985979822938123E-3</v>
      </c>
      <c r="W66" s="61">
        <f t="shared" ref="W66:W94" si="47">R66/AB66</f>
        <v>3408.6135212081449</v>
      </c>
      <c r="X66" s="61">
        <f t="shared" ref="X66:X94" si="48">M66/AB66</f>
        <v>25.559822472550803</v>
      </c>
      <c r="Y66" s="54">
        <v>3408.61</v>
      </c>
      <c r="Z66" s="54">
        <v>3408.61</v>
      </c>
      <c r="AA66" s="62">
        <v>1068</v>
      </c>
      <c r="AB66" s="208">
        <v>864130.03</v>
      </c>
      <c r="AC66" s="13"/>
      <c r="AD66" s="4"/>
      <c r="AE66" s="4"/>
      <c r="AF66" s="4"/>
      <c r="AG66" s="5"/>
      <c r="AH66" s="6"/>
      <c r="AI66" s="6"/>
      <c r="AJ66" s="6"/>
      <c r="AK66" s="7"/>
      <c r="AL66" s="5"/>
      <c r="AM66" s="6"/>
      <c r="AN66" s="6"/>
      <c r="AO66" s="6"/>
      <c r="AP66" s="7"/>
      <c r="AQ66" s="5"/>
      <c r="AR66" s="6"/>
      <c r="AS66" s="6"/>
      <c r="AT66" s="6"/>
      <c r="AU66" s="7"/>
    </row>
    <row r="67" spans="1:47" ht="16.5" customHeight="1" x14ac:dyDescent="0.3">
      <c r="A67" s="206">
        <v>57</v>
      </c>
      <c r="B67" s="191" t="s">
        <v>36</v>
      </c>
      <c r="C67" s="135" t="s">
        <v>109</v>
      </c>
      <c r="D67" s="126"/>
      <c r="E67" s="126"/>
      <c r="F67" s="126">
        <v>5460659415</v>
      </c>
      <c r="G67" s="126">
        <v>107756966157</v>
      </c>
      <c r="H67" s="126"/>
      <c r="I67" s="126"/>
      <c r="J67" s="126">
        <v>113217625572</v>
      </c>
      <c r="K67" s="126">
        <v>831300651</v>
      </c>
      <c r="L67" s="128">
        <v>165308062</v>
      </c>
      <c r="M67" s="64">
        <v>665992589</v>
      </c>
      <c r="N67" s="54">
        <v>117088941137.03999</v>
      </c>
      <c r="O67" s="54">
        <v>572651691.97000003</v>
      </c>
      <c r="P67" s="186">
        <v>118995104328</v>
      </c>
      <c r="Q67" s="58">
        <f t="shared" si="42"/>
        <v>0.27227145566303129</v>
      </c>
      <c r="R67" s="67">
        <v>116516289445</v>
      </c>
      <c r="S67" s="58">
        <f t="shared" si="43"/>
        <v>0.26868793919884726</v>
      </c>
      <c r="T67" s="59">
        <f t="shared" si="44"/>
        <v>-2.0831234167141492E-2</v>
      </c>
      <c r="U67" s="141">
        <f t="shared" si="45"/>
        <v>1.418754946517856E-3</v>
      </c>
      <c r="V67" s="60">
        <f t="shared" si="46"/>
        <v>5.7158753696355319E-3</v>
      </c>
      <c r="W67" s="61">
        <f t="shared" si="47"/>
        <v>1.938656479536133</v>
      </c>
      <c r="X67" s="61">
        <f t="shared" si="48"/>
        <v>1.1081118821564912E-2</v>
      </c>
      <c r="Y67" s="54">
        <v>1.94</v>
      </c>
      <c r="Z67" s="54">
        <v>1.94</v>
      </c>
      <c r="AA67" s="62">
        <v>2763</v>
      </c>
      <c r="AB67" s="208">
        <v>60101565530</v>
      </c>
      <c r="AC67" s="13"/>
      <c r="AD67" s="4"/>
      <c r="AE67" s="4"/>
      <c r="AF67" s="4"/>
      <c r="AG67" s="5"/>
      <c r="AH67" s="6"/>
      <c r="AI67" s="6"/>
      <c r="AJ67" s="6"/>
      <c r="AK67" s="7"/>
      <c r="AL67" s="5"/>
      <c r="AM67" s="6"/>
      <c r="AN67" s="6"/>
      <c r="AO67" s="6"/>
      <c r="AP67" s="7"/>
      <c r="AQ67" s="5"/>
      <c r="AR67" s="6"/>
      <c r="AS67" s="6"/>
      <c r="AT67" s="6"/>
      <c r="AU67" s="7"/>
    </row>
    <row r="68" spans="1:47" ht="16.5" customHeight="1" x14ac:dyDescent="0.3">
      <c r="A68" s="206">
        <v>58</v>
      </c>
      <c r="B68" s="191" t="s">
        <v>47</v>
      </c>
      <c r="C68" s="135" t="s">
        <v>110</v>
      </c>
      <c r="D68" s="127">
        <v>44792500</v>
      </c>
      <c r="E68" s="126"/>
      <c r="F68" s="127">
        <v>138700000</v>
      </c>
      <c r="G68" s="127">
        <v>11408811142.43</v>
      </c>
      <c r="H68" s="126"/>
      <c r="I68" s="126"/>
      <c r="J68" s="127">
        <v>11592303642.43</v>
      </c>
      <c r="K68" s="127">
        <v>53579612.780000001</v>
      </c>
      <c r="L68" s="127">
        <v>787166.85</v>
      </c>
      <c r="M68" s="64">
        <v>52198695.93</v>
      </c>
      <c r="N68" s="71">
        <v>11597525610.09</v>
      </c>
      <c r="O68" s="71">
        <v>237391435.93000001</v>
      </c>
      <c r="P68" s="186">
        <v>11831528789.41</v>
      </c>
      <c r="Q68" s="58">
        <f t="shared" si="42"/>
        <v>2.7071597477928495E-2</v>
      </c>
      <c r="R68" s="67">
        <v>11360134174.16</v>
      </c>
      <c r="S68" s="58">
        <f t="shared" si="43"/>
        <v>2.6196603537724756E-2</v>
      </c>
      <c r="T68" s="59">
        <f t="shared" si="44"/>
        <v>-3.9842240477995484E-2</v>
      </c>
      <c r="U68" s="141">
        <f t="shared" si="45"/>
        <v>6.9292038098502949E-5</v>
      </c>
      <c r="V68" s="60">
        <f t="shared" si="46"/>
        <v>4.5949013567755433E-3</v>
      </c>
      <c r="W68" s="61">
        <f t="shared" si="47"/>
        <v>0.99944471913365429</v>
      </c>
      <c r="X68" s="61">
        <f t="shared" si="48"/>
        <v>4.5923498959693802E-3</v>
      </c>
      <c r="Y68" s="54">
        <v>1</v>
      </c>
      <c r="Z68" s="54">
        <v>1</v>
      </c>
      <c r="AA68" s="62">
        <v>4554</v>
      </c>
      <c r="AB68" s="224">
        <v>11366445744</v>
      </c>
      <c r="AC68" s="13"/>
      <c r="AD68" s="4"/>
      <c r="AE68" s="4"/>
      <c r="AF68" s="4"/>
      <c r="AG68" s="5"/>
      <c r="AH68" s="6"/>
      <c r="AI68" s="6"/>
      <c r="AJ68" s="6"/>
      <c r="AK68" s="7"/>
      <c r="AL68" s="5"/>
      <c r="AM68" s="6"/>
      <c r="AN68" s="6"/>
      <c r="AO68" s="6"/>
      <c r="AP68" s="7"/>
      <c r="AQ68" s="5"/>
      <c r="AR68" s="6"/>
      <c r="AS68" s="6"/>
      <c r="AT68" s="6"/>
      <c r="AU68" s="7"/>
    </row>
    <row r="69" spans="1:47" ht="16.5" customHeight="1" x14ac:dyDescent="0.3">
      <c r="A69" s="206">
        <v>59</v>
      </c>
      <c r="B69" s="191" t="s">
        <v>111</v>
      </c>
      <c r="C69" s="135" t="s">
        <v>112</v>
      </c>
      <c r="D69" s="126"/>
      <c r="E69" s="130"/>
      <c r="F69" s="126">
        <v>120297884.26000001</v>
      </c>
      <c r="G69" s="126">
        <v>383985402.25999999</v>
      </c>
      <c r="H69" s="126"/>
      <c r="I69" s="126"/>
      <c r="J69" s="126">
        <v>504283286.51999998</v>
      </c>
      <c r="K69" s="126">
        <v>3325411.19</v>
      </c>
      <c r="L69" s="126">
        <v>981555.02</v>
      </c>
      <c r="M69" s="64">
        <v>2343856.17</v>
      </c>
      <c r="N69" s="54">
        <v>514943170.72000003</v>
      </c>
      <c r="O69" s="54">
        <v>6912798.4100000001</v>
      </c>
      <c r="P69" s="186">
        <v>516309365.42000002</v>
      </c>
      <c r="Q69" s="58">
        <f t="shared" si="42"/>
        <v>1.1813620677021516E-3</v>
      </c>
      <c r="R69" s="67">
        <v>508030372.31</v>
      </c>
      <c r="S69" s="58">
        <f t="shared" si="43"/>
        <v>1.1715240369959672E-3</v>
      </c>
      <c r="T69" s="59">
        <f t="shared" si="44"/>
        <v>-1.6034946612415866E-2</v>
      </c>
      <c r="U69" s="141">
        <f t="shared" si="45"/>
        <v>1.9320794060734925E-3</v>
      </c>
      <c r="V69" s="60">
        <f t="shared" si="46"/>
        <v>4.613614259601352E-3</v>
      </c>
      <c r="W69" s="61">
        <f t="shared" si="47"/>
        <v>2.0789920967392015</v>
      </c>
      <c r="X69" s="61">
        <f t="shared" si="48"/>
        <v>9.5916675831144941E-3</v>
      </c>
      <c r="Y69" s="54">
        <v>2.0733999999999999</v>
      </c>
      <c r="Z69" s="54">
        <v>2.0733999999999999</v>
      </c>
      <c r="AA69" s="62">
        <v>1445</v>
      </c>
      <c r="AB69" s="208">
        <v>244363782.38609999</v>
      </c>
      <c r="AC69" s="13"/>
      <c r="AD69" s="4"/>
      <c r="AE69" s="4"/>
      <c r="AF69" s="4"/>
      <c r="AG69" s="5"/>
      <c r="AH69" s="6"/>
      <c r="AI69" s="6"/>
      <c r="AJ69" s="6"/>
      <c r="AK69" s="7"/>
      <c r="AL69" s="5"/>
      <c r="AM69" s="6"/>
      <c r="AN69" s="6"/>
      <c r="AO69" s="6"/>
      <c r="AP69" s="7"/>
      <c r="AQ69" s="5"/>
      <c r="AR69" s="6"/>
      <c r="AS69" s="6"/>
      <c r="AT69" s="6"/>
      <c r="AU69" s="7"/>
    </row>
    <row r="70" spans="1:47" ht="18" customHeight="1" x14ac:dyDescent="0.3">
      <c r="A70" s="206">
        <v>60</v>
      </c>
      <c r="B70" s="191" t="s">
        <v>26</v>
      </c>
      <c r="C70" s="135" t="s">
        <v>113</v>
      </c>
      <c r="D70" s="127"/>
      <c r="E70" s="126"/>
      <c r="F70" s="127">
        <v>4336204144.1700001</v>
      </c>
      <c r="G70" s="127">
        <v>23570261465.099998</v>
      </c>
      <c r="H70" s="126"/>
      <c r="I70" s="126"/>
      <c r="J70" s="127">
        <v>27906961842.150002</v>
      </c>
      <c r="K70" s="127">
        <v>199527362.78999999</v>
      </c>
      <c r="L70" s="127">
        <v>40243771.259999998</v>
      </c>
      <c r="M70" s="64">
        <v>159283591.53</v>
      </c>
      <c r="N70" s="55">
        <v>27954928664.18</v>
      </c>
      <c r="O70" s="55">
        <v>136234197.21000001</v>
      </c>
      <c r="P70" s="186">
        <v>28753225007.619999</v>
      </c>
      <c r="Q70" s="58">
        <f>(P70/$P$95)</f>
        <v>6.5789953898038239E-2</v>
      </c>
      <c r="R70" s="67">
        <v>27818694466.970001</v>
      </c>
      <c r="S70" s="58">
        <f t="shared" si="43"/>
        <v>6.4150237903523408E-2</v>
      </c>
      <c r="T70" s="59">
        <f t="shared" si="44"/>
        <v>-3.2501764250873921E-2</v>
      </c>
      <c r="U70" s="141">
        <f t="shared" si="45"/>
        <v>1.4466448563135368E-3</v>
      </c>
      <c r="V70" s="60">
        <f t="shared" si="46"/>
        <v>5.7257752235325907E-3</v>
      </c>
      <c r="W70" s="61">
        <f t="shared" si="47"/>
        <v>308.27991220310645</v>
      </c>
      <c r="X70" s="61">
        <f t="shared" si="48"/>
        <v>1.7651414832053494</v>
      </c>
      <c r="Y70" s="54">
        <v>308.27999999999997</v>
      </c>
      <c r="Z70" s="63">
        <v>308.27999999999997</v>
      </c>
      <c r="AA70" s="62">
        <v>9709</v>
      </c>
      <c r="AB70" s="207">
        <v>90238427.370000005</v>
      </c>
      <c r="AC70" s="13"/>
      <c r="AD70" s="4"/>
      <c r="AE70" s="4"/>
      <c r="AF70" s="4"/>
      <c r="AG70" s="5"/>
      <c r="AH70" s="6"/>
      <c r="AI70" s="6"/>
      <c r="AJ70" s="6"/>
      <c r="AK70" s="7"/>
      <c r="AL70" s="5"/>
      <c r="AM70" s="6"/>
      <c r="AN70" s="6"/>
      <c r="AO70" s="6"/>
      <c r="AP70" s="7"/>
      <c r="AQ70" s="5"/>
      <c r="AR70" s="6"/>
      <c r="AS70" s="6"/>
      <c r="AT70" s="6"/>
      <c r="AU70" s="7"/>
    </row>
    <row r="71" spans="1:47" ht="16.5" customHeight="1" x14ac:dyDescent="0.3">
      <c r="A71" s="206">
        <v>61</v>
      </c>
      <c r="B71" s="191" t="s">
        <v>114</v>
      </c>
      <c r="C71" s="135" t="s">
        <v>115</v>
      </c>
      <c r="D71" s="126"/>
      <c r="E71" s="126"/>
      <c r="F71" s="126"/>
      <c r="G71" s="126">
        <v>4837989154.1999998</v>
      </c>
      <c r="H71" s="126"/>
      <c r="I71" s="132"/>
      <c r="J71" s="126">
        <v>4837989154.1999998</v>
      </c>
      <c r="K71" s="126">
        <v>55970589.350000001</v>
      </c>
      <c r="L71" s="126">
        <v>7492324.0899999999</v>
      </c>
      <c r="M71" s="64">
        <v>48478265.259999998</v>
      </c>
      <c r="N71" s="54">
        <v>6615461161</v>
      </c>
      <c r="O71" s="54">
        <v>57934398</v>
      </c>
      <c r="P71" s="186">
        <v>6654739567</v>
      </c>
      <c r="Q71" s="58">
        <f t="shared" si="42"/>
        <v>1.5226640114295142E-2</v>
      </c>
      <c r="R71" s="67">
        <v>6557526763</v>
      </c>
      <c r="S71" s="58">
        <f t="shared" si="43"/>
        <v>1.5121734141932601E-2</v>
      </c>
      <c r="T71" s="59">
        <f t="shared" si="44"/>
        <v>-1.4608055359831935E-2</v>
      </c>
      <c r="U71" s="141">
        <f t="shared" si="45"/>
        <v>1.1425533376812846E-3</v>
      </c>
      <c r="V71" s="60">
        <f t="shared" si="46"/>
        <v>7.3927666652513517E-3</v>
      </c>
      <c r="W71" s="61">
        <f t="shared" si="47"/>
        <v>1</v>
      </c>
      <c r="X71" s="61">
        <f t="shared" si="48"/>
        <v>7.3927666652513517E-3</v>
      </c>
      <c r="Y71" s="54">
        <v>1.06</v>
      </c>
      <c r="Z71" s="54">
        <v>1.06</v>
      </c>
      <c r="AA71" s="62">
        <v>1860</v>
      </c>
      <c r="AB71" s="211">
        <v>6557526763</v>
      </c>
      <c r="AC71" s="13"/>
      <c r="AD71" s="4"/>
      <c r="AE71" s="4"/>
      <c r="AF71" s="4"/>
      <c r="AG71" s="5"/>
      <c r="AH71" s="6"/>
      <c r="AI71" s="6"/>
      <c r="AJ71" s="6"/>
      <c r="AK71" s="7"/>
      <c r="AL71" s="5"/>
      <c r="AM71" s="6"/>
      <c r="AN71" s="6"/>
      <c r="AO71" s="6"/>
      <c r="AP71" s="7"/>
      <c r="AQ71" s="5"/>
      <c r="AR71" s="6"/>
      <c r="AS71" s="6"/>
      <c r="AT71" s="6"/>
      <c r="AU71" s="7"/>
    </row>
    <row r="72" spans="1:47" ht="15.75" customHeight="1" x14ac:dyDescent="0.3">
      <c r="A72" s="206">
        <v>62</v>
      </c>
      <c r="B72" s="192" t="s">
        <v>28</v>
      </c>
      <c r="C72" s="135" t="s">
        <v>212</v>
      </c>
      <c r="D72" s="126"/>
      <c r="E72" s="126"/>
      <c r="F72" s="126">
        <v>1447249278.8900001</v>
      </c>
      <c r="G72" s="71">
        <v>6956061578.8699999</v>
      </c>
      <c r="H72" s="126"/>
      <c r="I72" s="126"/>
      <c r="J72" s="126">
        <v>8534077535.29</v>
      </c>
      <c r="K72" s="126">
        <v>72112030.400000006</v>
      </c>
      <c r="L72" s="126">
        <v>10835775.9</v>
      </c>
      <c r="M72" s="64">
        <v>61276254.5</v>
      </c>
      <c r="N72" s="54">
        <v>8532177286.6800003</v>
      </c>
      <c r="O72" s="54">
        <v>39045561.32</v>
      </c>
      <c r="P72" s="186">
        <v>11172560119.41</v>
      </c>
      <c r="Q72" s="58">
        <f t="shared" si="42"/>
        <v>2.5563818145068883E-2</v>
      </c>
      <c r="R72" s="67">
        <v>8493131725.3599997</v>
      </c>
      <c r="S72" s="58">
        <f t="shared" si="43"/>
        <v>1.9585262039335003E-2</v>
      </c>
      <c r="T72" s="59">
        <f t="shared" si="44"/>
        <v>-0.23982223997121757</v>
      </c>
      <c r="U72" s="141">
        <f>(L73/R72)</f>
        <v>4.0433469761761397E-3</v>
      </c>
      <c r="V72" s="60">
        <f t="shared" si="46"/>
        <v>7.2148009098967174E-3</v>
      </c>
      <c r="W72" s="61">
        <f t="shared" si="47"/>
        <v>4.4756791618876965</v>
      </c>
      <c r="X72" s="61">
        <f t="shared" si="48"/>
        <v>3.2291134089593124E-2</v>
      </c>
      <c r="Y72" s="54">
        <v>3.98</v>
      </c>
      <c r="Z72" s="54">
        <v>3.98</v>
      </c>
      <c r="AA72" s="62">
        <v>1041</v>
      </c>
      <c r="AB72" s="211">
        <v>1897618533</v>
      </c>
      <c r="AC72" s="13"/>
      <c r="AD72" s="4"/>
      <c r="AE72" s="4"/>
      <c r="AF72" s="4"/>
      <c r="AG72" s="5"/>
      <c r="AH72" s="6"/>
      <c r="AI72" s="6"/>
      <c r="AJ72" s="6"/>
      <c r="AK72" s="7"/>
      <c r="AL72" s="5"/>
      <c r="AM72" s="6"/>
      <c r="AN72" s="6"/>
      <c r="AO72" s="6"/>
      <c r="AP72" s="7"/>
      <c r="AQ72" s="5"/>
      <c r="AR72" s="6"/>
      <c r="AS72" s="6"/>
      <c r="AT72" s="6"/>
      <c r="AU72" s="7"/>
    </row>
    <row r="73" spans="1:47" ht="16.5" customHeight="1" x14ac:dyDescent="0.3">
      <c r="A73" s="206">
        <v>63</v>
      </c>
      <c r="B73" s="191" t="s">
        <v>26</v>
      </c>
      <c r="C73" s="132" t="s">
        <v>116</v>
      </c>
      <c r="D73" s="126"/>
      <c r="E73" s="126"/>
      <c r="F73" s="126">
        <v>12482872495.559999</v>
      </c>
      <c r="G73" s="126">
        <v>24933684654.91</v>
      </c>
      <c r="H73" s="126"/>
      <c r="I73" s="126"/>
      <c r="J73" s="126">
        <v>37416557150.470001</v>
      </c>
      <c r="K73" s="126">
        <v>294928631.22000003</v>
      </c>
      <c r="L73" s="126">
        <v>34340678.479999997</v>
      </c>
      <c r="M73" s="56">
        <v>260587952.74000001</v>
      </c>
      <c r="N73" s="55">
        <v>37863488297.300003</v>
      </c>
      <c r="O73" s="55">
        <v>102234383.62</v>
      </c>
      <c r="P73" s="186">
        <v>34177199941.16</v>
      </c>
      <c r="Q73" s="58">
        <f t="shared" si="42"/>
        <v>7.820049430618875E-2</v>
      </c>
      <c r="R73" s="67">
        <v>37761253913.68</v>
      </c>
      <c r="S73" s="58">
        <f t="shared" si="43"/>
        <v>8.7077897382068351E-2</v>
      </c>
      <c r="T73" s="59">
        <f t="shared" si="44"/>
        <v>0.10486681116915264</v>
      </c>
      <c r="U73" s="141" t="e">
        <f>(#REF!/R73)</f>
        <v>#REF!</v>
      </c>
      <c r="V73" s="60">
        <f t="shared" si="46"/>
        <v>6.9009348401323934E-3</v>
      </c>
      <c r="W73" s="61">
        <f t="shared" si="47"/>
        <v>4157.3254491863281</v>
      </c>
      <c r="X73" s="61">
        <f t="shared" si="48"/>
        <v>28.689432034058985</v>
      </c>
      <c r="Y73" s="107">
        <v>4157.33</v>
      </c>
      <c r="Z73" s="54">
        <v>4157.33</v>
      </c>
      <c r="AA73" s="62">
        <v>332</v>
      </c>
      <c r="AB73" s="208">
        <v>9083064.1899999995</v>
      </c>
      <c r="AC73" s="13"/>
      <c r="AD73" s="4"/>
      <c r="AE73" s="4"/>
      <c r="AF73" s="4"/>
      <c r="AG73" s="5"/>
      <c r="AH73" s="6"/>
      <c r="AI73" s="6"/>
      <c r="AJ73" s="6"/>
      <c r="AK73" s="7"/>
      <c r="AL73" s="5"/>
      <c r="AM73" s="6"/>
      <c r="AN73" s="6"/>
      <c r="AO73" s="6"/>
      <c r="AP73" s="7"/>
      <c r="AQ73" s="5"/>
      <c r="AR73" s="6"/>
      <c r="AS73" s="6"/>
      <c r="AT73" s="6"/>
      <c r="AU73" s="7"/>
    </row>
    <row r="74" spans="1:47" ht="16.5" customHeight="1" x14ac:dyDescent="0.3">
      <c r="A74" s="206">
        <v>64</v>
      </c>
      <c r="B74" s="191" t="s">
        <v>26</v>
      </c>
      <c r="C74" s="132" t="s">
        <v>117</v>
      </c>
      <c r="D74" s="126">
        <v>64785336.32</v>
      </c>
      <c r="E74" s="126"/>
      <c r="F74" s="126">
        <v>133350253.25</v>
      </c>
      <c r="G74" s="126">
        <v>31933856.550000001</v>
      </c>
      <c r="H74" s="126"/>
      <c r="I74" s="126"/>
      <c r="J74" s="126">
        <v>230192802.09999999</v>
      </c>
      <c r="K74" s="126">
        <v>1766905.57</v>
      </c>
      <c r="L74" s="126">
        <v>235689.67</v>
      </c>
      <c r="M74" s="64">
        <v>3125167.62</v>
      </c>
      <c r="N74" s="54">
        <v>236382305.75</v>
      </c>
      <c r="O74" s="54">
        <v>2388255.0499999998</v>
      </c>
      <c r="P74" s="186">
        <v>256476698.50999999</v>
      </c>
      <c r="Q74" s="58">
        <f t="shared" si="42"/>
        <v>5.8684165572460889E-4</v>
      </c>
      <c r="R74" s="67">
        <v>233994050.69999999</v>
      </c>
      <c r="S74" s="58">
        <f t="shared" si="43"/>
        <v>5.395930437439066E-4</v>
      </c>
      <c r="T74" s="59">
        <f t="shared" si="44"/>
        <v>-8.7659611733201595E-2</v>
      </c>
      <c r="U74" s="141">
        <f t="shared" si="45"/>
        <v>1.0072464205603841E-3</v>
      </c>
      <c r="V74" s="60">
        <f t="shared" si="46"/>
        <v>1.3355756741040939E-2</v>
      </c>
      <c r="W74" s="61">
        <f t="shared" si="47"/>
        <v>3714.1623930226574</v>
      </c>
      <c r="X74" s="61">
        <f t="shared" si="48"/>
        <v>49.605449417933102</v>
      </c>
      <c r="Y74" s="54">
        <v>3701.33</v>
      </c>
      <c r="Z74" s="54">
        <v>3721.29</v>
      </c>
      <c r="AA74" s="62">
        <v>15</v>
      </c>
      <c r="AB74" s="208">
        <v>63000.49</v>
      </c>
      <c r="AC74" s="13"/>
      <c r="AD74" s="4"/>
      <c r="AE74" s="4"/>
      <c r="AF74" s="4"/>
      <c r="AG74" s="5"/>
      <c r="AH74" s="6"/>
      <c r="AI74" s="6"/>
      <c r="AJ74" s="6"/>
      <c r="AK74" s="7"/>
      <c r="AL74" s="5"/>
      <c r="AM74" s="6"/>
      <c r="AN74" s="6"/>
      <c r="AO74" s="6"/>
      <c r="AP74" s="7"/>
      <c r="AQ74" s="5"/>
      <c r="AR74" s="6"/>
      <c r="AS74" s="6"/>
      <c r="AT74" s="6"/>
      <c r="AU74" s="7"/>
    </row>
    <row r="75" spans="1:47" ht="16.5" customHeight="1" x14ac:dyDescent="0.3">
      <c r="A75" s="206">
        <v>65</v>
      </c>
      <c r="B75" s="191" t="s">
        <v>118</v>
      </c>
      <c r="C75" s="132" t="s">
        <v>119</v>
      </c>
      <c r="D75" s="126"/>
      <c r="E75" s="126"/>
      <c r="F75" s="126"/>
      <c r="G75" s="127">
        <v>7049167516.8400002</v>
      </c>
      <c r="H75" s="126"/>
      <c r="I75" s="126">
        <v>5415715367.4499998</v>
      </c>
      <c r="J75" s="126">
        <v>12469999079.959999</v>
      </c>
      <c r="K75" s="126">
        <v>153332341.18000001</v>
      </c>
      <c r="L75" s="127">
        <v>26741605.68</v>
      </c>
      <c r="M75" s="56">
        <v>126590735.5</v>
      </c>
      <c r="N75" s="54">
        <v>15542121118.790001</v>
      </c>
      <c r="O75" s="54">
        <v>231437147.38</v>
      </c>
      <c r="P75" s="186">
        <v>14871965551.34</v>
      </c>
      <c r="Q75" s="58">
        <f t="shared" si="42"/>
        <v>3.4028389084583562E-2</v>
      </c>
      <c r="R75" s="67">
        <v>15310683971.41</v>
      </c>
      <c r="S75" s="58">
        <f t="shared" si="43"/>
        <v>3.5306618015370626E-2</v>
      </c>
      <c r="T75" s="59">
        <f t="shared" si="44"/>
        <v>2.9499693134406844E-2</v>
      </c>
      <c r="U75" s="141">
        <f t="shared" si="45"/>
        <v>1.7465977176418263E-3</v>
      </c>
      <c r="V75" s="60">
        <f t="shared" si="46"/>
        <v>8.2681306554550967E-3</v>
      </c>
      <c r="W75" s="61">
        <f t="shared" si="47"/>
        <v>1156.827159717541</v>
      </c>
      <c r="X75" s="61">
        <f t="shared" si="48"/>
        <v>9.5647981023236497</v>
      </c>
      <c r="Y75" s="54">
        <v>1156.83</v>
      </c>
      <c r="Z75" s="54">
        <v>1156.83</v>
      </c>
      <c r="AA75" s="62">
        <v>5064</v>
      </c>
      <c r="AB75" s="208">
        <v>13235066.140000001</v>
      </c>
      <c r="AC75" s="13"/>
      <c r="AD75" s="4"/>
      <c r="AE75" s="4"/>
      <c r="AF75" s="4"/>
      <c r="AG75" s="5"/>
      <c r="AH75" s="6"/>
      <c r="AI75" s="6"/>
      <c r="AJ75" s="6"/>
      <c r="AK75" s="7"/>
      <c r="AL75" s="5"/>
      <c r="AM75" s="6"/>
      <c r="AN75" s="6"/>
      <c r="AO75" s="6"/>
      <c r="AP75" s="7"/>
      <c r="AQ75" s="5"/>
      <c r="AR75" s="6"/>
      <c r="AS75" s="6"/>
      <c r="AT75" s="6"/>
      <c r="AU75" s="7"/>
    </row>
    <row r="76" spans="1:47" ht="16.5" customHeight="1" x14ac:dyDescent="0.3">
      <c r="A76" s="206">
        <v>66</v>
      </c>
      <c r="B76" s="192" t="s">
        <v>49</v>
      </c>
      <c r="C76" s="132" t="s">
        <v>120</v>
      </c>
      <c r="D76" s="126"/>
      <c r="E76" s="126"/>
      <c r="F76" s="126">
        <v>5770726.0300000003</v>
      </c>
      <c r="G76" s="126">
        <v>45675128.450000003</v>
      </c>
      <c r="H76" s="130"/>
      <c r="I76" s="126"/>
      <c r="J76" s="126">
        <v>51445854.479999997</v>
      </c>
      <c r="K76" s="126">
        <v>380235.6</v>
      </c>
      <c r="L76" s="126">
        <v>55772.51</v>
      </c>
      <c r="M76" s="64">
        <v>324463.09000000003</v>
      </c>
      <c r="N76" s="54">
        <v>52668122.960000001</v>
      </c>
      <c r="O76" s="54">
        <v>53722.21</v>
      </c>
      <c r="P76" s="186">
        <v>54375455.289999999</v>
      </c>
      <c r="Q76" s="58">
        <f t="shared" si="42"/>
        <v>1.2441591145918033E-4</v>
      </c>
      <c r="R76" s="67">
        <v>52681457.869999997</v>
      </c>
      <c r="S76" s="58">
        <f t="shared" si="43"/>
        <v>1.2148406387214052E-4</v>
      </c>
      <c r="T76" s="59">
        <f t="shared" si="44"/>
        <v>-3.1153714685521704E-2</v>
      </c>
      <c r="U76" s="141">
        <f t="shared" si="45"/>
        <v>1.058674384783118E-3</v>
      </c>
      <c r="V76" s="60">
        <f t="shared" si="46"/>
        <v>6.1589618647355029E-3</v>
      </c>
      <c r="W76" s="61">
        <f t="shared" si="47"/>
        <v>11.169186845063411</v>
      </c>
      <c r="X76" s="61">
        <f t="shared" si="48"/>
        <v>6.8790595838850999E-2</v>
      </c>
      <c r="Y76" s="54">
        <v>11.1692</v>
      </c>
      <c r="Z76" s="54">
        <v>11.1706</v>
      </c>
      <c r="AA76" s="62">
        <v>47</v>
      </c>
      <c r="AB76" s="208">
        <v>4716678</v>
      </c>
      <c r="AC76" s="3"/>
      <c r="AD76" s="9"/>
      <c r="AE76" s="4"/>
      <c r="AF76" s="4"/>
      <c r="AG76" s="5"/>
      <c r="AH76" s="6"/>
      <c r="AI76" s="6"/>
      <c r="AJ76" s="6"/>
      <c r="AK76" s="7"/>
      <c r="AL76" s="5"/>
      <c r="AM76" s="6"/>
      <c r="AN76" s="6"/>
      <c r="AO76" s="6"/>
      <c r="AP76" s="7"/>
      <c r="AQ76" s="5"/>
      <c r="AR76" s="6"/>
      <c r="AS76" s="6"/>
      <c r="AT76" s="6"/>
      <c r="AU76" s="7"/>
    </row>
    <row r="77" spans="1:47" ht="18.75" customHeight="1" x14ac:dyDescent="0.35">
      <c r="A77" s="206">
        <v>67</v>
      </c>
      <c r="B77" s="191" t="s">
        <v>82</v>
      </c>
      <c r="C77" s="135" t="s">
        <v>168</v>
      </c>
      <c r="D77" s="130"/>
      <c r="E77" s="126"/>
      <c r="F77" s="127"/>
      <c r="G77" s="127">
        <v>15000000</v>
      </c>
      <c r="H77" s="126"/>
      <c r="I77" s="126"/>
      <c r="J77" s="127">
        <v>21983068</v>
      </c>
      <c r="K77" s="127">
        <v>153509.71</v>
      </c>
      <c r="L77" s="127">
        <v>179060</v>
      </c>
      <c r="M77" s="98">
        <f>K77-L77</f>
        <v>-25550.290000000008</v>
      </c>
      <c r="N77" s="55">
        <v>21983068</v>
      </c>
      <c r="O77" s="55">
        <v>911907</v>
      </c>
      <c r="P77" s="186">
        <v>25382255</v>
      </c>
      <c r="Q77" s="58">
        <f t="shared" si="42"/>
        <v>5.807687262335633E-5</v>
      </c>
      <c r="R77" s="67">
        <v>21071161</v>
      </c>
      <c r="S77" s="58">
        <f t="shared" si="43"/>
        <v>4.8590346058776531E-5</v>
      </c>
      <c r="T77" s="59">
        <f t="shared" si="44"/>
        <v>-0.16984676893365069</v>
      </c>
      <c r="U77" s="141">
        <f t="shared" si="45"/>
        <v>8.4978706204181156E-3</v>
      </c>
      <c r="V77" s="60">
        <f t="shared" si="46"/>
        <v>-1.2125715331964863E-3</v>
      </c>
      <c r="W77" s="61">
        <f t="shared" si="47"/>
        <v>0.78153374240865447</v>
      </c>
      <c r="X77" s="61">
        <f t="shared" si="48"/>
        <v>-9.476655682772499E-4</v>
      </c>
      <c r="Y77" s="68">
        <v>0.77</v>
      </c>
      <c r="Z77" s="68">
        <v>0.79</v>
      </c>
      <c r="AA77" s="62">
        <v>756</v>
      </c>
      <c r="AB77" s="225">
        <v>26961294</v>
      </c>
      <c r="AC77" s="46"/>
      <c r="AD77" s="42"/>
      <c r="AE77" s="43"/>
      <c r="AF77" s="4"/>
      <c r="AG77" s="5"/>
      <c r="AH77" s="6"/>
      <c r="AI77" s="6"/>
      <c r="AJ77" s="6"/>
      <c r="AK77" s="7"/>
      <c r="AL77" s="5"/>
      <c r="AM77" s="6"/>
      <c r="AN77" s="6"/>
      <c r="AO77" s="6"/>
      <c r="AP77" s="7"/>
      <c r="AQ77" s="5"/>
      <c r="AR77" s="6"/>
      <c r="AS77" s="6"/>
      <c r="AT77" s="6"/>
      <c r="AU77" s="7"/>
    </row>
    <row r="78" spans="1:47" ht="16.5" customHeight="1" x14ac:dyDescent="0.3">
      <c r="A78" s="206">
        <v>68</v>
      </c>
      <c r="B78" s="191" t="s">
        <v>26</v>
      </c>
      <c r="C78" s="135" t="s">
        <v>121</v>
      </c>
      <c r="D78" s="126"/>
      <c r="E78" s="126"/>
      <c r="F78" s="126">
        <f>410.8*111910135.16</f>
        <v>45972683523.727997</v>
      </c>
      <c r="G78" s="126">
        <f>410.8*262526452.65</f>
        <v>107845866748.62001</v>
      </c>
      <c r="H78" s="126"/>
      <c r="I78" s="126"/>
      <c r="J78" s="126">
        <f>410.8*374605625.06</f>
        <v>153887990774.64801</v>
      </c>
      <c r="K78" s="126">
        <f>410.8*2112901.9</f>
        <v>867980100.51999998</v>
      </c>
      <c r="L78" s="126">
        <f>410.8*533158.84</f>
        <v>219021651.472</v>
      </c>
      <c r="M78" s="64">
        <f>410.8*1579743.06</f>
        <v>648958449.0480001</v>
      </c>
      <c r="N78" s="54">
        <f>386183684.64*410.8</f>
        <v>158644257650.112</v>
      </c>
      <c r="O78" s="54">
        <f>410.8*1623742.98</f>
        <v>667033616.18400002</v>
      </c>
      <c r="P78" s="186">
        <v>155599680059.79999</v>
      </c>
      <c r="Q78" s="58">
        <f t="shared" si="42"/>
        <v>0.35602600316906446</v>
      </c>
      <c r="R78" s="67">
        <f>410.8*384559941.66</f>
        <v>157977224033.92801</v>
      </c>
      <c r="S78" s="58">
        <f t="shared" si="43"/>
        <v>0.36429734390114671</v>
      </c>
      <c r="T78" s="59">
        <f t="shared" si="44"/>
        <v>1.5279877010121646E-2</v>
      </c>
      <c r="U78" s="141">
        <f t="shared" si="45"/>
        <v>1.3864128377452801E-3</v>
      </c>
      <c r="V78" s="60">
        <f t="shared" si="46"/>
        <v>4.1079241201796681E-3</v>
      </c>
      <c r="W78" s="61">
        <f t="shared" si="47"/>
        <v>524.19545464311693</v>
      </c>
      <c r="X78" s="61">
        <f t="shared" si="48"/>
        <v>2.1533551518170078</v>
      </c>
      <c r="Y78" s="54">
        <f>410.8*1.276</f>
        <v>524.18079999999998</v>
      </c>
      <c r="Z78" s="54">
        <f>410.8*1.276</f>
        <v>524.18079999999998</v>
      </c>
      <c r="AA78" s="95">
        <v>3469</v>
      </c>
      <c r="AB78" s="222">
        <v>301370839.13</v>
      </c>
      <c r="AC78" s="34"/>
      <c r="AD78" s="12"/>
      <c r="AE78" s="4"/>
      <c r="AF78" s="4"/>
      <c r="AG78" s="5"/>
      <c r="AH78" s="6"/>
      <c r="AI78" s="6"/>
      <c r="AJ78" s="6"/>
      <c r="AK78" s="7"/>
      <c r="AL78" s="5"/>
      <c r="AM78" s="6"/>
      <c r="AN78" s="6"/>
      <c r="AO78" s="6"/>
      <c r="AP78" s="7"/>
      <c r="AQ78" s="5"/>
      <c r="AR78" s="6"/>
      <c r="AS78" s="6"/>
      <c r="AT78" s="6"/>
      <c r="AU78" s="7"/>
    </row>
    <row r="79" spans="1:47" ht="16.5" customHeight="1" x14ac:dyDescent="0.3">
      <c r="A79" s="206">
        <v>69</v>
      </c>
      <c r="B79" s="191" t="s">
        <v>74</v>
      </c>
      <c r="C79" s="135" t="s">
        <v>122</v>
      </c>
      <c r="D79" s="126"/>
      <c r="E79" s="130"/>
      <c r="F79" s="126">
        <v>305513482.75999999</v>
      </c>
      <c r="G79" s="126">
        <v>455371021.16000003</v>
      </c>
      <c r="H79" s="126"/>
      <c r="I79" s="126"/>
      <c r="J79" s="126">
        <v>906719829.80999994</v>
      </c>
      <c r="K79" s="126">
        <v>8115701.4100000001</v>
      </c>
      <c r="L79" s="126">
        <v>1253111.1599999999</v>
      </c>
      <c r="M79" s="64">
        <v>6862590.25</v>
      </c>
      <c r="N79" s="54">
        <v>906719829.80999994</v>
      </c>
      <c r="O79" s="54">
        <v>14079777.41</v>
      </c>
      <c r="P79" s="186">
        <v>898052306.95000005</v>
      </c>
      <c r="Q79" s="58">
        <f t="shared" si="42"/>
        <v>2.0548241060475698E-3</v>
      </c>
      <c r="R79" s="67">
        <v>892640052.39999998</v>
      </c>
      <c r="S79" s="58">
        <f t="shared" si="43"/>
        <v>2.0584385004718255E-3</v>
      </c>
      <c r="T79" s="59">
        <f t="shared" si="44"/>
        <v>-6.0266584787041855E-3</v>
      </c>
      <c r="U79" s="141">
        <f t="shared" si="45"/>
        <v>1.4038258272534578E-3</v>
      </c>
      <c r="V79" s="60">
        <f t="shared" si="46"/>
        <v>7.6879703431958621E-3</v>
      </c>
      <c r="W79" s="61">
        <f t="shared" si="47"/>
        <v>1155.6048754343356</v>
      </c>
      <c r="X79" s="61">
        <f t="shared" si="48"/>
        <v>8.8842560107917201</v>
      </c>
      <c r="Y79" s="54">
        <v>1161.73</v>
      </c>
      <c r="Z79" s="54">
        <v>1180.07</v>
      </c>
      <c r="AA79" s="95">
        <v>118</v>
      </c>
      <c r="AB79" s="222">
        <v>772444</v>
      </c>
      <c r="AC79" s="13"/>
      <c r="AD79" s="4"/>
      <c r="AE79" s="4"/>
      <c r="AF79" s="4"/>
      <c r="AG79" s="5"/>
      <c r="AH79" s="6"/>
      <c r="AI79" s="6"/>
      <c r="AJ79" s="6"/>
      <c r="AK79" s="7"/>
      <c r="AL79" s="5"/>
      <c r="AM79" s="6"/>
      <c r="AN79" s="6"/>
      <c r="AO79" s="6"/>
      <c r="AP79" s="7"/>
      <c r="AQ79" s="5"/>
      <c r="AR79" s="6"/>
      <c r="AS79" s="6"/>
      <c r="AT79" s="6"/>
      <c r="AU79" s="7"/>
    </row>
    <row r="80" spans="1:47" ht="16.5" customHeight="1" x14ac:dyDescent="0.3">
      <c r="A80" s="206">
        <v>70</v>
      </c>
      <c r="B80" s="191" t="s">
        <v>47</v>
      </c>
      <c r="C80" s="135" t="s">
        <v>123</v>
      </c>
      <c r="D80" s="126"/>
      <c r="E80" s="126"/>
      <c r="F80" s="127"/>
      <c r="G80" s="126">
        <v>167756106.77000001</v>
      </c>
      <c r="H80" s="126"/>
      <c r="I80" s="126"/>
      <c r="J80" s="127">
        <v>167756106.77000001</v>
      </c>
      <c r="K80" s="127">
        <v>1218765.43</v>
      </c>
      <c r="L80" s="128">
        <v>218281.92</v>
      </c>
      <c r="M80" s="64">
        <v>1000483.51</v>
      </c>
      <c r="N80" s="71">
        <v>177739739.05000001</v>
      </c>
      <c r="O80" s="54">
        <v>6269383.2699999996</v>
      </c>
      <c r="P80" s="186">
        <v>168993956.44999999</v>
      </c>
      <c r="Q80" s="58">
        <f t="shared" si="42"/>
        <v>3.8667330711411086E-4</v>
      </c>
      <c r="R80" s="67">
        <v>171470355.77000001</v>
      </c>
      <c r="S80" s="58">
        <f t="shared" si="43"/>
        <v>3.9541266500150746E-4</v>
      </c>
      <c r="T80" s="59">
        <f t="shared" si="44"/>
        <v>1.465377444271335E-2</v>
      </c>
      <c r="U80" s="141">
        <f t="shared" si="45"/>
        <v>1.2730009162212868E-3</v>
      </c>
      <c r="V80" s="60">
        <f t="shared" si="46"/>
        <v>5.8347316392227486E-3</v>
      </c>
      <c r="W80" s="61">
        <f t="shared" si="47"/>
        <v>142.1125633676757</v>
      </c>
      <c r="X80" s="61">
        <f t="shared" si="48"/>
        <v>0.82918866981242523</v>
      </c>
      <c r="Y80" s="54">
        <v>153.6</v>
      </c>
      <c r="Z80" s="54">
        <v>153.88</v>
      </c>
      <c r="AA80" s="62">
        <v>16</v>
      </c>
      <c r="AB80" s="208">
        <v>1206581.26</v>
      </c>
      <c r="AC80" s="13"/>
      <c r="AD80" s="4"/>
      <c r="AE80" s="4"/>
      <c r="AF80" s="4"/>
      <c r="AG80" s="5"/>
      <c r="AH80" s="6"/>
      <c r="AI80" s="6"/>
      <c r="AJ80" s="6"/>
      <c r="AK80" s="7"/>
      <c r="AL80" s="5"/>
      <c r="AM80" s="6"/>
      <c r="AN80" s="6"/>
      <c r="AO80" s="6"/>
      <c r="AP80" s="7"/>
      <c r="AQ80" s="5"/>
      <c r="AR80" s="6"/>
      <c r="AS80" s="6"/>
      <c r="AT80" s="6"/>
      <c r="AU80" s="7"/>
    </row>
    <row r="81" spans="1:257" ht="16.5" customHeight="1" x14ac:dyDescent="0.3">
      <c r="A81" s="206">
        <v>71</v>
      </c>
      <c r="B81" s="192" t="s">
        <v>78</v>
      </c>
      <c r="C81" s="132" t="s">
        <v>124</v>
      </c>
      <c r="D81" s="126"/>
      <c r="E81" s="126"/>
      <c r="F81" s="126">
        <v>1319099345.79</v>
      </c>
      <c r="G81" s="126">
        <v>12169289895.709999</v>
      </c>
      <c r="H81" s="126"/>
      <c r="I81" s="126"/>
      <c r="J81" s="126">
        <v>13488389241.5</v>
      </c>
      <c r="K81" s="126">
        <v>114694017.18000001</v>
      </c>
      <c r="L81" s="127">
        <v>19969965.829999998</v>
      </c>
      <c r="M81" s="64">
        <v>94724051.349999994</v>
      </c>
      <c r="N81" s="54">
        <v>13488389241.5</v>
      </c>
      <c r="O81" s="54">
        <v>86511550.129999995</v>
      </c>
      <c r="P81" s="186">
        <v>18159423964.5</v>
      </c>
      <c r="Q81" s="58">
        <f t="shared" si="42"/>
        <v>4.1550388352011705E-2</v>
      </c>
      <c r="R81" s="67">
        <v>13401877691.370001</v>
      </c>
      <c r="S81" s="58">
        <f t="shared" si="43"/>
        <v>3.0904888195817281E-2</v>
      </c>
      <c r="T81" s="59">
        <f t="shared" si="44"/>
        <v>-0.26198773058168384</v>
      </c>
      <c r="U81" s="141">
        <f t="shared" si="45"/>
        <v>1.4900871571794339E-3</v>
      </c>
      <c r="V81" s="60">
        <f t="shared" si="46"/>
        <v>7.0679686482287892E-3</v>
      </c>
      <c r="W81" s="61">
        <f t="shared" si="47"/>
        <v>24.409877018268318</v>
      </c>
      <c r="X81" s="61">
        <f t="shared" si="48"/>
        <v>0.17252824547224091</v>
      </c>
      <c r="Y81" s="54">
        <v>24.4099</v>
      </c>
      <c r="Z81" s="54">
        <v>24.4099</v>
      </c>
      <c r="AA81" s="62">
        <v>1452</v>
      </c>
      <c r="AB81" s="208">
        <v>549035035.34000003</v>
      </c>
      <c r="AC81" s="13"/>
      <c r="AD81" s="17"/>
      <c r="AE81" s="4"/>
      <c r="AF81" s="4"/>
      <c r="AG81" s="5"/>
      <c r="AH81" s="6"/>
      <c r="AI81" s="6"/>
      <c r="AJ81" s="6"/>
      <c r="AK81" s="7"/>
      <c r="AL81" s="5"/>
      <c r="AM81" s="6"/>
      <c r="AN81" s="6"/>
      <c r="AO81" s="6"/>
      <c r="AP81" s="7"/>
      <c r="AQ81" s="5"/>
      <c r="AR81" s="6"/>
      <c r="AS81" s="6"/>
      <c r="AT81" s="6"/>
      <c r="AU81" s="7"/>
    </row>
    <row r="82" spans="1:257" ht="16.5" customHeight="1" x14ac:dyDescent="0.3">
      <c r="A82" s="206">
        <v>72</v>
      </c>
      <c r="B82" s="192" t="s">
        <v>47</v>
      </c>
      <c r="C82" s="132" t="s">
        <v>125</v>
      </c>
      <c r="D82" s="130"/>
      <c r="E82" s="126"/>
      <c r="F82" s="126">
        <f>410.8*976804.74</f>
        <v>401271387.19200003</v>
      </c>
      <c r="G82" s="126">
        <f>410.8*2710398.79</f>
        <v>1113431822.9320002</v>
      </c>
      <c r="H82" s="130"/>
      <c r="I82" s="126"/>
      <c r="J82" s="126">
        <f>410.8*3687203.53</f>
        <v>1514703210.1240001</v>
      </c>
      <c r="K82" s="127">
        <f>21503.91*410.8</f>
        <v>8833806.2280000001</v>
      </c>
      <c r="L82" s="127">
        <f>6142.43*410.8</f>
        <v>2523310.2440000004</v>
      </c>
      <c r="M82" s="98">
        <f>410.8*15361.48</f>
        <v>6310495.9840000002</v>
      </c>
      <c r="N82" s="63">
        <f>3693376.48*410.8</f>
        <v>1517239057.984</v>
      </c>
      <c r="O82" s="55">
        <f>40460.08*410.8</f>
        <v>16621000.864000002</v>
      </c>
      <c r="P82" s="186">
        <v>1427670926.0999999</v>
      </c>
      <c r="Q82" s="58">
        <f t="shared" si="42"/>
        <v>3.2666389382337725E-3</v>
      </c>
      <c r="R82" s="67">
        <f>410.8*3652916.4</f>
        <v>1500618057.1199999</v>
      </c>
      <c r="S82" s="58">
        <f t="shared" si="43"/>
        <v>3.4604429579134098E-3</v>
      </c>
      <c r="T82" s="59">
        <f t="shared" si="44"/>
        <v>5.1095199661501313E-2</v>
      </c>
      <c r="U82" s="141">
        <f t="shared" si="45"/>
        <v>1.6815139815408865E-3</v>
      </c>
      <c r="V82" s="60">
        <f t="shared" si="46"/>
        <v>4.2052645935176623E-3</v>
      </c>
      <c r="W82" s="61">
        <f t="shared" si="47"/>
        <v>434.90142540487403</v>
      </c>
      <c r="X82" s="61">
        <f t="shared" si="48"/>
        <v>1.8288755659254794</v>
      </c>
      <c r="Y82" s="68">
        <f>410.8*1.1</f>
        <v>451.88000000000005</v>
      </c>
      <c r="Z82" s="68">
        <f>410.8*1.1</f>
        <v>451.88000000000005</v>
      </c>
      <c r="AA82" s="65">
        <v>240</v>
      </c>
      <c r="AB82" s="210">
        <v>3450478.59</v>
      </c>
      <c r="AC82" s="3"/>
      <c r="AD82" s="9"/>
      <c r="AE82" s="9"/>
      <c r="AF82" s="9"/>
      <c r="AG82" s="5"/>
      <c r="AH82" s="6"/>
      <c r="AI82" s="6"/>
      <c r="AJ82" s="6"/>
      <c r="AK82" s="7"/>
      <c r="AL82" s="5"/>
      <c r="AM82" s="6"/>
      <c r="AN82" s="6"/>
      <c r="AO82" s="6"/>
      <c r="AP82" s="7"/>
      <c r="AQ82" s="5"/>
      <c r="AR82" s="6"/>
      <c r="AS82" s="6"/>
      <c r="AT82" s="6"/>
      <c r="AU82" s="7"/>
    </row>
    <row r="83" spans="1:257" ht="16.5" customHeight="1" x14ac:dyDescent="0.3">
      <c r="A83" s="206">
        <v>73</v>
      </c>
      <c r="B83" s="192" t="s">
        <v>126</v>
      </c>
      <c r="C83" s="132" t="s">
        <v>127</v>
      </c>
      <c r="D83" s="126"/>
      <c r="E83" s="130"/>
      <c r="F83" s="129">
        <v>142733440.38999999</v>
      </c>
      <c r="G83" s="127">
        <v>554482348.95000005</v>
      </c>
      <c r="H83" s="126"/>
      <c r="I83" s="128"/>
      <c r="J83" s="127">
        <v>697215789.34000003</v>
      </c>
      <c r="K83" s="127">
        <v>33684448</v>
      </c>
      <c r="L83" s="127">
        <v>179060</v>
      </c>
      <c r="M83" s="98">
        <v>23397413.75</v>
      </c>
      <c r="N83" s="128">
        <v>700441093.25</v>
      </c>
      <c r="O83" s="55">
        <v>3770520.19</v>
      </c>
      <c r="P83" s="185">
        <v>653097527.72000003</v>
      </c>
      <c r="Q83" s="58">
        <f t="shared" si="42"/>
        <v>1.4943456335153584E-3</v>
      </c>
      <c r="R83" s="57">
        <v>696670573.05999994</v>
      </c>
      <c r="S83" s="58">
        <f t="shared" si="43"/>
        <v>1.6065305672502599E-3</v>
      </c>
      <c r="T83" s="59">
        <f t="shared" si="44"/>
        <v>6.6717516895395165E-2</v>
      </c>
      <c r="U83" s="141">
        <f t="shared" si="45"/>
        <v>2.5702248225228062E-4</v>
      </c>
      <c r="V83" s="60">
        <f t="shared" si="46"/>
        <v>3.3584616108056749E-2</v>
      </c>
      <c r="W83" s="61">
        <f t="shared" si="47"/>
        <v>182.37603669069745</v>
      </c>
      <c r="X83" s="61">
        <f t="shared" si="48"/>
        <v>6.1250291795659466</v>
      </c>
      <c r="Y83" s="63">
        <v>133.46940000000001</v>
      </c>
      <c r="Z83" s="63">
        <v>134.88210000000001</v>
      </c>
      <c r="AA83" s="65">
        <v>432</v>
      </c>
      <c r="AB83" s="210">
        <v>3819967.72</v>
      </c>
      <c r="AC83" s="10"/>
      <c r="AD83" s="10"/>
      <c r="AE83" s="10"/>
      <c r="AF83" s="11"/>
      <c r="AG83" s="5"/>
      <c r="AH83" s="6"/>
      <c r="AI83" s="6"/>
      <c r="AJ83" s="6"/>
      <c r="AK83" s="7"/>
      <c r="AL83" s="5"/>
      <c r="AM83" s="6"/>
      <c r="AN83" s="6"/>
      <c r="AO83" s="6"/>
      <c r="AP83" s="7"/>
      <c r="AQ83" s="5"/>
      <c r="AR83" s="6"/>
      <c r="AS83" s="6"/>
      <c r="AT83" s="6"/>
      <c r="AU83" s="7"/>
    </row>
    <row r="84" spans="1:257" ht="16.5" customHeight="1" x14ac:dyDescent="0.3">
      <c r="A84" s="206">
        <v>74</v>
      </c>
      <c r="B84" s="192" t="s">
        <v>76</v>
      </c>
      <c r="C84" s="132" t="s">
        <v>128</v>
      </c>
      <c r="D84" s="126"/>
      <c r="E84" s="126"/>
      <c r="F84" s="126">
        <v>43482545.619999997</v>
      </c>
      <c r="G84" s="126">
        <v>1039745757.61</v>
      </c>
      <c r="H84" s="126"/>
      <c r="I84" s="126"/>
      <c r="J84" s="126">
        <v>1083228303.23</v>
      </c>
      <c r="K84" s="126">
        <v>9207581.8000000007</v>
      </c>
      <c r="L84" s="126">
        <v>1810860.79</v>
      </c>
      <c r="M84" s="64">
        <v>19770755.34</v>
      </c>
      <c r="N84" s="54">
        <v>1131638715.98</v>
      </c>
      <c r="O84" s="54">
        <v>2899588.84</v>
      </c>
      <c r="P84" s="186">
        <v>1206582043.8299999</v>
      </c>
      <c r="Q84" s="58">
        <f t="shared" si="42"/>
        <v>2.7607677753274423E-3</v>
      </c>
      <c r="R84" s="67">
        <v>1128739127.1300001</v>
      </c>
      <c r="S84" s="58">
        <f t="shared" si="43"/>
        <v>2.6028857544834888E-3</v>
      </c>
      <c r="T84" s="59">
        <f t="shared" si="44"/>
        <v>-6.4515228863266091E-2</v>
      </c>
      <c r="U84" s="141">
        <f t="shared" si="45"/>
        <v>1.6043218016233772E-3</v>
      </c>
      <c r="V84" s="60">
        <f t="shared" si="46"/>
        <v>1.7515788072546321E-2</v>
      </c>
      <c r="W84" s="61">
        <f t="shared" si="47"/>
        <v>1.4342390238364766</v>
      </c>
      <c r="X84" s="61">
        <f t="shared" si="48"/>
        <v>2.5121826786895431E-2</v>
      </c>
      <c r="Y84" s="54">
        <v>1.4341999999999999</v>
      </c>
      <c r="Z84" s="54">
        <v>1.4341999999999999</v>
      </c>
      <c r="AA84" s="62">
        <v>131</v>
      </c>
      <c r="AB84" s="208">
        <v>786995130.08000004</v>
      </c>
      <c r="AC84" s="34"/>
      <c r="AD84" s="12"/>
      <c r="AE84" s="12"/>
      <c r="AF84" s="12"/>
      <c r="AG84" s="5"/>
      <c r="AH84" s="6"/>
      <c r="AI84" s="6"/>
      <c r="AJ84" s="6"/>
      <c r="AK84" s="7"/>
      <c r="AL84" s="5"/>
      <c r="AM84" s="6"/>
      <c r="AN84" s="6"/>
      <c r="AO84" s="6"/>
      <c r="AP84" s="7"/>
      <c r="AQ84" s="5"/>
      <c r="AR84" s="6"/>
      <c r="AS84" s="6"/>
      <c r="AT84" s="6"/>
      <c r="AU84" s="7"/>
    </row>
    <row r="85" spans="1:257" ht="16.5" customHeight="1" x14ac:dyDescent="0.3">
      <c r="A85" s="206">
        <v>75</v>
      </c>
      <c r="B85" s="192" t="s">
        <v>26</v>
      </c>
      <c r="C85" s="132" t="s">
        <v>129</v>
      </c>
      <c r="D85" s="126"/>
      <c r="E85" s="126"/>
      <c r="F85" s="126">
        <v>414760554.32999998</v>
      </c>
      <c r="G85" s="126">
        <v>7780364473.9399996</v>
      </c>
      <c r="H85" s="126"/>
      <c r="I85" s="126"/>
      <c r="J85" s="126">
        <v>8195125028.2700005</v>
      </c>
      <c r="K85" s="126">
        <v>38925904.049999997</v>
      </c>
      <c r="L85" s="126">
        <v>11585632.310000001</v>
      </c>
      <c r="M85" s="64">
        <v>27340271.739999998</v>
      </c>
      <c r="N85" s="54">
        <v>8195254374.04</v>
      </c>
      <c r="O85" s="54">
        <v>39426996.140000001</v>
      </c>
      <c r="P85" s="186">
        <v>8373504661.9399996</v>
      </c>
      <c r="Q85" s="58">
        <f t="shared" si="42"/>
        <v>1.9159328580639103E-2</v>
      </c>
      <c r="R85" s="67">
        <v>8155827377.8999996</v>
      </c>
      <c r="S85" s="58">
        <f t="shared" si="43"/>
        <v>1.8807434231450509E-2</v>
      </c>
      <c r="T85" s="59">
        <f t="shared" si="44"/>
        <v>-2.5995959019334661E-2</v>
      </c>
      <c r="U85" s="141">
        <f t="shared" si="45"/>
        <v>1.4205342723895564E-3</v>
      </c>
      <c r="V85" s="60">
        <f t="shared" si="46"/>
        <v>3.3522376667858927E-3</v>
      </c>
      <c r="W85" s="61">
        <f t="shared" si="47"/>
        <v>115.83116248036552</v>
      </c>
      <c r="X85" s="61">
        <f t="shared" si="48"/>
        <v>0.38829358585427809</v>
      </c>
      <c r="Y85" s="54">
        <v>115.83</v>
      </c>
      <c r="Z85" s="54">
        <v>115.83</v>
      </c>
      <c r="AA85" s="62">
        <v>975</v>
      </c>
      <c r="AB85" s="208">
        <v>70411340.120000005</v>
      </c>
      <c r="AC85" s="13"/>
      <c r="AD85" s="4"/>
      <c r="AE85" s="4"/>
      <c r="AF85" s="4"/>
      <c r="AG85" s="5"/>
      <c r="AH85" s="6"/>
      <c r="AI85" s="6"/>
      <c r="AJ85" s="6"/>
      <c r="AK85" s="7"/>
      <c r="AL85" s="5"/>
      <c r="AM85" s="6"/>
      <c r="AN85" s="6"/>
      <c r="AO85" s="6"/>
      <c r="AP85" s="7"/>
      <c r="AQ85" s="5"/>
      <c r="AR85" s="6"/>
      <c r="AS85" s="6"/>
      <c r="AT85" s="6"/>
      <c r="AU85" s="7"/>
    </row>
    <row r="86" spans="1:257" ht="16.5" customHeight="1" x14ac:dyDescent="0.3">
      <c r="A86" s="206">
        <v>76</v>
      </c>
      <c r="B86" s="191" t="s">
        <v>53</v>
      </c>
      <c r="C86" s="135" t="s">
        <v>130</v>
      </c>
      <c r="D86" s="126"/>
      <c r="E86" s="126"/>
      <c r="F86" s="126">
        <v>46611646.399999999</v>
      </c>
      <c r="G86" s="126">
        <v>509060808.76999998</v>
      </c>
      <c r="H86" s="126"/>
      <c r="I86" s="126"/>
      <c r="J86" s="126">
        <v>555672455.16999996</v>
      </c>
      <c r="K86" s="126">
        <v>4909449.54</v>
      </c>
      <c r="L86" s="126">
        <v>637587.21</v>
      </c>
      <c r="M86" s="64">
        <v>4271862.33</v>
      </c>
      <c r="N86" s="54">
        <v>558808591.97000003</v>
      </c>
      <c r="O86" s="54">
        <v>637587.21</v>
      </c>
      <c r="P86" s="186">
        <v>430706784.08999997</v>
      </c>
      <c r="Q86" s="58">
        <f t="shared" si="42"/>
        <v>9.8549569522528107E-4</v>
      </c>
      <c r="R86" s="67">
        <v>558171004.75999999</v>
      </c>
      <c r="S86" s="58">
        <f t="shared" si="43"/>
        <v>1.2871489274493893E-3</v>
      </c>
      <c r="T86" s="59">
        <f t="shared" si="44"/>
        <v>0.29594198507763753</v>
      </c>
      <c r="U86" s="141">
        <f t="shared" si="45"/>
        <v>1.1422793455101578E-3</v>
      </c>
      <c r="V86" s="60">
        <f t="shared" si="46"/>
        <v>7.6533218199623205E-3</v>
      </c>
      <c r="W86" s="61">
        <f t="shared" si="47"/>
        <v>1.1447646087684371</v>
      </c>
      <c r="X86" s="61">
        <f t="shared" si="48"/>
        <v>8.7612519590081102E-3</v>
      </c>
      <c r="Y86" s="54">
        <v>1.1399999999999999</v>
      </c>
      <c r="Z86" s="54">
        <v>1.1399999999999999</v>
      </c>
      <c r="AA86" s="62">
        <v>198</v>
      </c>
      <c r="AB86" s="208">
        <v>487585832.48000002</v>
      </c>
      <c r="AC86" s="13"/>
      <c r="AD86" s="4"/>
      <c r="AE86" s="4"/>
      <c r="AF86" s="4"/>
      <c r="AG86" s="5"/>
      <c r="AH86" s="6"/>
      <c r="AI86" s="6"/>
      <c r="AJ86" s="6"/>
      <c r="AK86" s="7"/>
      <c r="AL86" s="5"/>
      <c r="AM86" s="6"/>
      <c r="AN86" s="6"/>
      <c r="AO86" s="6"/>
      <c r="AP86" s="7"/>
      <c r="AQ86" s="5"/>
      <c r="AR86" s="6"/>
      <c r="AS86" s="6"/>
      <c r="AT86" s="6"/>
      <c r="AU86" s="7"/>
    </row>
    <row r="87" spans="1:257" ht="16.5" customHeight="1" x14ac:dyDescent="0.3">
      <c r="A87" s="206">
        <v>77</v>
      </c>
      <c r="B87" s="191" t="s">
        <v>69</v>
      </c>
      <c r="C87" s="135" t="s">
        <v>131</v>
      </c>
      <c r="D87" s="126"/>
      <c r="E87" s="126"/>
      <c r="F87" s="126"/>
      <c r="G87" s="127">
        <f>410.8*9121318.31</f>
        <v>3747037561.7480001</v>
      </c>
      <c r="H87" s="199"/>
      <c r="I87" s="127"/>
      <c r="J87" s="127">
        <f>410.8*9121318.31</f>
        <v>3747037561.7480001</v>
      </c>
      <c r="K87" s="127">
        <f>410.8*32549.13</f>
        <v>13371182.604</v>
      </c>
      <c r="L87" s="128">
        <f>410.8*13474.97</f>
        <v>5535517.676</v>
      </c>
      <c r="M87" s="98">
        <f>410.8*19074.16</f>
        <v>7835664.9280000003</v>
      </c>
      <c r="N87" s="63">
        <f>410.8*9922437.42</f>
        <v>4076137292.1360002</v>
      </c>
      <c r="O87" s="63">
        <f>410.8*895035.99</f>
        <v>367680784.69200003</v>
      </c>
      <c r="P87" s="185">
        <v>3708265967.4000001</v>
      </c>
      <c r="Q87" s="58">
        <f t="shared" si="42"/>
        <v>8.4848446382016513E-3</v>
      </c>
      <c r="R87" s="57">
        <f>410.8*9027401.43</f>
        <v>3708456507.4439998</v>
      </c>
      <c r="S87" s="58">
        <f t="shared" si="43"/>
        <v>8.5517444928936634E-3</v>
      </c>
      <c r="T87" s="59">
        <f t="shared" si="44"/>
        <v>5.1382518318465293E-5</v>
      </c>
      <c r="U87" s="141">
        <f t="shared" si="45"/>
        <v>1.492674287776743E-3</v>
      </c>
      <c r="V87" s="60">
        <f t="shared" si="46"/>
        <v>2.1129181135794472E-3</v>
      </c>
      <c r="W87" s="61">
        <f t="shared" si="47"/>
        <v>44307.058715683575</v>
      </c>
      <c r="X87" s="61">
        <f t="shared" si="48"/>
        <v>93.617186919795941</v>
      </c>
      <c r="Y87" s="63">
        <f>410.8*107.79</f>
        <v>44280.132000000005</v>
      </c>
      <c r="Z87" s="63">
        <f>410.8*107.79</f>
        <v>44280.132000000005</v>
      </c>
      <c r="AA87" s="62">
        <v>505</v>
      </c>
      <c r="AB87" s="224">
        <v>83699</v>
      </c>
      <c r="AC87" s="13"/>
      <c r="AD87" s="4"/>
      <c r="AE87" s="4"/>
      <c r="AF87" s="4"/>
      <c r="AG87" s="5"/>
      <c r="AH87" s="6"/>
      <c r="AI87" s="6"/>
      <c r="AJ87" s="6"/>
      <c r="AK87" s="7"/>
      <c r="AL87" s="5"/>
      <c r="AM87" s="6"/>
      <c r="AN87" s="6"/>
      <c r="AO87" s="6"/>
      <c r="AP87" s="7"/>
      <c r="AQ87" s="5"/>
      <c r="AR87" s="6"/>
      <c r="AS87" s="6"/>
      <c r="AT87" s="6"/>
      <c r="AU87" s="7"/>
    </row>
    <row r="88" spans="1:257" ht="16.5" customHeight="1" x14ac:dyDescent="0.3">
      <c r="A88" s="206">
        <v>78</v>
      </c>
      <c r="B88" s="192" t="s">
        <v>38</v>
      </c>
      <c r="C88" s="135" t="s">
        <v>132</v>
      </c>
      <c r="D88" s="126">
        <v>516049356.30000001</v>
      </c>
      <c r="E88" s="126"/>
      <c r="F88" s="126">
        <v>387307460.26999998</v>
      </c>
      <c r="G88" s="126"/>
      <c r="H88" s="126"/>
      <c r="I88" s="126"/>
      <c r="J88" s="126">
        <v>903356816.57000005</v>
      </c>
      <c r="K88" s="126">
        <v>14509127.529999999</v>
      </c>
      <c r="L88" s="126">
        <v>5434031.0499999998</v>
      </c>
      <c r="M88" s="64">
        <v>9075096.4800000004</v>
      </c>
      <c r="N88" s="54">
        <v>1639225532</v>
      </c>
      <c r="O88" s="54">
        <v>30139100</v>
      </c>
      <c r="P88" s="186">
        <v>1820715757</v>
      </c>
      <c r="Q88" s="108" t="s">
        <v>96</v>
      </c>
      <c r="R88" s="67">
        <v>1609086432</v>
      </c>
      <c r="S88" s="58">
        <f t="shared" si="43"/>
        <v>3.7105723111015092E-3</v>
      </c>
      <c r="T88" s="59">
        <f t="shared" si="44"/>
        <v>-0.11623413714434065</v>
      </c>
      <c r="U88" s="141">
        <f t="shared" si="45"/>
        <v>3.3770908398287952E-3</v>
      </c>
      <c r="V88" s="60">
        <f t="shared" si="46"/>
        <v>5.6399061601185635E-3</v>
      </c>
      <c r="W88" s="61">
        <f t="shared" si="47"/>
        <v>0.96417037591818344</v>
      </c>
      <c r="X88" s="61">
        <f t="shared" si="48"/>
        <v>5.4378304425447936E-3</v>
      </c>
      <c r="Y88" s="54">
        <v>0.98340000000000005</v>
      </c>
      <c r="Z88" s="54">
        <v>0.98829999999999996</v>
      </c>
      <c r="AA88" s="62">
        <v>529</v>
      </c>
      <c r="AB88" s="208">
        <v>1668881841</v>
      </c>
      <c r="AC88" s="13"/>
      <c r="AD88" s="4"/>
      <c r="AE88" s="4"/>
      <c r="AF88" s="4"/>
      <c r="AG88" s="5"/>
      <c r="AH88" s="6"/>
      <c r="AI88" s="6"/>
      <c r="AJ88" s="6"/>
      <c r="AK88" s="7"/>
      <c r="AL88" s="5"/>
      <c r="AM88" s="6"/>
      <c r="AN88" s="6"/>
      <c r="AO88" s="6"/>
      <c r="AP88" s="7"/>
      <c r="AQ88" s="5"/>
      <c r="AR88" s="6"/>
      <c r="AS88" s="6"/>
      <c r="AT88" s="6"/>
      <c r="AU88" s="7"/>
    </row>
    <row r="89" spans="1:257" ht="16.5" customHeight="1" x14ac:dyDescent="0.3">
      <c r="A89" s="206">
        <v>79</v>
      </c>
      <c r="B89" s="192" t="s">
        <v>133</v>
      </c>
      <c r="C89" s="135" t="s">
        <v>134</v>
      </c>
      <c r="D89" s="126"/>
      <c r="E89" s="126"/>
      <c r="F89" s="126"/>
      <c r="G89" s="126">
        <f>410.8*970350.7</f>
        <v>398620067.56</v>
      </c>
      <c r="H89" s="126"/>
      <c r="I89" s="126"/>
      <c r="J89" s="126">
        <f>39590308.56</f>
        <v>39590308.560000002</v>
      </c>
      <c r="K89" s="126">
        <f>410.8*7531.31</f>
        <v>3093862.148</v>
      </c>
      <c r="L89" s="126">
        <f>410.8*1657.69</f>
        <v>680979.05200000003</v>
      </c>
      <c r="M89" s="64">
        <f>410.8*5873.62</f>
        <v>2412883.0959999999</v>
      </c>
      <c r="N89" s="54">
        <f>410.8*1218443.76</f>
        <v>500536696.60800004</v>
      </c>
      <c r="O89" s="54">
        <f>410.8*24918.58</f>
        <v>10236552.664000001</v>
      </c>
      <c r="P89" s="186">
        <v>485209383.19999999</v>
      </c>
      <c r="Q89" s="58">
        <f t="shared" ref="Q89:Q94" si="49">(P89/$P$95)</f>
        <v>1.1102025231313644E-3</v>
      </c>
      <c r="R89" s="67">
        <f>410.8*1189350.85</f>
        <v>488585329.18000007</v>
      </c>
      <c r="S89" s="58">
        <f t="shared" si="43"/>
        <v>1.1266835379454151E-3</v>
      </c>
      <c r="T89" s="59">
        <f t="shared" si="44"/>
        <v>6.9577095927853003E-3</v>
      </c>
      <c r="U89" s="141">
        <f t="shared" si="45"/>
        <v>1.3937771179967624E-3</v>
      </c>
      <c r="V89" s="60">
        <f t="shared" si="46"/>
        <v>4.9385091035164261E-3</v>
      </c>
      <c r="W89" s="61">
        <f t="shared" si="47"/>
        <v>43760.441484997769</v>
      </c>
      <c r="X89" s="61">
        <f t="shared" si="48"/>
        <v>216.11133864755934</v>
      </c>
      <c r="Y89" s="54">
        <f>410.8*106.52</f>
        <v>43758.415999999997</v>
      </c>
      <c r="Z89" s="54">
        <f>410.8*106.52</f>
        <v>43758.415999999997</v>
      </c>
      <c r="AA89" s="62">
        <v>31</v>
      </c>
      <c r="AB89" s="208">
        <v>11165</v>
      </c>
      <c r="AC89" s="13"/>
      <c r="AD89" s="4"/>
      <c r="AE89" s="4"/>
      <c r="AF89" s="4"/>
      <c r="AG89" s="5"/>
      <c r="AH89" s="6"/>
      <c r="AI89" s="6"/>
      <c r="AJ89" s="6"/>
      <c r="AK89" s="7"/>
      <c r="AL89" s="5"/>
      <c r="AM89" s="6"/>
      <c r="AN89" s="6"/>
      <c r="AO89" s="6"/>
      <c r="AP89" s="7"/>
      <c r="AQ89" s="5"/>
      <c r="AR89" s="6"/>
      <c r="AS89" s="6"/>
      <c r="AT89" s="6"/>
      <c r="AU89" s="7"/>
    </row>
    <row r="90" spans="1:257" ht="16.5" customHeight="1" x14ac:dyDescent="0.3">
      <c r="A90" s="206">
        <v>80</v>
      </c>
      <c r="B90" s="192" t="s">
        <v>86</v>
      </c>
      <c r="C90" s="135" t="s">
        <v>135</v>
      </c>
      <c r="D90" s="126"/>
      <c r="E90" s="126"/>
      <c r="F90" s="126">
        <f>410.8*1504516.75</f>
        <v>618055480.89999998</v>
      </c>
      <c r="G90" s="126">
        <f>410.8*3417318.9</f>
        <v>1403834604.1199999</v>
      </c>
      <c r="H90" s="126"/>
      <c r="I90" s="126"/>
      <c r="J90" s="126">
        <f>410.8*4921835.65</f>
        <v>2021890085.0200002</v>
      </c>
      <c r="K90" s="126">
        <f>410.8*29158.99</f>
        <v>11978513.092</v>
      </c>
      <c r="L90" s="126">
        <f>410.8*6062.28</f>
        <v>2490384.6239999998</v>
      </c>
      <c r="M90" s="64">
        <f>410.8*23132.71</f>
        <v>9502917.2679999992</v>
      </c>
      <c r="N90" s="54">
        <f>4933077.79*410.8</f>
        <v>2026508356.132</v>
      </c>
      <c r="O90" s="54">
        <f>410.8*11353.85</f>
        <v>4664161.58</v>
      </c>
      <c r="P90" s="186">
        <v>1351255048.2</v>
      </c>
      <c r="Q90" s="58">
        <f t="shared" si="49"/>
        <v>3.0917925659472976E-3</v>
      </c>
      <c r="R90" s="67">
        <f>410.8*4921723.94</f>
        <v>2021844194.5520003</v>
      </c>
      <c r="S90" s="58">
        <f t="shared" si="43"/>
        <v>4.6623965850866025E-3</v>
      </c>
      <c r="T90" s="59">
        <f t="shared" si="44"/>
        <v>0.49627133474564156</v>
      </c>
      <c r="U90" s="141">
        <f t="shared" si="45"/>
        <v>1.2317391373234962E-3</v>
      </c>
      <c r="V90" s="60">
        <f t="shared" si="46"/>
        <v>4.7001234287025037E-3</v>
      </c>
      <c r="W90" s="61">
        <f t="shared" si="47"/>
        <v>441.0145533654358</v>
      </c>
      <c r="X90" s="61">
        <f t="shared" si="48"/>
        <v>2.0728228346716553</v>
      </c>
      <c r="Y90" s="54">
        <f>410.8*1.07</f>
        <v>439.55600000000004</v>
      </c>
      <c r="Z90" s="54">
        <f>410.8*1.07</f>
        <v>439.55600000000004</v>
      </c>
      <c r="AA90" s="62">
        <v>130</v>
      </c>
      <c r="AB90" s="208">
        <v>4584529.42</v>
      </c>
      <c r="AC90" s="13"/>
      <c r="AD90" s="18"/>
      <c r="AE90" s="18"/>
      <c r="AF90" s="18"/>
      <c r="AG90" s="19"/>
      <c r="AH90" s="6"/>
      <c r="AI90" s="6"/>
      <c r="AJ90" s="6"/>
      <c r="AK90" s="7"/>
      <c r="AL90" s="5"/>
      <c r="AM90" s="6"/>
      <c r="AN90" s="6"/>
      <c r="AO90" s="6"/>
      <c r="AP90" s="7"/>
      <c r="AQ90" s="5"/>
      <c r="AR90" s="6"/>
      <c r="AS90" s="6"/>
      <c r="AT90" s="6"/>
      <c r="AU90" s="7"/>
    </row>
    <row r="91" spans="1:257" ht="16.5" customHeight="1" x14ac:dyDescent="0.3">
      <c r="A91" s="206">
        <v>81</v>
      </c>
      <c r="B91" s="192" t="s">
        <v>94</v>
      </c>
      <c r="C91" s="135" t="s">
        <v>136</v>
      </c>
      <c r="D91" s="126"/>
      <c r="E91" s="126"/>
      <c r="F91" s="126"/>
      <c r="G91" s="126">
        <v>95343563.230000004</v>
      </c>
      <c r="H91" s="126"/>
      <c r="I91" s="126"/>
      <c r="J91" s="128">
        <v>95343563.230000004</v>
      </c>
      <c r="K91" s="128">
        <v>514082</v>
      </c>
      <c r="L91" s="128">
        <v>40569.769999999997</v>
      </c>
      <c r="M91" s="98">
        <v>473512.26</v>
      </c>
      <c r="N91" s="54">
        <v>106766734.59</v>
      </c>
      <c r="O91" s="54">
        <v>387643.3</v>
      </c>
      <c r="P91" s="186">
        <v>109468707.55</v>
      </c>
      <c r="Q91" s="58">
        <f t="shared" si="49"/>
        <v>2.5047420667016366E-4</v>
      </c>
      <c r="R91" s="67">
        <v>105952818.567</v>
      </c>
      <c r="S91" s="58">
        <f>(R91/$R$95)</f>
        <v>2.4432845062848189E-4</v>
      </c>
      <c r="T91" s="59">
        <f>((R91-P91)/P91)</f>
        <v>-3.2117753663932755E-2</v>
      </c>
      <c r="U91" s="141">
        <f>(L91/R91)</f>
        <v>3.82904112874972E-4</v>
      </c>
      <c r="V91" s="60">
        <f>M91/R91</f>
        <v>4.4690860177596051E-3</v>
      </c>
      <c r="W91" s="61">
        <f>R91/AB91</f>
        <v>411.49122693360778</v>
      </c>
      <c r="X91" s="61">
        <f>M91/AB91</f>
        <v>1.8389896887197312</v>
      </c>
      <c r="Y91" s="54">
        <v>409.01499999999999</v>
      </c>
      <c r="Z91" s="54">
        <v>409.01499999999999</v>
      </c>
      <c r="AA91" s="62">
        <v>4</v>
      </c>
      <c r="AB91" s="225">
        <v>257485</v>
      </c>
      <c r="AC91" s="50"/>
      <c r="AD91" s="6"/>
      <c r="AE91" s="6"/>
      <c r="AF91" s="6"/>
      <c r="AG91" s="41"/>
      <c r="AH91" s="6"/>
      <c r="AI91" s="6"/>
      <c r="AJ91" s="6"/>
      <c r="AK91" s="7"/>
      <c r="AL91" s="5"/>
      <c r="AM91" s="6"/>
      <c r="AN91" s="6"/>
      <c r="AO91" s="6"/>
      <c r="AP91" s="7"/>
      <c r="AQ91" s="5"/>
      <c r="AR91" s="6"/>
      <c r="AS91" s="6"/>
      <c r="AT91" s="6"/>
      <c r="AU91" s="7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  <c r="HW91" s="40"/>
      <c r="HX91" s="40"/>
      <c r="HY91" s="40"/>
      <c r="HZ91" s="40"/>
      <c r="IA91" s="40"/>
      <c r="IB91" s="40"/>
      <c r="IC91" s="40"/>
      <c r="ID91" s="40"/>
      <c r="IE91" s="40"/>
      <c r="IF91" s="40"/>
      <c r="IG91" s="40"/>
      <c r="IH91" s="40"/>
      <c r="II91" s="40"/>
      <c r="IJ91" s="40"/>
      <c r="IK91" s="40"/>
      <c r="IL91" s="40"/>
      <c r="IM91" s="40"/>
      <c r="IN91" s="40"/>
      <c r="IO91" s="40"/>
      <c r="IP91" s="40"/>
      <c r="IQ91" s="40"/>
      <c r="IR91" s="40"/>
      <c r="IS91" s="40"/>
      <c r="IT91" s="40"/>
      <c r="IU91" s="40"/>
      <c r="IV91" s="40"/>
      <c r="IW91" s="40"/>
    </row>
    <row r="92" spans="1:257" ht="16.5" customHeight="1" x14ac:dyDescent="0.3">
      <c r="A92" s="206">
        <v>82</v>
      </c>
      <c r="B92" s="191" t="s">
        <v>26</v>
      </c>
      <c r="C92" s="135" t="s">
        <v>184</v>
      </c>
      <c r="D92" s="126"/>
      <c r="E92" s="126"/>
      <c r="F92" s="126">
        <v>3629680315.75</v>
      </c>
      <c r="G92" s="126">
        <v>6938085313.0600004</v>
      </c>
      <c r="H92" s="126"/>
      <c r="I92" s="126"/>
      <c r="J92" s="128">
        <v>10568260149.360001</v>
      </c>
      <c r="K92" s="128">
        <v>86424179.359999999</v>
      </c>
      <c r="L92" s="128">
        <v>12221991.85</v>
      </c>
      <c r="M92" s="98">
        <v>74202187.510000005</v>
      </c>
      <c r="N92" s="54">
        <v>11526760375.4</v>
      </c>
      <c r="O92" s="54">
        <v>34262067.439999998</v>
      </c>
      <c r="P92" s="186">
        <v>9663816664.5300007</v>
      </c>
      <c r="Q92" s="58">
        <f t="shared" si="49"/>
        <v>2.2111678000294975E-2</v>
      </c>
      <c r="R92" s="67">
        <v>11492498307.959999</v>
      </c>
      <c r="S92" s="58">
        <f>(R92/$R$95)</f>
        <v>2.6501836793125927E-2</v>
      </c>
      <c r="T92" s="59">
        <f>((R92-P92)/P92)</f>
        <v>0.18922975330668032</v>
      </c>
      <c r="U92" s="141">
        <f>(L92/R92)</f>
        <v>1.0634756275347663E-3</v>
      </c>
      <c r="V92" s="60">
        <f>M92/R92</f>
        <v>6.4565758916497436E-3</v>
      </c>
      <c r="W92" s="61">
        <f>R92/AB92</f>
        <v>104.15628238575754</v>
      </c>
      <c r="X92" s="61">
        <f>M92/AB92</f>
        <v>0.67249294181574504</v>
      </c>
      <c r="Y92" s="54">
        <v>104.16</v>
      </c>
      <c r="Z92" s="54">
        <v>104.16</v>
      </c>
      <c r="AA92" s="62">
        <v>638</v>
      </c>
      <c r="AB92" s="207">
        <v>110338983.34999999</v>
      </c>
      <c r="AC92" s="50"/>
      <c r="AD92" s="6"/>
      <c r="AE92" s="6"/>
      <c r="AF92" s="6"/>
      <c r="AG92" s="41"/>
      <c r="AH92" s="6"/>
      <c r="AI92" s="6"/>
      <c r="AJ92" s="6"/>
      <c r="AK92" s="7"/>
      <c r="AL92" s="5"/>
      <c r="AM92" s="6"/>
      <c r="AN92" s="6"/>
      <c r="AO92" s="6"/>
      <c r="AP92" s="7"/>
      <c r="AQ92" s="5"/>
      <c r="AR92" s="6"/>
      <c r="AS92" s="6"/>
      <c r="AT92" s="6"/>
      <c r="AU92" s="7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  <c r="HW92" s="40"/>
      <c r="HX92" s="40"/>
      <c r="HY92" s="40"/>
      <c r="HZ92" s="40"/>
      <c r="IA92" s="40"/>
      <c r="IB92" s="40"/>
      <c r="IC92" s="40"/>
      <c r="ID92" s="40"/>
      <c r="IE92" s="40"/>
      <c r="IF92" s="40"/>
      <c r="IG92" s="40"/>
      <c r="IH92" s="40"/>
      <c r="II92" s="40"/>
      <c r="IJ92" s="40"/>
      <c r="IK92" s="40"/>
      <c r="IL92" s="40"/>
      <c r="IM92" s="40"/>
      <c r="IN92" s="40"/>
      <c r="IO92" s="40"/>
      <c r="IP92" s="40"/>
      <c r="IQ92" s="40"/>
      <c r="IR92" s="40"/>
      <c r="IS92" s="40"/>
      <c r="IT92" s="40"/>
      <c r="IU92" s="40"/>
      <c r="IV92" s="40"/>
      <c r="IW92" s="40"/>
    </row>
    <row r="93" spans="1:257" ht="16.5" customHeight="1" x14ac:dyDescent="0.3">
      <c r="A93" s="206">
        <v>83</v>
      </c>
      <c r="B93" s="192" t="s">
        <v>133</v>
      </c>
      <c r="C93" s="135" t="s">
        <v>170</v>
      </c>
      <c r="D93" s="126"/>
      <c r="E93" s="126"/>
      <c r="F93" s="126"/>
      <c r="G93" s="126">
        <v>288551061.5</v>
      </c>
      <c r="H93" s="126"/>
      <c r="I93" s="126"/>
      <c r="J93" s="128">
        <v>288551061.5</v>
      </c>
      <c r="K93" s="128">
        <v>5224730.05</v>
      </c>
      <c r="L93" s="128">
        <v>418988.49</v>
      </c>
      <c r="M93" s="98">
        <v>4805741.5599999996</v>
      </c>
      <c r="N93" s="54">
        <v>305061290.48000002</v>
      </c>
      <c r="O93" s="54">
        <v>1891407.06</v>
      </c>
      <c r="P93" s="186">
        <v>297916054.64999998</v>
      </c>
      <c r="Q93" s="58">
        <f t="shared" si="49"/>
        <v>6.8165861379774616E-4</v>
      </c>
      <c r="R93" s="67">
        <v>300771761.37</v>
      </c>
      <c r="S93" s="58">
        <f>(R93/$R$95)</f>
        <v>6.9358323301103603E-4</v>
      </c>
      <c r="T93" s="59">
        <f>((R93-P93)/P93)</f>
        <v>9.585608682133602E-3</v>
      </c>
      <c r="U93" s="141">
        <f>(L93/R93)</f>
        <v>1.3930446398675489E-3</v>
      </c>
      <c r="V93" s="60">
        <f>M93/R93</f>
        <v>1.5978034434183889E-2</v>
      </c>
      <c r="W93" s="61">
        <f>R93/AB93</f>
        <v>1040.3007795033204</v>
      </c>
      <c r="X93" s="61">
        <f>M93/AB93</f>
        <v>16.621961676812393</v>
      </c>
      <c r="Y93" s="54">
        <v>1038.54</v>
      </c>
      <c r="Z93" s="54">
        <v>1038.54</v>
      </c>
      <c r="AA93" s="62">
        <v>144</v>
      </c>
      <c r="AB93" s="225">
        <v>289120</v>
      </c>
      <c r="AC93" s="50"/>
      <c r="AD93" s="6"/>
      <c r="AE93" s="6"/>
      <c r="AF93" s="6"/>
      <c r="AG93" s="41"/>
      <c r="AH93" s="6"/>
      <c r="AI93" s="6"/>
      <c r="AJ93" s="6"/>
      <c r="AK93" s="7"/>
      <c r="AL93" s="5"/>
      <c r="AM93" s="6"/>
      <c r="AN93" s="6"/>
      <c r="AO93" s="6"/>
      <c r="AP93" s="7"/>
      <c r="AQ93" s="5"/>
      <c r="AR93" s="6"/>
      <c r="AS93" s="6"/>
      <c r="AT93" s="6"/>
      <c r="AU93" s="7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  <c r="HW93" s="40"/>
      <c r="HX93" s="40"/>
      <c r="HY93" s="40"/>
      <c r="HZ93" s="40"/>
      <c r="IA93" s="40"/>
      <c r="IB93" s="40"/>
      <c r="IC93" s="40"/>
      <c r="ID93" s="40"/>
      <c r="IE93" s="40"/>
      <c r="IF93" s="40"/>
      <c r="IG93" s="40"/>
      <c r="IH93" s="40"/>
      <c r="II93" s="40"/>
      <c r="IJ93" s="40"/>
      <c r="IK93" s="40"/>
      <c r="IL93" s="40"/>
      <c r="IM93" s="40"/>
      <c r="IN93" s="40"/>
      <c r="IO93" s="40"/>
      <c r="IP93" s="40"/>
      <c r="IQ93" s="40"/>
      <c r="IR93" s="40"/>
      <c r="IS93" s="40"/>
      <c r="IT93" s="40"/>
      <c r="IU93" s="40"/>
      <c r="IV93" s="40"/>
      <c r="IW93" s="40"/>
    </row>
    <row r="94" spans="1:257" ht="16.5" customHeight="1" x14ac:dyDescent="0.3">
      <c r="A94" s="206">
        <v>84</v>
      </c>
      <c r="B94" s="192" t="s">
        <v>166</v>
      </c>
      <c r="C94" s="135" t="s">
        <v>167</v>
      </c>
      <c r="D94" s="126"/>
      <c r="E94" s="126"/>
      <c r="F94" s="126">
        <v>1123537162.9400001</v>
      </c>
      <c r="G94" s="126">
        <v>462767865.14999998</v>
      </c>
      <c r="H94" s="126"/>
      <c r="I94" s="126"/>
      <c r="J94" s="128">
        <v>1586305028.0899999</v>
      </c>
      <c r="K94" s="128">
        <v>15170754.300000001</v>
      </c>
      <c r="L94" s="128">
        <v>1580005.15</v>
      </c>
      <c r="M94" s="98">
        <v>13590749.15</v>
      </c>
      <c r="N94" s="54">
        <v>1865587466.02</v>
      </c>
      <c r="O94" s="54">
        <v>5873963.1100000003</v>
      </c>
      <c r="P94" s="186">
        <v>1924112522.8699999</v>
      </c>
      <c r="Q94" s="58">
        <f t="shared" si="49"/>
        <v>4.4025417719475981E-3</v>
      </c>
      <c r="R94" s="67">
        <v>1859713502.9000001</v>
      </c>
      <c r="S94" s="58">
        <f t="shared" si="43"/>
        <v>4.2885212958170896E-3</v>
      </c>
      <c r="T94" s="59">
        <f t="shared" si="44"/>
        <v>-3.3469466678561204E-2</v>
      </c>
      <c r="U94" s="141">
        <f t="shared" si="45"/>
        <v>8.4959599827401984E-4</v>
      </c>
      <c r="V94" s="60">
        <f t="shared" si="46"/>
        <v>7.3079800349929482E-3</v>
      </c>
      <c r="W94" s="61">
        <f t="shared" si="47"/>
        <v>1.0196111106729733</v>
      </c>
      <c r="X94" s="61">
        <f t="shared" si="48"/>
        <v>7.4512976402550737E-3</v>
      </c>
      <c r="Y94" s="54">
        <v>1.0196000000000001</v>
      </c>
      <c r="Z94" s="54">
        <v>1.0196000000000001</v>
      </c>
      <c r="AA94" s="62">
        <v>552</v>
      </c>
      <c r="AB94" s="207">
        <v>1823943936.5</v>
      </c>
      <c r="AC94" s="51"/>
      <c r="AD94" s="20"/>
      <c r="AE94" s="20"/>
      <c r="AF94" s="21"/>
      <c r="AG94" s="8"/>
      <c r="AH94" s="22"/>
      <c r="AI94" s="6"/>
      <c r="AJ94" s="6"/>
      <c r="AK94" s="7"/>
      <c r="AL94" s="5"/>
      <c r="AM94" s="6"/>
      <c r="AN94" s="6"/>
      <c r="AO94" s="6"/>
      <c r="AP94" s="7"/>
      <c r="AQ94" s="5"/>
      <c r="AR94" s="6"/>
      <c r="AS94" s="6"/>
      <c r="AT94" s="6"/>
      <c r="AU94" s="7"/>
    </row>
    <row r="95" spans="1:257" ht="16.5" customHeight="1" x14ac:dyDescent="0.3">
      <c r="A95" s="226"/>
      <c r="B95" s="170"/>
      <c r="C95" s="171" t="s">
        <v>55</v>
      </c>
      <c r="D95" s="81"/>
      <c r="E95" s="81"/>
      <c r="F95" s="81"/>
      <c r="G95" s="81"/>
      <c r="H95" s="81"/>
      <c r="I95" s="81"/>
      <c r="J95" s="81"/>
      <c r="K95" s="81"/>
      <c r="L95" s="81"/>
      <c r="M95" s="82"/>
      <c r="N95" s="81"/>
      <c r="O95" s="81"/>
      <c r="P95" s="187">
        <f>SUM(P66:P94)</f>
        <v>437045830008.97009</v>
      </c>
      <c r="Q95" s="83">
        <f>(P95/$P$136)</f>
        <v>0.34163526760921342</v>
      </c>
      <c r="R95" s="84">
        <f>SUM(R66:R94)</f>
        <v>433649123933.21112</v>
      </c>
      <c r="S95" s="83">
        <f>(R95/$R$136)</f>
        <v>0.34098996962568506</v>
      </c>
      <c r="T95" s="85">
        <f t="shared" si="44"/>
        <v>-7.7719677034540219E-3</v>
      </c>
      <c r="U95" s="121"/>
      <c r="V95" s="86"/>
      <c r="W95" s="87"/>
      <c r="X95" s="87"/>
      <c r="Y95" s="81"/>
      <c r="Z95" s="81"/>
      <c r="AA95" s="88">
        <f>SUM(AA66:AA94)</f>
        <v>38218</v>
      </c>
      <c r="AB95" s="214"/>
      <c r="AC95" s="13"/>
      <c r="AD95" s="4"/>
      <c r="AE95" s="4"/>
      <c r="AF95" s="4"/>
      <c r="AG95" s="23"/>
      <c r="AH95" s="6"/>
      <c r="AI95" s="6"/>
      <c r="AJ95" s="6"/>
      <c r="AK95" s="7"/>
      <c r="AL95" s="5"/>
      <c r="AM95" s="6"/>
      <c r="AN95" s="6"/>
      <c r="AO95" s="6"/>
      <c r="AP95" s="7"/>
      <c r="AQ95" s="5"/>
      <c r="AR95" s="6"/>
      <c r="AS95" s="6"/>
      <c r="AT95" s="6"/>
      <c r="AU95" s="7"/>
    </row>
    <row r="96" spans="1:257" ht="16.5" customHeight="1" x14ac:dyDescent="0.3">
      <c r="A96" s="227"/>
      <c r="B96" s="172"/>
      <c r="C96" s="173" t="s">
        <v>137</v>
      </c>
      <c r="D96" s="174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87"/>
      <c r="Q96" s="59"/>
      <c r="R96" s="102">
        <v>0</v>
      </c>
      <c r="S96" s="59"/>
      <c r="T96" s="59"/>
      <c r="U96" s="121"/>
      <c r="V96" s="103"/>
      <c r="W96" s="104"/>
      <c r="X96" s="104"/>
      <c r="Y96" s="102"/>
      <c r="Z96" s="102"/>
      <c r="AA96" s="102"/>
      <c r="AB96" s="220"/>
      <c r="AC96" s="3"/>
      <c r="AD96" s="9"/>
      <c r="AE96" s="9"/>
      <c r="AF96" s="9"/>
      <c r="AG96" s="5"/>
      <c r="AH96" s="6"/>
      <c r="AI96" s="6"/>
      <c r="AJ96" s="6"/>
      <c r="AK96" s="7"/>
      <c r="AL96" s="5"/>
      <c r="AM96" s="6"/>
      <c r="AN96" s="6"/>
      <c r="AO96" s="6"/>
      <c r="AP96" s="7"/>
      <c r="AQ96" s="5"/>
      <c r="AR96" s="6"/>
      <c r="AS96" s="6"/>
      <c r="AT96" s="6"/>
      <c r="AU96" s="7"/>
    </row>
    <row r="97" spans="1:47" ht="16.5" customHeight="1" x14ac:dyDescent="0.3">
      <c r="A97" s="206">
        <v>85</v>
      </c>
      <c r="B97" s="191" t="s">
        <v>114</v>
      </c>
      <c r="C97" s="135" t="s">
        <v>138</v>
      </c>
      <c r="D97" s="54"/>
      <c r="E97" s="54"/>
      <c r="F97" s="109"/>
      <c r="G97" s="109" t="s">
        <v>193</v>
      </c>
      <c r="H97" s="54">
        <v>1820390000</v>
      </c>
      <c r="I97" s="110"/>
      <c r="J97" s="109" t="s">
        <v>195</v>
      </c>
      <c r="K97" s="109" t="s">
        <v>194</v>
      </c>
      <c r="L97" s="176">
        <v>4817138.42</v>
      </c>
      <c r="M97" s="111">
        <v>15638521.630000001</v>
      </c>
      <c r="N97" s="54">
        <v>2464580825.3800001</v>
      </c>
      <c r="O97" s="54">
        <v>96724394.219999999</v>
      </c>
      <c r="P97" s="186">
        <v>2352217909.5300002</v>
      </c>
      <c r="Q97" s="58">
        <f>(P97/$P$101)</f>
        <v>5.7053164456069096E-2</v>
      </c>
      <c r="R97" s="67">
        <v>2367394431.1599998</v>
      </c>
      <c r="S97" s="58">
        <f>(R97/$R$101)</f>
        <v>5.7664651250401315E-2</v>
      </c>
      <c r="T97" s="59">
        <f>((R97-P97)/P97)</f>
        <v>6.452004964553679E-3</v>
      </c>
      <c r="U97" s="141">
        <f>(L97/R97)</f>
        <v>2.0347848911850528E-3</v>
      </c>
      <c r="V97" s="60">
        <f>M97/R97</f>
        <v>6.6057947185156132E-3</v>
      </c>
      <c r="W97" s="61" t="e">
        <f>R97/AB97</f>
        <v>#DIV/0!</v>
      </c>
      <c r="X97" s="61" t="e">
        <f>M97/AB97</f>
        <v>#DIV/0!</v>
      </c>
      <c r="Y97" s="54">
        <v>1.06</v>
      </c>
      <c r="Z97" s="54">
        <v>1.06</v>
      </c>
      <c r="AA97" s="62">
        <v>2648</v>
      </c>
      <c r="AB97" s="208"/>
      <c r="AC97" s="10"/>
      <c r="AD97" s="10"/>
      <c r="AE97" s="10"/>
      <c r="AF97" s="11"/>
      <c r="AG97" s="5"/>
      <c r="AH97" s="6"/>
      <c r="AI97" s="6"/>
      <c r="AJ97" s="6"/>
      <c r="AK97" s="7"/>
      <c r="AL97" s="5"/>
      <c r="AM97" s="6"/>
      <c r="AN97" s="6"/>
      <c r="AO97" s="6"/>
      <c r="AP97" s="7"/>
      <c r="AQ97" s="5"/>
      <c r="AR97" s="6"/>
      <c r="AS97" s="6"/>
      <c r="AT97" s="6"/>
      <c r="AU97" s="7"/>
    </row>
    <row r="98" spans="1:47" ht="16.5" customHeight="1" x14ac:dyDescent="0.3">
      <c r="A98" s="206">
        <v>86</v>
      </c>
      <c r="B98" s="191" t="s">
        <v>114</v>
      </c>
      <c r="C98" s="135" t="s">
        <v>139</v>
      </c>
      <c r="D98" s="63"/>
      <c r="E98" s="54"/>
      <c r="F98" s="54"/>
      <c r="G98" s="63">
        <v>398109553.92000002</v>
      </c>
      <c r="H98" s="160">
        <v>9932058627.3999996</v>
      </c>
      <c r="I98" s="109"/>
      <c r="J98" s="109" t="s">
        <v>196</v>
      </c>
      <c r="K98" s="109" t="s">
        <v>197</v>
      </c>
      <c r="L98" s="176" t="s">
        <v>198</v>
      </c>
      <c r="M98" s="111">
        <v>54061648.210000001</v>
      </c>
      <c r="N98" s="112">
        <v>11010523939.24</v>
      </c>
      <c r="O98" s="112">
        <v>1192399911.9000001</v>
      </c>
      <c r="P98" s="189" t="s">
        <v>208</v>
      </c>
      <c r="Q98" s="58">
        <f>(P98/$P$101)</f>
        <v>0.23682782722273943</v>
      </c>
      <c r="R98" s="113" t="s">
        <v>199</v>
      </c>
      <c r="S98" s="58">
        <f>(R98/$R$101)</f>
        <v>0.23914844543785152</v>
      </c>
      <c r="T98" s="59">
        <f>((R98-P98)/P98)</f>
        <v>5.536798711597006E-3</v>
      </c>
      <c r="U98" s="141">
        <f>(L98/R98)</f>
        <v>1.4214906260727358E-3</v>
      </c>
      <c r="V98" s="60">
        <f>M98/R98</f>
        <v>5.5063113952654903E-3</v>
      </c>
      <c r="W98" s="61">
        <f>R98/AB98</f>
        <v>52.188790458253358</v>
      </c>
      <c r="X98" s="61">
        <f>M98/AB98</f>
        <v>0.28736773160540335</v>
      </c>
      <c r="Y98" s="109" t="s">
        <v>210</v>
      </c>
      <c r="Z98" s="109" t="s">
        <v>211</v>
      </c>
      <c r="AA98" s="62">
        <v>5244</v>
      </c>
      <c r="AB98" s="208">
        <v>188127066</v>
      </c>
      <c r="AC98" s="34"/>
      <c r="AD98" s="24"/>
      <c r="AE98" s="12"/>
      <c r="AF98" s="12"/>
      <c r="AG98" s="5"/>
      <c r="AH98" s="6"/>
      <c r="AI98" s="6"/>
      <c r="AJ98" s="6"/>
      <c r="AK98" s="7"/>
      <c r="AL98" s="5"/>
      <c r="AM98" s="6"/>
      <c r="AN98" s="6"/>
      <c r="AO98" s="6"/>
      <c r="AP98" s="7"/>
      <c r="AQ98" s="5"/>
      <c r="AR98" s="6"/>
      <c r="AS98" s="6"/>
      <c r="AT98" s="6"/>
      <c r="AU98" s="7"/>
    </row>
    <row r="99" spans="1:47" ht="16.5" customHeight="1" x14ac:dyDescent="0.3">
      <c r="A99" s="206">
        <v>87</v>
      </c>
      <c r="B99" s="192" t="s">
        <v>86</v>
      </c>
      <c r="C99" s="135" t="s">
        <v>140</v>
      </c>
      <c r="D99" s="54"/>
      <c r="E99" s="54"/>
      <c r="F99" s="107">
        <v>4446902192.8299999</v>
      </c>
      <c r="G99" s="54">
        <v>287557655.32999998</v>
      </c>
      <c r="H99" s="54">
        <v>26522225000</v>
      </c>
      <c r="I99" s="54"/>
      <c r="J99" s="54">
        <v>31256684848.16</v>
      </c>
      <c r="K99" s="54">
        <v>154215163.09999999</v>
      </c>
      <c r="L99" s="114">
        <v>20743241.68</v>
      </c>
      <c r="M99" s="64">
        <v>133471921.42</v>
      </c>
      <c r="N99" s="54">
        <v>31453245133.279999</v>
      </c>
      <c r="O99" s="54">
        <v>182249026.80000001</v>
      </c>
      <c r="P99" s="186">
        <v>31361764809.43</v>
      </c>
      <c r="Q99" s="58">
        <f>(P99/$P$100)</f>
        <v>4.1734754926718205</v>
      </c>
      <c r="R99" s="67">
        <v>31270996106.48</v>
      </c>
      <c r="S99" s="58">
        <f>(R99/$R$100)</f>
        <v>4.2166209484941106</v>
      </c>
      <c r="T99" s="59">
        <f>((R99-P99)/P99)</f>
        <v>-2.8942472944860557E-3</v>
      </c>
      <c r="U99" s="141">
        <f>(L99/R99)</f>
        <v>6.6333805323526512E-4</v>
      </c>
      <c r="V99" s="60">
        <f>M99/R99</f>
        <v>4.2682337641410098E-3</v>
      </c>
      <c r="W99" s="61">
        <f>R99/AB99</f>
        <v>11.719579340272787</v>
      </c>
      <c r="X99" s="61">
        <f>M99/AB99</f>
        <v>5.0021904241681736E-2</v>
      </c>
      <c r="Y99" s="54">
        <v>11.72</v>
      </c>
      <c r="Z99" s="54">
        <v>11.72</v>
      </c>
      <c r="AA99" s="62">
        <v>28836</v>
      </c>
      <c r="AB99" s="208">
        <v>2668269500</v>
      </c>
      <c r="AC99" s="13"/>
      <c r="AD99" s="25"/>
      <c r="AE99" s="4"/>
      <c r="AF99" s="4"/>
      <c r="AG99" s="5"/>
      <c r="AH99" s="6"/>
      <c r="AI99" s="6"/>
      <c r="AJ99" s="6"/>
      <c r="AK99" s="7"/>
      <c r="AL99" s="5"/>
      <c r="AM99" s="6"/>
      <c r="AN99" s="6"/>
      <c r="AO99" s="6"/>
      <c r="AP99" s="7"/>
      <c r="AQ99" s="5"/>
      <c r="AR99" s="6"/>
      <c r="AS99" s="6"/>
      <c r="AT99" s="6"/>
      <c r="AU99" s="7"/>
    </row>
    <row r="100" spans="1:47" ht="16.5" customHeight="1" x14ac:dyDescent="0.3">
      <c r="A100" s="206">
        <v>88</v>
      </c>
      <c r="B100" s="191" t="s">
        <v>32</v>
      </c>
      <c r="C100" s="135" t="s">
        <v>141</v>
      </c>
      <c r="D100" s="126"/>
      <c r="E100" s="126"/>
      <c r="F100" s="127">
        <v>7582324984</v>
      </c>
      <c r="G100" s="126"/>
      <c r="H100" s="126"/>
      <c r="I100" s="126"/>
      <c r="J100" s="127">
        <v>7582324984</v>
      </c>
      <c r="K100" s="127">
        <v>55136756</v>
      </c>
      <c r="L100" s="133">
        <v>3770741</v>
      </c>
      <c r="M100" s="111">
        <v>98416986</v>
      </c>
      <c r="N100" s="93">
        <v>7582433580</v>
      </c>
      <c r="O100" s="71">
        <v>166306665</v>
      </c>
      <c r="P100" s="186">
        <v>7514543901</v>
      </c>
      <c r="Q100" s="58">
        <f>(P100/$P$101)</f>
        <v>0.18226564267668924</v>
      </c>
      <c r="R100" s="67">
        <v>7416126915</v>
      </c>
      <c r="S100" s="58">
        <f>(R100/$R$101)</f>
        <v>0.18064094709078374</v>
      </c>
      <c r="T100" s="59">
        <f>((R100-P100)/P100)</f>
        <v>-1.3096867527369577E-2</v>
      </c>
      <c r="U100" s="141">
        <f>(L100/R100)</f>
        <v>5.0845151967035887E-4</v>
      </c>
      <c r="V100" s="60">
        <f>M100/R100</f>
        <v>1.3270671757375124E-2</v>
      </c>
      <c r="W100" s="61">
        <f>R100/AB100</f>
        <v>100.01519777478084</v>
      </c>
      <c r="X100" s="61">
        <f>M100/AB100</f>
        <v>1.3272688604180716</v>
      </c>
      <c r="Y100" s="54">
        <v>100.02</v>
      </c>
      <c r="Z100" s="54">
        <v>100.02</v>
      </c>
      <c r="AA100" s="62">
        <v>60</v>
      </c>
      <c r="AB100" s="224">
        <v>74150000</v>
      </c>
      <c r="AC100" s="13"/>
      <c r="AD100" s="4"/>
      <c r="AE100" s="4"/>
      <c r="AF100" s="4"/>
      <c r="AG100" s="5"/>
      <c r="AH100" s="6"/>
      <c r="AI100" s="6"/>
      <c r="AJ100" s="6"/>
      <c r="AK100" s="7"/>
      <c r="AL100" s="5"/>
      <c r="AM100" s="6"/>
      <c r="AN100" s="6"/>
      <c r="AO100" s="6"/>
      <c r="AP100" s="7"/>
      <c r="AQ100" s="5"/>
      <c r="AR100" s="6"/>
      <c r="AS100" s="6"/>
      <c r="AT100" s="6"/>
      <c r="AU100" s="7"/>
    </row>
    <row r="101" spans="1:47" ht="16.5" customHeight="1" x14ac:dyDescent="0.3">
      <c r="A101" s="223"/>
      <c r="B101" s="99"/>
      <c r="C101" s="80" t="s">
        <v>55</v>
      </c>
      <c r="D101" s="81"/>
      <c r="E101" s="81"/>
      <c r="F101" s="81"/>
      <c r="G101" s="81"/>
      <c r="H101" s="81"/>
      <c r="I101" s="81"/>
      <c r="J101" s="115"/>
      <c r="K101" s="115"/>
      <c r="L101" s="81"/>
      <c r="M101" s="82"/>
      <c r="N101" s="81"/>
      <c r="O101" s="81"/>
      <c r="P101" s="187">
        <f>SUM(P97:P100)</f>
        <v>41228526619.959999</v>
      </c>
      <c r="Q101" s="83">
        <f>(P101/$P$136)</f>
        <v>3.2228013077380296E-2</v>
      </c>
      <c r="R101" s="84">
        <f>SUM(R97:R100)</f>
        <v>41054517452.639999</v>
      </c>
      <c r="S101" s="83">
        <f>(R101/$R$136)</f>
        <v>3.2282271280061357E-2</v>
      </c>
      <c r="T101" s="85">
        <f>((R101-P101)/P101)</f>
        <v>-4.2206011610358279E-3</v>
      </c>
      <c r="U101" s="121"/>
      <c r="V101" s="86"/>
      <c r="W101" s="87"/>
      <c r="X101" s="87"/>
      <c r="Y101" s="81">
        <v>0</v>
      </c>
      <c r="Z101" s="81"/>
      <c r="AA101" s="88">
        <f>SUM(AA97:AA100)</f>
        <v>36788</v>
      </c>
      <c r="AB101" s="214"/>
      <c r="AC101" s="13"/>
      <c r="AD101" s="4"/>
      <c r="AE101" s="4"/>
      <c r="AF101" s="4"/>
      <c r="AG101" s="5"/>
      <c r="AH101" s="6"/>
      <c r="AI101" s="6"/>
      <c r="AJ101" s="6"/>
      <c r="AK101" s="7"/>
      <c r="AL101" s="5"/>
      <c r="AM101" s="6"/>
      <c r="AN101" s="6"/>
      <c r="AO101" s="6"/>
      <c r="AP101" s="7"/>
      <c r="AQ101" s="5"/>
      <c r="AR101" s="6"/>
      <c r="AS101" s="6"/>
      <c r="AT101" s="6"/>
      <c r="AU101" s="7"/>
    </row>
    <row r="102" spans="1:47" ht="16.5" customHeight="1" x14ac:dyDescent="0.3">
      <c r="A102" s="219"/>
      <c r="B102" s="100"/>
      <c r="C102" s="101" t="s">
        <v>142</v>
      </c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87"/>
      <c r="Q102" s="59"/>
      <c r="R102" s="102"/>
      <c r="S102" s="59"/>
      <c r="T102" s="59"/>
      <c r="U102" s="121"/>
      <c r="V102" s="103"/>
      <c r="W102" s="104"/>
      <c r="X102" s="104"/>
      <c r="Y102" s="102"/>
      <c r="Z102" s="102"/>
      <c r="AA102" s="102"/>
      <c r="AB102" s="220"/>
      <c r="AC102" s="3"/>
      <c r="AD102" s="9"/>
      <c r="AE102" s="9"/>
      <c r="AF102" s="9"/>
      <c r="AG102" s="5"/>
      <c r="AH102" s="6"/>
      <c r="AI102" s="6"/>
      <c r="AJ102" s="6"/>
      <c r="AK102" s="7"/>
      <c r="AL102" s="5"/>
      <c r="AM102" s="6"/>
      <c r="AN102" s="6"/>
      <c r="AO102" s="6"/>
      <c r="AP102" s="7"/>
      <c r="AQ102" s="5"/>
      <c r="AR102" s="6"/>
      <c r="AS102" s="6"/>
      <c r="AT102" s="6"/>
      <c r="AU102" s="7"/>
    </row>
    <row r="103" spans="1:47" ht="16.5" customHeight="1" x14ac:dyDescent="0.3">
      <c r="A103" s="206">
        <v>89</v>
      </c>
      <c r="B103" s="191" t="s">
        <v>26</v>
      </c>
      <c r="C103" s="135" t="s">
        <v>143</v>
      </c>
      <c r="D103" s="54">
        <v>876830461.94000006</v>
      </c>
      <c r="E103" s="54"/>
      <c r="F103" s="54">
        <v>429246502.66000003</v>
      </c>
      <c r="G103" s="54">
        <v>355218682.01999998</v>
      </c>
      <c r="H103" s="65"/>
      <c r="I103" s="63"/>
      <c r="J103" s="63">
        <v>1665100651.77</v>
      </c>
      <c r="K103" s="63">
        <v>12151299.85</v>
      </c>
      <c r="L103" s="54">
        <v>2054013.2</v>
      </c>
      <c r="M103" s="64">
        <v>67910711.549999997</v>
      </c>
      <c r="N103" s="54">
        <v>1676901946.54</v>
      </c>
      <c r="O103" s="54">
        <v>9219371.3300000001</v>
      </c>
      <c r="P103" s="186">
        <v>1607177973.04</v>
      </c>
      <c r="Q103" s="58">
        <f t="shared" ref="Q103:Q124" si="50">(P103/$P$125)</f>
        <v>5.5629567309293151E-2</v>
      </c>
      <c r="R103" s="67">
        <v>1667682575.21</v>
      </c>
      <c r="S103" s="58">
        <f t="shared" ref="S103:S124" si="51">(R103/$R$125)</f>
        <v>5.7178567152721856E-2</v>
      </c>
      <c r="T103" s="59">
        <f t="shared" ref="T103:T125" si="52">((R103-P103)/P103)</f>
        <v>3.7646485445264513E-2</v>
      </c>
      <c r="U103" s="141">
        <f t="shared" ref="U103:U124" si="53">(L103/R103)</f>
        <v>1.2316571693755042E-3</v>
      </c>
      <c r="V103" s="60">
        <f t="shared" ref="V103:V124" si="54">M103/R103</f>
        <v>4.0721605273982345E-2</v>
      </c>
      <c r="W103" s="61">
        <f t="shared" ref="W103:W124" si="55">R103/AB103</f>
        <v>3463.0495895733566</v>
      </c>
      <c r="X103" s="61">
        <f t="shared" ref="X103:X124" si="56">M103/AB103</f>
        <v>141.02093843083279</v>
      </c>
      <c r="Y103" s="54">
        <v>3438.92</v>
      </c>
      <c r="Z103" s="54">
        <v>3476.25</v>
      </c>
      <c r="AA103" s="62">
        <v>1274</v>
      </c>
      <c r="AB103" s="208">
        <v>481564.74</v>
      </c>
      <c r="AC103" s="10"/>
      <c r="AD103" s="10"/>
      <c r="AE103" s="10"/>
      <c r="AF103" s="11"/>
      <c r="AG103" s="5"/>
      <c r="AH103" s="6"/>
      <c r="AI103" s="6"/>
      <c r="AJ103" s="6"/>
      <c r="AK103" s="7"/>
      <c r="AL103" s="5"/>
      <c r="AM103" s="6"/>
      <c r="AN103" s="6"/>
      <c r="AO103" s="6"/>
      <c r="AP103" s="7"/>
      <c r="AQ103" s="5"/>
      <c r="AR103" s="6"/>
      <c r="AS103" s="6"/>
      <c r="AT103" s="6"/>
      <c r="AU103" s="7"/>
    </row>
    <row r="104" spans="1:47" ht="16.5" customHeight="1" x14ac:dyDescent="0.3">
      <c r="A104" s="206">
        <v>90</v>
      </c>
      <c r="B104" s="191" t="s">
        <v>32</v>
      </c>
      <c r="C104" s="135" t="s">
        <v>144</v>
      </c>
      <c r="D104" s="126">
        <v>101199995.34999999</v>
      </c>
      <c r="E104" s="126"/>
      <c r="F104" s="126">
        <v>33524092.600000001</v>
      </c>
      <c r="G104" s="138"/>
      <c r="H104" s="126"/>
      <c r="I104" s="200"/>
      <c r="J104" s="126">
        <v>189869715.72</v>
      </c>
      <c r="K104" s="126">
        <v>1253365.02</v>
      </c>
      <c r="L104" s="126">
        <v>316754.99</v>
      </c>
      <c r="M104" s="64">
        <v>936610.03</v>
      </c>
      <c r="N104" s="116">
        <v>189869715.72</v>
      </c>
      <c r="O104" s="54">
        <v>1429447.23</v>
      </c>
      <c r="P104" s="186">
        <v>184120728.41</v>
      </c>
      <c r="Q104" s="58">
        <f t="shared" si="50"/>
        <v>6.373006988607639E-3</v>
      </c>
      <c r="R104" s="67">
        <v>188440268.49000001</v>
      </c>
      <c r="S104" s="58">
        <f t="shared" si="51"/>
        <v>6.4609085123861843E-3</v>
      </c>
      <c r="T104" s="59">
        <f t="shared" si="52"/>
        <v>2.346036819049109E-2</v>
      </c>
      <c r="U104" s="141">
        <f t="shared" si="53"/>
        <v>1.6809304748831287E-3</v>
      </c>
      <c r="V104" s="60">
        <f t="shared" si="54"/>
        <v>4.9703284627282476E-3</v>
      </c>
      <c r="W104" s="61">
        <f t="shared" si="55"/>
        <v>140.26958794564598</v>
      </c>
      <c r="X104" s="61">
        <f t="shared" si="56"/>
        <v>0.69718592542140745</v>
      </c>
      <c r="Y104" s="54">
        <v>139.38999999999999</v>
      </c>
      <c r="Z104" s="54">
        <v>141.01</v>
      </c>
      <c r="AA104" s="65">
        <v>739</v>
      </c>
      <c r="AB104" s="208">
        <v>1343415</v>
      </c>
      <c r="AC104" s="34"/>
      <c r="AD104" s="12"/>
      <c r="AE104" s="12"/>
      <c r="AF104" s="12"/>
      <c r="AG104" s="5"/>
      <c r="AH104" s="6"/>
      <c r="AI104" s="6"/>
      <c r="AJ104" s="6"/>
      <c r="AK104" s="7"/>
      <c r="AL104" s="5"/>
      <c r="AM104" s="6"/>
      <c r="AN104" s="6"/>
      <c r="AO104" s="6"/>
      <c r="AP104" s="7"/>
      <c r="AQ104" s="5"/>
      <c r="AR104" s="6"/>
      <c r="AS104" s="6"/>
      <c r="AT104" s="6"/>
      <c r="AU104" s="7"/>
    </row>
    <row r="105" spans="1:47" ht="16.5" customHeight="1" x14ac:dyDescent="0.3">
      <c r="A105" s="206">
        <v>91</v>
      </c>
      <c r="B105" s="191" t="s">
        <v>36</v>
      </c>
      <c r="C105" s="135" t="s">
        <v>145</v>
      </c>
      <c r="D105" s="126">
        <v>445840046.85000002</v>
      </c>
      <c r="E105" s="126"/>
      <c r="F105" s="126">
        <v>73804717</v>
      </c>
      <c r="G105" s="126">
        <v>297657146</v>
      </c>
      <c r="H105" s="126"/>
      <c r="I105" s="126"/>
      <c r="J105" s="126">
        <v>817301910</v>
      </c>
      <c r="K105" s="126">
        <v>6531071</v>
      </c>
      <c r="L105" s="126">
        <v>1638088</v>
      </c>
      <c r="M105" s="117">
        <v>5149920</v>
      </c>
      <c r="N105" s="54">
        <v>1016286384</v>
      </c>
      <c r="O105" s="54">
        <v>82332588</v>
      </c>
      <c r="P105" s="186">
        <v>928784395.76999998</v>
      </c>
      <c r="Q105" s="58">
        <f t="shared" si="50"/>
        <v>3.2148196980685259E-2</v>
      </c>
      <c r="R105" s="67">
        <v>933953795.86000001</v>
      </c>
      <c r="S105" s="58">
        <f t="shared" si="51"/>
        <v>3.2021765189575072E-2</v>
      </c>
      <c r="T105" s="59">
        <f t="shared" si="52"/>
        <v>5.5657697454255684E-3</v>
      </c>
      <c r="U105" s="141">
        <f t="shared" si="53"/>
        <v>1.7539283070118277E-3</v>
      </c>
      <c r="V105" s="60">
        <f t="shared" si="54"/>
        <v>5.514105754297908E-3</v>
      </c>
      <c r="W105" s="61">
        <f t="shared" si="55"/>
        <v>1.3245113861758788</v>
      </c>
      <c r="X105" s="61">
        <f t="shared" si="56"/>
        <v>7.3034958561455131E-3</v>
      </c>
      <c r="Y105" s="54">
        <v>1.32</v>
      </c>
      <c r="Z105" s="54">
        <v>1.32</v>
      </c>
      <c r="AA105" s="62">
        <v>1327</v>
      </c>
      <c r="AB105" s="208">
        <v>705130817</v>
      </c>
      <c r="AC105" s="13"/>
      <c r="AD105" s="4"/>
      <c r="AE105" s="4"/>
      <c r="AF105" s="4"/>
      <c r="AG105" s="5"/>
      <c r="AH105" s="6"/>
      <c r="AI105" s="6"/>
      <c r="AJ105" s="6"/>
      <c r="AK105" s="7"/>
      <c r="AL105" s="5"/>
      <c r="AM105" s="6"/>
      <c r="AN105" s="6"/>
      <c r="AO105" s="6"/>
      <c r="AP105" s="7"/>
      <c r="AQ105" s="5"/>
      <c r="AR105" s="6"/>
      <c r="AS105" s="6"/>
      <c r="AT105" s="6"/>
      <c r="AU105" s="7"/>
    </row>
    <row r="106" spans="1:47" ht="16.5" customHeight="1" x14ac:dyDescent="0.3">
      <c r="A106" s="206">
        <v>92</v>
      </c>
      <c r="B106" s="192" t="s">
        <v>38</v>
      </c>
      <c r="C106" s="135" t="s">
        <v>200</v>
      </c>
      <c r="D106" s="126">
        <v>2441457813.6999998</v>
      </c>
      <c r="E106" s="130"/>
      <c r="F106" s="126">
        <v>310044079.44999999</v>
      </c>
      <c r="G106" s="126">
        <v>677951657.23000002</v>
      </c>
      <c r="H106" s="126">
        <v>58000000</v>
      </c>
      <c r="I106" s="126"/>
      <c r="J106" s="127">
        <v>3487453550.3800001</v>
      </c>
      <c r="K106" s="127">
        <v>23484392.550000001</v>
      </c>
      <c r="L106" s="128">
        <v>10119039.779999999</v>
      </c>
      <c r="M106" s="98">
        <v>63814737.32</v>
      </c>
      <c r="N106" s="54">
        <v>4507768720</v>
      </c>
      <c r="O106" s="54">
        <v>37010875</v>
      </c>
      <c r="P106" s="186">
        <v>4426046719</v>
      </c>
      <c r="Q106" s="58">
        <f t="shared" si="50"/>
        <v>0.15319962567864204</v>
      </c>
      <c r="R106" s="67">
        <v>4470757845</v>
      </c>
      <c r="S106" s="58">
        <f t="shared" si="51"/>
        <v>0.15328548217978508</v>
      </c>
      <c r="T106" s="59">
        <f t="shared" si="52"/>
        <v>1.0101819713756167E-2</v>
      </c>
      <c r="U106" s="141">
        <f t="shared" si="53"/>
        <v>2.26338355393525E-3</v>
      </c>
      <c r="V106" s="60">
        <f t="shared" si="54"/>
        <v>1.4273807603193951E-2</v>
      </c>
      <c r="W106" s="61">
        <f t="shared" si="55"/>
        <v>440.45421604311582</v>
      </c>
      <c r="X106" s="61">
        <f t="shared" si="56"/>
        <v>6.2869587378150573</v>
      </c>
      <c r="Y106" s="54">
        <v>438.42</v>
      </c>
      <c r="Z106" s="54">
        <v>451.64</v>
      </c>
      <c r="AA106" s="95">
        <v>35652</v>
      </c>
      <c r="AB106" s="208">
        <v>10150335</v>
      </c>
      <c r="AC106" s="13"/>
      <c r="AD106" s="4"/>
      <c r="AE106" s="4"/>
      <c r="AF106" s="4"/>
      <c r="AG106" s="5"/>
      <c r="AH106" s="6"/>
      <c r="AI106" s="6"/>
      <c r="AJ106" s="6"/>
      <c r="AK106" s="7"/>
      <c r="AL106" s="5"/>
      <c r="AM106" s="6"/>
      <c r="AN106" s="6"/>
      <c r="AO106" s="6"/>
      <c r="AP106" s="7"/>
      <c r="AQ106" s="5"/>
      <c r="AR106" s="6"/>
      <c r="AS106" s="6"/>
      <c r="AT106" s="6"/>
      <c r="AU106" s="7"/>
    </row>
    <row r="107" spans="1:47" ht="16.5" customHeight="1" x14ac:dyDescent="0.3">
      <c r="A107" s="206">
        <v>93</v>
      </c>
      <c r="B107" s="191" t="s">
        <v>78</v>
      </c>
      <c r="C107" s="135" t="s">
        <v>192</v>
      </c>
      <c r="D107" s="126">
        <v>1027705700.8</v>
      </c>
      <c r="E107" s="125"/>
      <c r="F107" s="126">
        <v>355315066.54000002</v>
      </c>
      <c r="G107" s="126">
        <v>1067700254.29</v>
      </c>
      <c r="H107" s="126"/>
      <c r="I107" s="126"/>
      <c r="J107" s="126">
        <v>2450721021.6300001</v>
      </c>
      <c r="K107" s="126">
        <v>11459436.73</v>
      </c>
      <c r="L107" s="126">
        <v>24266636.079999998</v>
      </c>
      <c r="M107" s="64">
        <v>18637831.5</v>
      </c>
      <c r="N107" s="54">
        <v>2479755783.75</v>
      </c>
      <c r="O107" s="118">
        <v>48689358.439999998</v>
      </c>
      <c r="P107" s="186">
        <v>2401061810.46</v>
      </c>
      <c r="Q107" s="58">
        <f t="shared" si="50"/>
        <v>8.3108424729159427E-2</v>
      </c>
      <c r="R107" s="67">
        <v>2431066425.3099999</v>
      </c>
      <c r="S107" s="58">
        <f t="shared" si="51"/>
        <v>8.3352130026789636E-2</v>
      </c>
      <c r="T107" s="59">
        <f t="shared" si="52"/>
        <v>1.2496394186641769E-2</v>
      </c>
      <c r="U107" s="141">
        <f t="shared" si="53"/>
        <v>9.9818893582496876E-3</v>
      </c>
      <c r="V107" s="60">
        <f t="shared" si="54"/>
        <v>7.666524989181806E-3</v>
      </c>
      <c r="W107" s="61">
        <f t="shared" si="55"/>
        <v>13.028860349849284</v>
      </c>
      <c r="X107" s="61">
        <f t="shared" si="56"/>
        <v>9.9886083452679547E-2</v>
      </c>
      <c r="Y107" s="54">
        <v>13.0289</v>
      </c>
      <c r="Z107" s="54">
        <v>13.144299999999999</v>
      </c>
      <c r="AA107" s="62">
        <v>5740</v>
      </c>
      <c r="AB107" s="208">
        <v>186590872.88</v>
      </c>
      <c r="AC107" s="13"/>
      <c r="AD107" s="4"/>
      <c r="AE107" s="4"/>
      <c r="AF107" s="4"/>
      <c r="AG107" s="5"/>
      <c r="AH107" s="6"/>
      <c r="AI107" s="6"/>
      <c r="AJ107" s="6"/>
      <c r="AK107" s="7"/>
      <c r="AL107" s="5"/>
      <c r="AM107" s="6"/>
      <c r="AN107" s="6"/>
      <c r="AO107" s="6"/>
      <c r="AP107" s="7"/>
      <c r="AQ107" s="5"/>
      <c r="AR107" s="6"/>
      <c r="AS107" s="6"/>
      <c r="AT107" s="6"/>
      <c r="AU107" s="7"/>
    </row>
    <row r="108" spans="1:47" ht="16.5" customHeight="1" x14ac:dyDescent="0.3">
      <c r="A108" s="206">
        <v>94</v>
      </c>
      <c r="B108" s="191" t="s">
        <v>111</v>
      </c>
      <c r="C108" s="135" t="s">
        <v>146</v>
      </c>
      <c r="D108" s="126">
        <v>480798079.47000003</v>
      </c>
      <c r="E108" s="126"/>
      <c r="F108" s="126">
        <v>204283044.56999999</v>
      </c>
      <c r="G108" s="126">
        <v>434965155.07999998</v>
      </c>
      <c r="H108" s="126">
        <v>31032670.809999999</v>
      </c>
      <c r="I108" s="126"/>
      <c r="J108" s="126">
        <v>1151078949.9300001</v>
      </c>
      <c r="K108" s="126">
        <v>3568156.69</v>
      </c>
      <c r="L108" s="126">
        <v>1678040.57</v>
      </c>
      <c r="M108" s="64">
        <v>22311799.48</v>
      </c>
      <c r="N108" s="54">
        <v>1176874072.45</v>
      </c>
      <c r="O108" s="54">
        <v>51241404.859999999</v>
      </c>
      <c r="P108" s="186">
        <v>1147255322.9300001</v>
      </c>
      <c r="Q108" s="58">
        <f t="shared" si="50"/>
        <v>3.971017415523706E-2</v>
      </c>
      <c r="R108" s="67">
        <v>1125632667.5799999</v>
      </c>
      <c r="S108" s="58">
        <f t="shared" si="51"/>
        <v>3.8593713233716423E-2</v>
      </c>
      <c r="T108" s="59">
        <f t="shared" si="52"/>
        <v>-1.8847291372575705E-2</v>
      </c>
      <c r="U108" s="141">
        <f t="shared" si="53"/>
        <v>1.4907532611039293E-3</v>
      </c>
      <c r="V108" s="60">
        <f t="shared" si="54"/>
        <v>1.9821563572748991E-2</v>
      </c>
      <c r="W108" s="61">
        <f t="shared" si="55"/>
        <v>2.1933514287774019</v>
      </c>
      <c r="X108" s="61">
        <f t="shared" si="56"/>
        <v>4.3475654782891109E-2</v>
      </c>
      <c r="Y108" s="54">
        <v>2.1006999999999998</v>
      </c>
      <c r="Z108" s="54">
        <v>2.1427</v>
      </c>
      <c r="AA108" s="62">
        <v>2779</v>
      </c>
      <c r="AB108" s="208">
        <v>513202149.37349999</v>
      </c>
      <c r="AC108" s="13"/>
      <c r="AD108" s="4"/>
      <c r="AE108" s="4"/>
      <c r="AF108" s="4"/>
      <c r="AG108" s="5"/>
      <c r="AH108" s="6"/>
      <c r="AI108" s="6"/>
      <c r="AJ108" s="6"/>
      <c r="AK108" s="7"/>
      <c r="AL108" s="5"/>
      <c r="AM108" s="6"/>
      <c r="AN108" s="6"/>
      <c r="AO108" s="6"/>
      <c r="AP108" s="7"/>
      <c r="AQ108" s="5"/>
      <c r="AR108" s="6"/>
      <c r="AS108" s="6"/>
      <c r="AT108" s="6"/>
      <c r="AU108" s="7"/>
    </row>
    <row r="109" spans="1:47" ht="16.5" customHeight="1" x14ac:dyDescent="0.3">
      <c r="A109" s="206">
        <v>95</v>
      </c>
      <c r="B109" s="191" t="s">
        <v>61</v>
      </c>
      <c r="C109" s="135" t="s">
        <v>147</v>
      </c>
      <c r="D109" s="126">
        <v>73843051.879999995</v>
      </c>
      <c r="E109" s="126"/>
      <c r="F109" s="126">
        <v>47321352.399999999</v>
      </c>
      <c r="G109" s="126">
        <v>35386332.840000004</v>
      </c>
      <c r="H109" s="126"/>
      <c r="I109" s="126"/>
      <c r="J109" s="126">
        <v>158250398.49000001</v>
      </c>
      <c r="K109" s="126">
        <v>1300635.4099999999</v>
      </c>
      <c r="L109" s="126">
        <v>330170.21999999997</v>
      </c>
      <c r="M109" s="64">
        <v>970465.19</v>
      </c>
      <c r="N109" s="54">
        <v>158250398.49000001</v>
      </c>
      <c r="O109" s="54">
        <v>8664375.8399999999</v>
      </c>
      <c r="P109" s="186">
        <v>45091948.299999997</v>
      </c>
      <c r="Q109" s="58">
        <f>(P109/$P$125)</f>
        <v>1.5607764759974008E-3</v>
      </c>
      <c r="R109" s="67">
        <v>149586022.65000001</v>
      </c>
      <c r="S109" s="58">
        <f t="shared" si="51"/>
        <v>5.1287424647490617E-3</v>
      </c>
      <c r="T109" s="59">
        <f t="shared" si="52"/>
        <v>2.3173554989195271</v>
      </c>
      <c r="U109" s="141">
        <f t="shared" si="53"/>
        <v>2.207226411604841E-3</v>
      </c>
      <c r="V109" s="60">
        <f t="shared" si="54"/>
        <v>6.4876729309842366E-3</v>
      </c>
      <c r="W109" s="61">
        <f t="shared" si="55"/>
        <v>3.3173554989195271</v>
      </c>
      <c r="X109" s="61">
        <f t="shared" si="56"/>
        <v>2.1521917472791922E-2</v>
      </c>
      <c r="Y109" s="63">
        <v>3.2456999999999998</v>
      </c>
      <c r="Z109" s="54">
        <v>3.3022</v>
      </c>
      <c r="AA109" s="62">
        <v>11820</v>
      </c>
      <c r="AB109" s="208">
        <v>45091948.299999997</v>
      </c>
      <c r="AC109" s="13"/>
      <c r="AD109" s="4"/>
      <c r="AE109" s="4"/>
      <c r="AF109" s="4"/>
      <c r="AG109" s="5"/>
      <c r="AH109" s="6"/>
      <c r="AI109" s="6"/>
      <c r="AJ109" s="6"/>
      <c r="AK109" s="7"/>
      <c r="AL109" s="5"/>
      <c r="AM109" s="6"/>
      <c r="AN109" s="6"/>
      <c r="AO109" s="6"/>
      <c r="AP109" s="7"/>
      <c r="AQ109" s="5"/>
      <c r="AR109" s="6"/>
      <c r="AS109" s="6"/>
      <c r="AT109" s="6"/>
      <c r="AU109" s="7"/>
    </row>
    <row r="110" spans="1:47" ht="16.5" customHeight="1" x14ac:dyDescent="0.3">
      <c r="A110" s="206">
        <v>96</v>
      </c>
      <c r="B110" s="192" t="s">
        <v>58</v>
      </c>
      <c r="C110" s="132" t="s">
        <v>148</v>
      </c>
      <c r="D110" s="126">
        <v>1695887286.9000001</v>
      </c>
      <c r="E110" s="126"/>
      <c r="F110" s="126">
        <v>1159847035.3599999</v>
      </c>
      <c r="G110" s="126">
        <v>1313974624.76</v>
      </c>
      <c r="H110" s="126"/>
      <c r="I110" s="126"/>
      <c r="J110" s="126">
        <v>4150224604.1999998</v>
      </c>
      <c r="K110" s="126">
        <v>55811466.329999998</v>
      </c>
      <c r="L110" s="128">
        <v>10366253.300000001</v>
      </c>
      <c r="M110" s="64">
        <v>95951368.859999999</v>
      </c>
      <c r="N110" s="54">
        <v>4216344259.71</v>
      </c>
      <c r="O110" s="63">
        <v>66119655.5</v>
      </c>
      <c r="P110" s="186">
        <v>4124935919.8600001</v>
      </c>
      <c r="Q110" s="58">
        <f t="shared" si="50"/>
        <v>0.14277721836016094</v>
      </c>
      <c r="R110" s="67">
        <v>4150224604.1999998</v>
      </c>
      <c r="S110" s="58">
        <f t="shared" si="51"/>
        <v>0.14229560214733677</v>
      </c>
      <c r="T110" s="59">
        <f t="shared" si="52"/>
        <v>6.1306853806490091E-3</v>
      </c>
      <c r="U110" s="141">
        <f t="shared" si="53"/>
        <v>2.4977571790956617E-3</v>
      </c>
      <c r="V110" s="60">
        <f t="shared" si="54"/>
        <v>2.3119560508339198E-2</v>
      </c>
      <c r="W110" s="61">
        <f t="shared" si="55"/>
        <v>193.60466230066717</v>
      </c>
      <c r="X110" s="61">
        <f t="shared" si="56"/>
        <v>4.4760547047568515</v>
      </c>
      <c r="Y110" s="54">
        <v>193.6</v>
      </c>
      <c r="Z110" s="54">
        <v>194.91</v>
      </c>
      <c r="AA110" s="62">
        <v>5504</v>
      </c>
      <c r="AB110" s="208">
        <v>21436594.32</v>
      </c>
      <c r="AC110" s="13"/>
      <c r="AD110" s="4"/>
      <c r="AE110" s="4"/>
      <c r="AF110" s="4"/>
      <c r="AG110" s="5"/>
      <c r="AH110" s="6"/>
      <c r="AI110" s="6"/>
      <c r="AJ110" s="6"/>
      <c r="AK110" s="7"/>
      <c r="AL110" s="5"/>
      <c r="AM110" s="6"/>
      <c r="AN110" s="6"/>
      <c r="AO110" s="6"/>
      <c r="AP110" s="7"/>
      <c r="AQ110" s="5"/>
      <c r="AR110" s="6"/>
      <c r="AS110" s="6"/>
      <c r="AT110" s="6"/>
      <c r="AU110" s="7"/>
    </row>
    <row r="111" spans="1:47" ht="16.5" customHeight="1" x14ac:dyDescent="0.3">
      <c r="A111" s="206">
        <v>97</v>
      </c>
      <c r="B111" s="191" t="s">
        <v>92</v>
      </c>
      <c r="C111" s="143" t="s">
        <v>149</v>
      </c>
      <c r="D111" s="126">
        <v>2746352971.5999999</v>
      </c>
      <c r="E111" s="126"/>
      <c r="F111" s="127">
        <v>423908521.26999998</v>
      </c>
      <c r="G111" s="126">
        <v>1093458040.73</v>
      </c>
      <c r="H111" s="126"/>
      <c r="I111" s="126"/>
      <c r="J111" s="126">
        <v>4415497151.6099997</v>
      </c>
      <c r="K111" s="126">
        <v>27352204.559999999</v>
      </c>
      <c r="L111" s="126">
        <v>3103954.25</v>
      </c>
      <c r="M111" s="56">
        <v>41857561.57</v>
      </c>
      <c r="N111" s="54">
        <v>5106278380.0799999</v>
      </c>
      <c r="O111" s="54">
        <v>12244555.859999999</v>
      </c>
      <c r="P111" s="186">
        <v>5043422941.7399998</v>
      </c>
      <c r="Q111" s="58">
        <f t="shared" si="50"/>
        <v>0.17456899031292028</v>
      </c>
      <c r="R111" s="67">
        <v>4961459066.96</v>
      </c>
      <c r="S111" s="58">
        <f t="shared" si="51"/>
        <v>0.17010978267247892</v>
      </c>
      <c r="T111" s="59">
        <f t="shared" si="52"/>
        <v>-1.6251636185745287E-2</v>
      </c>
      <c r="U111" s="141">
        <f t="shared" si="53"/>
        <v>6.2561319323790453E-4</v>
      </c>
      <c r="V111" s="60">
        <f t="shared" si="54"/>
        <v>8.4365427599198337E-3</v>
      </c>
      <c r="W111" s="61">
        <f t="shared" si="55"/>
        <v>171.75340179293823</v>
      </c>
      <c r="X111" s="61">
        <f t="shared" si="56"/>
        <v>1.4490049183878151</v>
      </c>
      <c r="Y111" s="54">
        <v>171.75</v>
      </c>
      <c r="Z111" s="54">
        <v>171.75</v>
      </c>
      <c r="AA111" s="62">
        <v>25</v>
      </c>
      <c r="AB111" s="211">
        <v>28887108</v>
      </c>
      <c r="AC111" s="13"/>
      <c r="AD111" s="4"/>
      <c r="AE111" s="4"/>
      <c r="AF111" s="4"/>
      <c r="AG111" s="5"/>
      <c r="AH111" s="6"/>
      <c r="AI111" s="6"/>
      <c r="AJ111" s="6"/>
      <c r="AK111" s="7"/>
      <c r="AL111" s="5"/>
      <c r="AM111" s="6"/>
      <c r="AN111" s="6"/>
      <c r="AO111" s="6"/>
      <c r="AP111" s="7"/>
      <c r="AQ111" s="5"/>
      <c r="AR111" s="6"/>
      <c r="AS111" s="6"/>
      <c r="AT111" s="6"/>
      <c r="AU111" s="7"/>
    </row>
    <row r="112" spans="1:47" ht="16.5" customHeight="1" x14ac:dyDescent="0.3">
      <c r="A112" s="206">
        <v>98</v>
      </c>
      <c r="B112" s="191" t="s">
        <v>82</v>
      </c>
      <c r="C112" s="135" t="s">
        <v>173</v>
      </c>
      <c r="D112" s="127">
        <v>862449504.88</v>
      </c>
      <c r="E112" s="127"/>
      <c r="F112" s="127"/>
      <c r="G112" s="127">
        <v>605562044.52999997</v>
      </c>
      <c r="H112" s="127"/>
      <c r="I112" s="126"/>
      <c r="J112" s="127">
        <v>1925681943.54</v>
      </c>
      <c r="K112" s="127">
        <v>43876202.299999997</v>
      </c>
      <c r="L112" s="126">
        <v>5916358.9400000004</v>
      </c>
      <c r="M112" s="64">
        <v>37959843.359999999</v>
      </c>
      <c r="N112" s="54">
        <v>1941401.6040000001</v>
      </c>
      <c r="O112" s="55">
        <v>89140104</v>
      </c>
      <c r="P112" s="186">
        <v>1803464974</v>
      </c>
      <c r="Q112" s="58">
        <f t="shared" si="50"/>
        <v>6.2423687882753653E-2</v>
      </c>
      <c r="R112" s="67">
        <v>1852261500</v>
      </c>
      <c r="S112" s="58">
        <f t="shared" si="51"/>
        <v>6.3507084703343403E-2</v>
      </c>
      <c r="T112" s="59">
        <f t="shared" si="52"/>
        <v>2.705709659099817E-2</v>
      </c>
      <c r="U112" s="141">
        <f t="shared" si="53"/>
        <v>3.1941272547099859E-3</v>
      </c>
      <c r="V112" s="60">
        <f t="shared" si="54"/>
        <v>2.0493781984887122E-2</v>
      </c>
      <c r="W112" s="61">
        <f t="shared" si="55"/>
        <v>1.1479423257323127</v>
      </c>
      <c r="X112" s="61">
        <f t="shared" si="56"/>
        <v>2.3525679754782293E-2</v>
      </c>
      <c r="Y112" s="68">
        <v>1.1399999999999999</v>
      </c>
      <c r="Z112" s="54">
        <v>1.1599999999999999</v>
      </c>
      <c r="AA112" s="95">
        <v>10351</v>
      </c>
      <c r="AB112" s="225">
        <v>1613549268.53</v>
      </c>
      <c r="AC112" s="13"/>
      <c r="AD112" s="4"/>
      <c r="AE112" s="4"/>
      <c r="AF112" s="4"/>
      <c r="AG112" s="5"/>
      <c r="AH112" s="6"/>
      <c r="AI112" s="6"/>
      <c r="AJ112" s="6"/>
      <c r="AK112" s="7"/>
      <c r="AL112" s="5"/>
      <c r="AM112" s="6"/>
      <c r="AN112" s="6"/>
      <c r="AO112" s="6"/>
      <c r="AP112" s="7"/>
      <c r="AQ112" s="5"/>
      <c r="AR112" s="6"/>
      <c r="AS112" s="6"/>
      <c r="AT112" s="6"/>
      <c r="AU112" s="7"/>
    </row>
    <row r="113" spans="1:257" ht="16.5" customHeight="1" x14ac:dyDescent="0.3">
      <c r="A113" s="206">
        <v>99</v>
      </c>
      <c r="B113" s="191" t="s">
        <v>86</v>
      </c>
      <c r="C113" s="135" t="s">
        <v>150</v>
      </c>
      <c r="D113" s="126">
        <v>917039804.38</v>
      </c>
      <c r="E113" s="126"/>
      <c r="F113" s="126">
        <v>526016762.10000002</v>
      </c>
      <c r="G113" s="126">
        <v>638950038.51999998</v>
      </c>
      <c r="H113" s="126"/>
      <c r="I113" s="126"/>
      <c r="J113" s="126">
        <v>2082006605</v>
      </c>
      <c r="K113" s="126">
        <v>19005973.359999999</v>
      </c>
      <c r="L113" s="126">
        <v>5204819.87</v>
      </c>
      <c r="M113" s="64">
        <f>K113-L113</f>
        <v>13801153.489999998</v>
      </c>
      <c r="N113" s="54">
        <v>2082014487.23</v>
      </c>
      <c r="O113" s="54">
        <v>20194052.710000001</v>
      </c>
      <c r="P113" s="186">
        <v>2134204761.98</v>
      </c>
      <c r="Q113" s="58">
        <f t="shared" si="50"/>
        <v>7.3871649219912197E-2</v>
      </c>
      <c r="R113" s="67">
        <f>N113-O113</f>
        <v>2061820434.52</v>
      </c>
      <c r="S113" s="58">
        <f t="shared" si="51"/>
        <v>7.0692072894753752E-2</v>
      </c>
      <c r="T113" s="59">
        <f t="shared" si="52"/>
        <v>-3.3916299293065846E-2</v>
      </c>
      <c r="U113" s="141">
        <f t="shared" si="53"/>
        <v>2.5243807767438794E-3</v>
      </c>
      <c r="V113" s="60">
        <f t="shared" si="54"/>
        <v>6.6936738325677533E-3</v>
      </c>
      <c r="W113" s="61">
        <f t="shared" si="55"/>
        <v>3768.7631969974491</v>
      </c>
      <c r="X113" s="61">
        <f t="shared" si="56"/>
        <v>25.226871592886212</v>
      </c>
      <c r="Y113" s="54">
        <v>3826.39</v>
      </c>
      <c r="Z113" s="54">
        <v>3880.03</v>
      </c>
      <c r="AA113" s="62">
        <v>799</v>
      </c>
      <c r="AB113" s="208">
        <v>547081.44999999995</v>
      </c>
      <c r="AC113" s="3"/>
      <c r="AD113" s="9"/>
      <c r="AE113" s="4"/>
      <c r="AF113" s="4"/>
      <c r="AG113" s="5"/>
      <c r="AH113" s="6"/>
      <c r="AI113" s="6"/>
      <c r="AJ113" s="6"/>
      <c r="AK113" s="7"/>
      <c r="AL113" s="5"/>
      <c r="AM113" s="6"/>
      <c r="AN113" s="6"/>
      <c r="AO113" s="6"/>
      <c r="AP113" s="7"/>
      <c r="AQ113" s="5"/>
      <c r="AR113" s="6"/>
      <c r="AS113" s="6"/>
      <c r="AT113" s="6"/>
      <c r="AU113" s="7"/>
    </row>
    <row r="114" spans="1:257" ht="18" customHeight="1" x14ac:dyDescent="0.35">
      <c r="A114" s="206">
        <v>100</v>
      </c>
      <c r="B114" s="191" t="s">
        <v>36</v>
      </c>
      <c r="C114" s="135" t="s">
        <v>151</v>
      </c>
      <c r="D114" s="126">
        <v>254873424</v>
      </c>
      <c r="E114" s="126"/>
      <c r="F114" s="126">
        <v>105632712</v>
      </c>
      <c r="G114" s="126"/>
      <c r="H114" s="126"/>
      <c r="I114" s="126"/>
      <c r="J114" s="126">
        <v>360506136</v>
      </c>
      <c r="K114" s="126">
        <v>4242321</v>
      </c>
      <c r="L114" s="128">
        <v>986473</v>
      </c>
      <c r="M114" s="64">
        <v>7142939</v>
      </c>
      <c r="N114" s="54">
        <v>579163122</v>
      </c>
      <c r="O114" s="54">
        <v>7844452</v>
      </c>
      <c r="P114" s="186">
        <v>564003312</v>
      </c>
      <c r="Q114" s="58">
        <f t="shared" si="50"/>
        <v>1.9521957576497589E-2</v>
      </c>
      <c r="R114" s="67">
        <v>571318670</v>
      </c>
      <c r="S114" s="58">
        <f t="shared" si="51"/>
        <v>1.9588369767601116E-2</v>
      </c>
      <c r="T114" s="59">
        <f t="shared" si="52"/>
        <v>1.2970416741098854E-2</v>
      </c>
      <c r="U114" s="141">
        <f t="shared" si="53"/>
        <v>1.7266598341692562E-3</v>
      </c>
      <c r="V114" s="60">
        <f t="shared" si="54"/>
        <v>1.25025478337685E-2</v>
      </c>
      <c r="W114" s="61">
        <f t="shared" si="55"/>
        <v>1.079888800832429</v>
      </c>
      <c r="X114" s="61">
        <f t="shared" si="56"/>
        <v>1.3501361387558346E-2</v>
      </c>
      <c r="Y114" s="54">
        <v>1.08</v>
      </c>
      <c r="Z114" s="63">
        <v>1.1000000000000001</v>
      </c>
      <c r="AA114" s="62">
        <v>241</v>
      </c>
      <c r="AB114" s="208">
        <v>529053241</v>
      </c>
      <c r="AC114" s="46"/>
      <c r="AD114" s="10"/>
      <c r="AE114" s="13"/>
      <c r="AF114" s="4"/>
      <c r="AG114" s="5"/>
      <c r="AH114" s="6"/>
      <c r="AI114" s="6"/>
      <c r="AJ114" s="6"/>
      <c r="AK114" s="7"/>
      <c r="AL114" s="5"/>
      <c r="AM114" s="6"/>
      <c r="AN114" s="6"/>
      <c r="AO114" s="6"/>
      <c r="AP114" s="7"/>
      <c r="AQ114" s="5"/>
      <c r="AR114" s="6"/>
      <c r="AS114" s="6"/>
      <c r="AT114" s="6"/>
      <c r="AU114" s="7"/>
    </row>
    <row r="115" spans="1:257" ht="16.5" customHeight="1" x14ac:dyDescent="0.3">
      <c r="A115" s="206">
        <v>101</v>
      </c>
      <c r="B115" s="192" t="s">
        <v>30</v>
      </c>
      <c r="C115" s="135" t="s">
        <v>152</v>
      </c>
      <c r="D115" s="127">
        <v>215657635</v>
      </c>
      <c r="E115" s="127"/>
      <c r="F115" s="127">
        <v>997911082.37</v>
      </c>
      <c r="G115" s="127"/>
      <c r="H115" s="126"/>
      <c r="I115" s="126"/>
      <c r="J115" s="127">
        <v>1213568735.3699999</v>
      </c>
      <c r="K115" s="127">
        <v>21393356.960000001</v>
      </c>
      <c r="L115" s="127">
        <v>1950804.22</v>
      </c>
      <c r="M115" s="56">
        <f>K115-L115</f>
        <v>19442552.740000002</v>
      </c>
      <c r="N115" s="55">
        <v>1220145765.96</v>
      </c>
      <c r="O115" s="55">
        <v>32355495.809999999</v>
      </c>
      <c r="P115" s="186">
        <v>1187264184.27</v>
      </c>
      <c r="Q115" s="58">
        <f t="shared" si="50"/>
        <v>4.1095008742455676E-2</v>
      </c>
      <c r="R115" s="67">
        <v>1187790270.1500001</v>
      </c>
      <c r="S115" s="58">
        <f t="shared" si="51"/>
        <v>4.0724863792840911E-2</v>
      </c>
      <c r="T115" s="59">
        <f t="shared" si="52"/>
        <v>4.4310768148336175E-4</v>
      </c>
      <c r="U115" s="141">
        <f t="shared" si="53"/>
        <v>1.642381040681233E-3</v>
      </c>
      <c r="V115" s="60">
        <f t="shared" si="54"/>
        <v>1.6368674865087671E-2</v>
      </c>
      <c r="W115" s="61">
        <f t="shared" si="55"/>
        <v>1592.3188821636841</v>
      </c>
      <c r="X115" s="61">
        <f t="shared" si="56"/>
        <v>26.064150063677193</v>
      </c>
      <c r="Y115" s="175" t="s">
        <v>209</v>
      </c>
      <c r="Z115" s="175" t="s">
        <v>209</v>
      </c>
      <c r="AA115" s="62">
        <v>830</v>
      </c>
      <c r="AB115" s="228">
        <v>745950</v>
      </c>
      <c r="AC115" s="34"/>
      <c r="AD115" s="26"/>
      <c r="AE115" s="4"/>
      <c r="AF115" s="4"/>
      <c r="AG115" s="5"/>
      <c r="AH115" s="6"/>
      <c r="AI115" s="6"/>
      <c r="AJ115" s="6"/>
      <c r="AK115" s="7"/>
      <c r="AL115" s="5"/>
      <c r="AM115" s="6"/>
      <c r="AN115" s="6"/>
      <c r="AO115" s="6"/>
      <c r="AP115" s="7"/>
      <c r="AQ115" s="5"/>
      <c r="AR115" s="6"/>
      <c r="AS115" s="6"/>
      <c r="AT115" s="6"/>
      <c r="AU115" s="7"/>
    </row>
    <row r="116" spans="1:257" ht="16.5" customHeight="1" x14ac:dyDescent="0.3">
      <c r="A116" s="206">
        <v>102</v>
      </c>
      <c r="B116" s="192" t="s">
        <v>76</v>
      </c>
      <c r="C116" s="135" t="s">
        <v>153</v>
      </c>
      <c r="D116" s="127">
        <v>138358119.34999999</v>
      </c>
      <c r="E116" s="127">
        <v>36606040.43</v>
      </c>
      <c r="F116" s="127">
        <v>56585060.289999999</v>
      </c>
      <c r="G116" s="127"/>
      <c r="H116" s="126"/>
      <c r="I116" s="126"/>
      <c r="J116" s="127">
        <v>231549220.06999999</v>
      </c>
      <c r="K116" s="127">
        <v>2093487.12</v>
      </c>
      <c r="L116" s="127">
        <v>534450.46</v>
      </c>
      <c r="M116" s="56">
        <v>2528629.84</v>
      </c>
      <c r="N116" s="55">
        <v>248320349.69</v>
      </c>
      <c r="O116" s="55">
        <v>624843.09</v>
      </c>
      <c r="P116" s="190">
        <v>275166876.75999999</v>
      </c>
      <c r="Q116" s="58">
        <f t="shared" si="50"/>
        <v>9.52440523002826E-3</v>
      </c>
      <c r="R116" s="119">
        <v>247695506.59</v>
      </c>
      <c r="S116" s="58">
        <f t="shared" si="51"/>
        <v>8.492547903008664E-3</v>
      </c>
      <c r="T116" s="59">
        <f t="shared" si="52"/>
        <v>-9.9835309007633433E-2</v>
      </c>
      <c r="U116" s="141">
        <f t="shared" si="53"/>
        <v>2.1576913822851595E-3</v>
      </c>
      <c r="V116" s="60">
        <f t="shared" si="54"/>
        <v>1.0208622170064373E-2</v>
      </c>
      <c r="W116" s="61">
        <f t="shared" si="55"/>
        <v>1.2310018650624883</v>
      </c>
      <c r="X116" s="61">
        <f t="shared" si="56"/>
        <v>1.2566832931067508E-2</v>
      </c>
      <c r="Y116" s="54">
        <v>1.2223999999999999</v>
      </c>
      <c r="Z116" s="54">
        <v>1.2373000000000001</v>
      </c>
      <c r="AA116" s="62">
        <v>87</v>
      </c>
      <c r="AB116" s="228">
        <v>201214566.46000001</v>
      </c>
      <c r="AC116" s="13"/>
      <c r="AD116" s="27"/>
      <c r="AE116" s="4"/>
      <c r="AF116" s="4"/>
      <c r="AG116" s="5"/>
      <c r="AH116" s="6"/>
      <c r="AI116" s="6"/>
      <c r="AJ116" s="6"/>
      <c r="AK116" s="7"/>
      <c r="AL116" s="5"/>
      <c r="AM116" s="6"/>
      <c r="AN116" s="6"/>
      <c r="AO116" s="6"/>
      <c r="AP116" s="7"/>
      <c r="AQ116" s="5"/>
      <c r="AR116" s="6"/>
      <c r="AS116" s="6"/>
      <c r="AT116" s="6"/>
      <c r="AU116" s="7"/>
    </row>
    <row r="117" spans="1:257" ht="16.5" customHeight="1" x14ac:dyDescent="0.3">
      <c r="A117" s="206">
        <v>103</v>
      </c>
      <c r="B117" s="192" t="s">
        <v>69</v>
      </c>
      <c r="C117" s="135" t="s">
        <v>154</v>
      </c>
      <c r="D117" s="127">
        <v>130346689.12</v>
      </c>
      <c r="E117" s="127"/>
      <c r="F117" s="129"/>
      <c r="G117" s="129">
        <v>124214139.53</v>
      </c>
      <c r="H117" s="126"/>
      <c r="I117" s="126"/>
      <c r="J117" s="127">
        <v>254560828.65000001</v>
      </c>
      <c r="K117" s="127">
        <v>1034068.35</v>
      </c>
      <c r="L117" s="127">
        <v>589750.41</v>
      </c>
      <c r="M117" s="56">
        <v>444317.94</v>
      </c>
      <c r="N117" s="55">
        <v>334777218.52999997</v>
      </c>
      <c r="O117" s="55">
        <v>3361576.42</v>
      </c>
      <c r="P117" s="186">
        <v>276566996.07999998</v>
      </c>
      <c r="Q117" s="58">
        <f t="shared" si="50"/>
        <v>9.572867835451887E-3</v>
      </c>
      <c r="R117" s="67">
        <v>331415642.11000001</v>
      </c>
      <c r="S117" s="58">
        <f t="shared" si="51"/>
        <v>1.1362996669472811E-2</v>
      </c>
      <c r="T117" s="59">
        <f t="shared" si="52"/>
        <v>0.19831956382147084</v>
      </c>
      <c r="U117" s="141">
        <f t="shared" si="53"/>
        <v>1.7794887599308189E-3</v>
      </c>
      <c r="V117" s="60">
        <f t="shared" si="54"/>
        <v>1.3406667747218964E-3</v>
      </c>
      <c r="W117" s="61">
        <f t="shared" si="55"/>
        <v>131.0142101054073</v>
      </c>
      <c r="X117" s="61">
        <f t="shared" si="56"/>
        <v>0.1756463985047533</v>
      </c>
      <c r="Y117" s="54">
        <v>121.58</v>
      </c>
      <c r="Z117" s="54">
        <v>122.38</v>
      </c>
      <c r="AA117" s="62">
        <v>589</v>
      </c>
      <c r="AB117" s="228">
        <v>2529616</v>
      </c>
      <c r="AC117" s="13"/>
      <c r="AD117" s="4"/>
      <c r="AE117" s="4"/>
      <c r="AF117" s="4"/>
      <c r="AG117" s="5"/>
      <c r="AH117" s="6"/>
      <c r="AI117" s="6"/>
      <c r="AJ117" s="6"/>
      <c r="AK117" s="7"/>
      <c r="AL117" s="5"/>
      <c r="AM117" s="6"/>
      <c r="AN117" s="6"/>
      <c r="AO117" s="6"/>
      <c r="AP117" s="7"/>
      <c r="AQ117" s="5"/>
      <c r="AR117" s="6"/>
      <c r="AS117" s="6"/>
      <c r="AT117" s="6"/>
      <c r="AU117" s="7"/>
    </row>
    <row r="118" spans="1:257" ht="16.5" customHeight="1" x14ac:dyDescent="0.3">
      <c r="A118" s="206">
        <v>104</v>
      </c>
      <c r="B118" s="192" t="s">
        <v>67</v>
      </c>
      <c r="C118" s="135" t="s">
        <v>155</v>
      </c>
      <c r="D118" s="127">
        <v>46329264.090000004</v>
      </c>
      <c r="E118" s="127"/>
      <c r="F118" s="127"/>
      <c r="G118" s="127"/>
      <c r="H118" s="126"/>
      <c r="I118" s="126"/>
      <c r="J118" s="127">
        <v>46329264.090000004</v>
      </c>
      <c r="K118" s="127">
        <v>1622064.15</v>
      </c>
      <c r="L118" s="127">
        <v>305567.48</v>
      </c>
      <c r="M118" s="56">
        <v>1316496.67</v>
      </c>
      <c r="N118" s="55">
        <v>215579613.56999999</v>
      </c>
      <c r="O118" s="55">
        <v>305567.48</v>
      </c>
      <c r="P118" s="186">
        <v>210995183.38</v>
      </c>
      <c r="Q118" s="58">
        <f t="shared" si="50"/>
        <v>7.3032177846318914E-3</v>
      </c>
      <c r="R118" s="67">
        <v>215274046.09</v>
      </c>
      <c r="S118" s="58">
        <f t="shared" si="51"/>
        <v>7.3809378856436207E-3</v>
      </c>
      <c r="T118" s="59">
        <f t="shared" si="52"/>
        <v>2.027943312001499E-2</v>
      </c>
      <c r="U118" s="141">
        <f t="shared" si="53"/>
        <v>1.4194348345747674E-3</v>
      </c>
      <c r="V118" s="60">
        <f t="shared" si="54"/>
        <v>6.1154453772360919E-3</v>
      </c>
      <c r="W118" s="61">
        <f t="shared" si="55"/>
        <v>138.31546158150962</v>
      </c>
      <c r="X118" s="61">
        <f t="shared" si="56"/>
        <v>0.84586065012891931</v>
      </c>
      <c r="Y118" s="54">
        <v>138.32</v>
      </c>
      <c r="Z118" s="54">
        <v>138.51</v>
      </c>
      <c r="AA118" s="62">
        <v>39</v>
      </c>
      <c r="AB118" s="228">
        <v>1556399</v>
      </c>
      <c r="AC118" s="13"/>
      <c r="AD118" s="4"/>
      <c r="AE118" s="4"/>
      <c r="AF118" s="4"/>
      <c r="AG118" s="5"/>
      <c r="AH118" s="6"/>
      <c r="AI118" s="6"/>
      <c r="AJ118" s="6"/>
      <c r="AK118" s="7"/>
      <c r="AL118" s="5"/>
      <c r="AM118" s="6"/>
      <c r="AN118" s="6"/>
      <c r="AO118" s="6"/>
      <c r="AP118" s="7"/>
      <c r="AQ118" s="5"/>
      <c r="AR118" s="6"/>
      <c r="AS118" s="6"/>
      <c r="AT118" s="6"/>
      <c r="AU118" s="7"/>
    </row>
    <row r="119" spans="1:257" ht="16.5" customHeight="1" x14ac:dyDescent="0.3">
      <c r="A119" s="206">
        <v>105</v>
      </c>
      <c r="B119" s="192" t="s">
        <v>47</v>
      </c>
      <c r="C119" s="135" t="s">
        <v>156</v>
      </c>
      <c r="D119" s="127">
        <v>1095337137.5999999</v>
      </c>
      <c r="E119" s="126"/>
      <c r="F119" s="127">
        <v>407002061.75</v>
      </c>
      <c r="G119" s="127">
        <v>544721282.53999996</v>
      </c>
      <c r="H119" s="126">
        <v>123999999.97</v>
      </c>
      <c r="I119" s="126"/>
      <c r="J119" s="126">
        <v>11362459.130000001</v>
      </c>
      <c r="K119" s="126">
        <v>11362459.130000001</v>
      </c>
      <c r="L119" s="126">
        <v>3914028.03</v>
      </c>
      <c r="M119" s="64">
        <v>56512706.689999998</v>
      </c>
      <c r="N119" s="54">
        <v>2177833746.3000002</v>
      </c>
      <c r="O119" s="54">
        <v>83149478.150000006</v>
      </c>
      <c r="P119" s="186">
        <v>2047370562.9100001</v>
      </c>
      <c r="Q119" s="58">
        <f t="shared" si="50"/>
        <v>7.0866040007401612E-2</v>
      </c>
      <c r="R119" s="67">
        <v>2094684268.1500001</v>
      </c>
      <c r="S119" s="58">
        <f t="shared" si="51"/>
        <v>7.1818850223989927E-2</v>
      </c>
      <c r="T119" s="59">
        <f t="shared" si="52"/>
        <v>2.3109497663555037E-2</v>
      </c>
      <c r="U119" s="141">
        <f t="shared" si="53"/>
        <v>1.8685527406270264E-3</v>
      </c>
      <c r="V119" s="60" t="e">
        <f>#REF!/R119</f>
        <v>#REF!</v>
      </c>
      <c r="W119" s="61">
        <f t="shared" si="55"/>
        <v>2.9981536466860188</v>
      </c>
      <c r="X119" s="61" t="e">
        <f>#REF!/AB119</f>
        <v>#REF!</v>
      </c>
      <c r="Y119" s="54">
        <v>2.86</v>
      </c>
      <c r="Z119" s="54">
        <v>2.86</v>
      </c>
      <c r="AA119" s="62">
        <v>2028</v>
      </c>
      <c r="AB119" s="208">
        <v>698658079.26999998</v>
      </c>
      <c r="AC119" s="13"/>
      <c r="AD119" s="4"/>
      <c r="AE119" s="4"/>
      <c r="AF119" s="4"/>
      <c r="AG119" s="5"/>
      <c r="AH119" s="6"/>
      <c r="AI119" s="6"/>
      <c r="AJ119" s="6"/>
      <c r="AK119" s="7"/>
      <c r="AL119" s="5"/>
      <c r="AM119" s="6"/>
      <c r="AN119" s="6"/>
      <c r="AO119" s="6"/>
      <c r="AP119" s="7"/>
      <c r="AQ119" s="5"/>
      <c r="AR119" s="6"/>
      <c r="AS119" s="6"/>
      <c r="AT119" s="6"/>
      <c r="AU119" s="7"/>
    </row>
    <row r="120" spans="1:257" ht="16.5" customHeight="1" x14ac:dyDescent="0.3">
      <c r="A120" s="206">
        <v>106</v>
      </c>
      <c r="B120" s="192" t="s">
        <v>49</v>
      </c>
      <c r="C120" s="132" t="s">
        <v>157</v>
      </c>
      <c r="D120" s="126">
        <v>74691776.299999997</v>
      </c>
      <c r="E120" s="126"/>
      <c r="F120" s="126">
        <v>28579728.760000002</v>
      </c>
      <c r="G120" s="126">
        <v>49556563.740000002</v>
      </c>
      <c r="H120" s="126">
        <v>814800</v>
      </c>
      <c r="I120" s="126"/>
      <c r="J120" s="126">
        <v>153642868.80000001</v>
      </c>
      <c r="K120" s="126">
        <v>806422.82</v>
      </c>
      <c r="L120" s="126">
        <v>177816.1</v>
      </c>
      <c r="M120" s="64">
        <v>628606.71999999997</v>
      </c>
      <c r="N120" s="175" t="s">
        <v>204</v>
      </c>
      <c r="O120" s="54">
        <v>177762.35</v>
      </c>
      <c r="P120" s="186">
        <v>166843439.24000001</v>
      </c>
      <c r="Q120" s="58">
        <f t="shared" si="50"/>
        <v>5.7749847801607124E-3</v>
      </c>
      <c r="R120" s="67">
        <v>153425974.52000001</v>
      </c>
      <c r="S120" s="58">
        <f t="shared" si="51"/>
        <v>5.2603999810688969E-3</v>
      </c>
      <c r="T120" s="59">
        <f t="shared" si="52"/>
        <v>-8.0419492556128139E-2</v>
      </c>
      <c r="U120" s="141">
        <f t="shared" si="53"/>
        <v>1.1589699889885373E-3</v>
      </c>
      <c r="V120" s="60">
        <f>M119/R120</f>
        <v>0.3683385871708002</v>
      </c>
      <c r="W120" s="61">
        <f t="shared" si="55"/>
        <v>1.5287016154315334</v>
      </c>
      <c r="X120" s="61">
        <f>M119/AB120</f>
        <v>0.563079793233771</v>
      </c>
      <c r="Y120" s="54">
        <v>1.5190999999999999</v>
      </c>
      <c r="Z120" s="54">
        <v>1.5446</v>
      </c>
      <c r="AA120" s="62">
        <v>99</v>
      </c>
      <c r="AB120" s="211">
        <v>100363585</v>
      </c>
      <c r="AC120" s="13"/>
      <c r="AD120" s="4"/>
      <c r="AE120" s="4"/>
      <c r="AF120" s="4"/>
      <c r="AG120" s="5"/>
      <c r="AH120" s="6"/>
      <c r="AI120" s="6"/>
      <c r="AJ120" s="6"/>
      <c r="AK120" s="7"/>
      <c r="AL120" s="5"/>
      <c r="AM120" s="6"/>
      <c r="AN120" s="6"/>
      <c r="AO120" s="6"/>
      <c r="AP120" s="7"/>
      <c r="AQ120" s="5"/>
      <c r="AR120" s="6"/>
      <c r="AS120" s="6"/>
      <c r="AT120" s="6"/>
      <c r="AU120" s="7"/>
    </row>
    <row r="121" spans="1:257" ht="16.5" customHeight="1" x14ac:dyDescent="0.3">
      <c r="A121" s="206">
        <v>107</v>
      </c>
      <c r="B121" s="195" t="s">
        <v>126</v>
      </c>
      <c r="C121" s="144" t="s">
        <v>158</v>
      </c>
      <c r="D121" s="139">
        <v>63486959.539999999</v>
      </c>
      <c r="E121" s="140"/>
      <c r="F121" s="139">
        <v>67728387.129999995</v>
      </c>
      <c r="G121" s="139">
        <v>44891313.200000003</v>
      </c>
      <c r="H121" s="140"/>
      <c r="I121" s="139"/>
      <c r="J121" s="139">
        <v>176106659.87</v>
      </c>
      <c r="K121" s="139">
        <v>1504926.35</v>
      </c>
      <c r="L121" s="139">
        <v>3694364.69</v>
      </c>
      <c r="M121" s="64">
        <v>2189438.34</v>
      </c>
      <c r="N121" s="63">
        <v>176903812.88</v>
      </c>
      <c r="O121" s="63">
        <v>4288586.63</v>
      </c>
      <c r="P121" s="185">
        <v>117574473.14</v>
      </c>
      <c r="Q121" s="58">
        <f t="shared" si="50"/>
        <v>4.0696283654414701E-3</v>
      </c>
      <c r="R121" s="57">
        <v>172615225.65000001</v>
      </c>
      <c r="S121" s="58">
        <f t="shared" si="51"/>
        <v>5.9183272753017243E-3</v>
      </c>
      <c r="T121" s="59">
        <f t="shared" si="52"/>
        <v>0.46813522561535165</v>
      </c>
      <c r="U121" s="141">
        <f t="shared" si="53"/>
        <v>2.1402310694717097E-2</v>
      </c>
      <c r="V121" s="60">
        <f t="shared" si="54"/>
        <v>1.2683923632781809E-2</v>
      </c>
      <c r="W121" s="61">
        <f t="shared" si="55"/>
        <v>131.45979712729323</v>
      </c>
      <c r="X121" s="61">
        <f t="shared" si="56"/>
        <v>1.6674260275435768</v>
      </c>
      <c r="Y121" s="63">
        <v>131.4598</v>
      </c>
      <c r="Z121" s="63">
        <v>134.7259</v>
      </c>
      <c r="AA121" s="70">
        <v>127</v>
      </c>
      <c r="AB121" s="210">
        <v>1313064.75</v>
      </c>
      <c r="AC121" s="13"/>
      <c r="AD121" s="4"/>
      <c r="AE121" s="4"/>
      <c r="AF121" s="4"/>
      <c r="AG121" s="5"/>
      <c r="AH121" s="6"/>
      <c r="AI121" s="6"/>
      <c r="AJ121" s="6"/>
      <c r="AK121" s="7"/>
      <c r="AL121" s="5"/>
      <c r="AM121" s="6"/>
      <c r="AN121" s="6"/>
      <c r="AO121" s="6"/>
      <c r="AP121" s="7"/>
      <c r="AQ121" s="5"/>
      <c r="AR121" s="6"/>
      <c r="AS121" s="6"/>
      <c r="AT121" s="6"/>
      <c r="AU121" s="7"/>
    </row>
    <row r="122" spans="1:257" ht="16.5" customHeight="1" x14ac:dyDescent="0.3">
      <c r="A122" s="206">
        <v>108</v>
      </c>
      <c r="B122" s="192" t="s">
        <v>94</v>
      </c>
      <c r="C122" s="135" t="s">
        <v>159</v>
      </c>
      <c r="D122" s="126">
        <v>8696651.3300000001</v>
      </c>
      <c r="E122" s="126"/>
      <c r="F122" s="126"/>
      <c r="G122" s="126">
        <v>3724534</v>
      </c>
      <c r="H122" s="126"/>
      <c r="I122" s="126"/>
      <c r="J122" s="128">
        <v>3724534</v>
      </c>
      <c r="K122" s="128">
        <v>92293.71</v>
      </c>
      <c r="L122" s="128">
        <v>7758.72</v>
      </c>
      <c r="M122" s="98">
        <v>312888.19</v>
      </c>
      <c r="N122" s="54">
        <v>17594528.079999998</v>
      </c>
      <c r="O122" s="54">
        <v>85538.63</v>
      </c>
      <c r="P122" s="186">
        <v>17198808.75</v>
      </c>
      <c r="Q122" s="58">
        <f t="shared" ref="Q122" si="57">(P122/$P$125)</f>
        <v>5.9530575023253687E-4</v>
      </c>
      <c r="R122" s="67">
        <v>17310806.899999999</v>
      </c>
      <c r="S122" s="58">
        <f t="shared" ref="S122:S123" si="58">(R122/$R$125)</f>
        <v>5.9352250213132499E-4</v>
      </c>
      <c r="T122" s="59">
        <f t="shared" ref="T122" si="59">((R122-P122)/P122)</f>
        <v>6.5119713596442259E-3</v>
      </c>
      <c r="U122" s="141">
        <f t="shared" ref="U122" si="60">(L122/R122)</f>
        <v>4.4820094434766072E-4</v>
      </c>
      <c r="V122" s="60">
        <f t="shared" ref="V122" si="61">M122/R122</f>
        <v>1.8074731686828535E-2</v>
      </c>
      <c r="W122" s="61">
        <f t="shared" ref="W122" si="62">R122/AB122</f>
        <v>1.1107480861637415</v>
      </c>
      <c r="X122" s="61">
        <f t="shared" ref="X122" si="63">M122/AB122</f>
        <v>2.0076473629067931E-2</v>
      </c>
      <c r="Y122" s="65">
        <v>1.1003000000000001</v>
      </c>
      <c r="Z122" s="65">
        <v>1.1003000000000001</v>
      </c>
      <c r="AA122" s="62">
        <v>6</v>
      </c>
      <c r="AB122" s="229">
        <v>15584818.119999999</v>
      </c>
      <c r="AC122" s="13"/>
      <c r="AD122" s="4"/>
      <c r="AE122" s="4"/>
      <c r="AF122" s="4"/>
      <c r="AG122" s="5"/>
      <c r="AH122" s="6"/>
      <c r="AI122" s="6"/>
      <c r="AJ122" s="6"/>
      <c r="AK122" s="7"/>
      <c r="AL122" s="5"/>
      <c r="AM122" s="6"/>
      <c r="AN122" s="6"/>
      <c r="AO122" s="6"/>
      <c r="AP122" s="7"/>
      <c r="AQ122" s="5"/>
      <c r="AR122" s="6"/>
      <c r="AS122" s="6"/>
      <c r="AT122" s="6"/>
      <c r="AU122" s="7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  <c r="GX122" s="40"/>
      <c r="GY122" s="40"/>
      <c r="GZ122" s="40"/>
      <c r="HA122" s="40"/>
      <c r="HB122" s="40"/>
      <c r="HC122" s="40"/>
      <c r="HD122" s="40"/>
      <c r="HE122" s="40"/>
      <c r="HF122" s="40"/>
      <c r="HG122" s="40"/>
      <c r="HH122" s="40"/>
      <c r="HI122" s="40"/>
      <c r="HJ122" s="40"/>
      <c r="HK122" s="40"/>
      <c r="HL122" s="40"/>
      <c r="HM122" s="40"/>
      <c r="HN122" s="40"/>
      <c r="HO122" s="40"/>
      <c r="HP122" s="40"/>
      <c r="HQ122" s="40"/>
      <c r="HR122" s="40"/>
      <c r="HS122" s="40"/>
      <c r="HT122" s="40"/>
      <c r="HU122" s="40"/>
      <c r="HV122" s="40"/>
      <c r="HW122" s="40"/>
      <c r="HX122" s="40"/>
      <c r="HY122" s="40"/>
      <c r="HZ122" s="40"/>
      <c r="IA122" s="40"/>
      <c r="IB122" s="40"/>
      <c r="IC122" s="40"/>
      <c r="ID122" s="40"/>
      <c r="IE122" s="40"/>
      <c r="IF122" s="40"/>
      <c r="IG122" s="40"/>
      <c r="IH122" s="40"/>
      <c r="II122" s="40"/>
      <c r="IJ122" s="40"/>
      <c r="IK122" s="40"/>
      <c r="IL122" s="40"/>
      <c r="IM122" s="40"/>
      <c r="IN122" s="40"/>
      <c r="IO122" s="40"/>
      <c r="IP122" s="40"/>
      <c r="IQ122" s="40"/>
      <c r="IR122" s="40"/>
      <c r="IS122" s="40"/>
      <c r="IT122" s="40"/>
      <c r="IU122" s="40"/>
      <c r="IV122" s="40"/>
      <c r="IW122" s="40"/>
    </row>
    <row r="123" spans="1:257" ht="16.5" customHeight="1" x14ac:dyDescent="0.3">
      <c r="A123" s="206">
        <v>109</v>
      </c>
      <c r="B123" s="192" t="s">
        <v>178</v>
      </c>
      <c r="C123" s="135" t="s">
        <v>182</v>
      </c>
      <c r="D123" s="126">
        <v>98216109.280000001</v>
      </c>
      <c r="E123" s="126"/>
      <c r="F123" s="126"/>
      <c r="G123" s="126">
        <v>75253661.810000002</v>
      </c>
      <c r="H123" s="126"/>
      <c r="I123" s="126"/>
      <c r="J123" s="126">
        <v>180269097.25</v>
      </c>
      <c r="K123" s="126">
        <v>470042.73</v>
      </c>
      <c r="L123" s="128">
        <v>468959.26</v>
      </c>
      <c r="M123" s="98">
        <v>1083.47</v>
      </c>
      <c r="N123" s="54">
        <v>180269097.25</v>
      </c>
      <c r="O123" s="54">
        <v>168979681.34999999</v>
      </c>
      <c r="P123" s="186">
        <v>177610456.69</v>
      </c>
      <c r="Q123" s="58"/>
      <c r="R123" s="67">
        <v>177212140.53999999</v>
      </c>
      <c r="S123" s="58">
        <f t="shared" si="58"/>
        <v>6.0759382083655977E-3</v>
      </c>
      <c r="T123" s="59"/>
      <c r="U123" s="141">
        <f t="shared" ref="U123" si="64">(L123/R123)</f>
        <v>2.6463156450285494E-3</v>
      </c>
      <c r="V123" s="60">
        <f t="shared" ref="V123" si="65">M123/R123</f>
        <v>6.1139716313930601E-6</v>
      </c>
      <c r="W123" s="61">
        <f t="shared" ref="W123" si="66">R123/AB123</f>
        <v>1.0286620881422377</v>
      </c>
      <c r="X123" s="61">
        <f t="shared" ref="X123" si="67">M123/AB123</f>
        <v>6.2892108251911885E-6</v>
      </c>
      <c r="Y123" s="65">
        <v>1.03</v>
      </c>
      <c r="Z123" s="54">
        <v>1.03</v>
      </c>
      <c r="AA123" s="62">
        <v>51</v>
      </c>
      <c r="AB123" s="229">
        <v>172274396.59999999</v>
      </c>
      <c r="AC123" s="13"/>
      <c r="AD123" s="4"/>
      <c r="AE123" s="4"/>
      <c r="AF123" s="4"/>
      <c r="AG123" s="5"/>
      <c r="AH123" s="6"/>
      <c r="AI123" s="6"/>
      <c r="AJ123" s="6"/>
      <c r="AK123" s="7"/>
      <c r="AL123" s="5"/>
      <c r="AM123" s="6"/>
      <c r="AN123" s="6"/>
      <c r="AO123" s="6"/>
      <c r="AP123" s="7"/>
      <c r="AQ123" s="5"/>
      <c r="AR123" s="6"/>
      <c r="AS123" s="6"/>
      <c r="AT123" s="6"/>
      <c r="AU123" s="7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  <c r="GG123" s="40"/>
      <c r="GH123" s="40"/>
      <c r="GI123" s="40"/>
      <c r="GJ123" s="40"/>
      <c r="GK123" s="40"/>
      <c r="GL123" s="40"/>
      <c r="GM123" s="40"/>
      <c r="GN123" s="40"/>
      <c r="GO123" s="40"/>
      <c r="GP123" s="40"/>
      <c r="GQ123" s="40"/>
      <c r="GR123" s="40"/>
      <c r="GS123" s="40"/>
      <c r="GT123" s="40"/>
      <c r="GU123" s="40"/>
      <c r="GV123" s="40"/>
      <c r="GW123" s="40"/>
      <c r="GX123" s="40"/>
      <c r="GY123" s="40"/>
      <c r="GZ123" s="40"/>
      <c r="HA123" s="40"/>
      <c r="HB123" s="40"/>
      <c r="HC123" s="40"/>
      <c r="HD123" s="40"/>
      <c r="HE123" s="40"/>
      <c r="HF123" s="40"/>
      <c r="HG123" s="40"/>
      <c r="HH123" s="40"/>
      <c r="HI123" s="40"/>
      <c r="HJ123" s="40"/>
      <c r="HK123" s="40"/>
      <c r="HL123" s="40"/>
      <c r="HM123" s="40"/>
      <c r="HN123" s="40"/>
      <c r="HO123" s="40"/>
      <c r="HP123" s="40"/>
      <c r="HQ123" s="40"/>
      <c r="HR123" s="40"/>
      <c r="HS123" s="40"/>
      <c r="HT123" s="40"/>
      <c r="HU123" s="40"/>
      <c r="HV123" s="40"/>
      <c r="HW123" s="40"/>
      <c r="HX123" s="40"/>
      <c r="HY123" s="40"/>
      <c r="HZ123" s="40"/>
      <c r="IA123" s="40"/>
      <c r="IB123" s="40"/>
      <c r="IC123" s="40"/>
      <c r="ID123" s="40"/>
      <c r="IE123" s="40"/>
      <c r="IF123" s="40"/>
      <c r="IG123" s="40"/>
      <c r="IH123" s="40"/>
      <c r="II123" s="40"/>
      <c r="IJ123" s="40"/>
      <c r="IK123" s="40"/>
      <c r="IL123" s="40"/>
      <c r="IM123" s="40"/>
      <c r="IN123" s="40"/>
      <c r="IO123" s="40"/>
      <c r="IP123" s="40"/>
      <c r="IQ123" s="40"/>
      <c r="IR123" s="40"/>
      <c r="IS123" s="40"/>
      <c r="IT123" s="40"/>
      <c r="IU123" s="40"/>
      <c r="IV123" s="40"/>
      <c r="IW123" s="40"/>
    </row>
    <row r="124" spans="1:257" s="158" customFormat="1" ht="16.5" customHeight="1" x14ac:dyDescent="0.3">
      <c r="A124" s="206">
        <v>110</v>
      </c>
      <c r="B124" s="192" t="s">
        <v>174</v>
      </c>
      <c r="C124" s="135" t="s">
        <v>176</v>
      </c>
      <c r="D124" s="127">
        <v>584436.94999999995</v>
      </c>
      <c r="E124" s="126"/>
      <c r="F124" s="127">
        <v>3015570.87</v>
      </c>
      <c r="G124" s="127">
        <v>906397.17</v>
      </c>
      <c r="H124" s="126"/>
      <c r="I124" s="126"/>
      <c r="J124" s="127">
        <v>4508393.2699999996</v>
      </c>
      <c r="K124" s="127">
        <v>17355.43</v>
      </c>
      <c r="L124" s="127">
        <v>8549</v>
      </c>
      <c r="M124" s="98">
        <v>8806.43</v>
      </c>
      <c r="N124" s="71">
        <v>4946380.97</v>
      </c>
      <c r="O124" s="71">
        <v>355775.32</v>
      </c>
      <c r="P124" s="186">
        <v>4553181.34</v>
      </c>
      <c r="Q124" s="58">
        <f t="shared" si="50"/>
        <v>1.5760016132242225E-4</v>
      </c>
      <c r="R124" s="67">
        <v>4590605.6500000004</v>
      </c>
      <c r="S124" s="58">
        <f t="shared" si="51"/>
        <v>1.5739461293893804E-4</v>
      </c>
      <c r="T124" s="59">
        <f t="shared" si="52"/>
        <v>8.2193761252655328E-3</v>
      </c>
      <c r="U124" s="141">
        <f t="shared" si="53"/>
        <v>1.8622815052737104E-3</v>
      </c>
      <c r="V124" s="60">
        <f t="shared" si="54"/>
        <v>1.9183590731649972E-3</v>
      </c>
      <c r="W124" s="61">
        <f t="shared" si="55"/>
        <v>100.24907516596787</v>
      </c>
      <c r="X124" s="61">
        <f t="shared" si="56"/>
        <v>0.19231372292103424</v>
      </c>
      <c r="Y124" s="68">
        <v>100.64</v>
      </c>
      <c r="Z124" s="54">
        <v>100.249</v>
      </c>
      <c r="AA124" s="62">
        <v>56</v>
      </c>
      <c r="AB124" s="229">
        <v>45792</v>
      </c>
      <c r="AC124" s="152"/>
      <c r="AD124" s="153"/>
      <c r="AE124" s="153"/>
      <c r="AF124" s="153"/>
      <c r="AG124" s="154"/>
      <c r="AH124" s="155"/>
      <c r="AI124" s="155"/>
      <c r="AJ124" s="155"/>
      <c r="AK124" s="156"/>
      <c r="AL124" s="154"/>
      <c r="AM124" s="155"/>
      <c r="AN124" s="155"/>
      <c r="AO124" s="155"/>
      <c r="AP124" s="156"/>
      <c r="AQ124" s="154"/>
      <c r="AR124" s="155"/>
      <c r="AS124" s="155"/>
      <c r="AT124" s="155"/>
      <c r="AU124" s="156"/>
      <c r="AV124" s="157"/>
      <c r="AW124" s="157"/>
      <c r="AX124" s="157"/>
      <c r="AY124" s="157"/>
      <c r="AZ124" s="157"/>
      <c r="BA124" s="157"/>
      <c r="BB124" s="157"/>
      <c r="BC124" s="157"/>
      <c r="BD124" s="157"/>
      <c r="BE124" s="157"/>
      <c r="BF124" s="157"/>
      <c r="BG124" s="157"/>
      <c r="BH124" s="157"/>
      <c r="BI124" s="157"/>
      <c r="BJ124" s="157"/>
      <c r="BK124" s="157"/>
      <c r="BL124" s="157"/>
      <c r="BM124" s="157"/>
      <c r="BN124" s="157"/>
      <c r="BO124" s="157"/>
      <c r="BP124" s="157"/>
      <c r="BQ124" s="157"/>
      <c r="BR124" s="157"/>
      <c r="BS124" s="157"/>
      <c r="BT124" s="157"/>
      <c r="BU124" s="157"/>
      <c r="BV124" s="157"/>
      <c r="BW124" s="157"/>
      <c r="BX124" s="157"/>
      <c r="BY124" s="157"/>
      <c r="BZ124" s="157"/>
      <c r="CA124" s="157"/>
      <c r="CB124" s="157"/>
      <c r="CC124" s="157"/>
      <c r="CD124" s="157"/>
      <c r="CE124" s="157"/>
      <c r="CF124" s="157"/>
      <c r="CG124" s="157"/>
      <c r="CH124" s="157"/>
      <c r="CI124" s="157"/>
      <c r="CJ124" s="157"/>
      <c r="CK124" s="157"/>
      <c r="CL124" s="157"/>
      <c r="CM124" s="157"/>
      <c r="CN124" s="157"/>
      <c r="CO124" s="157"/>
      <c r="CP124" s="157"/>
      <c r="CQ124" s="157"/>
      <c r="CR124" s="157"/>
      <c r="CS124" s="157"/>
      <c r="CT124" s="157"/>
      <c r="CU124" s="157"/>
      <c r="CV124" s="157"/>
      <c r="CW124" s="157"/>
      <c r="CX124" s="157"/>
      <c r="CY124" s="157"/>
      <c r="CZ124" s="157"/>
      <c r="DA124" s="157"/>
      <c r="DB124" s="157"/>
      <c r="DC124" s="157"/>
      <c r="DD124" s="157"/>
      <c r="DE124" s="157"/>
      <c r="DF124" s="157"/>
      <c r="DG124" s="157"/>
      <c r="DH124" s="157"/>
      <c r="DI124" s="157"/>
      <c r="DJ124" s="157"/>
      <c r="DK124" s="157"/>
      <c r="DL124" s="157"/>
      <c r="DM124" s="157"/>
      <c r="DN124" s="157"/>
      <c r="DO124" s="157"/>
      <c r="DP124" s="157"/>
      <c r="DQ124" s="157"/>
      <c r="DR124" s="157"/>
      <c r="DS124" s="157"/>
      <c r="DT124" s="157"/>
      <c r="DU124" s="157"/>
      <c r="DV124" s="157"/>
      <c r="DW124" s="157"/>
      <c r="DX124" s="157"/>
      <c r="DY124" s="157"/>
      <c r="DZ124" s="157"/>
      <c r="EA124" s="157"/>
      <c r="EB124" s="157"/>
      <c r="EC124" s="157"/>
      <c r="ED124" s="157"/>
      <c r="EE124" s="157"/>
      <c r="EF124" s="157"/>
      <c r="EG124" s="157"/>
      <c r="EH124" s="157"/>
      <c r="EI124" s="157"/>
      <c r="EJ124" s="157"/>
      <c r="EK124" s="157"/>
      <c r="EL124" s="157"/>
      <c r="EM124" s="157"/>
      <c r="EN124" s="157"/>
      <c r="EO124" s="157"/>
      <c r="EP124" s="157"/>
      <c r="EQ124" s="157"/>
      <c r="ER124" s="157"/>
      <c r="ES124" s="157"/>
      <c r="ET124" s="157"/>
      <c r="EU124" s="157"/>
      <c r="EV124" s="157"/>
      <c r="EW124" s="157"/>
      <c r="EX124" s="157"/>
      <c r="EY124" s="157"/>
      <c r="EZ124" s="157"/>
      <c r="FA124" s="157"/>
      <c r="FB124" s="157"/>
      <c r="FC124" s="157"/>
      <c r="FD124" s="157"/>
      <c r="FE124" s="157"/>
      <c r="FF124" s="157"/>
      <c r="FG124" s="157"/>
      <c r="FH124" s="157"/>
      <c r="FI124" s="157"/>
      <c r="FJ124" s="157"/>
      <c r="FK124" s="157"/>
      <c r="FL124" s="157"/>
      <c r="FM124" s="157"/>
      <c r="FN124" s="157"/>
      <c r="FO124" s="157"/>
      <c r="FP124" s="157"/>
      <c r="FQ124" s="157"/>
      <c r="FR124" s="157"/>
      <c r="FS124" s="157"/>
      <c r="FT124" s="157"/>
      <c r="FU124" s="157"/>
      <c r="FV124" s="157"/>
      <c r="FW124" s="157"/>
      <c r="FX124" s="157"/>
      <c r="FY124" s="157"/>
      <c r="FZ124" s="157"/>
      <c r="GA124" s="157"/>
      <c r="GB124" s="157"/>
      <c r="GC124" s="157"/>
      <c r="GD124" s="157"/>
      <c r="GE124" s="157"/>
      <c r="GF124" s="157"/>
      <c r="GG124" s="157"/>
      <c r="GH124" s="157"/>
      <c r="GI124" s="157"/>
      <c r="GJ124" s="157"/>
      <c r="GK124" s="157"/>
      <c r="GL124" s="157"/>
      <c r="GM124" s="157"/>
      <c r="GN124" s="157"/>
      <c r="GO124" s="157"/>
      <c r="GP124" s="157"/>
      <c r="GQ124" s="157"/>
      <c r="GR124" s="157"/>
      <c r="GS124" s="157"/>
      <c r="GT124" s="157"/>
      <c r="GU124" s="157"/>
      <c r="GV124" s="157"/>
      <c r="GW124" s="157"/>
      <c r="GX124" s="157"/>
      <c r="GY124" s="157"/>
      <c r="GZ124" s="157"/>
      <c r="HA124" s="157"/>
      <c r="HB124" s="157"/>
      <c r="HC124" s="157"/>
      <c r="HD124" s="157"/>
      <c r="HE124" s="157"/>
      <c r="HF124" s="157"/>
      <c r="HG124" s="157"/>
      <c r="HH124" s="157"/>
      <c r="HI124" s="157"/>
      <c r="HJ124" s="157"/>
      <c r="HK124" s="157"/>
      <c r="HL124" s="157"/>
      <c r="HM124" s="157"/>
      <c r="HN124" s="157"/>
      <c r="HO124" s="157"/>
      <c r="HP124" s="157"/>
      <c r="HQ124" s="157"/>
      <c r="HR124" s="157"/>
      <c r="HS124" s="157"/>
      <c r="HT124" s="157"/>
      <c r="HU124" s="157"/>
      <c r="HV124" s="157"/>
      <c r="HW124" s="157"/>
      <c r="HX124" s="157"/>
      <c r="HY124" s="157"/>
      <c r="HZ124" s="157"/>
      <c r="IA124" s="157"/>
      <c r="IB124" s="157"/>
      <c r="IC124" s="157"/>
      <c r="ID124" s="157"/>
      <c r="IE124" s="157"/>
      <c r="IF124" s="157"/>
      <c r="IG124" s="157"/>
      <c r="IH124" s="157"/>
      <c r="II124" s="157"/>
      <c r="IJ124" s="157"/>
      <c r="IK124" s="157"/>
      <c r="IL124" s="157"/>
      <c r="IM124" s="157"/>
      <c r="IN124" s="157"/>
      <c r="IO124" s="157"/>
      <c r="IP124" s="157"/>
      <c r="IQ124" s="157"/>
      <c r="IR124" s="157"/>
      <c r="IS124" s="157"/>
      <c r="IT124" s="157"/>
      <c r="IU124" s="157"/>
      <c r="IV124" s="157"/>
      <c r="IW124" s="157"/>
    </row>
    <row r="125" spans="1:257" ht="16.5" customHeight="1" x14ac:dyDescent="0.3">
      <c r="A125" s="226"/>
      <c r="B125" s="131"/>
      <c r="C125" s="171" t="s">
        <v>55</v>
      </c>
      <c r="D125" s="81"/>
      <c r="E125" s="81"/>
      <c r="F125" s="81"/>
      <c r="G125" s="81"/>
      <c r="H125" s="81"/>
      <c r="I125" s="81"/>
      <c r="J125" s="81"/>
      <c r="K125" s="81"/>
      <c r="L125" s="81"/>
      <c r="M125" s="82"/>
      <c r="N125" s="81"/>
      <c r="O125" s="81"/>
      <c r="P125" s="187">
        <f>SUM(P103:P124)</f>
        <v>28890714970.050003</v>
      </c>
      <c r="Q125" s="83">
        <f>(P125/$P$136)</f>
        <v>2.2583643321827288E-2</v>
      </c>
      <c r="R125" s="84">
        <f>SUM(R103:R124)</f>
        <v>29166218362.130009</v>
      </c>
      <c r="S125" s="83">
        <f>(R125/$R$136)</f>
        <v>2.2934181956125795E-2</v>
      </c>
      <c r="T125" s="85">
        <f t="shared" si="52"/>
        <v>9.5360531009914574E-3</v>
      </c>
      <c r="U125" s="121"/>
      <c r="V125" s="86"/>
      <c r="W125" s="87"/>
      <c r="X125" s="87"/>
      <c r="Y125" s="81"/>
      <c r="Z125" s="81"/>
      <c r="AA125" s="88">
        <f>SUM(AA103:AA124)</f>
        <v>80163</v>
      </c>
      <c r="AB125" s="230"/>
      <c r="AC125" s="13"/>
      <c r="AD125" s="4"/>
      <c r="AE125" s="4"/>
      <c r="AF125" s="4"/>
      <c r="AG125" s="5"/>
      <c r="AH125" s="6"/>
      <c r="AI125" s="6"/>
      <c r="AJ125" s="6"/>
      <c r="AK125" s="7"/>
      <c r="AL125" s="5"/>
      <c r="AM125" s="6"/>
      <c r="AN125" s="6"/>
      <c r="AO125" s="6"/>
      <c r="AP125" s="7"/>
      <c r="AQ125" s="5"/>
      <c r="AR125" s="6"/>
      <c r="AS125" s="6"/>
      <c r="AT125" s="6"/>
      <c r="AU125" s="7"/>
    </row>
    <row r="126" spans="1:257" ht="16.5" customHeight="1" x14ac:dyDescent="0.3">
      <c r="A126" s="231"/>
      <c r="B126" s="120"/>
      <c r="C126" s="101" t="s">
        <v>160</v>
      </c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87"/>
      <c r="Q126" s="59"/>
      <c r="R126" s="102"/>
      <c r="S126" s="59"/>
      <c r="T126" s="59"/>
      <c r="U126" s="121"/>
      <c r="V126" s="103"/>
      <c r="W126" s="104"/>
      <c r="X126" s="104"/>
      <c r="Y126" s="102"/>
      <c r="Z126" s="102"/>
      <c r="AA126" s="102"/>
      <c r="AB126" s="220"/>
      <c r="AC126" s="52"/>
      <c r="AD126" s="4"/>
      <c r="AE126" s="4"/>
      <c r="AF126" s="4"/>
      <c r="AG126" s="5"/>
      <c r="AH126" s="6"/>
      <c r="AI126" s="6"/>
      <c r="AJ126" s="6"/>
      <c r="AK126" s="7"/>
      <c r="AL126" s="5"/>
      <c r="AM126" s="6"/>
      <c r="AN126" s="6"/>
      <c r="AO126" s="6"/>
      <c r="AP126" s="7"/>
      <c r="AQ126" s="5"/>
      <c r="AR126" s="6"/>
      <c r="AS126" s="6"/>
      <c r="AT126" s="6"/>
      <c r="AU126" s="7"/>
    </row>
    <row r="127" spans="1:257" ht="16.5" customHeight="1" x14ac:dyDescent="0.3">
      <c r="A127" s="206">
        <v>111</v>
      </c>
      <c r="B127" s="191" t="s">
        <v>78</v>
      </c>
      <c r="C127" s="132" t="s">
        <v>191</v>
      </c>
      <c r="D127" s="54">
        <v>273981474.94999999</v>
      </c>
      <c r="E127" s="54"/>
      <c r="F127" s="54">
        <v>73459296.290000007</v>
      </c>
      <c r="G127" s="54">
        <v>209533396.88999999</v>
      </c>
      <c r="H127" s="65"/>
      <c r="I127" s="54"/>
      <c r="J127" s="54">
        <v>556974168.13</v>
      </c>
      <c r="K127" s="54">
        <v>2553408.08</v>
      </c>
      <c r="L127" s="55">
        <v>5976119.8099999996</v>
      </c>
      <c r="M127" s="56">
        <v>3288392.62</v>
      </c>
      <c r="N127" s="54">
        <v>556974168.13</v>
      </c>
      <c r="O127" s="54">
        <v>12144246.6</v>
      </c>
      <c r="P127" s="186">
        <v>539853942.57000005</v>
      </c>
      <c r="Q127" s="58">
        <f t="shared" ref="Q127:Q134" si="68">(P127/$P$135)</f>
        <v>4.4375809635680372E-2</v>
      </c>
      <c r="R127" s="67">
        <v>544829921.52999997</v>
      </c>
      <c r="S127" s="58">
        <f t="shared" ref="S127:S134" si="69">(R127/$R$135)</f>
        <v>4.2256179123975897E-2</v>
      </c>
      <c r="T127" s="59">
        <f t="shared" ref="T127:T136" si="70">((R127-P127)/P127)</f>
        <v>9.2172689085339224E-3</v>
      </c>
      <c r="U127" s="141">
        <f t="shared" ref="U127:U134" si="71">(L127/R127)</f>
        <v>1.0968780483307095E-2</v>
      </c>
      <c r="V127" s="60">
        <f t="shared" ref="V127:V134" si="72">M127/R127</f>
        <v>6.0356314696620996E-3</v>
      </c>
      <c r="W127" s="61">
        <f t="shared" ref="W127:W134" si="73">R127/AB127</f>
        <v>14.450293953495391</v>
      </c>
      <c r="X127" s="61">
        <f t="shared" ref="X127:X134" si="74">M127/AB127</f>
        <v>8.7216648931584734E-2</v>
      </c>
      <c r="Y127" s="54">
        <v>14.4503</v>
      </c>
      <c r="Z127" s="54">
        <v>14.602600000000001</v>
      </c>
      <c r="AA127" s="62">
        <v>1545</v>
      </c>
      <c r="AB127" s="208">
        <v>37703725.840000004</v>
      </c>
      <c r="AC127" s="52"/>
      <c r="AD127" s="4"/>
      <c r="AE127" s="4"/>
      <c r="AF127" s="4"/>
      <c r="AG127" s="5"/>
      <c r="AH127" s="6"/>
      <c r="AI127" s="6"/>
      <c r="AJ127" s="6"/>
      <c r="AK127" s="7"/>
      <c r="AL127" s="5"/>
      <c r="AM127" s="6"/>
      <c r="AN127" s="6"/>
      <c r="AO127" s="6"/>
      <c r="AP127" s="7"/>
      <c r="AQ127" s="5"/>
      <c r="AR127" s="6"/>
      <c r="AS127" s="6"/>
      <c r="AT127" s="6"/>
      <c r="AU127" s="7"/>
    </row>
    <row r="128" spans="1:257" ht="16.5" customHeight="1" x14ac:dyDescent="0.3">
      <c r="A128" s="206">
        <v>112</v>
      </c>
      <c r="B128" s="191" t="s">
        <v>118</v>
      </c>
      <c r="C128" s="132" t="s">
        <v>190</v>
      </c>
      <c r="D128" s="55">
        <v>1259856246.3499999</v>
      </c>
      <c r="E128" s="54"/>
      <c r="F128" s="55"/>
      <c r="G128" s="55">
        <v>1817649169.76</v>
      </c>
      <c r="H128" s="54"/>
      <c r="I128" s="55">
        <v>739548225.52999997</v>
      </c>
      <c r="J128" s="63">
        <v>2557198764.6500001</v>
      </c>
      <c r="K128" s="63">
        <v>16475740.1</v>
      </c>
      <c r="L128" s="55">
        <v>18782716.120000001</v>
      </c>
      <c r="M128" s="56">
        <v>65010885.770000003</v>
      </c>
      <c r="N128" s="55">
        <v>3099415419.0999999</v>
      </c>
      <c r="O128" s="55">
        <v>-191019014.34999999</v>
      </c>
      <c r="P128" s="185">
        <v>2841648356.77</v>
      </c>
      <c r="Q128" s="58">
        <f t="shared" si="68"/>
        <v>0.23358252406430963</v>
      </c>
      <c r="R128" s="57">
        <v>2908396404.75</v>
      </c>
      <c r="S128" s="58">
        <f t="shared" si="69"/>
        <v>0.22557079665801064</v>
      </c>
      <c r="T128" s="59">
        <f t="shared" si="70"/>
        <v>2.3489200492023628E-2</v>
      </c>
      <c r="U128" s="141">
        <f t="shared" si="71"/>
        <v>6.4581004464604698E-3</v>
      </c>
      <c r="V128" s="60">
        <f t="shared" si="72"/>
        <v>2.2352828405310936E-2</v>
      </c>
      <c r="W128" s="61">
        <f t="shared" si="73"/>
        <v>1.4646031739158312</v>
      </c>
      <c r="X128" s="61">
        <f t="shared" si="74"/>
        <v>3.2738023428414344E-2</v>
      </c>
      <c r="Y128" s="63">
        <v>1.45</v>
      </c>
      <c r="Z128" s="63">
        <v>1.47</v>
      </c>
      <c r="AA128" s="70">
        <v>15115</v>
      </c>
      <c r="AB128" s="225">
        <v>1985791412</v>
      </c>
      <c r="AC128" s="13"/>
      <c r="AD128" s="4"/>
      <c r="AE128" s="4"/>
      <c r="AF128" s="4"/>
      <c r="AG128" s="5"/>
      <c r="AH128" s="6"/>
      <c r="AI128" s="6"/>
      <c r="AJ128" s="6"/>
      <c r="AK128" s="7"/>
      <c r="AL128" s="5"/>
      <c r="AM128" s="6"/>
      <c r="AN128" s="6"/>
      <c r="AO128" s="6"/>
      <c r="AP128" s="7"/>
      <c r="AQ128" s="5"/>
      <c r="AR128" s="6"/>
      <c r="AS128" s="6"/>
      <c r="AT128" s="6"/>
      <c r="AU128" s="7"/>
    </row>
    <row r="129" spans="1:257" ht="16.5" customHeight="1" x14ac:dyDescent="0.3">
      <c r="A129" s="206">
        <v>113</v>
      </c>
      <c r="B129" s="191" t="s">
        <v>26</v>
      </c>
      <c r="C129" s="132" t="s">
        <v>161</v>
      </c>
      <c r="D129" s="55">
        <v>1186908301.8</v>
      </c>
      <c r="E129" s="54"/>
      <c r="F129" s="55">
        <v>343615508.55000001</v>
      </c>
      <c r="G129" s="54">
        <v>12308966.17</v>
      </c>
      <c r="H129" s="54"/>
      <c r="I129" s="54"/>
      <c r="J129" s="55">
        <v>1544270065.9000001</v>
      </c>
      <c r="K129" s="55">
        <v>8861278.6600000001</v>
      </c>
      <c r="L129" s="55">
        <v>4481800.24</v>
      </c>
      <c r="M129" s="56">
        <v>35972579.670000002</v>
      </c>
      <c r="N129" s="55">
        <v>1570459038.78</v>
      </c>
      <c r="O129" s="55">
        <v>19154301.350000001</v>
      </c>
      <c r="P129" s="186">
        <v>1516831413.78</v>
      </c>
      <c r="Q129" s="58">
        <f t="shared" si="68"/>
        <v>0.12468302398031184</v>
      </c>
      <c r="R129" s="67">
        <v>1551304737.4300001</v>
      </c>
      <c r="S129" s="58">
        <f t="shared" si="69"/>
        <v>0.1203168333277837</v>
      </c>
      <c r="T129" s="59">
        <f t="shared" si="70"/>
        <v>2.2727195215512645E-2</v>
      </c>
      <c r="U129" s="141">
        <f t="shared" si="71"/>
        <v>2.889052119717538E-3</v>
      </c>
      <c r="V129" s="60">
        <f t="shared" si="72"/>
        <v>2.3188596542027387E-2</v>
      </c>
      <c r="W129" s="61">
        <f t="shared" si="73"/>
        <v>1.2619045421854989</v>
      </c>
      <c r="X129" s="61">
        <f t="shared" si="74"/>
        <v>2.9261795303291312E-2</v>
      </c>
      <c r="Y129" s="54">
        <v>1.25</v>
      </c>
      <c r="Z129" s="54">
        <v>1.27</v>
      </c>
      <c r="AA129" s="62">
        <v>9467</v>
      </c>
      <c r="AB129" s="208">
        <v>1229336043.71</v>
      </c>
      <c r="AC129" s="13"/>
      <c r="AD129" s="4"/>
      <c r="AE129" s="4"/>
      <c r="AF129" s="4"/>
      <c r="AG129" s="5"/>
      <c r="AH129" s="6"/>
      <c r="AI129" s="6"/>
      <c r="AJ129" s="6"/>
      <c r="AK129" s="7"/>
      <c r="AL129" s="5"/>
      <c r="AM129" s="6"/>
      <c r="AN129" s="6"/>
      <c r="AO129" s="6"/>
      <c r="AP129" s="7"/>
      <c r="AQ129" s="5"/>
      <c r="AR129" s="6"/>
      <c r="AS129" s="6"/>
      <c r="AT129" s="6"/>
      <c r="AU129" s="7"/>
    </row>
    <row r="130" spans="1:257" ht="16.5" customHeight="1" x14ac:dyDescent="0.3">
      <c r="A130" s="206">
        <v>114</v>
      </c>
      <c r="B130" s="192" t="s">
        <v>38</v>
      </c>
      <c r="C130" s="132" t="s">
        <v>162</v>
      </c>
      <c r="D130" s="54">
        <v>168880983</v>
      </c>
      <c r="E130" s="54"/>
      <c r="F130" s="54"/>
      <c r="G130" s="54">
        <v>148694316.25</v>
      </c>
      <c r="H130" s="54"/>
      <c r="I130" s="54">
        <v>99019052.140000001</v>
      </c>
      <c r="J130" s="54">
        <v>416594351.44</v>
      </c>
      <c r="K130" s="54">
        <v>1456281.02</v>
      </c>
      <c r="L130" s="54">
        <v>1234678.69</v>
      </c>
      <c r="M130" s="64">
        <v>7980932.4900000002</v>
      </c>
      <c r="N130" s="54">
        <v>413120266</v>
      </c>
      <c r="O130" s="95">
        <v>4284831</v>
      </c>
      <c r="P130" s="186">
        <v>401125692</v>
      </c>
      <c r="Q130" s="58">
        <f t="shared" si="68"/>
        <v>3.297239483596897E-2</v>
      </c>
      <c r="R130" s="67">
        <v>408835435</v>
      </c>
      <c r="S130" s="58">
        <f t="shared" si="69"/>
        <v>3.1708653821864934E-2</v>
      </c>
      <c r="T130" s="59">
        <f t="shared" si="70"/>
        <v>1.9220267247304617E-2</v>
      </c>
      <c r="U130" s="141">
        <f t="shared" si="71"/>
        <v>3.0199894243511448E-3</v>
      </c>
      <c r="V130" s="60">
        <f t="shared" si="72"/>
        <v>1.9521136884820173E-2</v>
      </c>
      <c r="W130" s="61">
        <f t="shared" si="73"/>
        <v>36.587887666663832</v>
      </c>
      <c r="X130" s="61">
        <f t="shared" si="74"/>
        <v>0.71423716346736843</v>
      </c>
      <c r="Y130" s="54">
        <v>39.119999999999997</v>
      </c>
      <c r="Z130" s="54">
        <v>40.299999999999997</v>
      </c>
      <c r="AA130" s="62">
        <v>2078</v>
      </c>
      <c r="AB130" s="208">
        <v>11174065</v>
      </c>
      <c r="AC130" s="13"/>
      <c r="AD130" s="4"/>
      <c r="AE130" s="4"/>
      <c r="AF130" s="4"/>
      <c r="AG130" s="5"/>
      <c r="AH130" s="6"/>
      <c r="AI130" s="6"/>
      <c r="AJ130" s="6"/>
      <c r="AK130" s="7"/>
      <c r="AL130" s="5"/>
      <c r="AM130" s="6"/>
      <c r="AN130" s="6"/>
      <c r="AO130" s="6"/>
      <c r="AP130" s="7"/>
      <c r="AQ130" s="5"/>
      <c r="AR130" s="6"/>
      <c r="AS130" s="6"/>
      <c r="AT130" s="6"/>
      <c r="AU130" s="7"/>
    </row>
    <row r="131" spans="1:257" ht="16.5" customHeight="1" x14ac:dyDescent="0.3">
      <c r="A131" s="206">
        <v>115</v>
      </c>
      <c r="B131" s="191" t="s">
        <v>26</v>
      </c>
      <c r="C131" s="135" t="s">
        <v>163</v>
      </c>
      <c r="D131" s="126">
        <v>192744719.30000001</v>
      </c>
      <c r="E131" s="126"/>
      <c r="F131" s="126">
        <v>51422597.560000002</v>
      </c>
      <c r="G131" s="126">
        <v>23740397.789999999</v>
      </c>
      <c r="H131" s="126"/>
      <c r="I131" s="126"/>
      <c r="J131" s="126">
        <v>269568251.63999999</v>
      </c>
      <c r="K131" s="126">
        <v>688861.66</v>
      </c>
      <c r="L131" s="126">
        <v>438910.71999999997</v>
      </c>
      <c r="M131" s="56">
        <v>7568573.4800000004</v>
      </c>
      <c r="N131" s="54">
        <v>283323995</v>
      </c>
      <c r="O131" s="54">
        <v>3888144.76</v>
      </c>
      <c r="P131" s="186">
        <v>263602676.25</v>
      </c>
      <c r="Q131" s="58">
        <f t="shared" si="68"/>
        <v>2.1668049926687569E-2</v>
      </c>
      <c r="R131" s="67">
        <v>279435850.24000001</v>
      </c>
      <c r="S131" s="58">
        <f t="shared" si="69"/>
        <v>2.1672619059252173E-2</v>
      </c>
      <c r="T131" s="59">
        <f t="shared" si="70"/>
        <v>6.0064541890249526E-2</v>
      </c>
      <c r="U131" s="141">
        <f t="shared" si="71"/>
        <v>1.5707029703705922E-3</v>
      </c>
      <c r="V131" s="60">
        <f t="shared" si="72"/>
        <v>2.7085191372186332E-2</v>
      </c>
      <c r="W131" s="61">
        <f t="shared" si="73"/>
        <v>234.7312684307922</v>
      </c>
      <c r="X131" s="61">
        <f t="shared" si="74"/>
        <v>6.3577413264840468</v>
      </c>
      <c r="Y131" s="54">
        <v>232.59</v>
      </c>
      <c r="Z131" s="54">
        <v>235.91</v>
      </c>
      <c r="AA131" s="62">
        <v>433</v>
      </c>
      <c r="AB131" s="208">
        <v>1190450.05</v>
      </c>
      <c r="AC131" s="13"/>
      <c r="AD131" s="4"/>
      <c r="AE131" s="4"/>
      <c r="AF131" s="4"/>
      <c r="AG131" s="5"/>
      <c r="AH131" s="6"/>
      <c r="AI131" s="6"/>
      <c r="AJ131" s="6"/>
      <c r="AK131" s="7"/>
      <c r="AL131" s="5"/>
      <c r="AM131" s="6"/>
      <c r="AN131" s="6"/>
      <c r="AO131" s="6"/>
      <c r="AP131" s="7"/>
      <c r="AQ131" s="5"/>
      <c r="AR131" s="6"/>
      <c r="AS131" s="6"/>
      <c r="AT131" s="6"/>
      <c r="AU131" s="7"/>
    </row>
    <row r="132" spans="1:257" ht="16.5" customHeight="1" x14ac:dyDescent="0.3">
      <c r="A132" s="206">
        <v>116</v>
      </c>
      <c r="B132" s="191" t="s">
        <v>58</v>
      </c>
      <c r="C132" s="135" t="s">
        <v>164</v>
      </c>
      <c r="D132" s="126"/>
      <c r="E132" s="126"/>
      <c r="F132" s="126"/>
      <c r="G132" s="126">
        <v>5030735904.6000004</v>
      </c>
      <c r="H132" s="126"/>
      <c r="I132" s="126"/>
      <c r="J132" s="126">
        <v>5087414719.4499998</v>
      </c>
      <c r="K132" s="126">
        <v>101950993.5</v>
      </c>
      <c r="L132" s="128">
        <v>7192560.6100000003</v>
      </c>
      <c r="M132" s="64">
        <v>94758432.890000001</v>
      </c>
      <c r="N132" s="54">
        <v>5090811660.1599998</v>
      </c>
      <c r="O132" s="63">
        <v>3396940.71</v>
      </c>
      <c r="P132" s="186">
        <v>4717888491.0900002</v>
      </c>
      <c r="Q132" s="58">
        <f>(P132/$P$135)</f>
        <v>0.38780882207937295</v>
      </c>
      <c r="R132" s="67">
        <v>5087414719.4499998</v>
      </c>
      <c r="S132" s="58">
        <f>(R132/$R$135)</f>
        <v>0.39457213924546475</v>
      </c>
      <c r="T132" s="59">
        <f>((R132-P132)/P132)</f>
        <v>7.8324493903972267E-2</v>
      </c>
      <c r="U132" s="141">
        <f>(L132/R132)</f>
        <v>1.4137948263784534E-3</v>
      </c>
      <c r="V132" s="60">
        <f>M132/R132</f>
        <v>1.8626048418605105E-2</v>
      </c>
      <c r="W132" s="61">
        <f>R132/AB132</f>
        <v>110.89856613216331</v>
      </c>
      <c r="X132" s="61">
        <f>M132/AB132</f>
        <v>2.0656020623315539</v>
      </c>
      <c r="Y132" s="54">
        <v>113.12</v>
      </c>
      <c r="Z132" s="54">
        <v>113.12</v>
      </c>
      <c r="AA132" s="62">
        <v>391</v>
      </c>
      <c r="AB132" s="208">
        <v>45874486</v>
      </c>
      <c r="AC132" s="13"/>
      <c r="AD132" s="4"/>
      <c r="AE132" s="4"/>
      <c r="AF132" s="4"/>
      <c r="AG132" s="5"/>
      <c r="AH132" s="6"/>
      <c r="AI132" s="6"/>
      <c r="AJ132" s="6"/>
      <c r="AK132" s="7"/>
      <c r="AL132" s="5"/>
      <c r="AM132" s="6"/>
      <c r="AN132" s="6"/>
      <c r="AO132" s="6"/>
      <c r="AP132" s="7"/>
      <c r="AQ132" s="5"/>
      <c r="AR132" s="6"/>
      <c r="AS132" s="6"/>
      <c r="AT132" s="6"/>
      <c r="AU132" s="7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  <c r="FP132" s="40"/>
      <c r="FQ132" s="40"/>
      <c r="FR132" s="40"/>
      <c r="FS132" s="40"/>
      <c r="FT132" s="40"/>
      <c r="FU132" s="40"/>
      <c r="FV132" s="40"/>
      <c r="FW132" s="40"/>
      <c r="FX132" s="40"/>
      <c r="FY132" s="40"/>
      <c r="FZ132" s="40"/>
      <c r="GA132" s="40"/>
      <c r="GB132" s="40"/>
      <c r="GC132" s="40"/>
      <c r="GD132" s="40"/>
      <c r="GE132" s="40"/>
      <c r="GF132" s="40"/>
      <c r="GG132" s="40"/>
      <c r="GH132" s="40"/>
      <c r="GI132" s="40"/>
      <c r="GJ132" s="40"/>
      <c r="GK132" s="40"/>
      <c r="GL132" s="40"/>
      <c r="GM132" s="40"/>
      <c r="GN132" s="40"/>
      <c r="GO132" s="40"/>
      <c r="GP132" s="40"/>
      <c r="GQ132" s="40"/>
      <c r="GR132" s="40"/>
      <c r="GS132" s="40"/>
      <c r="GT132" s="40"/>
      <c r="GU132" s="40"/>
      <c r="GV132" s="40"/>
      <c r="GW132" s="40"/>
      <c r="GX132" s="40"/>
      <c r="GY132" s="40"/>
      <c r="GZ132" s="40"/>
      <c r="HA132" s="40"/>
      <c r="HB132" s="40"/>
      <c r="HC132" s="40"/>
      <c r="HD132" s="40"/>
      <c r="HE132" s="40"/>
      <c r="HF132" s="40"/>
      <c r="HG132" s="40"/>
      <c r="HH132" s="40"/>
      <c r="HI132" s="40"/>
      <c r="HJ132" s="40"/>
      <c r="HK132" s="40"/>
      <c r="HL132" s="40"/>
      <c r="HM132" s="40"/>
      <c r="HN132" s="40"/>
      <c r="HO132" s="40"/>
      <c r="HP132" s="40"/>
      <c r="HQ132" s="40"/>
      <c r="HR132" s="40"/>
      <c r="HS132" s="40"/>
      <c r="HT132" s="40"/>
      <c r="HU132" s="40"/>
      <c r="HV132" s="40"/>
      <c r="HW132" s="40"/>
      <c r="HX132" s="40"/>
      <c r="HY132" s="40"/>
      <c r="HZ132" s="40"/>
      <c r="IA132" s="40"/>
      <c r="IB132" s="40"/>
      <c r="IC132" s="40"/>
      <c r="ID132" s="40"/>
      <c r="IE132" s="40"/>
      <c r="IF132" s="40"/>
      <c r="IG132" s="40"/>
      <c r="IH132" s="40"/>
      <c r="II132" s="40"/>
      <c r="IJ132" s="40"/>
      <c r="IK132" s="40"/>
      <c r="IL132" s="40"/>
      <c r="IM132" s="40"/>
      <c r="IN132" s="40"/>
      <c r="IO132" s="40"/>
      <c r="IP132" s="40"/>
      <c r="IQ132" s="40"/>
      <c r="IR132" s="40"/>
      <c r="IS132" s="40"/>
      <c r="IT132" s="40"/>
      <c r="IU132" s="40"/>
      <c r="IV132" s="40"/>
      <c r="IW132" s="40"/>
    </row>
    <row r="133" spans="1:257" ht="16.5" customHeight="1" x14ac:dyDescent="0.3">
      <c r="A133" s="206">
        <v>117</v>
      </c>
      <c r="B133" s="191" t="s">
        <v>36</v>
      </c>
      <c r="C133" s="135" t="s">
        <v>177</v>
      </c>
      <c r="D133" s="126"/>
      <c r="E133" s="126"/>
      <c r="F133" s="126"/>
      <c r="G133" s="126">
        <v>1479806795</v>
      </c>
      <c r="H133" s="126"/>
      <c r="I133" s="126"/>
      <c r="J133" s="126">
        <v>1479806795</v>
      </c>
      <c r="K133" s="126">
        <v>12122385</v>
      </c>
      <c r="L133" s="128">
        <v>2498416</v>
      </c>
      <c r="M133" s="64">
        <v>9623969</v>
      </c>
      <c r="N133" s="54">
        <v>1876587674</v>
      </c>
      <c r="O133" s="63">
        <v>12195134.65</v>
      </c>
      <c r="P133" s="186">
        <v>1618503632</v>
      </c>
      <c r="Q133" s="58">
        <f>(P133/$P$135)</f>
        <v>0.13304044558121653</v>
      </c>
      <c r="R133" s="67">
        <v>1864392540</v>
      </c>
      <c r="S133" s="58">
        <f>(R133/$R$135)</f>
        <v>0.14459944656932067</v>
      </c>
      <c r="T133" s="59">
        <f>((R133-P133)/P133)</f>
        <v>0.15192360593973631</v>
      </c>
      <c r="U133" s="141">
        <f>(L133/R133)</f>
        <v>1.340069725874359E-3</v>
      </c>
      <c r="V133" s="60">
        <f>M133/R133</f>
        <v>5.1619864344662099E-3</v>
      </c>
      <c r="W133" s="61">
        <f>R133/AB133</f>
        <v>1.0685356388804046</v>
      </c>
      <c r="X133" s="61">
        <f>M133/AB133</f>
        <v>5.5157664726443326E-3</v>
      </c>
      <c r="Y133" s="54">
        <v>1.07</v>
      </c>
      <c r="Z133" s="54">
        <v>1.07</v>
      </c>
      <c r="AA133" s="62">
        <v>209</v>
      </c>
      <c r="AB133" s="208">
        <v>1744810816</v>
      </c>
      <c r="AC133" s="13"/>
      <c r="AD133" s="4"/>
      <c r="AE133" s="4"/>
      <c r="AF133" s="4"/>
      <c r="AG133" s="5"/>
      <c r="AH133" s="6"/>
      <c r="AI133" s="6"/>
      <c r="AJ133" s="6"/>
      <c r="AK133" s="7"/>
      <c r="AL133" s="5"/>
      <c r="AM133" s="6"/>
      <c r="AN133" s="6"/>
      <c r="AO133" s="6"/>
      <c r="AP133" s="7"/>
      <c r="AQ133" s="5"/>
      <c r="AR133" s="6"/>
      <c r="AS133" s="6"/>
      <c r="AT133" s="6"/>
      <c r="AU133" s="7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  <c r="FP133" s="40"/>
      <c r="FQ133" s="40"/>
      <c r="FR133" s="40"/>
      <c r="FS133" s="40"/>
      <c r="FT133" s="40"/>
      <c r="FU133" s="40"/>
      <c r="FV133" s="40"/>
      <c r="FW133" s="40"/>
      <c r="FX133" s="40"/>
      <c r="FY133" s="40"/>
      <c r="FZ133" s="40"/>
      <c r="GA133" s="40"/>
      <c r="GB133" s="40"/>
      <c r="GC133" s="40"/>
      <c r="GD133" s="40"/>
      <c r="GE133" s="40"/>
      <c r="GF133" s="40"/>
      <c r="GG133" s="40"/>
      <c r="GH133" s="40"/>
      <c r="GI133" s="40"/>
      <c r="GJ133" s="40"/>
      <c r="GK133" s="40"/>
      <c r="GL133" s="40"/>
      <c r="GM133" s="40"/>
      <c r="GN133" s="40"/>
      <c r="GO133" s="40"/>
      <c r="GP133" s="40"/>
      <c r="GQ133" s="40"/>
      <c r="GR133" s="40"/>
      <c r="GS133" s="40"/>
      <c r="GT133" s="40"/>
      <c r="GU133" s="40"/>
      <c r="GV133" s="40"/>
      <c r="GW133" s="40"/>
      <c r="GX133" s="40"/>
      <c r="GY133" s="40"/>
      <c r="GZ133" s="40"/>
      <c r="HA133" s="40"/>
      <c r="HB133" s="40"/>
      <c r="HC133" s="40"/>
      <c r="HD133" s="40"/>
      <c r="HE133" s="40"/>
      <c r="HF133" s="40"/>
      <c r="HG133" s="40"/>
      <c r="HH133" s="40"/>
      <c r="HI133" s="40"/>
      <c r="HJ133" s="40"/>
      <c r="HK133" s="40"/>
      <c r="HL133" s="40"/>
      <c r="HM133" s="40"/>
      <c r="HN133" s="40"/>
      <c r="HO133" s="40"/>
      <c r="HP133" s="40"/>
      <c r="HQ133" s="40"/>
      <c r="HR133" s="40"/>
      <c r="HS133" s="40"/>
      <c r="HT133" s="40"/>
      <c r="HU133" s="40"/>
      <c r="HV133" s="40"/>
      <c r="HW133" s="40"/>
      <c r="HX133" s="40"/>
      <c r="HY133" s="40"/>
      <c r="HZ133" s="40"/>
      <c r="IA133" s="40"/>
      <c r="IB133" s="40"/>
      <c r="IC133" s="40"/>
      <c r="ID133" s="40"/>
      <c r="IE133" s="40"/>
      <c r="IF133" s="40"/>
      <c r="IG133" s="40"/>
      <c r="IH133" s="40"/>
      <c r="II133" s="40"/>
      <c r="IJ133" s="40"/>
      <c r="IK133" s="40"/>
      <c r="IL133" s="40"/>
      <c r="IM133" s="40"/>
      <c r="IN133" s="40"/>
      <c r="IO133" s="40"/>
      <c r="IP133" s="40"/>
      <c r="IQ133" s="40"/>
      <c r="IR133" s="40"/>
      <c r="IS133" s="40"/>
      <c r="IT133" s="40"/>
      <c r="IU133" s="40"/>
      <c r="IV133" s="40"/>
      <c r="IW133" s="40"/>
    </row>
    <row r="134" spans="1:257" ht="16.5" customHeight="1" x14ac:dyDescent="0.3">
      <c r="A134" s="206">
        <v>118</v>
      </c>
      <c r="B134" s="191" t="s">
        <v>171</v>
      </c>
      <c r="C134" s="135" t="s">
        <v>172</v>
      </c>
      <c r="D134" s="54"/>
      <c r="E134" s="54"/>
      <c r="F134" s="54"/>
      <c r="G134" s="54">
        <v>124709000</v>
      </c>
      <c r="H134" s="54"/>
      <c r="I134" s="71">
        <f>7240320+53040032.13</f>
        <v>60280352.130000003</v>
      </c>
      <c r="J134" s="71">
        <v>184989352.13</v>
      </c>
      <c r="K134" s="71">
        <v>5067192.74</v>
      </c>
      <c r="L134" s="71">
        <v>746891.49</v>
      </c>
      <c r="M134" s="64">
        <v>1519619.83</v>
      </c>
      <c r="N134" s="71">
        <v>247661732</v>
      </c>
      <c r="O134" s="71">
        <v>3179616</v>
      </c>
      <c r="P134" s="186">
        <v>266046481.66</v>
      </c>
      <c r="Q134" s="58">
        <f t="shared" si="68"/>
        <v>2.1868929896452248E-2</v>
      </c>
      <c r="R134" s="67">
        <v>248887457</v>
      </c>
      <c r="S134" s="58">
        <f t="shared" si="69"/>
        <v>1.9303332194327269E-2</v>
      </c>
      <c r="T134" s="59">
        <f t="shared" si="70"/>
        <v>-6.4496341214272293E-2</v>
      </c>
      <c r="U134" s="141">
        <f t="shared" si="71"/>
        <v>3.0009205727068839E-3</v>
      </c>
      <c r="V134" s="60">
        <f t="shared" si="72"/>
        <v>6.1056505149634762E-3</v>
      </c>
      <c r="W134" s="61">
        <f t="shared" si="73"/>
        <v>100.5001261867103</v>
      </c>
      <c r="X134" s="61">
        <f t="shared" si="74"/>
        <v>0.61361864720578208</v>
      </c>
      <c r="Y134" s="54">
        <v>100.5001</v>
      </c>
      <c r="Z134" s="54">
        <v>100</v>
      </c>
      <c r="AA134" s="62">
        <v>153</v>
      </c>
      <c r="AB134" s="224">
        <v>2476489</v>
      </c>
      <c r="AC134" s="13"/>
      <c r="AD134" s="4"/>
      <c r="AE134" s="4"/>
      <c r="AF134" s="4"/>
      <c r="AG134" s="5"/>
      <c r="AH134" s="6"/>
      <c r="AI134" s="6"/>
      <c r="AJ134" s="6"/>
      <c r="AK134" s="7"/>
      <c r="AL134" s="5"/>
      <c r="AM134" s="6"/>
      <c r="AN134" s="6"/>
      <c r="AO134" s="6"/>
      <c r="AP134" s="7"/>
      <c r="AQ134" s="5"/>
      <c r="AR134" s="6"/>
      <c r="AS134" s="6"/>
      <c r="AT134" s="6"/>
      <c r="AU134" s="7"/>
    </row>
    <row r="135" spans="1:257" ht="16.5" customHeight="1" x14ac:dyDescent="0.3">
      <c r="A135" s="232"/>
      <c r="B135" s="126"/>
      <c r="C135" s="171" t="s">
        <v>55</v>
      </c>
      <c r="D135" s="81"/>
      <c r="E135" s="81"/>
      <c r="F135" s="81"/>
      <c r="G135" s="81"/>
      <c r="H135" s="81"/>
      <c r="I135" s="81"/>
      <c r="J135" s="81"/>
      <c r="K135" s="81"/>
      <c r="L135" s="81"/>
      <c r="M135" s="82"/>
      <c r="N135" s="81"/>
      <c r="O135" s="81"/>
      <c r="P135" s="187">
        <f>SUM(P127:P134)</f>
        <v>12165500686.119999</v>
      </c>
      <c r="Q135" s="83">
        <f>(P135/$P$136)</f>
        <v>9.5096756384047253E-3</v>
      </c>
      <c r="R135" s="84">
        <f>SUM(R127:R134)</f>
        <v>12893497065.4</v>
      </c>
      <c r="S135" s="83">
        <f>(R135/$R$136)</f>
        <v>1.0138503527512589E-2</v>
      </c>
      <c r="T135" s="85">
        <f t="shared" si="70"/>
        <v>5.984105365351667E-2</v>
      </c>
      <c r="U135" s="121"/>
      <c r="V135" s="86"/>
      <c r="W135" s="87"/>
      <c r="X135" s="87"/>
      <c r="Y135" s="81"/>
      <c r="Z135" s="81"/>
      <c r="AA135" s="88">
        <f>SUM(AA127:AA134)</f>
        <v>29391</v>
      </c>
      <c r="AB135" s="214"/>
      <c r="AC135" s="13"/>
      <c r="AD135" s="4"/>
      <c r="AE135" s="4"/>
      <c r="AF135" s="4"/>
      <c r="AG135" s="5"/>
      <c r="AH135" s="6"/>
      <c r="AI135" s="6"/>
      <c r="AJ135" s="6"/>
      <c r="AK135" s="7"/>
      <c r="AL135" s="5"/>
      <c r="AM135" s="6"/>
      <c r="AN135" s="6"/>
      <c r="AO135" s="6"/>
      <c r="AP135" s="7"/>
      <c r="AQ135" s="5"/>
      <c r="AR135" s="6"/>
      <c r="AS135" s="6"/>
      <c r="AT135" s="6"/>
      <c r="AU135" s="7"/>
    </row>
    <row r="136" spans="1:257" ht="17.25" customHeight="1" thickBot="1" x14ac:dyDescent="0.35">
      <c r="A136" s="233"/>
      <c r="B136" s="234"/>
      <c r="C136" s="235" t="s">
        <v>165</v>
      </c>
      <c r="D136" s="236"/>
      <c r="E136" s="236"/>
      <c r="F136" s="236"/>
      <c r="G136" s="236"/>
      <c r="H136" s="236"/>
      <c r="I136" s="236"/>
      <c r="J136" s="236"/>
      <c r="K136" s="236"/>
      <c r="L136" s="236"/>
      <c r="M136" s="236"/>
      <c r="N136" s="236"/>
      <c r="O136" s="236"/>
      <c r="P136" s="237">
        <f>(P19+P50+P64+P95+P101+P125+P135)</f>
        <v>1279276091919.4502</v>
      </c>
      <c r="Q136" s="238"/>
      <c r="R136" s="239">
        <f>(R19+R50+R64+R95+R101+R125+R135)</f>
        <v>1271735718236.0549</v>
      </c>
      <c r="S136" s="238"/>
      <c r="T136" s="240">
        <f t="shared" si="70"/>
        <v>-5.8942504522862954E-3</v>
      </c>
      <c r="U136" s="241"/>
      <c r="V136" s="242"/>
      <c r="W136" s="243"/>
      <c r="X136" s="243"/>
      <c r="Y136" s="236"/>
      <c r="Z136" s="236"/>
      <c r="AA136" s="244">
        <f>(AA19+AA50+AA64+AA95+AA101+AA125+AA135)</f>
        <v>455139</v>
      </c>
      <c r="AB136" s="245"/>
      <c r="AC136" s="48"/>
      <c r="AD136" s="4"/>
      <c r="AE136" s="4"/>
      <c r="AF136" s="4"/>
      <c r="AG136" s="5"/>
      <c r="AH136" s="6"/>
      <c r="AI136" s="6"/>
      <c r="AJ136" s="6"/>
      <c r="AK136" s="7"/>
      <c r="AL136" s="5"/>
      <c r="AM136" s="6"/>
      <c r="AN136" s="6"/>
      <c r="AO136" s="6"/>
      <c r="AP136" s="7"/>
      <c r="AQ136" s="5"/>
      <c r="AR136" s="6"/>
      <c r="AS136" s="6"/>
      <c r="AT136" s="6"/>
      <c r="AU136" s="7"/>
    </row>
    <row r="137" spans="1:257" ht="17.45" customHeight="1" x14ac:dyDescent="0.3">
      <c r="A137" s="53"/>
      <c r="B137" s="53"/>
      <c r="C137" s="53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201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4"/>
      <c r="AD137" s="4"/>
      <c r="AE137" s="4"/>
      <c r="AF137" s="4"/>
      <c r="AG137" s="5"/>
      <c r="AH137" s="6"/>
      <c r="AI137" s="6"/>
      <c r="AJ137" s="6"/>
      <c r="AK137" s="7"/>
      <c r="AL137" s="5"/>
      <c r="AM137" s="6"/>
      <c r="AN137" s="6"/>
      <c r="AO137" s="6"/>
      <c r="AP137" s="7"/>
      <c r="AQ137" s="5"/>
      <c r="AR137" s="6"/>
      <c r="AS137" s="6"/>
      <c r="AT137" s="6"/>
      <c r="AU137" s="7"/>
    </row>
    <row r="138" spans="1:257" ht="17.100000000000001" customHeight="1" x14ac:dyDescent="0.3">
      <c r="A138" s="145" t="s">
        <v>185</v>
      </c>
      <c r="B138" s="146" t="s">
        <v>186</v>
      </c>
      <c r="C138" s="29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131"/>
      <c r="Q138" s="4"/>
      <c r="R138" s="25"/>
      <c r="S138" s="4"/>
      <c r="T138" s="4"/>
      <c r="U138" s="4"/>
      <c r="V138" s="4"/>
      <c r="W138" s="4"/>
      <c r="X138" s="4"/>
      <c r="Y138" s="4"/>
      <c r="Z138" s="4"/>
      <c r="AA138" s="4"/>
      <c r="AB138" s="17"/>
      <c r="AC138" s="4"/>
      <c r="AD138" s="4"/>
      <c r="AE138" s="4"/>
      <c r="AF138" s="4"/>
      <c r="AG138" s="5"/>
      <c r="AH138" s="6"/>
      <c r="AI138" s="6"/>
      <c r="AJ138" s="6"/>
      <c r="AK138" s="7"/>
      <c r="AL138" s="5"/>
      <c r="AM138" s="6"/>
      <c r="AN138" s="6"/>
      <c r="AO138" s="6"/>
      <c r="AP138" s="7"/>
      <c r="AQ138" s="5"/>
      <c r="AR138" s="6"/>
      <c r="AS138" s="6"/>
      <c r="AT138" s="6"/>
      <c r="AU138" s="7"/>
    </row>
    <row r="139" spans="1:257" ht="17.100000000000001" customHeight="1" x14ac:dyDescent="0.25">
      <c r="A139" s="28"/>
      <c r="B139" s="30"/>
      <c r="C139" s="3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25"/>
      <c r="S139" s="17"/>
      <c r="T139" s="17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5"/>
      <c r="AH139" s="6"/>
      <c r="AI139" s="6"/>
      <c r="AJ139" s="6"/>
      <c r="AK139" s="7"/>
      <c r="AL139" s="5"/>
      <c r="AM139" s="6"/>
      <c r="AN139" s="6"/>
      <c r="AO139" s="6"/>
      <c r="AP139" s="7"/>
      <c r="AQ139" s="5"/>
      <c r="AR139" s="6"/>
      <c r="AS139" s="6"/>
      <c r="AT139" s="6"/>
      <c r="AU139" s="7"/>
    </row>
    <row r="140" spans="1:257" ht="17.100000000000001" customHeight="1" x14ac:dyDescent="0.25">
      <c r="A140" s="28"/>
      <c r="B140" s="30"/>
      <c r="C140" s="3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25"/>
      <c r="S140" s="17"/>
      <c r="T140" s="17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5"/>
      <c r="AH140" s="6"/>
      <c r="AI140" s="6"/>
      <c r="AJ140" s="6"/>
      <c r="AK140" s="7"/>
      <c r="AL140" s="5"/>
      <c r="AM140" s="6"/>
      <c r="AN140" s="6"/>
      <c r="AO140" s="6"/>
      <c r="AP140" s="7"/>
      <c r="AQ140" s="5"/>
      <c r="AR140" s="6"/>
      <c r="AS140" s="6"/>
      <c r="AT140" s="6"/>
      <c r="AU140" s="7"/>
    </row>
    <row r="141" spans="1:257" ht="17.100000000000001" customHeight="1" x14ac:dyDescent="0.25">
      <c r="A141" s="28"/>
      <c r="B141" s="30"/>
      <c r="C141" s="3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25"/>
      <c r="S141" s="17"/>
      <c r="T141" s="17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5"/>
      <c r="AH141" s="6"/>
      <c r="AI141" s="6"/>
      <c r="AJ141" s="6"/>
      <c r="AK141" s="7"/>
      <c r="AL141" s="5"/>
      <c r="AM141" s="6"/>
      <c r="AN141" s="6"/>
      <c r="AO141" s="6"/>
      <c r="AP141" s="7"/>
      <c r="AQ141" s="5"/>
      <c r="AR141" s="6"/>
      <c r="AS141" s="6"/>
      <c r="AT141" s="6"/>
      <c r="AU141" s="7"/>
    </row>
    <row r="142" spans="1:257" ht="17.100000000000001" customHeight="1" x14ac:dyDescent="0.25">
      <c r="A142" s="28"/>
      <c r="B142" s="30"/>
      <c r="C142" s="3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25"/>
      <c r="S142" s="17"/>
      <c r="T142" s="17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32"/>
      <c r="AH142" s="33"/>
      <c r="AI142" s="33"/>
      <c r="AJ142" s="33"/>
      <c r="AK142" s="34"/>
      <c r="AL142" s="32"/>
      <c r="AM142" s="33"/>
      <c r="AN142" s="33"/>
      <c r="AO142" s="33"/>
      <c r="AP142" s="34"/>
      <c r="AQ142" s="32"/>
      <c r="AR142" s="33"/>
      <c r="AS142" s="33"/>
      <c r="AT142" s="33"/>
      <c r="AU142" s="34"/>
    </row>
    <row r="145" spans="5:5" ht="15.75" customHeight="1" x14ac:dyDescent="0.25">
      <c r="E145" s="167" t="s">
        <v>203</v>
      </c>
    </row>
  </sheetData>
  <mergeCells count="1">
    <mergeCell ref="A1:AB1"/>
  </mergeCells>
  <phoneticPr fontId="19" type="noConversion"/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M2" sqref="M2"/>
    </sheetView>
  </sheetViews>
  <sheetFormatPr defaultColWidth="10" defaultRowHeight="12.95" customHeight="1" x14ac:dyDescent="0.25"/>
  <cols>
    <col min="1" max="256" width="10" style="35" customWidth="1"/>
  </cols>
  <sheetData>
    <row r="1" spans="1:12" ht="12.95" customHeight="1" x14ac:dyDescent="0.25">
      <c r="A1" s="36"/>
      <c r="B1" s="2"/>
      <c r="C1" s="2"/>
      <c r="D1" s="2"/>
      <c r="E1" s="2"/>
      <c r="F1" s="2"/>
      <c r="G1" s="2"/>
      <c r="H1" s="2"/>
      <c r="I1" s="2"/>
      <c r="J1" s="2"/>
      <c r="K1" s="3"/>
      <c r="L1" s="9"/>
    </row>
    <row r="2" spans="1:12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  <c r="L2" s="37"/>
    </row>
    <row r="3" spans="1:12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7"/>
      <c r="L3" s="37"/>
    </row>
    <row r="4" spans="1:12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7"/>
      <c r="L4" s="37"/>
    </row>
    <row r="5" spans="1:12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37"/>
    </row>
    <row r="6" spans="1:12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7"/>
      <c r="L6" s="37"/>
    </row>
    <row r="7" spans="1:12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7"/>
      <c r="L7" s="37"/>
    </row>
    <row r="8" spans="1:12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37"/>
    </row>
    <row r="9" spans="1:12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37"/>
    </row>
    <row r="10" spans="1:12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  <c r="L10" s="37"/>
    </row>
    <row r="11" spans="1:12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  <c r="L11" s="37"/>
    </row>
    <row r="12" spans="1:12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  <c r="L12" s="37"/>
    </row>
    <row r="13" spans="1:12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37"/>
    </row>
    <row r="14" spans="1:12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37"/>
    </row>
    <row r="15" spans="1:12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  <c r="L15" s="37"/>
    </row>
    <row r="16" spans="1:12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37"/>
    </row>
    <row r="17" spans="1:12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  <c r="L17" s="37"/>
    </row>
    <row r="18" spans="1:12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  <c r="L18" s="37"/>
    </row>
    <row r="19" spans="1:12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  <c r="L19" s="37"/>
    </row>
    <row r="20" spans="1:12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37"/>
    </row>
    <row r="21" spans="1:12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37"/>
    </row>
    <row r="22" spans="1:12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  <c r="L22" s="37"/>
    </row>
    <row r="23" spans="1:12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  <c r="L23" s="37"/>
    </row>
    <row r="24" spans="1:12" ht="12.95" customHeight="1" x14ac:dyDescent="0.2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4"/>
      <c r="L24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O2" sqref="O2"/>
    </sheetView>
  </sheetViews>
  <sheetFormatPr defaultColWidth="10" defaultRowHeight="12.95" customHeight="1" x14ac:dyDescent="0.25"/>
  <cols>
    <col min="1" max="256" width="10" style="38" customWidth="1"/>
  </cols>
  <sheetData>
    <row r="1" spans="1:14" ht="12.95" customHeight="1" x14ac:dyDescent="0.25">
      <c r="A1" s="36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1:14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4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4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4" ht="12.95" customHeight="1" x14ac:dyDescent="0.2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4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workbookViewId="0">
      <selection activeCell="O1" sqref="O1"/>
    </sheetView>
  </sheetViews>
  <sheetFormatPr defaultColWidth="8.85546875" defaultRowHeight="15" customHeight="1" x14ac:dyDescent="0.25"/>
  <cols>
    <col min="1" max="3" width="8.85546875" style="39" customWidth="1"/>
    <col min="4" max="4" width="10.42578125" style="39" customWidth="1"/>
    <col min="5" max="256" width="8.85546875" style="39" customWidth="1"/>
  </cols>
  <sheetData>
    <row r="1" spans="1:14" ht="15" customHeight="1" x14ac:dyDescent="0.25">
      <c r="A1" s="36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9"/>
    </row>
    <row r="2" spans="1:14" ht="1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37"/>
    </row>
    <row r="3" spans="1:14" ht="1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37"/>
    </row>
    <row r="4" spans="1:14" ht="1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37"/>
    </row>
    <row r="5" spans="1:14" ht="1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37"/>
    </row>
    <row r="6" spans="1:14" ht="1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37"/>
    </row>
    <row r="7" spans="1:14" ht="1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37"/>
    </row>
    <row r="8" spans="1:14" ht="1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37"/>
    </row>
    <row r="9" spans="1:14" ht="1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37"/>
    </row>
    <row r="10" spans="1:14" ht="1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37"/>
    </row>
    <row r="11" spans="1:14" ht="1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37"/>
    </row>
    <row r="12" spans="1:14" ht="1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37"/>
    </row>
    <row r="13" spans="1:14" ht="1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37"/>
    </row>
    <row r="14" spans="1:14" ht="1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37"/>
    </row>
    <row r="15" spans="1:14" ht="1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37"/>
    </row>
    <row r="16" spans="1:14" ht="1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37"/>
    </row>
    <row r="17" spans="1:14" ht="1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37"/>
    </row>
    <row r="18" spans="1:14" ht="1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37"/>
    </row>
    <row r="19" spans="1:14" ht="1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37"/>
    </row>
    <row r="20" spans="1:14" ht="1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37"/>
    </row>
    <row r="21" spans="1:14" ht="1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37"/>
    </row>
    <row r="22" spans="1:14" ht="15" customHeight="1" x14ac:dyDescent="0.25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SEPTEMBER 2021</vt:lpstr>
      <vt:lpstr>Market Share</vt:lpstr>
      <vt:lpstr>Unit Holders</vt:lpstr>
      <vt:lpstr>NAV Comparison July - Sept. '21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dcterms:created xsi:type="dcterms:W3CDTF">2021-07-14T13:16:57Z</dcterms:created>
  <dcterms:modified xsi:type="dcterms:W3CDTF">2021-11-15T00:06:41Z</dcterms:modified>
</cp:coreProperties>
</file>