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0" windowWidth="15345" windowHeight="4575"/>
  </bookViews>
  <sheets>
    <sheet name="December 2019" sheetId="9" r:id="rId1"/>
  </sheets>
  <definedNames>
    <definedName name="_xlnm.Print_Area" localSheetId="0">'December 2019'!$A$1:$W$118</definedName>
  </definedNames>
  <calcPr calcId="162913"/>
</workbook>
</file>

<file path=xl/calcChain.xml><?xml version="1.0" encoding="utf-8"?>
<calcChain xmlns="http://schemas.openxmlformats.org/spreadsheetml/2006/main">
  <c r="P18" i="9" l="1"/>
  <c r="Q52" i="9"/>
  <c r="R106" i="9"/>
  <c r="T101" i="9"/>
  <c r="S101" i="9"/>
  <c r="Q98" i="9"/>
  <c r="S60" i="9"/>
  <c r="T60" i="9"/>
  <c r="T56" i="9"/>
  <c r="R79" i="9"/>
  <c r="X52" i="9" l="1"/>
  <c r="S52" i="9" s="1"/>
  <c r="V52" i="9"/>
  <c r="U52" i="9"/>
  <c r="X51" i="9"/>
  <c r="V51" i="9"/>
  <c r="U51" i="9"/>
  <c r="O51" i="9"/>
  <c r="R52" i="9"/>
  <c r="T106" i="9"/>
  <c r="V71" i="9" l="1"/>
  <c r="U71" i="9"/>
  <c r="X71" i="9"/>
  <c r="O71" i="9"/>
  <c r="N71" i="9" l="1"/>
  <c r="M71" i="9"/>
  <c r="K71" i="9"/>
  <c r="J71" i="9"/>
  <c r="G71" i="9"/>
  <c r="F71" i="9"/>
  <c r="X67" i="9"/>
  <c r="V67" i="9"/>
  <c r="U67" i="9"/>
  <c r="O67" i="9"/>
  <c r="N67" i="9"/>
  <c r="M67" i="9"/>
  <c r="L67" i="9"/>
  <c r="K67" i="9"/>
  <c r="J67" i="9"/>
  <c r="G67" i="9"/>
  <c r="F67" i="9"/>
  <c r="N51" i="9"/>
  <c r="M51" i="9"/>
  <c r="L51" i="9"/>
  <c r="K51" i="9"/>
  <c r="J51" i="9"/>
  <c r="G51" i="9"/>
  <c r="F51" i="9"/>
  <c r="T6" i="9"/>
  <c r="S6" i="9"/>
  <c r="Q6" i="9"/>
  <c r="R6" i="9"/>
  <c r="D67" i="9"/>
  <c r="I71" i="9"/>
  <c r="D71" i="9"/>
  <c r="T74" i="9" l="1"/>
  <c r="S74" i="9"/>
  <c r="R74" i="9"/>
  <c r="Q74" i="9"/>
  <c r="T16" i="9"/>
  <c r="S16" i="9"/>
  <c r="R16" i="9"/>
  <c r="Q16" i="9"/>
  <c r="T41" i="9"/>
  <c r="S41" i="9"/>
  <c r="R41" i="9"/>
  <c r="Q41" i="9"/>
  <c r="S88" i="9"/>
  <c r="R94" i="9" l="1"/>
  <c r="N52" i="9" l="1"/>
  <c r="M52" i="9"/>
  <c r="L52" i="9"/>
  <c r="K52" i="9"/>
  <c r="J52" i="9"/>
  <c r="G52" i="9"/>
  <c r="F52" i="9"/>
  <c r="D52" i="9"/>
  <c r="Q90" i="9"/>
  <c r="Q78" i="9"/>
  <c r="R78" i="9" l="1"/>
  <c r="S78" i="9"/>
  <c r="T78" i="9"/>
  <c r="Q50" i="9" l="1"/>
  <c r="O104" i="9"/>
  <c r="O81" i="9"/>
  <c r="P78" i="9" s="1"/>
  <c r="O76" i="9"/>
  <c r="P74" i="9" s="1"/>
  <c r="O54" i="9"/>
  <c r="P52" i="9" s="1"/>
  <c r="O43" i="9"/>
  <c r="P41" i="9" s="1"/>
  <c r="O18" i="9"/>
  <c r="P16" i="9" l="1"/>
  <c r="P6" i="9"/>
  <c r="S36" i="9"/>
  <c r="T36" i="9"/>
  <c r="R36" i="9"/>
  <c r="Q36" i="9"/>
  <c r="P4" i="9"/>
  <c r="P72" i="9"/>
  <c r="P42" i="9"/>
  <c r="P50" i="9"/>
  <c r="T42" i="9"/>
  <c r="S42" i="9"/>
  <c r="R42" i="9"/>
  <c r="Q42" i="9"/>
  <c r="P5" i="9"/>
  <c r="T27" i="9"/>
  <c r="S27" i="9"/>
  <c r="R27" i="9"/>
  <c r="Q27" i="9"/>
  <c r="P27" i="9"/>
  <c r="T49" i="9" l="1"/>
  <c r="T50" i="9"/>
  <c r="I51" i="9" l="1"/>
  <c r="H51" i="9"/>
  <c r="Q17" i="9"/>
  <c r="R17" i="9"/>
  <c r="S68" i="9" l="1"/>
  <c r="Q4" i="9" l="1"/>
  <c r="R4" i="9"/>
  <c r="S4" i="9"/>
  <c r="T4" i="9"/>
  <c r="Q5" i="9"/>
  <c r="R5" i="9"/>
  <c r="S5" i="9"/>
  <c r="T5" i="9"/>
  <c r="Q7" i="9"/>
  <c r="R7" i="9"/>
  <c r="S7" i="9"/>
  <c r="T7" i="9"/>
  <c r="Q8" i="9"/>
  <c r="R8" i="9"/>
  <c r="S8" i="9"/>
  <c r="T8" i="9"/>
  <c r="Q9" i="9"/>
  <c r="R9" i="9"/>
  <c r="S9" i="9"/>
  <c r="T9" i="9"/>
  <c r="Q10" i="9"/>
  <c r="R10" i="9"/>
  <c r="S10" i="9"/>
  <c r="T10" i="9"/>
  <c r="Q11" i="9"/>
  <c r="R11" i="9"/>
  <c r="S11" i="9"/>
  <c r="T11" i="9"/>
  <c r="Q12" i="9"/>
  <c r="R12" i="9"/>
  <c r="S12" i="9"/>
  <c r="T12" i="9"/>
  <c r="Q13" i="9"/>
  <c r="R13" i="9"/>
  <c r="S13" i="9"/>
  <c r="T13" i="9"/>
  <c r="Q14" i="9"/>
  <c r="R14" i="9"/>
  <c r="S14" i="9"/>
  <c r="T14" i="9"/>
  <c r="Q15" i="9"/>
  <c r="R15" i="9"/>
  <c r="S15" i="9"/>
  <c r="T15" i="9"/>
  <c r="S17" i="9"/>
  <c r="T17" i="9"/>
  <c r="Q20" i="9"/>
  <c r="R20" i="9"/>
  <c r="S20" i="9"/>
  <c r="T20" i="9"/>
  <c r="Q21" i="9"/>
  <c r="R21" i="9"/>
  <c r="S21" i="9"/>
  <c r="T21" i="9"/>
  <c r="Q22" i="9"/>
  <c r="R22" i="9"/>
  <c r="S22" i="9"/>
  <c r="T22" i="9"/>
  <c r="P23" i="9"/>
  <c r="Q23" i="9"/>
  <c r="R23" i="9"/>
  <c r="S23" i="9"/>
  <c r="T23" i="9"/>
  <c r="Q24" i="9"/>
  <c r="R24" i="9"/>
  <c r="S24" i="9"/>
  <c r="T24" i="9"/>
  <c r="Q25" i="9"/>
  <c r="R25" i="9"/>
  <c r="S25" i="9"/>
  <c r="T25" i="9"/>
  <c r="Q26" i="9"/>
  <c r="R26" i="9"/>
  <c r="S26" i="9"/>
  <c r="T26" i="9"/>
  <c r="Q28" i="9"/>
  <c r="R28" i="9"/>
  <c r="S28" i="9"/>
  <c r="T28" i="9"/>
  <c r="Q29" i="9"/>
  <c r="R29" i="9"/>
  <c r="S29" i="9"/>
  <c r="T29" i="9"/>
  <c r="Q30" i="9"/>
  <c r="R30" i="9"/>
  <c r="S30" i="9"/>
  <c r="T30" i="9"/>
  <c r="P31" i="9"/>
  <c r="Q31" i="9"/>
  <c r="R31" i="9"/>
  <c r="S31" i="9"/>
  <c r="T31" i="9"/>
  <c r="Q32" i="9"/>
  <c r="R32" i="9"/>
  <c r="S32" i="9"/>
  <c r="T32" i="9"/>
  <c r="Q33" i="9"/>
  <c r="R33" i="9"/>
  <c r="S33" i="9"/>
  <c r="T33" i="9"/>
  <c r="Q34" i="9"/>
  <c r="R34" i="9"/>
  <c r="S34" i="9"/>
  <c r="T34" i="9"/>
  <c r="P35" i="9"/>
  <c r="Q35" i="9"/>
  <c r="R35" i="9"/>
  <c r="S35" i="9"/>
  <c r="T35" i="9"/>
  <c r="Q37" i="9"/>
  <c r="R37" i="9"/>
  <c r="S37" i="9"/>
  <c r="T37" i="9"/>
  <c r="Q38" i="9"/>
  <c r="R38" i="9"/>
  <c r="S38" i="9"/>
  <c r="T38" i="9"/>
  <c r="P39" i="9"/>
  <c r="Q39" i="9"/>
  <c r="R39" i="9"/>
  <c r="S39" i="9"/>
  <c r="T39" i="9"/>
  <c r="Q40" i="9"/>
  <c r="R40" i="9"/>
  <c r="S40" i="9"/>
  <c r="T40" i="9"/>
  <c r="P20" i="9"/>
  <c r="Q45" i="9"/>
  <c r="R45" i="9"/>
  <c r="S45" i="9"/>
  <c r="T45" i="9"/>
  <c r="Q46" i="9"/>
  <c r="R46" i="9"/>
  <c r="S46" i="9"/>
  <c r="T46" i="9"/>
  <c r="Q47" i="9"/>
  <c r="R47" i="9"/>
  <c r="S47" i="9"/>
  <c r="T47" i="9"/>
  <c r="P48" i="9"/>
  <c r="Q48" i="9"/>
  <c r="R48" i="9"/>
  <c r="S48" i="9"/>
  <c r="T48" i="9"/>
  <c r="Q49" i="9"/>
  <c r="R49" i="9"/>
  <c r="S49" i="9"/>
  <c r="R50" i="9"/>
  <c r="S50" i="9"/>
  <c r="P51" i="9"/>
  <c r="Q51" i="9"/>
  <c r="R51" i="9"/>
  <c r="S51" i="9"/>
  <c r="T51" i="9"/>
  <c r="T52" i="9"/>
  <c r="Q53" i="9"/>
  <c r="R53" i="9"/>
  <c r="S53" i="9"/>
  <c r="T53" i="9"/>
  <c r="P45" i="9"/>
  <c r="P56" i="9"/>
  <c r="Q56" i="9"/>
  <c r="R56" i="9"/>
  <c r="S56" i="9"/>
  <c r="Q57" i="9"/>
  <c r="R57" i="9"/>
  <c r="S57" i="9"/>
  <c r="T57" i="9"/>
  <c r="Q58" i="9"/>
  <c r="R58" i="9"/>
  <c r="S58" i="9"/>
  <c r="T58" i="9"/>
  <c r="Q59" i="9"/>
  <c r="R59" i="9"/>
  <c r="S59" i="9"/>
  <c r="T59" i="9"/>
  <c r="P60" i="9"/>
  <c r="Q60" i="9"/>
  <c r="R60" i="9"/>
  <c r="Q61" i="9"/>
  <c r="R61" i="9"/>
  <c r="S61" i="9"/>
  <c r="T61" i="9"/>
  <c r="Q62" i="9"/>
  <c r="R62" i="9"/>
  <c r="S62" i="9"/>
  <c r="T62" i="9"/>
  <c r="Q63" i="9"/>
  <c r="R63" i="9"/>
  <c r="S63" i="9"/>
  <c r="T63" i="9"/>
  <c r="P64" i="9"/>
  <c r="Q64" i="9"/>
  <c r="R64" i="9"/>
  <c r="S64" i="9"/>
  <c r="T64" i="9"/>
  <c r="Q65" i="9"/>
  <c r="R65" i="9"/>
  <c r="S65" i="9"/>
  <c r="T65" i="9"/>
  <c r="Q66" i="9"/>
  <c r="R66" i="9"/>
  <c r="S66" i="9"/>
  <c r="T66" i="9"/>
  <c r="Q67" i="9"/>
  <c r="R67" i="9"/>
  <c r="S67" i="9"/>
  <c r="T67" i="9"/>
  <c r="P68" i="9"/>
  <c r="Q68" i="9"/>
  <c r="R68" i="9"/>
  <c r="T68" i="9"/>
  <c r="Q69" i="9"/>
  <c r="R69" i="9"/>
  <c r="S69" i="9"/>
  <c r="T69" i="9"/>
  <c r="Q70" i="9"/>
  <c r="R70" i="9"/>
  <c r="S70" i="9"/>
  <c r="T70" i="9"/>
  <c r="Q71" i="9"/>
  <c r="R71" i="9"/>
  <c r="S71" i="9"/>
  <c r="T71" i="9"/>
  <c r="Q72" i="9"/>
  <c r="R72" i="9"/>
  <c r="S72" i="9"/>
  <c r="T72" i="9"/>
  <c r="Q73" i="9"/>
  <c r="R73" i="9"/>
  <c r="S73" i="9"/>
  <c r="T73" i="9"/>
  <c r="Q75" i="9"/>
  <c r="R75" i="9"/>
  <c r="S75" i="9"/>
  <c r="T75" i="9"/>
  <c r="P57" i="9"/>
  <c r="Q79" i="9"/>
  <c r="S79" i="9"/>
  <c r="T79" i="9"/>
  <c r="Q80" i="9"/>
  <c r="R80" i="9"/>
  <c r="S80" i="9"/>
  <c r="T80" i="9"/>
  <c r="P79" i="9"/>
  <c r="Q83" i="9"/>
  <c r="R83" i="9"/>
  <c r="S83" i="9"/>
  <c r="T83" i="9"/>
  <c r="Q84" i="9"/>
  <c r="R84" i="9"/>
  <c r="S84" i="9"/>
  <c r="T84" i="9"/>
  <c r="Q85" i="9"/>
  <c r="R85" i="9"/>
  <c r="S85" i="9"/>
  <c r="T85" i="9"/>
  <c r="P86" i="9"/>
  <c r="Q86" i="9"/>
  <c r="R86" i="9"/>
  <c r="S86" i="9"/>
  <c r="T86" i="9"/>
  <c r="Q87" i="9"/>
  <c r="R87" i="9"/>
  <c r="S87" i="9"/>
  <c r="T87" i="9"/>
  <c r="Q88" i="9"/>
  <c r="R88" i="9"/>
  <c r="T88" i="9"/>
  <c r="Q89" i="9"/>
  <c r="R89" i="9"/>
  <c r="S89" i="9"/>
  <c r="T89" i="9"/>
  <c r="P90" i="9"/>
  <c r="R90" i="9"/>
  <c r="S90" i="9"/>
  <c r="T90" i="9"/>
  <c r="Q91" i="9"/>
  <c r="R91" i="9"/>
  <c r="S91" i="9"/>
  <c r="T91" i="9"/>
  <c r="Q92" i="9"/>
  <c r="R92" i="9"/>
  <c r="S92" i="9"/>
  <c r="T92" i="9"/>
  <c r="Q93" i="9"/>
  <c r="R93" i="9"/>
  <c r="S93" i="9"/>
  <c r="T93" i="9"/>
  <c r="P94" i="9"/>
  <c r="Q94" i="9"/>
  <c r="S94" i="9"/>
  <c r="T94" i="9"/>
  <c r="Q95" i="9"/>
  <c r="R95" i="9"/>
  <c r="S95" i="9"/>
  <c r="T95" i="9"/>
  <c r="Q96" i="9"/>
  <c r="R96" i="9"/>
  <c r="S96" i="9"/>
  <c r="T96" i="9"/>
  <c r="Q97" i="9"/>
  <c r="R97" i="9"/>
  <c r="S97" i="9"/>
  <c r="T97" i="9"/>
  <c r="P98" i="9"/>
  <c r="R98" i="9"/>
  <c r="S98" i="9"/>
  <c r="T98" i="9"/>
  <c r="Q99" i="9"/>
  <c r="R99" i="9"/>
  <c r="S99" i="9"/>
  <c r="T99" i="9"/>
  <c r="Q100" i="9"/>
  <c r="R100" i="9"/>
  <c r="S100" i="9"/>
  <c r="T100" i="9"/>
  <c r="R101" i="9"/>
  <c r="P102" i="9"/>
  <c r="Q102" i="9"/>
  <c r="R102" i="9"/>
  <c r="S102" i="9"/>
  <c r="T102" i="9"/>
  <c r="Q103" i="9"/>
  <c r="R103" i="9"/>
  <c r="S103" i="9"/>
  <c r="T103" i="9"/>
  <c r="Q106" i="9"/>
  <c r="S106" i="9"/>
  <c r="Q107" i="9"/>
  <c r="R107" i="9"/>
  <c r="S107" i="9"/>
  <c r="T107" i="9"/>
  <c r="Q108" i="9"/>
  <c r="R108" i="9"/>
  <c r="S108" i="9"/>
  <c r="T108" i="9"/>
  <c r="Q109" i="9"/>
  <c r="R109" i="9"/>
  <c r="S109" i="9"/>
  <c r="T109" i="9"/>
  <c r="Q110" i="9"/>
  <c r="R110" i="9"/>
  <c r="S110" i="9"/>
  <c r="T110" i="9"/>
  <c r="O111" i="9"/>
  <c r="P107" i="9" s="1"/>
  <c r="P110" i="9" l="1"/>
  <c r="P106" i="9"/>
  <c r="P7" i="9"/>
  <c r="P109" i="9"/>
  <c r="P101" i="9"/>
  <c r="P97" i="9"/>
  <c r="P93" i="9"/>
  <c r="P89" i="9"/>
  <c r="P85" i="9"/>
  <c r="P71" i="9"/>
  <c r="P67" i="9"/>
  <c r="P63" i="9"/>
  <c r="P59" i="9"/>
  <c r="P47" i="9"/>
  <c r="P38" i="9"/>
  <c r="P34" i="9"/>
  <c r="P30" i="9"/>
  <c r="P26" i="9"/>
  <c r="P22" i="9"/>
  <c r="P14" i="9"/>
  <c r="P10" i="9"/>
  <c r="P15" i="9"/>
  <c r="P11" i="9"/>
  <c r="P108" i="9"/>
  <c r="P100" i="9"/>
  <c r="P96" i="9"/>
  <c r="P92" i="9"/>
  <c r="P88" i="9"/>
  <c r="P84" i="9"/>
  <c r="P80" i="9"/>
  <c r="P75" i="9"/>
  <c r="P70" i="9"/>
  <c r="P66" i="9"/>
  <c r="P62" i="9"/>
  <c r="P58" i="9"/>
  <c r="P46" i="9"/>
  <c r="P37" i="9"/>
  <c r="P33" i="9"/>
  <c r="P29" i="9"/>
  <c r="P25" i="9"/>
  <c r="P21" i="9"/>
  <c r="P13" i="9"/>
  <c r="P9" i="9"/>
  <c r="P103" i="9"/>
  <c r="P99" i="9"/>
  <c r="P95" i="9"/>
  <c r="P91" i="9"/>
  <c r="P87" i="9"/>
  <c r="P73" i="9"/>
  <c r="P69" i="9"/>
  <c r="P65" i="9"/>
  <c r="P61" i="9"/>
  <c r="P53" i="9"/>
  <c r="P49" i="9"/>
  <c r="P40" i="9"/>
  <c r="P36" i="9"/>
  <c r="P32" i="9"/>
  <c r="P28" i="9"/>
  <c r="P24" i="9"/>
  <c r="P17" i="9"/>
  <c r="P12" i="9"/>
  <c r="P8" i="9"/>
  <c r="X112" i="9"/>
  <c r="W112" i="9"/>
  <c r="V112" i="9"/>
  <c r="U112" i="9"/>
  <c r="N112" i="9"/>
  <c r="M112" i="9"/>
  <c r="L112" i="9"/>
  <c r="K112" i="9"/>
  <c r="J112" i="9"/>
  <c r="I112" i="9"/>
  <c r="H112" i="9"/>
  <c r="G112" i="9"/>
  <c r="F112" i="9"/>
  <c r="E112" i="9"/>
  <c r="D112" i="9"/>
  <c r="O112" i="9" l="1"/>
  <c r="P43" i="9" l="1"/>
  <c r="P54" i="9"/>
  <c r="P76" i="9"/>
  <c r="P81" i="9"/>
  <c r="P111" i="9"/>
  <c r="P104" i="9"/>
</calcChain>
</file>

<file path=xl/sharedStrings.xml><?xml version="1.0" encoding="utf-8"?>
<sst xmlns="http://schemas.openxmlformats.org/spreadsheetml/2006/main" count="235" uniqueCount="165">
  <si>
    <t>EQUITY BASED FUNDS</t>
  </si>
  <si>
    <t>Stanbic IBTC Asset Mgt. Limited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</si>
  <si>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</si>
  <si>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</si>
  <si>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</si>
  <si>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</si>
  <si>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</si>
  <si>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</si>
  <si>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United Capital Asset Mgt. Ltd</t>
  </si>
  <si>
    <t>ARM Aggressive Growth Fund</t>
  </si>
  <si>
    <t>Stanbic IBTC Balanced Fund</t>
  </si>
  <si>
    <t>FBN Capital Asset Mgt</t>
  </si>
  <si>
    <t>Meristem Wealth Management Limited</t>
  </si>
  <si>
    <t>Meristem Equity Market Fund</t>
  </si>
  <si>
    <t>MONEY MARKET FUNDS</t>
  </si>
  <si>
    <t>Stanbic IBTC Money Market Fund</t>
  </si>
  <si>
    <t>FBN Money Market Fund</t>
  </si>
  <si>
    <t>AIICO Capital Ltd</t>
  </si>
  <si>
    <t>ARM Money Market Fund</t>
  </si>
  <si>
    <t>Meristem Money Market Fund</t>
  </si>
  <si>
    <t>BOND FUNDS</t>
  </si>
  <si>
    <t>Stanbic IBTC Bond Fund</t>
  </si>
  <si>
    <t>Nigeria International Debt Fund</t>
  </si>
  <si>
    <t>FBN Fixed Income Fund</t>
  </si>
  <si>
    <t>FIXED INCOME FUNDS</t>
  </si>
  <si>
    <t>FSDH Asset Management Ltd</t>
  </si>
  <si>
    <t>Coral Income Fund</t>
  </si>
  <si>
    <t>Investment One Funds Management Limited</t>
  </si>
  <si>
    <t>Vantage Guaranteed Income Fund</t>
  </si>
  <si>
    <t>Zenith Asset Management Ltd</t>
  </si>
  <si>
    <t>SFS Capital Nigeria Ltd</t>
  </si>
  <si>
    <t>SFS Fixed Income Fund</t>
  </si>
  <si>
    <t>REAL ESTATE FUNDS</t>
  </si>
  <si>
    <t>Union Homes REITS</t>
  </si>
  <si>
    <t>UPDC Real Estate Investment Fund</t>
  </si>
  <si>
    <t>MIXED FUNDS</t>
  </si>
  <si>
    <t>Women Investment Fund</t>
  </si>
  <si>
    <t>ARM Discovery Fund</t>
  </si>
  <si>
    <t>Zenith Equity Fund</t>
  </si>
  <si>
    <t>FBN Capital Asset Mgt. Limited</t>
  </si>
  <si>
    <t>Afrinvest Equity Fund</t>
  </si>
  <si>
    <t>Alternative Cap. Partners Ltd</t>
  </si>
  <si>
    <t>ACAP Canary Growth Fund</t>
  </si>
  <si>
    <t>Coral Growth Fund</t>
  </si>
  <si>
    <t>Nigeria Energy Sector Fund</t>
  </si>
  <si>
    <t>Vantage Balanced Fund</t>
  </si>
  <si>
    <t>PACAM Balanced Fund</t>
  </si>
  <si>
    <t>Zenith Ethical Fund</t>
  </si>
  <si>
    <t>Lotus Capital Limited</t>
  </si>
  <si>
    <t>Lotus Halal Inv. Fund</t>
  </si>
  <si>
    <t>Stanbic IBTC Ethical Fund</t>
  </si>
  <si>
    <t>ARM Ethical Fund</t>
  </si>
  <si>
    <t>S/NO</t>
  </si>
  <si>
    <t>TOTAL LIABILITIES (N)</t>
  </si>
  <si>
    <t xml:space="preserve">TOTAL VALUE OF INVESTMENT (N)               </t>
  </si>
  <si>
    <t>EQUITIES</t>
  </si>
  <si>
    <t>BONDS</t>
  </si>
  <si>
    <t>REAL ESTATE</t>
  </si>
  <si>
    <t>OTHERS</t>
  </si>
  <si>
    <t>MONEY MARKET</t>
  </si>
  <si>
    <t>Sub Total</t>
  </si>
  <si>
    <t>Grand Total</t>
  </si>
  <si>
    <t xml:space="preserve">ARM Investment Managers Limited </t>
  </si>
  <si>
    <t>FBN Nigeria Smart Beta Equity Fund</t>
  </si>
  <si>
    <t>PAC Asset Management Ltd.</t>
  </si>
  <si>
    <t>Afrinvest Asset Management Ltd.</t>
  </si>
  <si>
    <t>TOTAL EXPENSES (N)</t>
  </si>
  <si>
    <t>EXPENSE RATIO (%)</t>
  </si>
  <si>
    <t>% ON TOTAL</t>
  </si>
  <si>
    <t>ETHICAL FUNDS</t>
  </si>
  <si>
    <t>Stanbic IBTC Conservative Fund (Sub Fund)</t>
  </si>
  <si>
    <t>Stanbic IBTC Absolute Fund (Sub Fund)</t>
  </si>
  <si>
    <t>Stanbic IBTC Aggressive Fund (Sub Fund)</t>
  </si>
  <si>
    <t>Lotus Halal Fixed Income Fund</t>
  </si>
  <si>
    <t>Cordros Asset Management Limited</t>
  </si>
  <si>
    <t>Cordros Money Market Fund</t>
  </si>
  <si>
    <t>PACAM Fixed Income Fund</t>
  </si>
  <si>
    <t>AXA Mansard Investments Limited</t>
  </si>
  <si>
    <t>AXA Mansard Equity Income Fund</t>
  </si>
  <si>
    <t xml:space="preserve"> AXA Mansard Investments Limited </t>
  </si>
  <si>
    <t>PACAM Money Market Fund</t>
  </si>
  <si>
    <t>UNQUOTED EQUITIES</t>
  </si>
  <si>
    <t>Stanbic IBTC Imaan Fund</t>
  </si>
  <si>
    <t>Kedari Investment Fund</t>
  </si>
  <si>
    <t>Abacus Money Market Fund</t>
  </si>
  <si>
    <t>EDC Fund Management</t>
  </si>
  <si>
    <t>EDC Money Market ClassA</t>
  </si>
  <si>
    <t xml:space="preserve">Greenwich Asst Management Ltd </t>
  </si>
  <si>
    <t>Stanbic IBTC Dollar Fund</t>
  </si>
  <si>
    <t>EDC Nigeria Fixed Income Fund</t>
  </si>
  <si>
    <t>Lead Asset Mgt Ltd</t>
  </si>
  <si>
    <t xml:space="preserve">Lead Fixed Income Fund </t>
  </si>
  <si>
    <t>ACAP Income Fund(Fmrl BGL Nubian)</t>
  </si>
  <si>
    <t>Capital Express Assset &amp; Trust Limited</t>
  </si>
  <si>
    <t>Wealth For Women Fund</t>
  </si>
  <si>
    <t>Nigerian Eurobond Fund</t>
  </si>
  <si>
    <t>EDC Money Market Class B</t>
  </si>
  <si>
    <t>Chapel Hill Denham Money Market Fund(Frml NGIF)</t>
  </si>
  <si>
    <t>CEAT Fixed Income Fund(Frml BGL Sapphire)</t>
  </si>
  <si>
    <t>AIICO money market fund</t>
  </si>
  <si>
    <t>Coronation Asset Management Limited</t>
  </si>
  <si>
    <t>Coronation Money Market Fund</t>
  </si>
  <si>
    <t>Coronation Fixed Income Fund</t>
  </si>
  <si>
    <t>Greenwich Plus Money Market</t>
  </si>
  <si>
    <t>AIICO Balanced Fund</t>
  </si>
  <si>
    <t>Coronation Balanced Fund</t>
  </si>
  <si>
    <t>Zenith Money Market Fund</t>
  </si>
  <si>
    <t>Zenith Income Fund</t>
  </si>
  <si>
    <t>Cordros Milestone Fune 2023</t>
  </si>
  <si>
    <t>Cordros Milestone Fune 2028</t>
  </si>
  <si>
    <t>Afrinvest Plutus Fund</t>
  </si>
  <si>
    <t>Valualliance Asset Management Limited</t>
  </si>
  <si>
    <t>Valualliance Value Fund</t>
  </si>
  <si>
    <t>Nigeria Entertainment Fund</t>
  </si>
  <si>
    <t>United Capital Bond Fund</t>
  </si>
  <si>
    <t>United Capital Equity Fund</t>
  </si>
  <si>
    <t>United Capital Money Market Fund</t>
  </si>
  <si>
    <t>United Capital Balanced Fund</t>
  </si>
  <si>
    <t>Legacy USD Bond Fund</t>
  </si>
  <si>
    <t>Legacy Debt(formerly Short Maturity) Fund</t>
  </si>
  <si>
    <t xml:space="preserve">Growth and Development Asset Management Limited </t>
  </si>
  <si>
    <t>GDL Money Market Fund</t>
  </si>
  <si>
    <t>Stanbic IBTC Nigerian Equity Fund</t>
  </si>
  <si>
    <t>FBN Nigeria Eurobond (USD) Fund - Retail</t>
  </si>
  <si>
    <t>FBN Nigeria Eurobond (USD) Fund - Institutional</t>
  </si>
  <si>
    <t>Union Trustees Mixed Fund</t>
  </si>
  <si>
    <t>Vantage Dollar Fund</t>
  </si>
  <si>
    <t>Vantage Equity Income Fund</t>
  </si>
  <si>
    <t>Return on Equity (RoE)</t>
  </si>
  <si>
    <t>Net Asset Per Unit</t>
  </si>
  <si>
    <t>FUND MANAGER</t>
  </si>
  <si>
    <t>FUND</t>
  </si>
  <si>
    <t>NUMBER OF UNITS</t>
  </si>
  <si>
    <t>NUMBER OF UNIT HOLDERS</t>
  </si>
  <si>
    <t>AXA Mansard Money Market Fund</t>
  </si>
  <si>
    <t>NET ASSET VALUE  (N)</t>
  </si>
  <si>
    <t>Earnings Per Unit (EPU)</t>
  </si>
  <si>
    <t>BID PRICE (N)</t>
  </si>
  <si>
    <t>OFFER PRICE (N)</t>
  </si>
  <si>
    <t>GROSS ASSET VALUE (N)</t>
  </si>
  <si>
    <t>NET INCOME/LOSS</t>
  </si>
  <si>
    <t>Legacy Money Market Fund</t>
  </si>
  <si>
    <t>Pacam Equity Fund</t>
  </si>
  <si>
    <t>FBN Balanced Fund</t>
  </si>
  <si>
    <t>Pacam Eurobond Fund</t>
  </si>
  <si>
    <t>Stanbic IBTC Shariah Fixed Income Fund</t>
  </si>
  <si>
    <t>Vetiva Fund Managers Limited</t>
  </si>
  <si>
    <t>Vetiva Money Market Fund</t>
  </si>
  <si>
    <t>First Allay Asset Management Limited</t>
  </si>
  <si>
    <t>First Allay Asset Management Money Market Fund</t>
  </si>
  <si>
    <t>Global Asset Management Nig. Ltd</t>
  </si>
  <si>
    <t>Continental Unit Trust Fund (Inactive)</t>
  </si>
  <si>
    <t>FSDH Treasury Bill Fund</t>
  </si>
  <si>
    <t xml:space="preserve"> </t>
  </si>
  <si>
    <t xml:space="preserve">Lead Balanced Fund </t>
  </si>
  <si>
    <t>SFS Real Estate Investment Trust Fund</t>
  </si>
  <si>
    <t xml:space="preserve">  </t>
  </si>
  <si>
    <t>Anchoria Money Market Fund</t>
  </si>
  <si>
    <t>Anchoria Asset Management Limited</t>
  </si>
  <si>
    <t>Anchoria Equity Fund</t>
  </si>
  <si>
    <t>Anchoria Fixed Income Fund</t>
  </si>
  <si>
    <t>42a</t>
  </si>
  <si>
    <t>42b</t>
  </si>
  <si>
    <t>2O9,771,634.27</t>
  </si>
  <si>
    <t>SCHEDULE OF REGISTERED UNIT TRUST SCHEMES AS AT 31ST DECEMBER,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</si>
</sst>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b/>
      <sz val="26"/>
      <color rgb="FFFF0000"/>
      <name val="Trebuchet MS"/>
      <family val="2"/>
    </font>
    <font>
      <i/>
      <sz val="8"/>
      <color theme="1"/>
      <name val="Arial Narrow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 Narrow"/>
      <family val="2"/>
    </font>
    <font>
      <sz val="11"/>
      <name val="Calibri"/>
      <family val="2"/>
      <scheme val="minor"/>
    </font>
    <font>
      <sz val="8"/>
      <color rgb="FFFF0000"/>
      <name val="Trebuchet MS"/>
      <family val="2"/>
    </font>
    <font>
      <b/>
      <sz val="8"/>
      <name val="Trebuchet MS"/>
      <family val="2"/>
    </font>
    <font>
      <b/>
      <sz val="8"/>
      <color rgb="FFFF0000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7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1">
    <xf numFmtId="0" fontId="0" fillId="0" borderId="0" xfId="0"/>
    <xf numFmtId="43" fontId="4" fillId="0" borderId="1" xfId="1" applyFont="1" applyBorder="1"/>
    <xf numFmtId="43" fontId="4" fillId="3" borderId="1" xfId="1" applyFont="1" applyFill="1" applyBorder="1"/>
    <xf numFmtId="43" fontId="4" fillId="5" borderId="1" xfId="1" applyFont="1" applyFill="1" applyBorder="1"/>
    <xf numFmtId="43" fontId="2" fillId="0" borderId="1" xfId="1" applyFont="1" applyBorder="1"/>
    <xf numFmtId="43" fontId="2" fillId="3" borderId="1" xfId="1" applyFont="1" applyFill="1" applyBorder="1"/>
    <xf numFmtId="43" fontId="4" fillId="0" borderId="1" xfId="1" applyFont="1" applyBorder="1" applyAlignment="1">
      <alignment wrapText="1"/>
    </xf>
    <xf numFmtId="43" fontId="3" fillId="5" borderId="1" xfId="1" applyFont="1" applyFill="1" applyBorder="1"/>
    <xf numFmtId="43" fontId="3" fillId="0" borderId="1" xfId="1" applyFont="1" applyBorder="1"/>
    <xf numFmtId="10" fontId="4" fillId="7" borderId="1" xfId="2" applyNumberFormat="1" applyFont="1" applyFill="1" applyBorder="1"/>
    <xf numFmtId="10" fontId="3" fillId="7" borderId="1" xfId="2" applyNumberFormat="1" applyFont="1" applyFill="1" applyBorder="1"/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10" fontId="4" fillId="4" borderId="1" xfId="2" applyNumberFormat="1" applyFont="1" applyFill="1" applyBorder="1" applyAlignment="1">
      <alignment horizontal="right" vertical="center"/>
    </xf>
    <xf numFmtId="0" fontId="8" fillId="0" borderId="0" xfId="0" applyFont="1"/>
    <xf numFmtId="43" fontId="4" fillId="0" borderId="1" xfId="1" applyFont="1" applyFill="1" applyBorder="1"/>
    <xf numFmtId="0" fontId="0" fillId="2" borderId="0" xfId="0" applyFill="1" applyBorder="1"/>
    <xf numFmtId="43" fontId="4" fillId="2" borderId="0" xfId="1" applyFont="1" applyFill="1" applyBorder="1"/>
    <xf numFmtId="4" fontId="0" fillId="0" borderId="0" xfId="0" applyNumberFormat="1"/>
    <xf numFmtId="4" fontId="4" fillId="0" borderId="1" xfId="0" applyNumberFormat="1" applyFont="1" applyBorder="1"/>
    <xf numFmtId="10" fontId="2" fillId="7" borderId="1" xfId="2" applyNumberFormat="1" applyFont="1" applyFill="1" applyBorder="1"/>
    <xf numFmtId="43" fontId="2" fillId="5" borderId="1" xfId="1" applyFont="1" applyFill="1" applyBorder="1"/>
    <xf numFmtId="0" fontId="4" fillId="0" borderId="1" xfId="0" applyFont="1" applyBorder="1"/>
    <xf numFmtId="43" fontId="4" fillId="0" borderId="0" xfId="1" applyFont="1" applyBorder="1"/>
    <xf numFmtId="43" fontId="0" fillId="0" borderId="0" xfId="1" applyFont="1"/>
    <xf numFmtId="43" fontId="0" fillId="0" borderId="0" xfId="0" applyNumberFormat="1"/>
    <xf numFmtId="43" fontId="3" fillId="0" borderId="0" xfId="1" applyFont="1" applyBorder="1"/>
    <xf numFmtId="0" fontId="11" fillId="0" borderId="0" xfId="0" applyFont="1" applyBorder="1"/>
    <xf numFmtId="43" fontId="2" fillId="0" borderId="1" xfId="1" applyFont="1" applyBorder="1" applyAlignment="1">
      <alignment wrapText="1"/>
    </xf>
    <xf numFmtId="164" fontId="0" fillId="0" borderId="0" xfId="0" applyNumberFormat="1"/>
    <xf numFmtId="10" fontId="2" fillId="4" borderId="1" xfId="2" applyNumberFormat="1" applyFont="1" applyFill="1" applyBorder="1" applyAlignment="1">
      <alignment horizontal="right" vertical="center"/>
    </xf>
    <xf numFmtId="0" fontId="12" fillId="0" borderId="0" xfId="0" applyFont="1"/>
    <xf numFmtId="0" fontId="0" fillId="0" borderId="6" xfId="0" applyBorder="1"/>
    <xf numFmtId="0" fontId="0" fillId="0" borderId="0" xfId="0" applyBorder="1"/>
    <xf numFmtId="43" fontId="4" fillId="2" borderId="1" xfId="1" applyFont="1" applyFill="1" applyBorder="1"/>
    <xf numFmtId="43" fontId="4" fillId="4" borderId="1" xfId="1" applyFont="1" applyFill="1" applyBorder="1" applyAlignment="1">
      <alignment horizontal="right" vertical="center"/>
    </xf>
    <xf numFmtId="4" fontId="4" fillId="5" borderId="1" xfId="0" applyNumberFormat="1" applyFont="1" applyFill="1" applyBorder="1"/>
    <xf numFmtId="0" fontId="16" fillId="4" borderId="2" xfId="0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top" wrapText="1"/>
    </xf>
    <xf numFmtId="0" fontId="16" fillId="4" borderId="8" xfId="0" applyFont="1" applyFill="1" applyBorder="1" applyAlignment="1">
      <alignment horizontal="center" vertical="top" wrapText="1"/>
    </xf>
    <xf numFmtId="10" fontId="15" fillId="7" borderId="1" xfId="2" applyNumberFormat="1" applyFont="1" applyFill="1" applyBorder="1"/>
    <xf numFmtId="165" fontId="4" fillId="0" borderId="1" xfId="1" applyNumberFormat="1" applyFont="1" applyBorder="1"/>
    <xf numFmtId="165" fontId="4" fillId="0" borderId="1" xfId="1" quotePrefix="1" applyNumberFormat="1" applyFont="1" applyBorder="1" applyAlignment="1">
      <alignment horizontal="center" wrapText="1"/>
    </xf>
    <xf numFmtId="165" fontId="2" fillId="0" borderId="1" xfId="1" applyNumberFormat="1" applyFont="1" applyBorder="1"/>
    <xf numFmtId="0" fontId="17" fillId="3" borderId="9" xfId="0" applyFont="1" applyFill="1" applyBorder="1" applyAlignment="1">
      <alignment vertical="top" wrapText="1"/>
    </xf>
    <xf numFmtId="0" fontId="17" fillId="3" borderId="7" xfId="0" applyFont="1" applyFill="1" applyBorder="1" applyAlignment="1">
      <alignment vertical="top" wrapText="1"/>
    </xf>
    <xf numFmtId="0" fontId="17" fillId="3" borderId="10" xfId="0" applyFont="1" applyFill="1" applyBorder="1" applyAlignment="1">
      <alignment vertical="top" wrapText="1"/>
    </xf>
    <xf numFmtId="43" fontId="4" fillId="8" borderId="1" xfId="1" applyFont="1" applyFill="1" applyBorder="1"/>
    <xf numFmtId="4" fontId="4" fillId="8" borderId="1" xfId="0" applyNumberFormat="1" applyFont="1" applyFill="1" applyBorder="1"/>
    <xf numFmtId="43" fontId="2" fillId="8" borderId="1" xfId="1" applyFont="1" applyFill="1" applyBorder="1"/>
    <xf numFmtId="165" fontId="4" fillId="0" borderId="1" xfId="1" applyNumberFormat="1" applyFont="1" applyBorder="1" applyAlignment="1">
      <alignment horizontal="center" wrapText="1"/>
    </xf>
    <xf numFmtId="43" fontId="13" fillId="2" borderId="1" xfId="1" applyFont="1" applyFill="1" applyBorder="1" applyAlignment="1">
      <alignment vertical="center" wrapText="1"/>
    </xf>
    <xf numFmtId="43" fontId="13" fillId="2" borderId="1" xfId="1" applyFont="1" applyFill="1" applyBorder="1"/>
    <xf numFmtId="165" fontId="13" fillId="2" borderId="1" xfId="1" applyNumberFormat="1" applyFont="1" applyFill="1" applyBorder="1"/>
    <xf numFmtId="43" fontId="4" fillId="0" borderId="1" xfId="1" applyFont="1" applyBorder="1" applyAlignment="1">
      <alignment vertical="center" wrapText="1"/>
    </xf>
    <xf numFmtId="43" fontId="4" fillId="0" borderId="1" xfId="1" applyFont="1" applyBorder="1" applyAlignment="1">
      <alignment vertical="top" wrapText="1"/>
    </xf>
    <xf numFmtId="43" fontId="4" fillId="3" borderId="1" xfId="1" applyFont="1" applyFill="1" applyBorder="1" applyAlignment="1">
      <alignment wrapText="1"/>
    </xf>
    <xf numFmtId="43" fontId="2" fillId="2" borderId="1" xfId="1" applyFont="1" applyFill="1" applyBorder="1" applyAlignment="1">
      <alignment wrapText="1"/>
    </xf>
    <xf numFmtId="43" fontId="2" fillId="0" borderId="1" xfId="1" applyFont="1" applyBorder="1" applyAlignment="1">
      <alignment horizontal="right"/>
    </xf>
    <xf numFmtId="43" fontId="2" fillId="2" borderId="1" xfId="1" applyFont="1" applyFill="1" applyBorder="1"/>
    <xf numFmtId="43" fontId="2" fillId="2" borderId="1" xfId="1" applyFont="1" applyFill="1" applyBorder="1" applyAlignment="1">
      <alignment vertical="top" wrapText="1"/>
    </xf>
    <xf numFmtId="43" fontId="14" fillId="0" borderId="1" xfId="1" applyFont="1" applyBorder="1" applyAlignment="1">
      <alignment horizontal="right"/>
    </xf>
    <xf numFmtId="43" fontId="2" fillId="0" borderId="1" xfId="1" applyFont="1" applyBorder="1" applyAlignment="1">
      <alignment vertical="center" wrapText="1"/>
    </xf>
    <xf numFmtId="0" fontId="0" fillId="3" borderId="0" xfId="0" applyFill="1"/>
    <xf numFmtId="43" fontId="4" fillId="0" borderId="1" xfId="1" applyNumberFormat="1" applyFont="1" applyBorder="1"/>
    <xf numFmtId="165" fontId="4" fillId="2" borderId="1" xfId="1" applyNumberFormat="1" applyFont="1" applyFill="1" applyBorder="1"/>
    <xf numFmtId="0" fontId="0" fillId="2" borderId="0" xfId="0" applyFill="1"/>
    <xf numFmtId="43" fontId="4" fillId="2" borderId="1" xfId="1" applyFont="1" applyFill="1" applyBorder="1" applyAlignment="1">
      <alignment wrapText="1"/>
    </xf>
    <xf numFmtId="43" fontId="2" fillId="4" borderId="1" xfId="1" applyFont="1" applyFill="1" applyBorder="1" applyAlignment="1">
      <alignment horizontal="right" vertical="center"/>
    </xf>
    <xf numFmtId="4" fontId="4" fillId="2" borderId="1" xfId="0" applyNumberFormat="1" applyFont="1" applyFill="1" applyBorder="1"/>
    <xf numFmtId="2" fontId="4" fillId="2" borderId="1" xfId="0" applyNumberFormat="1" applyFont="1" applyFill="1" applyBorder="1"/>
    <xf numFmtId="0" fontId="4" fillId="2" borderId="1" xfId="0" applyFont="1" applyFill="1" applyBorder="1"/>
    <xf numFmtId="165" fontId="4" fillId="2" borderId="1" xfId="0" applyNumberFormat="1" applyFont="1" applyFill="1" applyBorder="1"/>
    <xf numFmtId="165" fontId="2" fillId="2" borderId="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4" fillId="3" borderId="1" xfId="0" applyFont="1" applyFill="1" applyBorder="1" applyAlignment="1">
      <alignment horizontal="left" vertical="top" wrapText="1"/>
    </xf>
    <xf numFmtId="165" fontId="4" fillId="2" borderId="1" xfId="1" applyNumberFormat="1" applyFont="1" applyFill="1" applyBorder="1" applyAlignment="1">
      <alignment horizontal="center" wrapText="1"/>
    </xf>
    <xf numFmtId="165" fontId="4" fillId="0" borderId="1" xfId="1" applyNumberFormat="1" applyFont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165" fontId="4" fillId="3" borderId="1" xfId="1" applyNumberFormat="1" applyFont="1" applyFill="1" applyBorder="1" applyAlignment="1">
      <alignment horizontal="center" wrapText="1"/>
    </xf>
    <xf numFmtId="165" fontId="4" fillId="0" borderId="1" xfId="1" applyNumberFormat="1" applyFont="1" applyBorder="1" applyAlignment="1">
      <alignment horizontal="right" wrapText="1"/>
    </xf>
    <xf numFmtId="165" fontId="4" fillId="2" borderId="1" xfId="1" applyNumberFormat="1" applyFont="1" applyFill="1" applyBorder="1" applyAlignment="1">
      <alignment horizontal="right" wrapText="1"/>
    </xf>
    <xf numFmtId="43" fontId="4" fillId="0" borderId="1" xfId="1" quotePrefix="1" applyFont="1" applyBorder="1" applyAlignment="1">
      <alignment horizontal="center" wrapText="1"/>
    </xf>
    <xf numFmtId="0" fontId="2" fillId="0" borderId="1" xfId="0" applyFont="1" applyBorder="1"/>
    <xf numFmtId="165" fontId="4" fillId="0" borderId="1" xfId="0" applyNumberFormat="1" applyFont="1" applyBorder="1"/>
    <xf numFmtId="43" fontId="4" fillId="2" borderId="1" xfId="1" applyFont="1" applyFill="1" applyBorder="1" applyAlignment="1">
      <alignment horizontal="right"/>
    </xf>
    <xf numFmtId="165" fontId="2" fillId="0" borderId="1" xfId="1" applyNumberFormat="1" applyFont="1" applyBorder="1" applyAlignment="1">
      <alignment horizontal="center" wrapText="1"/>
    </xf>
    <xf numFmtId="164" fontId="4" fillId="0" borderId="1" xfId="0" applyNumberFormat="1" applyFont="1" applyBorder="1"/>
    <xf numFmtId="43" fontId="4" fillId="0" borderId="1" xfId="1" applyFont="1" applyBorder="1" applyAlignment="1">
      <alignment horizontal="right"/>
    </xf>
    <xf numFmtId="165" fontId="4" fillId="3" borderId="1" xfId="1" applyNumberFormat="1" applyFont="1" applyFill="1" applyBorder="1"/>
    <xf numFmtId="3" fontId="4" fillId="0" borderId="1" xfId="0" applyNumberFormat="1" applyFont="1" applyBorder="1"/>
    <xf numFmtId="165" fontId="3" fillId="0" borderId="1" xfId="1" applyNumberFormat="1" applyFont="1" applyBorder="1" applyAlignment="1">
      <alignment horizontal="center"/>
    </xf>
    <xf numFmtId="165" fontId="3" fillId="6" borderId="1" xfId="1" applyNumberFormat="1" applyFont="1" applyFill="1" applyBorder="1" applyAlignment="1">
      <alignment horizontal="center" wrapText="1"/>
    </xf>
    <xf numFmtId="43" fontId="3" fillId="6" borderId="1" xfId="1" applyFont="1" applyFill="1" applyBorder="1" applyAlignment="1">
      <alignment wrapText="1"/>
    </xf>
    <xf numFmtId="43" fontId="14" fillId="6" borderId="1" xfId="1" applyFont="1" applyFill="1" applyBorder="1" applyAlignment="1">
      <alignment horizontal="right"/>
    </xf>
    <xf numFmtId="43" fontId="3" fillId="6" borderId="1" xfId="1" applyFont="1" applyFill="1" applyBorder="1"/>
    <xf numFmtId="4" fontId="4" fillId="2" borderId="1" xfId="0" applyNumberFormat="1" applyFont="1" applyFill="1" applyBorder="1" applyAlignment="1">
      <alignment horizontal="right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tabSelected="1" topLeftCell="P1" zoomScale="120" zoomScaleNormal="120" workbookViewId="0">
      <pane ySplit="2" topLeftCell="A109" activePane="bottomLeft" state="frozen"/>
      <selection pane="bottomLeft" activeCell="Y116" sqref="Y116"/>
    </sheetView>
  </sheetViews>
  <sheetFormatPr defaultColWidth="8.85546875" defaultRowHeight="15" x14ac:dyDescent="0.25"/>
  <cols>
    <col min="1" max="1" width="6.5703125" customWidth="1"/>
    <col min="2" max="2" width="41.140625" customWidth="1"/>
    <col min="3" max="3" width="37.85546875" customWidth="1"/>
    <col min="4" max="4" width="18.85546875" customWidth="1"/>
    <col min="5" max="5" width="16.85546875" customWidth="1"/>
    <col min="6" max="6" width="18.85546875" customWidth="1"/>
    <col min="7" max="7" width="18.42578125" customWidth="1"/>
    <col min="8" max="8" width="18.5703125" customWidth="1"/>
    <col min="9" max="9" width="18" customWidth="1"/>
    <col min="10" max="10" width="19.28515625" customWidth="1"/>
    <col min="11" max="11" width="20.28515625" customWidth="1"/>
    <col min="12" max="12" width="18.140625" customWidth="1"/>
    <col min="13" max="13" width="19.5703125" customWidth="1"/>
    <col min="14" max="14" width="18.140625" customWidth="1"/>
    <col min="15" max="15" width="20.140625" customWidth="1"/>
    <col min="16" max="16" width="10.5703125" customWidth="1"/>
    <col min="17" max="17" width="11" customWidth="1"/>
    <col min="18" max="18" width="12.140625" customWidth="1"/>
    <col min="19" max="19" width="11.85546875" customWidth="1"/>
    <col min="20" max="20" width="11" customWidth="1"/>
    <col min="21" max="21" width="13.5703125" customWidth="1"/>
    <col min="22" max="22" width="12.42578125" customWidth="1"/>
    <col min="23" max="23" width="17" customWidth="1"/>
    <col min="24" max="24" width="18.42578125" customWidth="1"/>
    <col min="25" max="25" width="18.140625" customWidth="1"/>
    <col min="26" max="26" width="18.5703125" customWidth="1"/>
  </cols>
  <sheetData>
    <row r="1" spans="1:25" ht="34.5" thickBot="1" x14ac:dyDescent="0.55000000000000004">
      <c r="A1" s="75" t="s">
        <v>164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5" ht="54" customHeight="1" x14ac:dyDescent="0.25">
      <c r="A2" s="38" t="s">
        <v>52</v>
      </c>
      <c r="B2" s="39" t="s">
        <v>130</v>
      </c>
      <c r="C2" s="39" t="s">
        <v>131</v>
      </c>
      <c r="D2" s="39" t="s">
        <v>55</v>
      </c>
      <c r="E2" s="39" t="s">
        <v>81</v>
      </c>
      <c r="F2" s="39" t="s">
        <v>59</v>
      </c>
      <c r="G2" s="39" t="s">
        <v>56</v>
      </c>
      <c r="H2" s="39" t="s">
        <v>57</v>
      </c>
      <c r="I2" s="39" t="s">
        <v>58</v>
      </c>
      <c r="J2" s="39" t="s">
        <v>54</v>
      </c>
      <c r="K2" s="39" t="s">
        <v>66</v>
      </c>
      <c r="L2" s="39" t="s">
        <v>140</v>
      </c>
      <c r="M2" s="39" t="s">
        <v>139</v>
      </c>
      <c r="N2" s="39" t="s">
        <v>53</v>
      </c>
      <c r="O2" s="39" t="s">
        <v>135</v>
      </c>
      <c r="P2" s="39" t="s">
        <v>68</v>
      </c>
      <c r="Q2" s="39" t="s">
        <v>67</v>
      </c>
      <c r="R2" s="39" t="s">
        <v>128</v>
      </c>
      <c r="S2" s="39" t="s">
        <v>129</v>
      </c>
      <c r="T2" s="39" t="s">
        <v>136</v>
      </c>
      <c r="U2" s="39" t="s">
        <v>137</v>
      </c>
      <c r="V2" s="39" t="s">
        <v>138</v>
      </c>
      <c r="W2" s="39" t="s">
        <v>133</v>
      </c>
      <c r="X2" s="40" t="s">
        <v>132</v>
      </c>
      <c r="Y2" s="33"/>
    </row>
    <row r="3" spans="1:25" ht="18" customHeight="1" x14ac:dyDescent="0.25">
      <c r="A3" s="64"/>
      <c r="B3" s="46"/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7"/>
    </row>
    <row r="4" spans="1:25" ht="15.75" x14ac:dyDescent="0.3">
      <c r="A4" s="51">
        <v>1</v>
      </c>
      <c r="B4" s="6" t="s">
        <v>1</v>
      </c>
      <c r="C4" s="29" t="s">
        <v>122</v>
      </c>
      <c r="D4" s="1">
        <v>3048575786.4299998</v>
      </c>
      <c r="E4" s="1">
        <v>0</v>
      </c>
      <c r="F4" s="1">
        <v>867532896.24000001</v>
      </c>
      <c r="G4" s="1">
        <v>939892733.45000005</v>
      </c>
      <c r="H4" s="1">
        <v>0</v>
      </c>
      <c r="I4" s="1">
        <v>0</v>
      </c>
      <c r="J4" s="20">
        <v>4880957787.1300001</v>
      </c>
      <c r="K4" s="20">
        <v>20793771.789999999</v>
      </c>
      <c r="L4" s="49">
        <v>105957543.38</v>
      </c>
      <c r="M4" s="20">
        <v>4920405365.5900002</v>
      </c>
      <c r="N4" s="20">
        <v>-62856730.869999997</v>
      </c>
      <c r="O4" s="3">
        <v>4857548634.71</v>
      </c>
      <c r="P4" s="9">
        <f t="shared" ref="P4:P17" si="0">(O4/$O$18)</f>
        <v>0.43458322176274994</v>
      </c>
      <c r="Q4" s="14">
        <f t="shared" ref="Q4:Q14" si="1">(K4/O4)</f>
        <v>4.2807130414333787E-3</v>
      </c>
      <c r="R4" s="14">
        <f>L4/O4</f>
        <v>2.1812966034528598E-2</v>
      </c>
      <c r="S4" s="36">
        <f>O4/X4</f>
        <v>7864.6919242962285</v>
      </c>
      <c r="T4" s="36">
        <f>L4/X4</f>
        <v>171.55225781670501</v>
      </c>
      <c r="U4" s="1">
        <v>7814.1</v>
      </c>
      <c r="V4" s="1">
        <v>7900.48</v>
      </c>
      <c r="W4" s="42">
        <v>17208</v>
      </c>
      <c r="X4" s="20">
        <v>617640.04</v>
      </c>
      <c r="Y4" s="24"/>
    </row>
    <row r="5" spans="1:25" ht="15.75" x14ac:dyDescent="0.3">
      <c r="A5" s="51">
        <v>2</v>
      </c>
      <c r="B5" s="1" t="s">
        <v>2</v>
      </c>
      <c r="C5" s="29" t="s">
        <v>3</v>
      </c>
      <c r="D5" s="1">
        <v>385091876.5</v>
      </c>
      <c r="E5" s="1"/>
      <c r="F5" s="1">
        <v>159301624.15000001</v>
      </c>
      <c r="G5" s="1">
        <v>0</v>
      </c>
      <c r="H5" s="1">
        <v>0</v>
      </c>
      <c r="I5" s="1">
        <v>0</v>
      </c>
      <c r="J5" s="1">
        <v>573807521.33000004</v>
      </c>
      <c r="K5" s="1">
        <v>776681.1</v>
      </c>
      <c r="L5" s="48">
        <v>1711025.52</v>
      </c>
      <c r="M5" s="1">
        <v>573807521.33000004</v>
      </c>
      <c r="N5" s="1">
        <v>-2242406.87</v>
      </c>
      <c r="O5" s="3">
        <v>571565114.46000004</v>
      </c>
      <c r="P5" s="9">
        <f t="shared" si="0"/>
        <v>5.1135382796646159E-2</v>
      </c>
      <c r="Q5" s="14">
        <f t="shared" si="1"/>
        <v>1.3588672232625468E-3</v>
      </c>
      <c r="R5" s="14">
        <f t="shared" ref="R5:R79" si="2">L5/O5</f>
        <v>2.9935793433028758E-3</v>
      </c>
      <c r="S5" s="36">
        <f t="shared" ref="S5:S79" si="3">O5/X5</f>
        <v>1.1355797613578911</v>
      </c>
      <c r="T5" s="36">
        <f t="shared" ref="T5:T79" si="4">L5/X5</f>
        <v>3.399448116273792E-3</v>
      </c>
      <c r="U5" s="1">
        <v>1.1200000000000001</v>
      </c>
      <c r="V5" s="23">
        <v>1.1399999999999999</v>
      </c>
      <c r="W5" s="42">
        <v>3816</v>
      </c>
      <c r="X5" s="1">
        <v>503324499</v>
      </c>
      <c r="Y5" s="24"/>
    </row>
    <row r="6" spans="1:25" s="67" customFormat="1" ht="15.75" x14ac:dyDescent="0.3">
      <c r="A6" s="78">
        <v>3</v>
      </c>
      <c r="B6" s="60" t="s">
        <v>4</v>
      </c>
      <c r="C6" s="58" t="s">
        <v>5</v>
      </c>
      <c r="D6" s="70">
        <v>42854515.200000003</v>
      </c>
      <c r="E6" s="70"/>
      <c r="F6" s="100" t="s">
        <v>163</v>
      </c>
      <c r="G6" s="35">
        <v>0</v>
      </c>
      <c r="H6" s="35"/>
      <c r="I6" s="35"/>
      <c r="J6" s="35">
        <v>252626149.47</v>
      </c>
      <c r="K6" s="70">
        <v>606477.5</v>
      </c>
      <c r="L6" s="48">
        <v>3340561.17</v>
      </c>
      <c r="M6" s="70">
        <v>274403666.20999998</v>
      </c>
      <c r="N6" s="70">
        <v>10384670.17</v>
      </c>
      <c r="O6" s="3">
        <v>264018996.03999999</v>
      </c>
      <c r="P6" s="9">
        <f t="shared" si="0"/>
        <v>2.3620602598965E-2</v>
      </c>
      <c r="Q6" s="14">
        <f t="shared" si="1"/>
        <v>2.2970979705873745E-3</v>
      </c>
      <c r="R6" s="14">
        <f t="shared" si="2"/>
        <v>1.2652730372074783E-2</v>
      </c>
      <c r="S6" s="36">
        <f t="shared" si="3"/>
        <v>132.64320091235879</v>
      </c>
      <c r="T6" s="36">
        <f t="shared" si="4"/>
        <v>1.6782986568330198</v>
      </c>
      <c r="U6" s="71">
        <v>132.63999999999999</v>
      </c>
      <c r="V6" s="72">
        <v>133.94999999999999</v>
      </c>
      <c r="W6" s="73">
        <v>2469</v>
      </c>
      <c r="X6" s="35">
        <v>1990445</v>
      </c>
      <c r="Y6" s="18"/>
    </row>
    <row r="7" spans="1:25" ht="15.75" x14ac:dyDescent="0.3">
      <c r="A7" s="51">
        <v>4</v>
      </c>
      <c r="B7" s="6" t="s">
        <v>6</v>
      </c>
      <c r="C7" s="29" t="s">
        <v>7</v>
      </c>
      <c r="D7" s="1">
        <v>123474430.40000001</v>
      </c>
      <c r="E7" s="23">
        <v>0</v>
      </c>
      <c r="F7" s="1">
        <v>116615011.23999999</v>
      </c>
      <c r="G7" s="1">
        <v>28062878.640000001</v>
      </c>
      <c r="H7" s="1">
        <v>0</v>
      </c>
      <c r="I7" s="1">
        <v>0</v>
      </c>
      <c r="J7" s="1">
        <v>290842589.25</v>
      </c>
      <c r="K7" s="1">
        <v>698646.68</v>
      </c>
      <c r="L7" s="48">
        <v>698646.68</v>
      </c>
      <c r="M7" s="1">
        <v>290842589.25</v>
      </c>
      <c r="N7" s="1">
        <v>3319412.09</v>
      </c>
      <c r="O7" s="3">
        <v>287523177.16000003</v>
      </c>
      <c r="P7" s="9">
        <f t="shared" si="0"/>
        <v>2.5723416903908058E-2</v>
      </c>
      <c r="Q7" s="14">
        <f t="shared" si="1"/>
        <v>2.4298795210210803E-3</v>
      </c>
      <c r="R7" s="14">
        <f t="shared" si="2"/>
        <v>2.4298795210210803E-3</v>
      </c>
      <c r="S7" s="36">
        <f t="shared" si="3"/>
        <v>12.663674807894328</v>
      </c>
      <c r="T7" s="36">
        <f t="shared" si="4"/>
        <v>3.0771204076572987E-2</v>
      </c>
      <c r="U7" s="1">
        <v>12.59</v>
      </c>
      <c r="V7" s="1">
        <v>12.72</v>
      </c>
      <c r="W7" s="42">
        <v>8865</v>
      </c>
      <c r="X7" s="1">
        <v>22704561</v>
      </c>
      <c r="Y7" s="24"/>
    </row>
    <row r="8" spans="1:25" ht="15.75" x14ac:dyDescent="0.3">
      <c r="A8" s="51">
        <v>5</v>
      </c>
      <c r="B8" s="6" t="s">
        <v>8</v>
      </c>
      <c r="C8" s="29" t="s">
        <v>115</v>
      </c>
      <c r="D8" s="1">
        <v>710820780</v>
      </c>
      <c r="E8" s="1"/>
      <c r="F8" s="1">
        <v>0</v>
      </c>
      <c r="G8" s="1"/>
      <c r="H8" s="1"/>
      <c r="I8" s="1"/>
      <c r="J8" s="1">
        <v>710820780</v>
      </c>
      <c r="K8" s="1">
        <v>1700188</v>
      </c>
      <c r="L8" s="48">
        <v>29051730</v>
      </c>
      <c r="M8" s="1">
        <v>1142106666</v>
      </c>
      <c r="N8" s="1">
        <v>62897792.530000001</v>
      </c>
      <c r="O8" s="3">
        <v>1079208873</v>
      </c>
      <c r="P8" s="9">
        <f t="shared" si="0"/>
        <v>9.655200683570439E-2</v>
      </c>
      <c r="Q8" s="14">
        <f t="shared" si="1"/>
        <v>1.5754021696224509E-3</v>
      </c>
      <c r="R8" s="14">
        <f t="shared" si="2"/>
        <v>2.691946918416413E-2</v>
      </c>
      <c r="S8" s="36">
        <f t="shared" si="3"/>
        <v>0.72447663095916837</v>
      </c>
      <c r="T8" s="36">
        <f t="shared" si="4"/>
        <v>1.9502526341752383E-2</v>
      </c>
      <c r="U8" s="65">
        <v>0.70399999999999996</v>
      </c>
      <c r="V8" s="65">
        <v>0.71899999999999997</v>
      </c>
      <c r="W8" s="42">
        <v>7002</v>
      </c>
      <c r="X8" s="1">
        <v>1489639316</v>
      </c>
      <c r="Y8" s="24"/>
    </row>
    <row r="9" spans="1:25" ht="15.75" x14ac:dyDescent="0.3">
      <c r="A9" s="51">
        <v>6</v>
      </c>
      <c r="B9" s="23" t="s">
        <v>62</v>
      </c>
      <c r="C9" s="29" t="s">
        <v>9</v>
      </c>
      <c r="D9" s="1">
        <v>1905377330.24</v>
      </c>
      <c r="E9" s="1">
        <v>0</v>
      </c>
      <c r="F9" s="1">
        <v>0</v>
      </c>
      <c r="G9" s="1">
        <v>82232896.200000003</v>
      </c>
      <c r="H9" s="1">
        <v>0</v>
      </c>
      <c r="I9" s="1">
        <v>0</v>
      </c>
      <c r="J9" s="1">
        <v>1987610226.4400001</v>
      </c>
      <c r="K9" s="1">
        <v>4991886.5</v>
      </c>
      <c r="L9" s="48">
        <v>57102347.380000003</v>
      </c>
      <c r="M9" s="1">
        <v>2416465695</v>
      </c>
      <c r="N9" s="1">
        <v>14320002</v>
      </c>
      <c r="O9" s="3">
        <v>2402145693</v>
      </c>
      <c r="P9" s="9">
        <f t="shared" si="0"/>
        <v>0.2149092665687283</v>
      </c>
      <c r="Q9" s="14">
        <f t="shared" si="1"/>
        <v>2.0780948110460844E-3</v>
      </c>
      <c r="R9" s="14">
        <f t="shared" si="2"/>
        <v>2.3771392195902085E-2</v>
      </c>
      <c r="S9" s="36">
        <f t="shared" si="3"/>
        <v>15.548345680950638</v>
      </c>
      <c r="T9" s="36">
        <f t="shared" si="4"/>
        <v>0.36960582317933782</v>
      </c>
      <c r="U9" s="1">
        <v>15.47</v>
      </c>
      <c r="V9" s="1">
        <v>15.94</v>
      </c>
      <c r="W9" s="42">
        <v>11893</v>
      </c>
      <c r="X9" s="1">
        <v>154495259</v>
      </c>
      <c r="Y9" s="24"/>
    </row>
    <row r="10" spans="1:25" ht="15.75" x14ac:dyDescent="0.3">
      <c r="A10" s="51">
        <v>7</v>
      </c>
      <c r="B10" s="6" t="s">
        <v>11</v>
      </c>
      <c r="C10" s="29" t="s">
        <v>63</v>
      </c>
      <c r="D10" s="1">
        <v>173857740.19999999</v>
      </c>
      <c r="E10" s="1">
        <v>0</v>
      </c>
      <c r="F10" s="1">
        <v>50804698.030000001</v>
      </c>
      <c r="G10" s="1">
        <v>0</v>
      </c>
      <c r="H10" s="1">
        <v>0</v>
      </c>
      <c r="I10" s="1">
        <v>0</v>
      </c>
      <c r="J10" s="4">
        <v>219366460.31999999</v>
      </c>
      <c r="K10" s="1">
        <v>468382.9</v>
      </c>
      <c r="L10" s="48">
        <v>4203902.7699999996</v>
      </c>
      <c r="M10" s="1">
        <v>224103684.03</v>
      </c>
      <c r="N10" s="1">
        <v>4737233.71</v>
      </c>
      <c r="O10" s="3">
        <v>219366460.31999999</v>
      </c>
      <c r="P10" s="9">
        <f t="shared" si="0"/>
        <v>1.9625739285726678E-2</v>
      </c>
      <c r="Q10" s="14">
        <f t="shared" si="1"/>
        <v>2.1351618625597927E-3</v>
      </c>
      <c r="R10" s="14">
        <f t="shared" si="2"/>
        <v>1.9163835546544227E-2</v>
      </c>
      <c r="S10" s="36">
        <f t="shared" si="3"/>
        <v>130.13012054596567</v>
      </c>
      <c r="T10" s="36">
        <f t="shared" si="4"/>
        <v>2.4937922297948623</v>
      </c>
      <c r="U10" s="1">
        <v>130.13</v>
      </c>
      <c r="V10" s="1">
        <v>131.83000000000001</v>
      </c>
      <c r="W10" s="42">
        <v>1382</v>
      </c>
      <c r="X10" s="1">
        <v>1685747</v>
      </c>
      <c r="Y10" s="27"/>
    </row>
    <row r="11" spans="1:25" ht="15.75" x14ac:dyDescent="0.3">
      <c r="A11" s="51">
        <v>8</v>
      </c>
      <c r="B11" s="6" t="s">
        <v>12</v>
      </c>
      <c r="C11" s="29" t="s">
        <v>13</v>
      </c>
      <c r="D11" s="16">
        <v>238459812.5</v>
      </c>
      <c r="E11" s="1">
        <v>0</v>
      </c>
      <c r="F11" s="20">
        <v>24000000</v>
      </c>
      <c r="G11" s="23">
        <v>0</v>
      </c>
      <c r="H11" s="1">
        <v>0</v>
      </c>
      <c r="I11" s="1">
        <v>0</v>
      </c>
      <c r="J11" s="1">
        <v>262459812.5</v>
      </c>
      <c r="K11" s="1">
        <v>427758.61</v>
      </c>
      <c r="L11" s="48">
        <v>9669513.0199999996</v>
      </c>
      <c r="M11" s="1">
        <v>283148283.17000002</v>
      </c>
      <c r="N11" s="1">
        <v>513740.01</v>
      </c>
      <c r="O11" s="3">
        <v>282634543.16000003</v>
      </c>
      <c r="P11" s="9">
        <f t="shared" si="0"/>
        <v>2.5286052613089024E-2</v>
      </c>
      <c r="Q11" s="14">
        <f t="shared" si="1"/>
        <v>1.5134689667350566E-3</v>
      </c>
      <c r="R11" s="14">
        <f t="shared" si="2"/>
        <v>3.4212070866815693E-2</v>
      </c>
      <c r="S11" s="36">
        <f t="shared" si="3"/>
        <v>10.531013235034498</v>
      </c>
      <c r="T11" s="36">
        <f t="shared" si="4"/>
        <v>0.36028777109637428</v>
      </c>
      <c r="U11" s="1">
        <v>9.7996099999999995</v>
      </c>
      <c r="V11" s="1">
        <v>9.8919999999999995</v>
      </c>
      <c r="W11" s="42">
        <v>119</v>
      </c>
      <c r="X11" s="1">
        <v>26838304.809999999</v>
      </c>
    </row>
    <row r="12" spans="1:25" ht="15.75" x14ac:dyDescent="0.3">
      <c r="A12" s="51">
        <v>9</v>
      </c>
      <c r="B12" s="6" t="s">
        <v>12</v>
      </c>
      <c r="C12" s="4" t="s">
        <v>72</v>
      </c>
      <c r="D12" s="1">
        <v>219986556.38</v>
      </c>
      <c r="E12" s="1"/>
      <c r="F12" s="1">
        <v>90473101.670000002</v>
      </c>
      <c r="G12" s="1">
        <v>12757373.630000001</v>
      </c>
      <c r="H12" s="1">
        <v>0</v>
      </c>
      <c r="I12" s="1">
        <v>0</v>
      </c>
      <c r="J12" s="20">
        <v>324804728.60000002</v>
      </c>
      <c r="K12" s="1">
        <v>405729.75</v>
      </c>
      <c r="L12" s="48">
        <v>3512899.67</v>
      </c>
      <c r="M12" s="20">
        <v>333665987.31</v>
      </c>
      <c r="N12" s="20">
        <v>-2840019.54</v>
      </c>
      <c r="O12" s="3">
        <v>330825967.76999998</v>
      </c>
      <c r="P12" s="9">
        <f t="shared" si="0"/>
        <v>2.9597524539216383E-2</v>
      </c>
      <c r="Q12" s="14">
        <f t="shared" si="1"/>
        <v>1.2264144581361138E-3</v>
      </c>
      <c r="R12" s="14">
        <f t="shared" si="2"/>
        <v>1.0618572942382418E-2</v>
      </c>
      <c r="S12" s="36">
        <f t="shared" si="3"/>
        <v>1937.3749246529819</v>
      </c>
      <c r="T12" s="36">
        <f t="shared" si="4"/>
        <v>20.572156954170332</v>
      </c>
      <c r="U12" s="20">
        <v>1925.14</v>
      </c>
      <c r="V12" s="20">
        <v>1946.31</v>
      </c>
      <c r="W12" s="42">
        <v>23</v>
      </c>
      <c r="X12" s="1">
        <v>170759.91</v>
      </c>
    </row>
    <row r="13" spans="1:25" ht="15.75" x14ac:dyDescent="0.3">
      <c r="A13" s="51">
        <v>10</v>
      </c>
      <c r="B13" s="6" t="s">
        <v>27</v>
      </c>
      <c r="C13" s="60" t="s">
        <v>127</v>
      </c>
      <c r="D13" s="20">
        <v>208434387.69999999</v>
      </c>
      <c r="E13" s="1">
        <v>0</v>
      </c>
      <c r="F13" s="1">
        <v>29926623.52</v>
      </c>
      <c r="G13" s="1">
        <v>0</v>
      </c>
      <c r="H13" s="1">
        <v>0</v>
      </c>
      <c r="I13" s="1">
        <v>0</v>
      </c>
      <c r="J13" s="1">
        <v>238361011.22</v>
      </c>
      <c r="K13" s="1">
        <v>541739.85</v>
      </c>
      <c r="L13" s="48">
        <v>4531609.01</v>
      </c>
      <c r="M13" s="20">
        <v>240449305.66</v>
      </c>
      <c r="N13" s="20">
        <v>7021635.4400000004</v>
      </c>
      <c r="O13" s="3">
        <v>233427670.22999999</v>
      </c>
      <c r="P13" s="9">
        <f t="shared" si="0"/>
        <v>2.0883733052563132E-2</v>
      </c>
      <c r="Q13" s="14">
        <f t="shared" si="1"/>
        <v>2.3208039109768566E-3</v>
      </c>
      <c r="R13" s="14">
        <f t="shared" si="2"/>
        <v>1.9413332641905451E-2</v>
      </c>
      <c r="S13" s="36">
        <f t="shared" si="3"/>
        <v>0.85406144287218166</v>
      </c>
      <c r="T13" s="36">
        <f t="shared" si="4"/>
        <v>1.6580178887103392E-2</v>
      </c>
      <c r="U13" s="65">
        <v>0.98</v>
      </c>
      <c r="V13" s="1">
        <v>1</v>
      </c>
      <c r="W13" s="42">
        <v>106</v>
      </c>
      <c r="X13" s="1">
        <v>273314844.24000001</v>
      </c>
    </row>
    <row r="14" spans="1:25" ht="15.75" x14ac:dyDescent="0.3">
      <c r="A14" s="51">
        <v>11</v>
      </c>
      <c r="B14" s="55" t="s">
        <v>77</v>
      </c>
      <c r="C14" s="63" t="s">
        <v>78</v>
      </c>
      <c r="D14" s="1">
        <v>100788212.2</v>
      </c>
      <c r="E14" s="1">
        <v>0</v>
      </c>
      <c r="F14" s="1">
        <v>33846275.700000003</v>
      </c>
      <c r="G14" s="1">
        <v>0</v>
      </c>
      <c r="H14" s="1">
        <v>0</v>
      </c>
      <c r="I14" s="1"/>
      <c r="J14" s="1">
        <v>134634487.88999999</v>
      </c>
      <c r="K14" s="1">
        <v>259960.26</v>
      </c>
      <c r="L14" s="48">
        <v>373938.31</v>
      </c>
      <c r="M14" s="1">
        <v>143390649.52000001</v>
      </c>
      <c r="N14" s="1">
        <v>762453.12</v>
      </c>
      <c r="O14" s="3">
        <v>142628196.40000001</v>
      </c>
      <c r="P14" s="9">
        <f t="shared" si="0"/>
        <v>1.2760308906186122E-2</v>
      </c>
      <c r="Q14" s="14">
        <f t="shared" si="1"/>
        <v>1.8226428333353026E-3</v>
      </c>
      <c r="R14" s="14">
        <f t="shared" si="2"/>
        <v>2.6217698844854774E-3</v>
      </c>
      <c r="S14" s="36">
        <f t="shared" si="3"/>
        <v>96.416647784862548</v>
      </c>
      <c r="T14" s="36">
        <f t="shared" si="4"/>
        <v>0.25278226352539607</v>
      </c>
      <c r="U14" s="1">
        <v>96.09</v>
      </c>
      <c r="V14" s="1">
        <v>96.76</v>
      </c>
      <c r="W14" s="42">
        <v>435</v>
      </c>
      <c r="X14" s="1">
        <v>1479290.14</v>
      </c>
    </row>
    <row r="15" spans="1:25" ht="15.75" x14ac:dyDescent="0.3">
      <c r="A15" s="51">
        <v>12</v>
      </c>
      <c r="B15" s="55" t="s">
        <v>64</v>
      </c>
      <c r="C15" s="63" t="s">
        <v>142</v>
      </c>
      <c r="D15" s="1">
        <v>162373782.30000001</v>
      </c>
      <c r="E15" s="1">
        <v>0</v>
      </c>
      <c r="F15" s="1">
        <v>51776502.960000001</v>
      </c>
      <c r="G15" s="1">
        <v>0</v>
      </c>
      <c r="H15" s="1">
        <v>0</v>
      </c>
      <c r="I15" s="1">
        <v>0</v>
      </c>
      <c r="J15" s="1">
        <v>222906208.03</v>
      </c>
      <c r="K15" s="1">
        <v>333767.02</v>
      </c>
      <c r="L15" s="48">
        <v>1871150.96</v>
      </c>
      <c r="M15" s="1">
        <v>222906208.03</v>
      </c>
      <c r="N15" s="1">
        <v>332507.02</v>
      </c>
      <c r="O15" s="3">
        <v>220847504.34</v>
      </c>
      <c r="P15" s="9">
        <f t="shared" si="0"/>
        <v>1.9758241691813755E-2</v>
      </c>
      <c r="Q15" s="14">
        <f t="shared" ref="Q15:Q17" si="5">(K15/O15)</f>
        <v>1.5113008453387716E-3</v>
      </c>
      <c r="R15" s="14">
        <f t="shared" ref="R15:R17" si="6">L15/O15</f>
        <v>8.4725927313143573E-3</v>
      </c>
      <c r="S15" s="36">
        <f t="shared" ref="S15:S17" si="7">O15/X15</f>
        <v>1.0893349135420105</v>
      </c>
      <c r="T15" s="36">
        <f t="shared" ref="T15:T17" si="8">L15/X15</f>
        <v>9.2294910704429911E-3</v>
      </c>
      <c r="U15" s="1">
        <v>1.0892999999999999</v>
      </c>
      <c r="V15" s="1">
        <v>1.0994999999999999</v>
      </c>
      <c r="W15" s="42">
        <v>12</v>
      </c>
      <c r="X15" s="1">
        <v>202736093</v>
      </c>
    </row>
    <row r="16" spans="1:25" ht="15.75" x14ac:dyDescent="0.3">
      <c r="A16" s="51">
        <v>13</v>
      </c>
      <c r="B16" s="52" t="s">
        <v>150</v>
      </c>
      <c r="C16" s="52" t="s">
        <v>151</v>
      </c>
      <c r="D16" s="53"/>
      <c r="E16" s="53"/>
      <c r="F16" s="53">
        <v>2362480.1800000002</v>
      </c>
      <c r="G16" s="53"/>
      <c r="H16" s="53"/>
      <c r="I16" s="53"/>
      <c r="J16" s="53">
        <v>2362480.1800000002</v>
      </c>
      <c r="K16" s="53"/>
      <c r="L16" s="48">
        <v>0</v>
      </c>
      <c r="M16" s="53">
        <v>4712929.9800000004</v>
      </c>
      <c r="N16" s="53">
        <v>0</v>
      </c>
      <c r="O16" s="3">
        <v>4712929.9800000004</v>
      </c>
      <c r="P16" s="9">
        <f t="shared" si="0"/>
        <v>4.216448354248809E-4</v>
      </c>
      <c r="Q16" s="14">
        <f t="shared" ref="Q16" si="9">(K16/O16)</f>
        <v>0</v>
      </c>
      <c r="R16" s="14">
        <f t="shared" ref="R16" si="10">L16/O16</f>
        <v>0</v>
      </c>
      <c r="S16" s="14">
        <f t="shared" ref="S16" si="11">O16/X16</f>
        <v>1.1924826628207075</v>
      </c>
      <c r="T16" s="14">
        <f t="shared" ref="T16" si="12">L16/X16</f>
        <v>0</v>
      </c>
      <c r="U16" s="53">
        <v>1.19</v>
      </c>
      <c r="V16" s="53">
        <v>1.25</v>
      </c>
      <c r="W16" s="54">
        <v>2405</v>
      </c>
      <c r="X16" s="53">
        <v>3952200</v>
      </c>
    </row>
    <row r="17" spans="1:26" ht="15.75" x14ac:dyDescent="0.3">
      <c r="A17" s="78">
        <v>14</v>
      </c>
      <c r="B17" s="68" t="s">
        <v>158</v>
      </c>
      <c r="C17" s="58" t="s">
        <v>159</v>
      </c>
      <c r="D17" s="60">
        <v>210457315.19999999</v>
      </c>
      <c r="E17" s="60">
        <v>0</v>
      </c>
      <c r="F17" s="60">
        <v>7084561850</v>
      </c>
      <c r="G17" s="60">
        <v>0</v>
      </c>
      <c r="H17" s="60">
        <v>0</v>
      </c>
      <c r="I17" s="60">
        <v>0</v>
      </c>
      <c r="J17" s="60">
        <v>281302933.69999999</v>
      </c>
      <c r="K17" s="60">
        <v>830991.55</v>
      </c>
      <c r="L17" s="50">
        <v>127799.56</v>
      </c>
      <c r="M17" s="60">
        <v>281302934</v>
      </c>
      <c r="N17" s="60">
        <v>0</v>
      </c>
      <c r="O17" s="22">
        <v>281033982.75999999</v>
      </c>
      <c r="P17" s="21">
        <f t="shared" si="0"/>
        <v>2.5142857609278337E-2</v>
      </c>
      <c r="Q17" s="31">
        <f t="shared" si="5"/>
        <v>2.9569077085942947E-3</v>
      </c>
      <c r="R17" s="31">
        <f t="shared" si="6"/>
        <v>4.5474770967160742E-4</v>
      </c>
      <c r="S17" s="31">
        <f t="shared" si="7"/>
        <v>101.92334188000468</v>
      </c>
      <c r="T17" s="31">
        <f t="shared" si="8"/>
        <v>4.6349406282008357E-2</v>
      </c>
      <c r="U17" s="60">
        <v>101.93</v>
      </c>
      <c r="V17" s="60">
        <v>102.3</v>
      </c>
      <c r="W17" s="74">
        <v>103</v>
      </c>
      <c r="X17" s="60">
        <v>2757307.38</v>
      </c>
    </row>
    <row r="18" spans="1:26" ht="15.75" x14ac:dyDescent="0.3">
      <c r="A18" s="79"/>
      <c r="B18" s="56"/>
      <c r="C18" s="62" t="s">
        <v>60</v>
      </c>
      <c r="D18" s="1"/>
      <c r="E18" s="1"/>
      <c r="F18" s="1"/>
      <c r="G18" s="1"/>
      <c r="H18" s="1"/>
      <c r="I18" s="1"/>
      <c r="J18" s="1"/>
      <c r="K18" s="1"/>
      <c r="L18" s="48"/>
      <c r="M18" s="1"/>
      <c r="N18" s="1"/>
      <c r="O18" s="7">
        <f>SUM(O4:O17)</f>
        <v>11177487743.329998</v>
      </c>
      <c r="P18" s="41">
        <f>(O18/$O$112)</f>
        <v>1.1131807250053829E-2</v>
      </c>
      <c r="Q18" s="14"/>
      <c r="R18" s="14"/>
      <c r="S18" s="36"/>
      <c r="T18" s="36"/>
      <c r="U18" s="1"/>
      <c r="V18" s="1"/>
      <c r="W18" s="1"/>
      <c r="X18" s="1"/>
      <c r="Y18" s="17"/>
      <c r="Z18" s="17"/>
    </row>
    <row r="19" spans="1:26" ht="15.75" customHeight="1" x14ac:dyDescent="0.3">
      <c r="A19" s="80"/>
      <c r="B19" s="81"/>
      <c r="C19" s="82" t="s">
        <v>14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17"/>
      <c r="Z19" s="17"/>
    </row>
    <row r="20" spans="1:26" ht="15.75" x14ac:dyDescent="0.3">
      <c r="A20" s="51">
        <v>15</v>
      </c>
      <c r="B20" s="6" t="s">
        <v>1</v>
      </c>
      <c r="C20" s="29" t="s">
        <v>15</v>
      </c>
      <c r="D20" s="1">
        <v>0</v>
      </c>
      <c r="E20" s="1">
        <v>0</v>
      </c>
      <c r="F20" s="1">
        <v>339123619339.90002</v>
      </c>
      <c r="G20" s="1">
        <v>0</v>
      </c>
      <c r="H20" s="1">
        <v>0</v>
      </c>
      <c r="I20" s="1">
        <v>0</v>
      </c>
      <c r="J20" s="1">
        <v>339123619339.90002</v>
      </c>
      <c r="K20" s="1">
        <v>488653818.61000001</v>
      </c>
      <c r="L20" s="48">
        <v>2562832614.6599998</v>
      </c>
      <c r="M20" s="1">
        <v>339607196996.84998</v>
      </c>
      <c r="N20" s="1">
        <v>-1699708567.0899999</v>
      </c>
      <c r="O20" s="3">
        <v>337907488429.76001</v>
      </c>
      <c r="P20" s="9">
        <f t="shared" ref="P20:P42" si="13">(O20/$O$43)</f>
        <v>0.4478193392672975</v>
      </c>
      <c r="Q20" s="14">
        <f t="shared" ref="Q20:Q42" si="14">(K20/O20)</f>
        <v>1.4461171632530283E-3</v>
      </c>
      <c r="R20" s="14">
        <f t="shared" si="2"/>
        <v>7.5844208915563276E-3</v>
      </c>
      <c r="S20" s="36">
        <f t="shared" si="3"/>
        <v>104.33961916698735</v>
      </c>
      <c r="T20" s="36">
        <f t="shared" si="4"/>
        <v>0.79135558742712986</v>
      </c>
      <c r="U20" s="1">
        <v>100</v>
      </c>
      <c r="V20" s="1">
        <v>100</v>
      </c>
      <c r="W20" s="42">
        <v>88615</v>
      </c>
      <c r="X20" s="1">
        <v>3238534807.0799999</v>
      </c>
      <c r="Y20" s="18"/>
      <c r="Z20" s="17"/>
    </row>
    <row r="21" spans="1:26" ht="15.75" x14ac:dyDescent="0.3">
      <c r="A21" s="51">
        <v>16</v>
      </c>
      <c r="B21" s="6" t="s">
        <v>39</v>
      </c>
      <c r="C21" s="29" t="s">
        <v>16</v>
      </c>
      <c r="D21" s="1">
        <v>0</v>
      </c>
      <c r="E21" s="1">
        <v>0</v>
      </c>
      <c r="F21" s="1">
        <v>194476642693.70001</v>
      </c>
      <c r="G21" s="1">
        <v>8266862025.1700001</v>
      </c>
      <c r="H21" s="1">
        <v>0</v>
      </c>
      <c r="I21" s="1">
        <v>0</v>
      </c>
      <c r="J21" s="1">
        <v>199167907371.78</v>
      </c>
      <c r="K21" s="1">
        <v>152584988.5</v>
      </c>
      <c r="L21" s="48">
        <v>1605612468.52</v>
      </c>
      <c r="M21" s="1">
        <v>203507205904.73999</v>
      </c>
      <c r="N21" s="1">
        <v>-4339298532.96</v>
      </c>
      <c r="O21" s="3">
        <v>199167907371.78</v>
      </c>
      <c r="P21" s="9">
        <f t="shared" si="13"/>
        <v>0.26395165462875142</v>
      </c>
      <c r="Q21" s="14">
        <f t="shared" si="14"/>
        <v>7.6611232458839241E-4</v>
      </c>
      <c r="R21" s="14">
        <f t="shared" si="2"/>
        <v>8.0616023420021048E-3</v>
      </c>
      <c r="S21" s="36">
        <f t="shared" si="3"/>
        <v>99.999999985831053</v>
      </c>
      <c r="T21" s="36">
        <f t="shared" si="4"/>
        <v>0.80616023408598603</v>
      </c>
      <c r="U21" s="1">
        <v>100</v>
      </c>
      <c r="V21" s="1">
        <v>100</v>
      </c>
      <c r="W21" s="42">
        <v>20307</v>
      </c>
      <c r="X21" s="1">
        <v>1991679074</v>
      </c>
      <c r="Y21" s="18"/>
      <c r="Z21" s="17"/>
    </row>
    <row r="22" spans="1:26" ht="15.75" x14ac:dyDescent="0.3">
      <c r="A22" s="51">
        <v>17</v>
      </c>
      <c r="B22" s="6" t="s">
        <v>8</v>
      </c>
      <c r="C22" s="29" t="s">
        <v>116</v>
      </c>
      <c r="D22" s="1">
        <v>0</v>
      </c>
      <c r="E22" s="1">
        <v>0</v>
      </c>
      <c r="F22" s="1">
        <v>6781177727</v>
      </c>
      <c r="G22" s="1">
        <v>0</v>
      </c>
      <c r="H22" s="23"/>
      <c r="I22" s="1"/>
      <c r="J22" s="1">
        <v>6781177727</v>
      </c>
      <c r="K22" s="1">
        <v>15178888</v>
      </c>
      <c r="L22" s="48">
        <v>134221609</v>
      </c>
      <c r="M22" s="1">
        <v>18143646501.48</v>
      </c>
      <c r="N22" s="1">
        <v>-397525618.35000002</v>
      </c>
      <c r="O22" s="3">
        <v>17746120883</v>
      </c>
      <c r="P22" s="9">
        <f t="shared" si="13"/>
        <v>2.3518437443669098E-2</v>
      </c>
      <c r="Q22" s="14">
        <f t="shared" si="14"/>
        <v>8.5533554629060957E-4</v>
      </c>
      <c r="R22" s="14">
        <f t="shared" si="2"/>
        <v>7.5634337151719942E-3</v>
      </c>
      <c r="S22" s="36">
        <f t="shared" si="3"/>
        <v>1.0088404515209586</v>
      </c>
      <c r="T22" s="36">
        <f t="shared" si="4"/>
        <v>7.6302978842629557E-3</v>
      </c>
      <c r="U22" s="1">
        <v>1000</v>
      </c>
      <c r="V22" s="1">
        <v>1000</v>
      </c>
      <c r="W22" s="42">
        <v>6615</v>
      </c>
      <c r="X22" s="1">
        <v>17590611931</v>
      </c>
      <c r="Y22" s="18"/>
      <c r="Z22" s="17"/>
    </row>
    <row r="23" spans="1:26" ht="15.75" x14ac:dyDescent="0.3">
      <c r="A23" s="51">
        <v>18</v>
      </c>
      <c r="B23" s="6" t="s">
        <v>17</v>
      </c>
      <c r="C23" s="29" t="s">
        <v>99</v>
      </c>
      <c r="D23" s="1">
        <v>0</v>
      </c>
      <c r="E23" s="1">
        <v>0</v>
      </c>
      <c r="F23" s="1">
        <v>939521297.78999996</v>
      </c>
      <c r="G23" s="1">
        <v>0</v>
      </c>
      <c r="H23" s="1">
        <v>0</v>
      </c>
      <c r="I23" s="1">
        <v>0</v>
      </c>
      <c r="J23" s="1">
        <v>1045475152.59</v>
      </c>
      <c r="K23" s="1">
        <v>2269869.19</v>
      </c>
      <c r="L23" s="48">
        <v>9610924.8800000008</v>
      </c>
      <c r="M23" s="1">
        <v>1045475152.59</v>
      </c>
      <c r="N23" s="1">
        <v>43267798.119999997</v>
      </c>
      <c r="O23" s="3">
        <v>1002207354.47</v>
      </c>
      <c r="P23" s="9">
        <f t="shared" si="13"/>
        <v>1.3281973636428428E-3</v>
      </c>
      <c r="Q23" s="14">
        <f t="shared" si="14"/>
        <v>2.2648698194800026E-3</v>
      </c>
      <c r="R23" s="14">
        <f t="shared" si="2"/>
        <v>9.5897568872686748E-3</v>
      </c>
      <c r="S23" s="36">
        <f t="shared" si="3"/>
        <v>103.12239961148967</v>
      </c>
      <c r="T23" s="36">
        <f t="shared" si="4"/>
        <v>0.98891874190595563</v>
      </c>
      <c r="U23" s="1">
        <v>100</v>
      </c>
      <c r="V23" s="1">
        <v>100</v>
      </c>
      <c r="W23" s="42">
        <v>671</v>
      </c>
      <c r="X23" s="1">
        <v>9718619.4100000001</v>
      </c>
      <c r="Y23" s="18"/>
      <c r="Z23" s="17"/>
    </row>
    <row r="24" spans="1:26" ht="15.75" x14ac:dyDescent="0.3">
      <c r="A24" s="51">
        <v>19</v>
      </c>
      <c r="B24" s="23" t="s">
        <v>62</v>
      </c>
      <c r="C24" s="29" t="s">
        <v>18</v>
      </c>
      <c r="D24" s="1">
        <v>0</v>
      </c>
      <c r="E24" s="1">
        <v>0</v>
      </c>
      <c r="F24" s="1">
        <v>33456297507.43</v>
      </c>
      <c r="G24" s="1">
        <v>0</v>
      </c>
      <c r="H24" s="1">
        <v>0</v>
      </c>
      <c r="I24" s="1">
        <v>0</v>
      </c>
      <c r="J24" s="1">
        <v>33456297507.43</v>
      </c>
      <c r="K24" s="1">
        <v>152905807.02000001</v>
      </c>
      <c r="L24" s="48">
        <v>605277402.21000004</v>
      </c>
      <c r="M24" s="1">
        <v>79294408497</v>
      </c>
      <c r="N24" s="1">
        <v>417560253</v>
      </c>
      <c r="O24" s="3">
        <v>78876848244</v>
      </c>
      <c r="P24" s="9">
        <f t="shared" si="13"/>
        <v>0.10453327988751392</v>
      </c>
      <c r="Q24" s="14">
        <f t="shared" si="14"/>
        <v>1.9385384992437404E-3</v>
      </c>
      <c r="R24" s="14">
        <f t="shared" si="2"/>
        <v>7.6737016714665983E-3</v>
      </c>
      <c r="S24" s="36">
        <f t="shared" si="3"/>
        <v>0.99998852253063597</v>
      </c>
      <c r="T24" s="36">
        <f t="shared" si="4"/>
        <v>7.6736135967907558E-3</v>
      </c>
      <c r="U24" s="1">
        <v>1</v>
      </c>
      <c r="V24" s="1">
        <v>1</v>
      </c>
      <c r="W24" s="42">
        <v>70063</v>
      </c>
      <c r="X24" s="1">
        <v>78877753561</v>
      </c>
      <c r="Y24" s="18"/>
      <c r="Z24" s="17"/>
    </row>
    <row r="25" spans="1:26" ht="15.75" x14ac:dyDescent="0.3">
      <c r="A25" s="51">
        <v>20</v>
      </c>
      <c r="B25" s="6" t="s">
        <v>12</v>
      </c>
      <c r="C25" s="29" t="s">
        <v>19</v>
      </c>
      <c r="D25" s="1">
        <v>0</v>
      </c>
      <c r="E25" s="1">
        <v>0</v>
      </c>
      <c r="F25" s="1">
        <v>1273310125.1700001</v>
      </c>
      <c r="G25" s="1">
        <v>0</v>
      </c>
      <c r="H25" s="1">
        <v>0</v>
      </c>
      <c r="I25" s="1">
        <v>0</v>
      </c>
      <c r="J25" s="1">
        <v>1769785042.22</v>
      </c>
      <c r="K25" s="1">
        <v>2354044.9900000002</v>
      </c>
      <c r="L25" s="48">
        <v>12494755.18</v>
      </c>
      <c r="M25" s="1">
        <v>1836561449.54</v>
      </c>
      <c r="N25" s="1">
        <v>5734400.7300000004</v>
      </c>
      <c r="O25" s="3">
        <v>1836364574.54</v>
      </c>
      <c r="P25" s="9">
        <f t="shared" si="13"/>
        <v>2.4336825864553651E-3</v>
      </c>
      <c r="Q25" s="14">
        <f t="shared" si="14"/>
        <v>1.2819050327137118E-3</v>
      </c>
      <c r="R25" s="14">
        <f t="shared" si="2"/>
        <v>6.8040711268511989E-3</v>
      </c>
      <c r="S25" s="36">
        <f t="shared" si="3"/>
        <v>10.582969654673361</v>
      </c>
      <c r="T25" s="36">
        <f t="shared" si="4"/>
        <v>7.2007278263705427E-2</v>
      </c>
      <c r="U25" s="1">
        <v>10</v>
      </c>
      <c r="V25" s="1">
        <v>10</v>
      </c>
      <c r="W25" s="42">
        <v>1095</v>
      </c>
      <c r="X25" s="1">
        <v>173520725.69999999</v>
      </c>
      <c r="Y25" s="18"/>
      <c r="Z25" s="17"/>
    </row>
    <row r="26" spans="1:26" ht="15.75" x14ac:dyDescent="0.3">
      <c r="A26" s="51">
        <v>21</v>
      </c>
      <c r="B26" s="6" t="s">
        <v>74</v>
      </c>
      <c r="C26" s="29" t="s">
        <v>75</v>
      </c>
      <c r="D26" s="1">
        <v>0</v>
      </c>
      <c r="E26" s="1">
        <v>0</v>
      </c>
      <c r="F26" s="1">
        <v>4753293426.9399996</v>
      </c>
      <c r="G26" s="1">
        <v>0</v>
      </c>
      <c r="H26" s="1">
        <v>0</v>
      </c>
      <c r="I26" s="1">
        <v>0</v>
      </c>
      <c r="J26" s="1">
        <v>4753293426.9399996</v>
      </c>
      <c r="K26" s="1">
        <v>9791899.9700000007</v>
      </c>
      <c r="L26" s="48">
        <v>74194065.359999999</v>
      </c>
      <c r="M26" s="1">
        <v>7777348854.9799995</v>
      </c>
      <c r="N26" s="1">
        <v>236404679</v>
      </c>
      <c r="O26" s="3">
        <v>7540944175.9799995</v>
      </c>
      <c r="P26" s="9">
        <f t="shared" si="13"/>
        <v>9.9938023097138409E-3</v>
      </c>
      <c r="Q26" s="14">
        <f t="shared" si="14"/>
        <v>1.2984978726125463E-3</v>
      </c>
      <c r="R26" s="14">
        <f t="shared" si="2"/>
        <v>9.8388296781626756E-3</v>
      </c>
      <c r="S26" s="36">
        <f t="shared" si="3"/>
        <v>101.05340310514306</v>
      </c>
      <c r="T26" s="36">
        <f t="shared" si="4"/>
        <v>0.99424722155021783</v>
      </c>
      <c r="U26" s="1">
        <v>100</v>
      </c>
      <c r="V26" s="1">
        <v>100</v>
      </c>
      <c r="W26" s="42">
        <v>4049</v>
      </c>
      <c r="X26" s="1">
        <v>74623357</v>
      </c>
      <c r="Y26" s="18"/>
      <c r="Z26" s="17"/>
    </row>
    <row r="27" spans="1:26" s="67" customFormat="1" ht="15.75" x14ac:dyDescent="0.3">
      <c r="A27" s="51">
        <v>22</v>
      </c>
      <c r="B27" s="68" t="s">
        <v>79</v>
      </c>
      <c r="C27" s="58" t="s">
        <v>134</v>
      </c>
      <c r="D27" s="35">
        <v>0</v>
      </c>
      <c r="E27" s="35">
        <v>0</v>
      </c>
      <c r="F27" s="35">
        <v>15589804304.219999</v>
      </c>
      <c r="G27" s="35">
        <v>0</v>
      </c>
      <c r="H27" s="35">
        <v>0</v>
      </c>
      <c r="I27" s="35">
        <v>0</v>
      </c>
      <c r="J27" s="35">
        <v>15589804304.219999</v>
      </c>
      <c r="K27" s="35">
        <v>21389560.460000001</v>
      </c>
      <c r="L27" s="48">
        <v>233623296.94</v>
      </c>
      <c r="M27" s="35">
        <v>35278536974.029999</v>
      </c>
      <c r="N27" s="35">
        <v>99352273.739999995</v>
      </c>
      <c r="O27" s="3">
        <v>35179184700.290001</v>
      </c>
      <c r="P27" s="9">
        <f t="shared" si="13"/>
        <v>4.6621989117950006E-2</v>
      </c>
      <c r="Q27" s="14">
        <f t="shared" si="14"/>
        <v>6.0801751496599278E-4</v>
      </c>
      <c r="R27" s="14">
        <f t="shared" si="2"/>
        <v>6.6409525669898235E-3</v>
      </c>
      <c r="S27" s="36">
        <f t="shared" si="3"/>
        <v>1.0230276360964348</v>
      </c>
      <c r="T27" s="36">
        <f t="shared" si="4"/>
        <v>6.7938780060361496E-3</v>
      </c>
      <c r="U27" s="35">
        <v>1</v>
      </c>
      <c r="V27" s="35">
        <v>1</v>
      </c>
      <c r="W27" s="66">
        <v>13889</v>
      </c>
      <c r="X27" s="66">
        <v>34387325873.739998</v>
      </c>
      <c r="Y27" s="18"/>
      <c r="Z27" s="17"/>
    </row>
    <row r="28" spans="1:26" ht="15.75" x14ac:dyDescent="0.3">
      <c r="A28" s="51">
        <v>23</v>
      </c>
      <c r="B28" s="1" t="s">
        <v>64</v>
      </c>
      <c r="C28" s="4" t="s">
        <v>80</v>
      </c>
      <c r="D28" s="23">
        <v>0</v>
      </c>
      <c r="E28" s="1">
        <v>0</v>
      </c>
      <c r="F28" s="1">
        <v>619695758.11000001</v>
      </c>
      <c r="G28" s="1">
        <v>0</v>
      </c>
      <c r="H28" s="23">
        <v>0</v>
      </c>
      <c r="I28" s="1">
        <v>0</v>
      </c>
      <c r="J28" s="1">
        <v>619695758.11000001</v>
      </c>
      <c r="K28" s="1">
        <v>711304.27</v>
      </c>
      <c r="L28" s="48">
        <v>608959.75</v>
      </c>
      <c r="M28" s="1">
        <v>693472708.63</v>
      </c>
      <c r="N28" s="1">
        <v>708794.27</v>
      </c>
      <c r="O28" s="3">
        <v>688908390.76999998</v>
      </c>
      <c r="P28" s="9">
        <f t="shared" si="13"/>
        <v>9.129910136171695E-4</v>
      </c>
      <c r="Q28" s="14">
        <f t="shared" si="14"/>
        <v>1.0325092269597238E-3</v>
      </c>
      <c r="R28" s="14">
        <f t="shared" si="2"/>
        <v>8.839488067772835E-4</v>
      </c>
      <c r="S28" s="36">
        <f t="shared" si="3"/>
        <v>10.279167858154285</v>
      </c>
      <c r="T28" s="36">
        <f t="shared" si="4"/>
        <v>9.0862581628788838E-3</v>
      </c>
      <c r="U28" s="1">
        <v>10</v>
      </c>
      <c r="V28" s="1">
        <v>10</v>
      </c>
      <c r="W28" s="42">
        <v>235</v>
      </c>
      <c r="X28" s="1">
        <v>67019860</v>
      </c>
      <c r="Y28" s="18"/>
      <c r="Z28" s="17"/>
    </row>
    <row r="29" spans="1:26" ht="15.75" x14ac:dyDescent="0.3">
      <c r="A29" s="51">
        <v>24</v>
      </c>
      <c r="B29" s="1" t="s">
        <v>6</v>
      </c>
      <c r="C29" s="4" t="s">
        <v>97</v>
      </c>
      <c r="D29" s="1">
        <v>0</v>
      </c>
      <c r="E29" s="1">
        <v>0</v>
      </c>
      <c r="F29" s="1">
        <v>2383364443.21</v>
      </c>
      <c r="G29" s="1">
        <v>0</v>
      </c>
      <c r="H29" s="1">
        <v>0</v>
      </c>
      <c r="I29" s="1">
        <v>0</v>
      </c>
      <c r="J29" s="1">
        <v>2514620877.7600002</v>
      </c>
      <c r="K29" s="1">
        <v>34199234.829999998</v>
      </c>
      <c r="L29" s="48">
        <v>17691344.030000001</v>
      </c>
      <c r="M29" s="1">
        <v>2514620877.7600002</v>
      </c>
      <c r="N29" s="1">
        <v>18643369.670000002</v>
      </c>
      <c r="O29" s="3">
        <v>2456441922.0900002</v>
      </c>
      <c r="P29" s="9">
        <f t="shared" si="13"/>
        <v>3.2554537444869241E-3</v>
      </c>
      <c r="Q29" s="14">
        <f t="shared" si="14"/>
        <v>1.3922264769403734E-2</v>
      </c>
      <c r="R29" s="14">
        <f t="shared" si="2"/>
        <v>7.202020072572193E-3</v>
      </c>
      <c r="S29" s="36">
        <f t="shared" si="3"/>
        <v>115.88714227501313</v>
      </c>
      <c r="T29" s="36">
        <f t="shared" si="4"/>
        <v>0.83462152481767415</v>
      </c>
      <c r="U29" s="1">
        <v>100</v>
      </c>
      <c r="V29" s="1">
        <v>100</v>
      </c>
      <c r="W29" s="42">
        <v>558</v>
      </c>
      <c r="X29" s="1">
        <v>21196846.120000001</v>
      </c>
      <c r="Y29" s="18"/>
      <c r="Z29" s="17"/>
    </row>
    <row r="30" spans="1:26" ht="15.75" x14ac:dyDescent="0.3">
      <c r="A30" s="51">
        <v>25</v>
      </c>
      <c r="B30" s="6" t="s">
        <v>27</v>
      </c>
      <c r="C30" s="29" t="s">
        <v>84</v>
      </c>
      <c r="D30" s="1">
        <v>0</v>
      </c>
      <c r="E30" s="1">
        <v>0</v>
      </c>
      <c r="F30" s="1">
        <v>15219583058.629999</v>
      </c>
      <c r="G30" s="1">
        <v>0</v>
      </c>
      <c r="H30" s="1">
        <v>0</v>
      </c>
      <c r="I30" s="1">
        <v>0</v>
      </c>
      <c r="J30" s="1">
        <v>15219583058.629999</v>
      </c>
      <c r="K30" s="1">
        <v>22840229.02</v>
      </c>
      <c r="L30" s="48">
        <v>113575308.12</v>
      </c>
      <c r="M30" s="1">
        <v>15306917504.110001</v>
      </c>
      <c r="N30" s="1">
        <v>493867142.12</v>
      </c>
      <c r="O30" s="3">
        <v>14813050361.99</v>
      </c>
      <c r="P30" s="9">
        <f t="shared" si="13"/>
        <v>1.9631321153802922E-2</v>
      </c>
      <c r="Q30" s="14">
        <f t="shared" si="14"/>
        <v>1.5418990999050124E-3</v>
      </c>
      <c r="R30" s="14">
        <f t="shared" si="2"/>
        <v>7.6672464714919245E-3</v>
      </c>
      <c r="S30" s="36">
        <f t="shared" si="3"/>
        <v>99.133330756000419</v>
      </c>
      <c r="T30" s="36">
        <f t="shared" si="4"/>
        <v>0.76007968044618612</v>
      </c>
      <c r="U30" s="1">
        <v>100</v>
      </c>
      <c r="V30" s="1">
        <v>100</v>
      </c>
      <c r="W30" s="1">
        <v>5617</v>
      </c>
      <c r="X30" s="1">
        <v>149425528.72</v>
      </c>
    </row>
    <row r="31" spans="1:26" ht="15.75" x14ac:dyDescent="0.3">
      <c r="A31" s="51">
        <v>26</v>
      </c>
      <c r="B31" s="6" t="s">
        <v>85</v>
      </c>
      <c r="C31" s="29" t="s">
        <v>86</v>
      </c>
      <c r="D31" s="1">
        <v>0</v>
      </c>
      <c r="E31" s="1">
        <v>0</v>
      </c>
      <c r="F31" s="1">
        <v>9337545248.7099991</v>
      </c>
      <c r="G31" s="1">
        <v>0</v>
      </c>
      <c r="H31" s="1">
        <v>0</v>
      </c>
      <c r="I31" s="1">
        <v>0</v>
      </c>
      <c r="J31" s="1">
        <v>12339879501.34</v>
      </c>
      <c r="K31" s="1">
        <v>11137644.109999999</v>
      </c>
      <c r="L31" s="48">
        <v>96655508.469999999</v>
      </c>
      <c r="M31" s="1">
        <v>12339879501.34</v>
      </c>
      <c r="N31" s="1">
        <v>110442078.67</v>
      </c>
      <c r="O31" s="3">
        <v>12229437422.67</v>
      </c>
      <c r="P31" s="9">
        <f t="shared" si="13"/>
        <v>1.6207331218613237E-2</v>
      </c>
      <c r="Q31" s="14">
        <f t="shared" si="14"/>
        <v>9.1072415885246549E-4</v>
      </c>
      <c r="R31" s="14">
        <f t="shared" si="2"/>
        <v>7.9035122491266339E-3</v>
      </c>
      <c r="S31" s="36">
        <f t="shared" si="3"/>
        <v>100.00000018537239</v>
      </c>
      <c r="T31" s="36">
        <f t="shared" si="4"/>
        <v>0.79035122637775634</v>
      </c>
      <c r="U31" s="1">
        <v>100</v>
      </c>
      <c r="V31" s="1">
        <v>100</v>
      </c>
      <c r="W31" s="42">
        <v>1671</v>
      </c>
      <c r="X31" s="1">
        <v>122294374</v>
      </c>
    </row>
    <row r="32" spans="1:26" ht="15.75" x14ac:dyDescent="0.3">
      <c r="A32" s="51">
        <v>27</v>
      </c>
      <c r="B32" s="6" t="s">
        <v>85</v>
      </c>
      <c r="C32" s="29" t="s">
        <v>96</v>
      </c>
      <c r="D32" s="1">
        <v>0</v>
      </c>
      <c r="E32" s="1">
        <v>0</v>
      </c>
      <c r="F32" s="1">
        <v>631790973.11000001</v>
      </c>
      <c r="G32" s="1">
        <v>0</v>
      </c>
      <c r="H32" s="1">
        <v>0</v>
      </c>
      <c r="I32" s="1">
        <v>0</v>
      </c>
      <c r="J32" s="1">
        <v>689536527.61000001</v>
      </c>
      <c r="K32" s="1">
        <v>996257.79</v>
      </c>
      <c r="L32" s="48">
        <v>8146970.9299999997</v>
      </c>
      <c r="M32" s="1">
        <v>689536527.61000001</v>
      </c>
      <c r="N32" s="1">
        <v>12723527.609999999</v>
      </c>
      <c r="O32" s="3">
        <v>676813000</v>
      </c>
      <c r="P32" s="9">
        <f t="shared" si="13"/>
        <v>8.9696133067651736E-4</v>
      </c>
      <c r="Q32" s="14">
        <f t="shared" si="14"/>
        <v>1.4719838271428003E-3</v>
      </c>
      <c r="R32" s="14">
        <f t="shared" si="2"/>
        <v>1.2037255386642987E-2</v>
      </c>
      <c r="S32" s="36">
        <f t="shared" si="3"/>
        <v>1000004.4325586207</v>
      </c>
      <c r="T32" s="36">
        <f t="shared" si="4"/>
        <v>12037.308742483119</v>
      </c>
      <c r="U32" s="1">
        <v>1000000</v>
      </c>
      <c r="V32" s="1">
        <v>1000000</v>
      </c>
      <c r="W32" s="42">
        <v>6</v>
      </c>
      <c r="X32" s="1">
        <v>676.81</v>
      </c>
    </row>
    <row r="33" spans="1:28" ht="15.75" x14ac:dyDescent="0.3">
      <c r="A33" s="51">
        <v>28</v>
      </c>
      <c r="B33" s="6" t="s">
        <v>65</v>
      </c>
      <c r="C33" s="29" t="s">
        <v>110</v>
      </c>
      <c r="D33" s="1">
        <v>0</v>
      </c>
      <c r="E33" s="1">
        <v>0</v>
      </c>
      <c r="F33" s="1">
        <v>662127312.33000004</v>
      </c>
      <c r="G33" s="1">
        <v>0</v>
      </c>
      <c r="H33" s="23">
        <v>0</v>
      </c>
      <c r="I33" s="1">
        <v>0</v>
      </c>
      <c r="J33" s="1">
        <v>662127312.33000004</v>
      </c>
      <c r="K33" s="1">
        <v>1374310.17</v>
      </c>
      <c r="L33" s="48">
        <v>2303726.16</v>
      </c>
      <c r="M33" s="1">
        <v>673096284.25</v>
      </c>
      <c r="N33" s="1">
        <v>-8310588.6100000003</v>
      </c>
      <c r="O33" s="3">
        <v>681406872.86000001</v>
      </c>
      <c r="P33" s="9">
        <f t="shared" si="13"/>
        <v>9.0304946183455406E-4</v>
      </c>
      <c r="Q33" s="14">
        <f t="shared" si="14"/>
        <v>2.0168716001230619E-3</v>
      </c>
      <c r="R33" s="14">
        <f t="shared" si="2"/>
        <v>3.380837869055831E-3</v>
      </c>
      <c r="S33" s="36">
        <f t="shared" si="3"/>
        <v>116.38983897575243</v>
      </c>
      <c r="T33" s="36">
        <f t="shared" si="4"/>
        <v>0.39349517518253413</v>
      </c>
      <c r="U33" s="1">
        <v>100</v>
      </c>
      <c r="V33" s="1">
        <v>100</v>
      </c>
      <c r="W33" s="42">
        <v>670</v>
      </c>
      <c r="X33" s="1">
        <v>5854522</v>
      </c>
    </row>
    <row r="34" spans="1:28" ht="15.75" x14ac:dyDescent="0.3">
      <c r="A34" s="51">
        <v>29</v>
      </c>
      <c r="B34" s="6" t="s">
        <v>2</v>
      </c>
      <c r="C34" s="29" t="s">
        <v>141</v>
      </c>
      <c r="D34" s="1">
        <v>0</v>
      </c>
      <c r="E34" s="1">
        <v>0</v>
      </c>
      <c r="F34" s="1">
        <v>10537831691.969999</v>
      </c>
      <c r="G34" s="1">
        <v>0</v>
      </c>
      <c r="H34" s="1">
        <v>0</v>
      </c>
      <c r="I34" s="23"/>
      <c r="J34" s="1">
        <v>10939910702.9</v>
      </c>
      <c r="K34" s="1">
        <v>10236568.949999999</v>
      </c>
      <c r="L34" s="48">
        <v>81579270.709999993</v>
      </c>
      <c r="M34" s="1">
        <v>10772417826.709999</v>
      </c>
      <c r="N34" s="1">
        <v>-27870907.09</v>
      </c>
      <c r="O34" s="3">
        <v>10744546919.620001</v>
      </c>
      <c r="P34" s="9">
        <f t="shared" si="13"/>
        <v>1.4239447384341955E-2</v>
      </c>
      <c r="Q34" s="14">
        <f t="shared" si="14"/>
        <v>9.5272225311870409E-4</v>
      </c>
      <c r="R34" s="14">
        <f t="shared" si="2"/>
        <v>7.5926208262009414E-3</v>
      </c>
      <c r="S34" s="36">
        <f t="shared" si="3"/>
        <v>0.99893093952815137</v>
      </c>
      <c r="T34" s="36">
        <f t="shared" si="4"/>
        <v>7.5845038553979159E-3</v>
      </c>
      <c r="U34" s="1">
        <v>1</v>
      </c>
      <c r="V34" s="1">
        <v>1</v>
      </c>
      <c r="W34" s="42">
        <v>1064</v>
      </c>
      <c r="X34" s="1">
        <v>10756045783</v>
      </c>
    </row>
    <row r="35" spans="1:28" ht="15.75" x14ac:dyDescent="0.3">
      <c r="A35" s="51">
        <v>30</v>
      </c>
      <c r="B35" s="6" t="s">
        <v>29</v>
      </c>
      <c r="C35" s="29" t="s">
        <v>106</v>
      </c>
      <c r="D35" s="1">
        <v>0</v>
      </c>
      <c r="E35" s="1">
        <v>0</v>
      </c>
      <c r="F35" s="1">
        <v>13326389236.26</v>
      </c>
      <c r="G35" s="1"/>
      <c r="H35" s="1"/>
      <c r="I35" s="1"/>
      <c r="J35" s="1">
        <v>13326389236.26</v>
      </c>
      <c r="K35" s="1">
        <v>10626628.27</v>
      </c>
      <c r="L35" s="48">
        <v>482230600.51999998</v>
      </c>
      <c r="M35" s="1">
        <v>13326389236.26</v>
      </c>
      <c r="N35" s="1">
        <v>19231611.469999999</v>
      </c>
      <c r="O35" s="3">
        <v>13307157624.790001</v>
      </c>
      <c r="P35" s="9">
        <f t="shared" si="13"/>
        <v>1.7635603646286052E-2</v>
      </c>
      <c r="Q35" s="14">
        <f t="shared" si="14"/>
        <v>7.9856484529826084E-4</v>
      </c>
      <c r="R35" s="14">
        <f t="shared" si="2"/>
        <v>3.6238437547448078E-2</v>
      </c>
      <c r="S35" s="36">
        <f t="shared" si="3"/>
        <v>17.309135007098064</v>
      </c>
      <c r="T35" s="36">
        <f t="shared" si="4"/>
        <v>0.62725600795507053</v>
      </c>
      <c r="U35" s="1">
        <v>1</v>
      </c>
      <c r="V35" s="1">
        <v>1</v>
      </c>
      <c r="W35" s="42">
        <v>1938</v>
      </c>
      <c r="X35" s="1">
        <v>768793912.53999996</v>
      </c>
      <c r="Y35" s="32"/>
      <c r="Z35" s="32"/>
      <c r="AA35" s="32"/>
      <c r="AB35" s="32"/>
    </row>
    <row r="36" spans="1:28" s="32" customFormat="1" ht="15.75" x14ac:dyDescent="0.3">
      <c r="A36" s="51">
        <v>31</v>
      </c>
      <c r="B36" s="29" t="s">
        <v>87</v>
      </c>
      <c r="C36" s="29" t="s">
        <v>103</v>
      </c>
      <c r="D36" s="4">
        <v>0</v>
      </c>
      <c r="E36" s="4">
        <v>0</v>
      </c>
      <c r="F36" s="4">
        <v>2356885311.9200001</v>
      </c>
      <c r="G36" s="4">
        <v>0</v>
      </c>
      <c r="H36" s="4">
        <v>0</v>
      </c>
      <c r="I36" s="4">
        <v>0</v>
      </c>
      <c r="J36" s="4">
        <v>5233141568.4899998</v>
      </c>
      <c r="K36" s="4">
        <v>7036663.3700000001</v>
      </c>
      <c r="L36" s="50">
        <v>35558538.090000004</v>
      </c>
      <c r="M36" s="4">
        <v>5302606205.4499998</v>
      </c>
      <c r="N36" s="4">
        <v>7036663.3700000001</v>
      </c>
      <c r="O36" s="22">
        <v>5295569542.0799999</v>
      </c>
      <c r="P36" s="21">
        <f t="shared" si="13"/>
        <v>7.018070136291874E-3</v>
      </c>
      <c r="Q36" s="31">
        <f t="shared" si="14"/>
        <v>1.3287831108787841E-3</v>
      </c>
      <c r="R36" s="31">
        <f t="shared" si="2"/>
        <v>6.7147712455558235E-3</v>
      </c>
      <c r="S36" s="69">
        <f t="shared" si="3"/>
        <v>102.00322696333937</v>
      </c>
      <c r="T36" s="69">
        <f t="shared" si="4"/>
        <v>0.68492833536733577</v>
      </c>
      <c r="U36" s="4">
        <v>100</v>
      </c>
      <c r="V36" s="4">
        <v>100</v>
      </c>
      <c r="W36" s="44">
        <v>666</v>
      </c>
      <c r="X36" s="4">
        <v>51915706</v>
      </c>
      <c r="Y36"/>
      <c r="Z36"/>
      <c r="AA36"/>
      <c r="AB36"/>
    </row>
    <row r="37" spans="1:28" ht="15.75" x14ac:dyDescent="0.3">
      <c r="A37" s="51">
        <v>32</v>
      </c>
      <c r="B37" s="6" t="s">
        <v>100</v>
      </c>
      <c r="C37" s="29" t="s">
        <v>101</v>
      </c>
      <c r="D37" s="1">
        <v>0</v>
      </c>
      <c r="E37" s="1">
        <v>0</v>
      </c>
      <c r="F37" s="1">
        <v>6235662333.8599997</v>
      </c>
      <c r="G37" s="1">
        <v>0</v>
      </c>
      <c r="H37" s="1">
        <v>0</v>
      </c>
      <c r="I37" s="1">
        <v>0</v>
      </c>
      <c r="J37" s="1">
        <v>6235662333.8599997</v>
      </c>
      <c r="K37" s="1">
        <v>5297151.8</v>
      </c>
      <c r="L37" s="48">
        <v>51905232.600000001</v>
      </c>
      <c r="M37" s="1">
        <v>6276874569.04</v>
      </c>
      <c r="N37" s="1">
        <v>27812166.460000001</v>
      </c>
      <c r="O37" s="3">
        <v>6249062402.5799999</v>
      </c>
      <c r="P37" s="9">
        <f t="shared" si="13"/>
        <v>8.2817075441794872E-3</v>
      </c>
      <c r="Q37" s="14">
        <f t="shared" si="14"/>
        <v>8.4767145193061406E-4</v>
      </c>
      <c r="R37" s="14">
        <f t="shared" si="2"/>
        <v>8.3060832579572742E-3</v>
      </c>
      <c r="S37" s="36">
        <f t="shared" si="3"/>
        <v>1.0251795955387277</v>
      </c>
      <c r="T37" s="36">
        <f t="shared" si="4"/>
        <v>8.5152270749036356E-3</v>
      </c>
      <c r="U37" s="1">
        <v>1</v>
      </c>
      <c r="V37" s="1">
        <v>1</v>
      </c>
      <c r="W37" s="42">
        <v>1304</v>
      </c>
      <c r="X37" s="1">
        <v>6095578208.71</v>
      </c>
    </row>
    <row r="38" spans="1:28" ht="16.5" customHeight="1" x14ac:dyDescent="0.3">
      <c r="A38" s="51">
        <v>33</v>
      </c>
      <c r="B38" s="6" t="s">
        <v>120</v>
      </c>
      <c r="C38" s="58" t="s">
        <v>121</v>
      </c>
      <c r="D38" s="35">
        <v>0</v>
      </c>
      <c r="E38" s="1">
        <v>0</v>
      </c>
      <c r="F38" s="1">
        <v>472704236.58999997</v>
      </c>
      <c r="G38" s="1">
        <v>0</v>
      </c>
      <c r="H38" s="1"/>
      <c r="I38" s="1">
        <v>0</v>
      </c>
      <c r="J38" s="1">
        <v>894542378.09000003</v>
      </c>
      <c r="K38" s="1">
        <v>3137439.4</v>
      </c>
      <c r="L38" s="48">
        <v>4108584.56</v>
      </c>
      <c r="M38" s="1">
        <v>905861312.04999995</v>
      </c>
      <c r="N38" s="1">
        <v>7507874.3499999996</v>
      </c>
      <c r="O38" s="3">
        <v>898353437.70000005</v>
      </c>
      <c r="P38" s="9">
        <f t="shared" si="13"/>
        <v>1.1905626737329451E-3</v>
      </c>
      <c r="Q38" s="14">
        <f t="shared" si="14"/>
        <v>3.4924332321058359E-3</v>
      </c>
      <c r="R38" s="14">
        <f t="shared" si="2"/>
        <v>4.5734611652613706E-3</v>
      </c>
      <c r="S38" s="36">
        <f t="shared" si="3"/>
        <v>10.072075779884678</v>
      </c>
      <c r="T38" s="36">
        <f t="shared" si="4"/>
        <v>4.6064247432872199E-2</v>
      </c>
      <c r="U38" s="1">
        <v>10</v>
      </c>
      <c r="V38" s="1">
        <v>10</v>
      </c>
      <c r="W38" s="42">
        <v>303</v>
      </c>
      <c r="X38" s="1">
        <v>89192482</v>
      </c>
    </row>
    <row r="39" spans="1:28" ht="16.5" customHeight="1" x14ac:dyDescent="0.3">
      <c r="A39" s="51">
        <v>34</v>
      </c>
      <c r="B39" s="6" t="s">
        <v>146</v>
      </c>
      <c r="C39" s="58" t="s">
        <v>147</v>
      </c>
      <c r="D39" s="35">
        <v>0</v>
      </c>
      <c r="E39" s="1">
        <v>0</v>
      </c>
      <c r="F39" s="1">
        <v>1207606053</v>
      </c>
      <c r="G39" s="1">
        <v>0</v>
      </c>
      <c r="H39" s="1">
        <v>0</v>
      </c>
      <c r="I39" s="1">
        <v>0</v>
      </c>
      <c r="J39" s="1">
        <v>1207606053.0999999</v>
      </c>
      <c r="K39" s="1">
        <v>2416026.65</v>
      </c>
      <c r="L39" s="48">
        <v>11593532.210000001</v>
      </c>
      <c r="M39" s="1">
        <v>1210834041.71</v>
      </c>
      <c r="N39" s="1">
        <v>1716508.78</v>
      </c>
      <c r="O39" s="3">
        <v>1209117532.9300001</v>
      </c>
      <c r="P39" s="9">
        <f t="shared" si="13"/>
        <v>1.6024096335046764E-3</v>
      </c>
      <c r="Q39" s="14">
        <f t="shared" si="14"/>
        <v>1.9981735308604379E-3</v>
      </c>
      <c r="R39" s="14">
        <f t="shared" si="2"/>
        <v>9.5884245280158306E-3</v>
      </c>
      <c r="S39" s="36">
        <f t="shared" si="3"/>
        <v>1.0159806436075263</v>
      </c>
      <c r="T39" s="36">
        <f t="shared" si="4"/>
        <v>9.7416537231557136E-3</v>
      </c>
      <c r="U39" s="1">
        <v>1</v>
      </c>
      <c r="V39" s="1">
        <v>1</v>
      </c>
      <c r="W39" s="42">
        <v>153</v>
      </c>
      <c r="X39" s="1">
        <v>1190098985.1900001</v>
      </c>
    </row>
    <row r="40" spans="1:28" ht="16.5" customHeight="1" x14ac:dyDescent="0.3">
      <c r="A40" s="51">
        <v>35</v>
      </c>
      <c r="B40" s="6" t="s">
        <v>25</v>
      </c>
      <c r="C40" s="58" t="s">
        <v>152</v>
      </c>
      <c r="D40" s="35">
        <v>0</v>
      </c>
      <c r="E40" s="1">
        <v>0</v>
      </c>
      <c r="F40" s="1">
        <v>4004165201.29</v>
      </c>
      <c r="G40" s="1">
        <v>0</v>
      </c>
      <c r="H40" s="1">
        <v>0</v>
      </c>
      <c r="I40" s="1">
        <v>0</v>
      </c>
      <c r="J40" s="1">
        <v>4004165201.29</v>
      </c>
      <c r="K40" s="1">
        <v>2465389.5</v>
      </c>
      <c r="L40" s="48">
        <v>38005236.130000003</v>
      </c>
      <c r="M40" s="1">
        <v>4683668732.75</v>
      </c>
      <c r="N40" s="1">
        <v>12083082.810000001</v>
      </c>
      <c r="O40" s="3">
        <v>4671585649.9399996</v>
      </c>
      <c r="P40" s="9">
        <f t="shared" si="13"/>
        <v>6.1911217440260534E-3</v>
      </c>
      <c r="Q40" s="14">
        <f t="shared" si="14"/>
        <v>5.2774147468144246E-4</v>
      </c>
      <c r="R40" s="14">
        <f t="shared" si="2"/>
        <v>8.1354039030597947E-3</v>
      </c>
      <c r="S40" s="36">
        <f t="shared" si="3"/>
        <v>97.826524698960654</v>
      </c>
      <c r="T40" s="36">
        <f t="shared" si="4"/>
        <v>0.79585829085869997</v>
      </c>
      <c r="U40" s="1">
        <v>100</v>
      </c>
      <c r="V40" s="1">
        <v>100</v>
      </c>
      <c r="W40" s="42">
        <v>369</v>
      </c>
      <c r="X40" s="1">
        <v>47753772.960000001</v>
      </c>
    </row>
    <row r="41" spans="1:28" ht="16.5" customHeight="1" x14ac:dyDescent="0.3">
      <c r="A41" s="51">
        <v>36</v>
      </c>
      <c r="B41" s="68" t="s">
        <v>148</v>
      </c>
      <c r="C41" s="58" t="s">
        <v>149</v>
      </c>
      <c r="D41" s="35">
        <v>0</v>
      </c>
      <c r="E41" s="35">
        <v>0</v>
      </c>
      <c r="F41" s="35">
        <v>576284187.34000003</v>
      </c>
      <c r="G41" s="35">
        <v>0</v>
      </c>
      <c r="H41" s="35">
        <v>0</v>
      </c>
      <c r="I41" s="35">
        <v>0</v>
      </c>
      <c r="J41" s="35">
        <v>57628487.340000004</v>
      </c>
      <c r="K41" s="35">
        <v>1936282.48</v>
      </c>
      <c r="L41" s="35">
        <v>7079837.0300000003</v>
      </c>
      <c r="M41" s="35">
        <v>945040102.17999995</v>
      </c>
      <c r="N41" s="35">
        <v>7475222.4100000001</v>
      </c>
      <c r="O41" s="3">
        <v>937564879.76999998</v>
      </c>
      <c r="P41" s="9">
        <f t="shared" si="13"/>
        <v>1.2425285007144782E-3</v>
      </c>
      <c r="Q41" s="14">
        <f t="shared" ref="Q41" si="15">(K41/O41)</f>
        <v>2.0652250545850244E-3</v>
      </c>
      <c r="R41" s="14">
        <f t="shared" ref="R41" si="16">L41/O41</f>
        <v>7.551303576704793E-3</v>
      </c>
      <c r="S41" s="36">
        <f t="shared" ref="S41" si="17">O41/X41</f>
        <v>1.0251772772369006</v>
      </c>
      <c r="T41" s="36">
        <f t="shared" ref="T41" si="18">L41/X41</f>
        <v>7.7414248403554885E-3</v>
      </c>
      <c r="U41" s="35">
        <v>1</v>
      </c>
      <c r="V41" s="35">
        <v>1</v>
      </c>
      <c r="W41" s="66">
        <v>387</v>
      </c>
      <c r="X41" s="35">
        <v>914539271</v>
      </c>
      <c r="Y41" s="67"/>
      <c r="Z41" s="67"/>
      <c r="AA41" s="67"/>
      <c r="AB41" s="67"/>
    </row>
    <row r="42" spans="1:28" s="67" customFormat="1" ht="16.5" customHeight="1" x14ac:dyDescent="0.3">
      <c r="A42" s="51">
        <v>37</v>
      </c>
      <c r="B42" s="68" t="s">
        <v>158</v>
      </c>
      <c r="C42" s="58" t="s">
        <v>157</v>
      </c>
      <c r="D42" s="35">
        <v>0</v>
      </c>
      <c r="E42" s="35">
        <v>0</v>
      </c>
      <c r="F42" s="35">
        <v>433316554.73000002</v>
      </c>
      <c r="G42" s="35">
        <v>0</v>
      </c>
      <c r="H42" s="35">
        <v>0</v>
      </c>
      <c r="I42" s="35">
        <v>0</v>
      </c>
      <c r="J42" s="35">
        <v>433316554.73000002</v>
      </c>
      <c r="K42" s="35">
        <v>0</v>
      </c>
      <c r="L42" s="35">
        <v>3236476.08</v>
      </c>
      <c r="M42" s="35">
        <v>445990106.66000003</v>
      </c>
      <c r="N42" s="35">
        <v>0</v>
      </c>
      <c r="O42" s="3">
        <v>445990106.66000003</v>
      </c>
      <c r="P42" s="9">
        <f t="shared" si="13"/>
        <v>5.9105820889716291E-4</v>
      </c>
      <c r="Q42" s="14">
        <f t="shared" si="14"/>
        <v>0</v>
      </c>
      <c r="R42" s="14">
        <f t="shared" si="2"/>
        <v>7.2568337989329509E-3</v>
      </c>
      <c r="S42" s="36">
        <f t="shared" si="3"/>
        <v>0.98098930388150785</v>
      </c>
      <c r="T42" s="36">
        <f t="shared" si="4"/>
        <v>7.1188763367990337E-3</v>
      </c>
      <c r="U42" s="35">
        <v>1</v>
      </c>
      <c r="V42" s="35">
        <v>1</v>
      </c>
      <c r="W42" s="66">
        <v>363</v>
      </c>
      <c r="X42" s="35">
        <v>454632996.39999998</v>
      </c>
      <c r="Y42"/>
      <c r="Z42"/>
      <c r="AA42"/>
      <c r="AB42"/>
    </row>
    <row r="43" spans="1:28" ht="15.75" x14ac:dyDescent="0.3">
      <c r="A43" s="51" t="s">
        <v>153</v>
      </c>
      <c r="B43" s="6"/>
      <c r="C43" s="62" t="s">
        <v>60</v>
      </c>
      <c r="D43" s="1"/>
      <c r="E43" s="1"/>
      <c r="F43" s="1"/>
      <c r="G43" s="1"/>
      <c r="H43" s="1"/>
      <c r="I43" s="1"/>
      <c r="J43" s="1"/>
      <c r="K43" s="1"/>
      <c r="L43" s="48"/>
      <c r="M43" s="1"/>
      <c r="N43" s="1"/>
      <c r="O43" s="7">
        <f>SUM(O20:O42)</f>
        <v>754562071800.27002</v>
      </c>
      <c r="P43" s="41">
        <f>(O43/$O$112)</f>
        <v>0.75147830481802536</v>
      </c>
      <c r="Q43" s="14"/>
      <c r="R43" s="14"/>
      <c r="S43" s="36"/>
      <c r="T43" s="36"/>
      <c r="U43" s="1"/>
      <c r="V43" s="1"/>
      <c r="W43" s="42"/>
      <c r="X43" s="1"/>
    </row>
    <row r="44" spans="1:28" ht="15.75" x14ac:dyDescent="0.3">
      <c r="A44" s="83"/>
      <c r="B44" s="57"/>
      <c r="C44" s="77" t="s">
        <v>20</v>
      </c>
      <c r="D44" s="2"/>
      <c r="E44" s="2"/>
      <c r="F44" s="2"/>
      <c r="G44" s="2"/>
      <c r="H44" s="2"/>
      <c r="I44" s="2"/>
      <c r="J44" s="5"/>
      <c r="K44" s="2"/>
      <c r="L44" s="2"/>
      <c r="M44" s="2"/>
      <c r="N44" s="2"/>
      <c r="O44" s="3"/>
      <c r="P44" s="10"/>
      <c r="Q44" s="14"/>
      <c r="R44" s="14"/>
      <c r="S44" s="36"/>
      <c r="T44" s="36"/>
      <c r="U44" s="2"/>
      <c r="V44" s="2"/>
      <c r="W44" s="2"/>
      <c r="X44" s="2"/>
    </row>
    <row r="45" spans="1:28" ht="15.75" x14ac:dyDescent="0.3">
      <c r="A45" s="51">
        <v>38</v>
      </c>
      <c r="B45" s="6" t="s">
        <v>1</v>
      </c>
      <c r="C45" s="29" t="s">
        <v>21</v>
      </c>
      <c r="D45" s="1">
        <v>0</v>
      </c>
      <c r="E45" s="1">
        <v>0</v>
      </c>
      <c r="F45" s="1">
        <v>2002453060.22</v>
      </c>
      <c r="G45" s="1">
        <v>10056128044.43</v>
      </c>
      <c r="H45" s="1">
        <v>0</v>
      </c>
      <c r="I45" s="1">
        <v>0</v>
      </c>
      <c r="J45" s="1">
        <v>12063485159.450001</v>
      </c>
      <c r="K45" s="1">
        <v>15840553.380000001</v>
      </c>
      <c r="L45" s="48">
        <v>60531608.869999997</v>
      </c>
      <c r="M45" s="1">
        <v>13301039320.65</v>
      </c>
      <c r="N45" s="1">
        <v>24816723.859999999</v>
      </c>
      <c r="O45" s="3">
        <v>13276222596.790001</v>
      </c>
      <c r="P45" s="10">
        <f t="shared" ref="P45:P52" si="19">(O45/$O$54)</f>
        <v>0.37903557812596944</v>
      </c>
      <c r="Q45" s="14">
        <f t="shared" ref="Q45:Q52" si="20">(K45/O45)</f>
        <v>1.1931521383070226E-3</v>
      </c>
      <c r="R45" s="14">
        <f t="shared" si="2"/>
        <v>4.5593999670234262E-3</v>
      </c>
      <c r="S45" s="36">
        <f t="shared" si="3"/>
        <v>210.95027321823355</v>
      </c>
      <c r="T45" s="36">
        <f t="shared" si="4"/>
        <v>0.96180666875479681</v>
      </c>
      <c r="U45" s="1">
        <v>210.95</v>
      </c>
      <c r="V45" s="1">
        <v>210.95</v>
      </c>
      <c r="W45" s="42">
        <v>1489</v>
      </c>
      <c r="X45" s="1">
        <v>62935318.329999998</v>
      </c>
    </row>
    <row r="46" spans="1:28" ht="15.75" x14ac:dyDescent="0.3">
      <c r="A46" s="51">
        <v>39</v>
      </c>
      <c r="B46" s="6" t="s">
        <v>8</v>
      </c>
      <c r="C46" s="29" t="s">
        <v>114</v>
      </c>
      <c r="D46" s="1">
        <v>0</v>
      </c>
      <c r="E46" s="1">
        <v>0</v>
      </c>
      <c r="F46" s="1">
        <v>58656374</v>
      </c>
      <c r="G46" s="1">
        <v>3490948925</v>
      </c>
      <c r="H46" s="1"/>
      <c r="I46" s="1"/>
      <c r="J46" s="1">
        <v>3549605299</v>
      </c>
      <c r="K46" s="1">
        <v>5112458</v>
      </c>
      <c r="L46" s="48">
        <v>41348994</v>
      </c>
      <c r="M46" s="1">
        <v>5016018436.6400003</v>
      </c>
      <c r="N46" s="1">
        <v>37137419.43</v>
      </c>
      <c r="O46" s="3">
        <v>5037106666</v>
      </c>
      <c r="P46" s="9">
        <f t="shared" si="19"/>
        <v>0.14380917639111535</v>
      </c>
      <c r="Q46" s="14">
        <f t="shared" si="20"/>
        <v>1.0149592492270641E-3</v>
      </c>
      <c r="R46" s="14">
        <f t="shared" si="2"/>
        <v>8.2088779813026102E-3</v>
      </c>
      <c r="S46" s="36">
        <f t="shared" si="3"/>
        <v>2.003869252337747</v>
      </c>
      <c r="T46" s="36">
        <f t="shared" si="4"/>
        <v>1.6449518182924654E-2</v>
      </c>
      <c r="U46" s="1">
        <v>1.7222</v>
      </c>
      <c r="V46" s="1">
        <v>1.7222</v>
      </c>
      <c r="W46" s="42">
        <v>2229</v>
      </c>
      <c r="X46" s="1">
        <v>2513690282</v>
      </c>
    </row>
    <row r="47" spans="1:28" ht="15.75" x14ac:dyDescent="0.3">
      <c r="A47" s="51">
        <v>40</v>
      </c>
      <c r="B47" s="6" t="s">
        <v>65</v>
      </c>
      <c r="C47" s="29" t="s">
        <v>22</v>
      </c>
      <c r="D47" s="1"/>
      <c r="E47" s="1">
        <v>0</v>
      </c>
      <c r="F47" s="1">
        <v>364083484.92000002</v>
      </c>
      <c r="G47" s="1">
        <v>1024902906.58</v>
      </c>
      <c r="H47" s="1">
        <v>0</v>
      </c>
      <c r="I47" s="1">
        <v>0</v>
      </c>
      <c r="J47" s="1">
        <v>1388986391.5</v>
      </c>
      <c r="K47" s="1">
        <v>2287602.4700000002</v>
      </c>
      <c r="L47" s="48">
        <v>1696142.25</v>
      </c>
      <c r="M47" s="1">
        <v>1413231097.74</v>
      </c>
      <c r="N47" s="1">
        <v>17715165.32</v>
      </c>
      <c r="O47" s="3">
        <v>1395515932.4200001</v>
      </c>
      <c r="P47" s="9">
        <f>(O47/$O$54)</f>
        <v>3.9841919218551562E-2</v>
      </c>
      <c r="Q47" s="14">
        <f t="shared" si="20"/>
        <v>1.6392521338205075E-3</v>
      </c>
      <c r="R47" s="14">
        <f>L47/O47</f>
        <v>1.2154230636827457E-3</v>
      </c>
      <c r="S47" s="36">
        <f t="shared" si="3"/>
        <v>316.7257369316913</v>
      </c>
      <c r="T47" s="36">
        <f>L47/X47</f>
        <v>0.3849557655286916</v>
      </c>
      <c r="U47" s="1">
        <v>316.73</v>
      </c>
      <c r="V47" s="1">
        <v>316.73</v>
      </c>
      <c r="W47" s="42">
        <v>94</v>
      </c>
      <c r="X47" s="1">
        <v>4406070.5199999996</v>
      </c>
    </row>
    <row r="48" spans="1:28" ht="15.75" x14ac:dyDescent="0.3">
      <c r="A48" s="51">
        <v>41</v>
      </c>
      <c r="B48" s="6" t="s">
        <v>11</v>
      </c>
      <c r="C48" s="29" t="s">
        <v>23</v>
      </c>
      <c r="D48" s="1">
        <v>0</v>
      </c>
      <c r="E48" s="1" t="s">
        <v>156</v>
      </c>
      <c r="F48" s="1">
        <v>3775367037.4699998</v>
      </c>
      <c r="G48" s="1">
        <v>4793327807.3199997</v>
      </c>
      <c r="H48" s="1">
        <v>0</v>
      </c>
      <c r="I48" s="1">
        <v>0</v>
      </c>
      <c r="J48" s="1">
        <v>8583075233.25</v>
      </c>
      <c r="K48" s="1">
        <v>8286137.3799999999</v>
      </c>
      <c r="L48" s="48">
        <v>78092847.359999999</v>
      </c>
      <c r="M48" s="1">
        <v>8614851607.2800007</v>
      </c>
      <c r="N48" s="1">
        <v>31776374.030000001</v>
      </c>
      <c r="O48" s="3">
        <v>8583075233.25</v>
      </c>
      <c r="P48" s="9">
        <f t="shared" si="19"/>
        <v>0.24504642487089684</v>
      </c>
      <c r="Q48" s="14">
        <f t="shared" si="20"/>
        <v>9.6540425835955727E-4</v>
      </c>
      <c r="R48" s="14">
        <f t="shared" si="2"/>
        <v>9.0984693991118578E-3</v>
      </c>
      <c r="S48" s="36">
        <f t="shared" si="3"/>
        <v>1291.0753275982795</v>
      </c>
      <c r="T48" s="36">
        <f t="shared" si="4"/>
        <v>11.746809360101263</v>
      </c>
      <c r="U48" s="1">
        <v>1291.07</v>
      </c>
      <c r="V48" s="1">
        <v>1292.28</v>
      </c>
      <c r="W48" s="42">
        <v>1038</v>
      </c>
      <c r="X48" s="1">
        <v>6648005</v>
      </c>
    </row>
    <row r="49" spans="1:24" ht="15.75" customHeight="1" x14ac:dyDescent="0.3">
      <c r="A49" s="84" t="s">
        <v>161</v>
      </c>
      <c r="B49" s="29" t="s">
        <v>11</v>
      </c>
      <c r="C49" s="29" t="s">
        <v>123</v>
      </c>
      <c r="D49" s="1"/>
      <c r="E49" s="1"/>
      <c r="F49" s="1"/>
      <c r="G49" s="1"/>
      <c r="H49" s="23"/>
      <c r="I49" s="1"/>
      <c r="J49" s="1"/>
      <c r="K49" s="23"/>
      <c r="L49" s="48"/>
      <c r="M49" s="1"/>
      <c r="N49" s="23"/>
      <c r="O49" s="3"/>
      <c r="P49" s="9">
        <f t="shared" si="19"/>
        <v>0</v>
      </c>
      <c r="Q49" s="14" t="e">
        <f t="shared" si="20"/>
        <v>#DIV/0!</v>
      </c>
      <c r="R49" s="14" t="e">
        <f t="shared" si="2"/>
        <v>#DIV/0!</v>
      </c>
      <c r="S49" s="36" t="e">
        <f t="shared" si="3"/>
        <v>#DIV/0!</v>
      </c>
      <c r="T49" s="36" t="e">
        <f t="shared" si="4"/>
        <v>#DIV/0!</v>
      </c>
      <c r="U49" s="1"/>
      <c r="V49" s="1"/>
      <c r="W49" s="42"/>
      <c r="X49" s="1"/>
    </row>
    <row r="50" spans="1:24" s="67" customFormat="1" ht="15.75" customHeight="1" x14ac:dyDescent="0.3">
      <c r="A50" s="85" t="s">
        <v>162</v>
      </c>
      <c r="B50" s="58" t="s">
        <v>11</v>
      </c>
      <c r="C50" s="58" t="s">
        <v>124</v>
      </c>
      <c r="D50" s="35">
        <v>0</v>
      </c>
      <c r="E50" s="35">
        <v>0</v>
      </c>
      <c r="F50" s="35">
        <v>1564329319.99</v>
      </c>
      <c r="G50" s="35">
        <v>1526147262.1800001</v>
      </c>
      <c r="H50" s="35">
        <v>0</v>
      </c>
      <c r="I50" s="35">
        <v>0</v>
      </c>
      <c r="J50" s="35">
        <v>3191515444.1700001</v>
      </c>
      <c r="K50" s="35">
        <v>4121758.44</v>
      </c>
      <c r="L50" s="35">
        <v>6714178.7800000003</v>
      </c>
      <c r="M50" s="35">
        <v>3216025167.1999998</v>
      </c>
      <c r="N50" s="35">
        <v>24509723.030000001</v>
      </c>
      <c r="O50" s="3">
        <v>3191515444.1700001</v>
      </c>
      <c r="P50" s="9">
        <f t="shared" si="19"/>
        <v>9.1117627221121142E-2</v>
      </c>
      <c r="Q50" s="14">
        <f t="shared" si="20"/>
        <v>1.2914737566222002E-3</v>
      </c>
      <c r="R50" s="14">
        <f>L50/O50</f>
        <v>2.1037588247504531E-3</v>
      </c>
      <c r="S50" s="36">
        <f>O50/X50</f>
        <v>43660.137456878721</v>
      </c>
      <c r="T50" s="36">
        <f t="shared" si="4"/>
        <v>91.850399464726422</v>
      </c>
      <c r="U50" s="35">
        <v>43475.89</v>
      </c>
      <c r="V50" s="35">
        <v>43599.89</v>
      </c>
      <c r="W50" s="66">
        <v>1252</v>
      </c>
      <c r="X50" s="35">
        <v>73099.070000000007</v>
      </c>
    </row>
    <row r="51" spans="1:24" ht="15.75" x14ac:dyDescent="0.3">
      <c r="A51" s="51">
        <v>43</v>
      </c>
      <c r="B51" s="29" t="s">
        <v>2</v>
      </c>
      <c r="C51" s="29" t="s">
        <v>118</v>
      </c>
      <c r="D51" s="1">
        <v>0</v>
      </c>
      <c r="E51" s="1">
        <v>0</v>
      </c>
      <c r="F51" s="1">
        <f>(306.95*948262.12)</f>
        <v>291069057.73399997</v>
      </c>
      <c r="G51" s="1">
        <f>(306.95*6489765.62)</f>
        <v>1992033557.059</v>
      </c>
      <c r="H51" s="1">
        <f>(306.95*0)</f>
        <v>0</v>
      </c>
      <c r="I51" s="1">
        <f>(306.95*0)</f>
        <v>0</v>
      </c>
      <c r="J51" s="1">
        <f>(306.95*7457484.7)</f>
        <v>2289074928.665</v>
      </c>
      <c r="K51" s="1">
        <f>(364.47*101738)</f>
        <v>37080448.859999999</v>
      </c>
      <c r="L51" s="1">
        <f>(306.95*30568.99)</f>
        <v>9383151.4804999996</v>
      </c>
      <c r="M51" s="1">
        <f>(306.95*7457484.7)</f>
        <v>2289074928.665</v>
      </c>
      <c r="N51" s="1">
        <f>(306.95*-61236)</f>
        <v>-18796390.199999999</v>
      </c>
      <c r="O51" s="3">
        <f>(307*7396249.07)</f>
        <v>2270648464.4900002</v>
      </c>
      <c r="P51" s="9">
        <f t="shared" si="19"/>
        <v>6.4826914974060956E-2</v>
      </c>
      <c r="Q51" s="14">
        <f t="shared" si="20"/>
        <v>1.6330334457266359E-2</v>
      </c>
      <c r="R51" s="14">
        <f t="shared" si="2"/>
        <v>4.1323664262611897E-3</v>
      </c>
      <c r="S51" s="36">
        <f t="shared" si="3"/>
        <v>0.10813170193684317</v>
      </c>
      <c r="T51" s="36">
        <f t="shared" si="4"/>
        <v>4.4683981469829275E-4</v>
      </c>
      <c r="U51" s="1">
        <f>(307*1.08)</f>
        <v>331.56</v>
      </c>
      <c r="V51" s="1">
        <f>(307*1.08)</f>
        <v>331.56</v>
      </c>
      <c r="W51" s="1">
        <v>103</v>
      </c>
      <c r="X51" s="1">
        <f>(307*68400376)</f>
        <v>20998915432</v>
      </c>
    </row>
    <row r="52" spans="1:24" ht="15.75" x14ac:dyDescent="0.3">
      <c r="A52" s="51">
        <v>44</v>
      </c>
      <c r="B52" s="29" t="s">
        <v>8</v>
      </c>
      <c r="C52" s="29" t="s">
        <v>95</v>
      </c>
      <c r="D52" s="1">
        <f>(306.95*0)</f>
        <v>0</v>
      </c>
      <c r="E52" s="1"/>
      <c r="F52" s="1">
        <f>(306.95*0)</f>
        <v>0</v>
      </c>
      <c r="G52" s="1">
        <f>(306.95*39068621)</f>
        <v>11992113215.949999</v>
      </c>
      <c r="H52" s="1">
        <v>0</v>
      </c>
      <c r="I52" s="1">
        <v>0</v>
      </c>
      <c r="J52" s="1">
        <f>(306.95*39068621)</f>
        <v>11992113215.949999</v>
      </c>
      <c r="K52" s="1">
        <f>(306.95*52516)</f>
        <v>16119786.199999999</v>
      </c>
      <c r="L52" s="1">
        <f>(306.95*294258)</f>
        <v>90322493.099999994</v>
      </c>
      <c r="M52" s="1">
        <f>(306.95*41700268)</f>
        <v>12799897262.6</v>
      </c>
      <c r="N52" s="1">
        <f>(306.95*355492.93)</f>
        <v>109118554.8635</v>
      </c>
      <c r="O52" s="3">
        <v>1272238686.25</v>
      </c>
      <c r="P52" s="9">
        <f t="shared" si="19"/>
        <v>3.6322359198284859E-2</v>
      </c>
      <c r="Q52" s="14">
        <f t="shared" si="20"/>
        <v>1.2670410335904844E-2</v>
      </c>
      <c r="R52" s="14">
        <f t="shared" si="2"/>
        <v>7.0994927348287898E-2</v>
      </c>
      <c r="S52" s="36">
        <f t="shared" si="3"/>
        <v>11.410469500891356</v>
      </c>
      <c r="T52" s="36">
        <f t="shared" si="4"/>
        <v>0.81008545322563674</v>
      </c>
      <c r="U52" s="1">
        <f>(307*111.81)</f>
        <v>34325.67</v>
      </c>
      <c r="V52" s="1">
        <f>(307*111.81)</f>
        <v>34325.67</v>
      </c>
      <c r="W52" s="1">
        <v>304</v>
      </c>
      <c r="X52" s="1">
        <f>(307*363184)</f>
        <v>111497488</v>
      </c>
    </row>
    <row r="53" spans="1:24" ht="15.75" x14ac:dyDescent="0.3">
      <c r="A53" s="51">
        <v>45</v>
      </c>
      <c r="B53" s="29" t="s">
        <v>64</v>
      </c>
      <c r="C53" s="29" t="s">
        <v>144</v>
      </c>
      <c r="D53" s="1"/>
      <c r="E53" s="1"/>
      <c r="F53" s="1">
        <v>0</v>
      </c>
      <c r="G53" s="1">
        <v>471694334.39999998</v>
      </c>
      <c r="H53" s="1">
        <v>0</v>
      </c>
      <c r="I53" s="1">
        <v>0</v>
      </c>
      <c r="J53" s="1">
        <v>471694334.39999998</v>
      </c>
      <c r="K53" s="1">
        <v>528274.80000000005</v>
      </c>
      <c r="L53" s="48">
        <v>8122230</v>
      </c>
      <c r="M53" s="1">
        <v>487899140.39999998</v>
      </c>
      <c r="N53" s="1">
        <v>528274.80000000005</v>
      </c>
      <c r="O53" s="3">
        <v>479772129.60000002</v>
      </c>
      <c r="P53" s="9">
        <f>(O52/$O$54)</f>
        <v>3.6322359198284859E-2</v>
      </c>
      <c r="Q53" s="14">
        <f>(K53/O52)</f>
        <v>4.1523246047258771E-4</v>
      </c>
      <c r="R53" s="14">
        <f>L53/O52</f>
        <v>6.3842029705453787E-3</v>
      </c>
      <c r="S53" s="36">
        <f>O52/X53</f>
        <v>100318.45814934553</v>
      </c>
      <c r="T53" s="36">
        <f t="shared" si="4"/>
        <v>640.45339851758399</v>
      </c>
      <c r="U53" s="1">
        <v>105.0827</v>
      </c>
      <c r="V53" s="1">
        <v>106.86279999999999</v>
      </c>
      <c r="W53" s="43">
        <v>29</v>
      </c>
      <c r="X53" s="86">
        <v>12682</v>
      </c>
    </row>
    <row r="54" spans="1:24" ht="15.75" x14ac:dyDescent="0.3">
      <c r="A54" s="51"/>
      <c r="B54" s="6"/>
      <c r="C54" s="62" t="s">
        <v>60</v>
      </c>
      <c r="D54" s="1"/>
      <c r="E54" s="1"/>
      <c r="F54" s="1"/>
      <c r="G54" s="1"/>
      <c r="H54" s="1"/>
      <c r="I54" s="1"/>
      <c r="J54" s="1"/>
      <c r="K54" s="1"/>
      <c r="L54" s="48"/>
      <c r="M54" s="1"/>
      <c r="N54" s="1"/>
      <c r="O54" s="7">
        <f>SUM(O45:O52)</f>
        <v>35026323023.369995</v>
      </c>
      <c r="P54" s="41">
        <f>(O54/$O$112)</f>
        <v>3.4883176392382829E-2</v>
      </c>
      <c r="Q54" s="14"/>
      <c r="R54" s="14"/>
      <c r="S54" s="36"/>
      <c r="T54" s="36"/>
      <c r="U54" s="1"/>
      <c r="V54" s="1"/>
      <c r="W54" s="42"/>
      <c r="X54" s="1"/>
    </row>
    <row r="55" spans="1:24" ht="15.75" customHeight="1" x14ac:dyDescent="0.3">
      <c r="A55" s="80"/>
      <c r="B55" s="81"/>
      <c r="C55" s="77" t="s">
        <v>24</v>
      </c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</row>
    <row r="56" spans="1:24" ht="15.75" x14ac:dyDescent="0.3">
      <c r="A56" s="51">
        <v>46</v>
      </c>
      <c r="B56" s="6" t="s">
        <v>25</v>
      </c>
      <c r="C56" s="4" t="s">
        <v>26</v>
      </c>
      <c r="D56" s="1">
        <v>0</v>
      </c>
      <c r="E56" s="1">
        <v>0</v>
      </c>
      <c r="F56" s="1">
        <v>2058975934.02</v>
      </c>
      <c r="G56" s="1">
        <v>1465210739.72</v>
      </c>
      <c r="H56" s="1">
        <v>0</v>
      </c>
      <c r="I56" s="1">
        <v>0</v>
      </c>
      <c r="J56" s="1">
        <v>3524186673.7399998</v>
      </c>
      <c r="K56" s="1">
        <v>8092992.6799999997</v>
      </c>
      <c r="L56" s="48">
        <v>34880480.409999996</v>
      </c>
      <c r="M56" s="1">
        <v>3678256073.29</v>
      </c>
      <c r="N56" s="1">
        <v>26039708.960000001</v>
      </c>
      <c r="O56" s="3">
        <v>3652216364.3299999</v>
      </c>
      <c r="P56" s="9">
        <f t="shared" ref="P56:P75" si="21">(O56/$O$76)</f>
        <v>2.8345165546140819E-2</v>
      </c>
      <c r="Q56" s="14">
        <f>(J56/O56)</f>
        <v>0.96494465885416203</v>
      </c>
      <c r="R56" s="14">
        <f t="shared" si="2"/>
        <v>9.550496720475329E-3</v>
      </c>
      <c r="S56" s="36">
        <f t="shared" si="3"/>
        <v>3095.479987466591</v>
      </c>
      <c r="T56" s="36">
        <f t="shared" si="4"/>
        <v>29.563371468596692</v>
      </c>
      <c r="U56" s="1">
        <v>3067.44</v>
      </c>
      <c r="V56" s="1">
        <v>3067.44</v>
      </c>
      <c r="W56" s="42">
        <v>1424</v>
      </c>
      <c r="X56" s="1">
        <v>1179854.6200000001</v>
      </c>
    </row>
    <row r="57" spans="1:24" ht="14.25" customHeight="1" x14ac:dyDescent="0.3">
      <c r="A57" s="51">
        <v>47</v>
      </c>
      <c r="B57" s="6" t="s">
        <v>27</v>
      </c>
      <c r="C57" s="29" t="s">
        <v>28</v>
      </c>
      <c r="D57" s="1">
        <v>40835124</v>
      </c>
      <c r="E57" s="1">
        <v>0</v>
      </c>
      <c r="F57" s="1">
        <v>821709569.39999998</v>
      </c>
      <c r="G57" s="1">
        <v>1681037949.21</v>
      </c>
      <c r="H57" s="1">
        <v>0</v>
      </c>
      <c r="I57" s="1">
        <v>0</v>
      </c>
      <c r="J57" s="1">
        <v>2543582642.6100001</v>
      </c>
      <c r="K57" s="1">
        <v>802443.22</v>
      </c>
      <c r="L57" s="48">
        <v>31880599.52</v>
      </c>
      <c r="M57" s="1">
        <v>2551334131.1900001</v>
      </c>
      <c r="N57" s="1">
        <v>83447956.599999994</v>
      </c>
      <c r="O57" s="3">
        <v>2467886174.5900002</v>
      </c>
      <c r="P57" s="9">
        <f t="shared" si="21"/>
        <v>1.9153477009464792E-2</v>
      </c>
      <c r="Q57" s="14">
        <f t="shared" ref="Q57:Q76" si="22">(K57/O57)</f>
        <v>3.2515406434144517E-4</v>
      </c>
      <c r="R57" s="14">
        <f t="shared" si="2"/>
        <v>1.2918180687687693E-2</v>
      </c>
      <c r="S57" s="36">
        <f t="shared" si="3"/>
        <v>11.019777181929223</v>
      </c>
      <c r="T57" s="36">
        <f t="shared" si="4"/>
        <v>0.14235547277421959</v>
      </c>
      <c r="U57" s="1">
        <v>1</v>
      </c>
      <c r="V57" s="1">
        <v>1</v>
      </c>
      <c r="W57" s="42">
        <v>4081</v>
      </c>
      <c r="X57" s="1">
        <v>223950642</v>
      </c>
    </row>
    <row r="58" spans="1:24" s="32" customFormat="1" ht="15.75" x14ac:dyDescent="0.3">
      <c r="A58" s="51">
        <v>48</v>
      </c>
      <c r="B58" s="29" t="s">
        <v>93</v>
      </c>
      <c r="C58" s="29" t="s">
        <v>98</v>
      </c>
      <c r="D58" s="4">
        <v>0</v>
      </c>
      <c r="E58" s="87"/>
      <c r="F58" s="4">
        <v>73597952.469999999</v>
      </c>
      <c r="G58" s="4">
        <v>310662829.17000002</v>
      </c>
      <c r="H58" s="4">
        <v>0</v>
      </c>
      <c r="I58" s="4">
        <v>0</v>
      </c>
      <c r="J58" s="1">
        <v>384260781.63999999</v>
      </c>
      <c r="K58" s="1">
        <v>695641.61</v>
      </c>
      <c r="L58" s="48">
        <v>3307500.09</v>
      </c>
      <c r="M58" s="1">
        <v>403706621.70999998</v>
      </c>
      <c r="N58" s="1">
        <v>6092167.0099999998</v>
      </c>
      <c r="O58" s="3">
        <v>397614454.69999999</v>
      </c>
      <c r="P58" s="21">
        <f t="shared" si="21"/>
        <v>3.0859200052014376E-3</v>
      </c>
      <c r="Q58" s="31" t="e">
        <f>(#REF!/O58)</f>
        <v>#REF!</v>
      </c>
      <c r="R58" s="14">
        <f t="shared" si="2"/>
        <v>8.3183597852233716E-3</v>
      </c>
      <c r="S58" s="36">
        <f t="shared" si="3"/>
        <v>1.8806030664822677</v>
      </c>
      <c r="T58" s="36">
        <f t="shared" si="4"/>
        <v>1.564353292019385E-2</v>
      </c>
      <c r="U58" s="1">
        <v>1.9249000000000001</v>
      </c>
      <c r="V58" s="4">
        <v>1.9249000000000001</v>
      </c>
      <c r="W58" s="42">
        <v>1432</v>
      </c>
      <c r="X58" s="1">
        <v>211429228.09529999</v>
      </c>
    </row>
    <row r="59" spans="1:24" ht="15.75" x14ac:dyDescent="0.3">
      <c r="A59" s="51">
        <v>49</v>
      </c>
      <c r="B59" s="6" t="s">
        <v>1</v>
      </c>
      <c r="C59" s="6" t="s">
        <v>1</v>
      </c>
      <c r="D59" s="1">
        <v>166161200</v>
      </c>
      <c r="E59" s="1">
        <v>0</v>
      </c>
      <c r="F59" s="1">
        <v>7004220876.2700005</v>
      </c>
      <c r="G59" s="1">
        <v>3198940098.5999999</v>
      </c>
      <c r="H59" s="1">
        <v>0</v>
      </c>
      <c r="I59" s="1">
        <v>0</v>
      </c>
      <c r="J59" s="16">
        <v>10369322174.870001</v>
      </c>
      <c r="K59" s="16">
        <v>53186669.710000001</v>
      </c>
      <c r="L59" s="48">
        <v>36093171.109999999</v>
      </c>
      <c r="M59" s="16">
        <v>10872352348.620001</v>
      </c>
      <c r="N59" s="16">
        <v>-46156064.329999998</v>
      </c>
      <c r="O59" s="3">
        <v>10826196284.290001</v>
      </c>
      <c r="P59" s="9">
        <f t="shared" si="21"/>
        <v>8.4023041162160209E-2</v>
      </c>
      <c r="Q59" s="14">
        <f>(K58/O59)</f>
        <v>6.4255403442985075E-5</v>
      </c>
      <c r="R59" s="14">
        <f t="shared" si="2"/>
        <v>3.3338737043198774E-3</v>
      </c>
      <c r="S59" s="36">
        <f t="shared" si="3"/>
        <v>273.89349451944287</v>
      </c>
      <c r="T59" s="36">
        <f t="shared" si="4"/>
        <v>0.91312631916265108</v>
      </c>
      <c r="U59" s="16">
        <v>273.85000000000002</v>
      </c>
      <c r="V59" s="1">
        <v>273.92</v>
      </c>
      <c r="W59" s="42">
        <v>7412</v>
      </c>
      <c r="X59" s="1">
        <v>39527029.670000002</v>
      </c>
    </row>
    <row r="60" spans="1:24" ht="15.75" x14ac:dyDescent="0.3">
      <c r="A60" s="51">
        <v>50</v>
      </c>
      <c r="B60" s="6" t="s">
        <v>30</v>
      </c>
      <c r="C60" s="29" t="s">
        <v>31</v>
      </c>
      <c r="D60" s="16">
        <v>0</v>
      </c>
      <c r="E60" s="16">
        <v>0</v>
      </c>
      <c r="F60" s="1">
        <v>2027150256.3099999</v>
      </c>
      <c r="G60" s="1">
        <v>1424109160.7</v>
      </c>
      <c r="H60" s="1">
        <v>0</v>
      </c>
      <c r="I60" s="1">
        <v>0</v>
      </c>
      <c r="J60" s="1">
        <v>3451259417.0100002</v>
      </c>
      <c r="K60" s="1">
        <v>3416017.61</v>
      </c>
      <c r="L60" s="48">
        <v>34957967.369999997</v>
      </c>
      <c r="M60" s="1">
        <v>3497081516</v>
      </c>
      <c r="N60" s="1">
        <v>41984785</v>
      </c>
      <c r="O60" s="3">
        <v>3455096731</v>
      </c>
      <c r="P60" s="9">
        <f t="shared" si="21"/>
        <v>2.6815303105978835E-2</v>
      </c>
      <c r="Q60" s="14">
        <f t="shared" si="22"/>
        <v>9.8868942780982886E-4</v>
      </c>
      <c r="R60" s="14">
        <f t="shared" si="2"/>
        <v>1.0117797008792341E-2</v>
      </c>
      <c r="S60" s="36">
        <f t="shared" si="3"/>
        <v>1</v>
      </c>
      <c r="T60" s="36">
        <f t="shared" si="4"/>
        <v>1.0117797008792341E-2</v>
      </c>
      <c r="U60" s="1">
        <v>1</v>
      </c>
      <c r="V60" s="1">
        <v>1</v>
      </c>
      <c r="W60" s="42">
        <v>1148</v>
      </c>
      <c r="X60" s="42">
        <v>3455096731</v>
      </c>
    </row>
    <row r="61" spans="1:24" ht="15.75" x14ac:dyDescent="0.3">
      <c r="A61" s="51">
        <v>51</v>
      </c>
      <c r="B61" s="1" t="s">
        <v>2</v>
      </c>
      <c r="C61" s="29" t="s">
        <v>119</v>
      </c>
      <c r="D61" s="1">
        <v>0</v>
      </c>
      <c r="E61" s="1">
        <v>0</v>
      </c>
      <c r="F61" s="16">
        <v>2618087195.25</v>
      </c>
      <c r="G61" s="1">
        <v>278823470847</v>
      </c>
      <c r="H61" s="1">
        <v>0</v>
      </c>
      <c r="I61" s="1">
        <v>0</v>
      </c>
      <c r="J61" s="1">
        <v>2699946712.0999999</v>
      </c>
      <c r="K61" s="1">
        <v>4440016.57</v>
      </c>
      <c r="L61" s="48">
        <v>36681981.219999999</v>
      </c>
      <c r="M61" s="1">
        <v>5488181420.5699997</v>
      </c>
      <c r="N61" s="1">
        <v>10888078.710000001</v>
      </c>
      <c r="O61" s="3">
        <v>5477293341.8599997</v>
      </c>
      <c r="P61" s="9">
        <f t="shared" si="21"/>
        <v>4.2509745051284249E-2</v>
      </c>
      <c r="Q61" s="14">
        <f t="shared" si="22"/>
        <v>8.1062238096092968E-4</v>
      </c>
      <c r="R61" s="14">
        <f t="shared" si="2"/>
        <v>6.6970999963904421E-3</v>
      </c>
      <c r="S61" s="36">
        <f t="shared" si="3"/>
        <v>3.6539943127440355</v>
      </c>
      <c r="T61" s="36">
        <f t="shared" si="4"/>
        <v>2.4471165298688778E-2</v>
      </c>
      <c r="U61" s="1">
        <v>3.65</v>
      </c>
      <c r="V61" s="1">
        <v>3.65</v>
      </c>
      <c r="W61" s="42">
        <v>929</v>
      </c>
      <c r="X61" s="42">
        <v>1498987922</v>
      </c>
    </row>
    <row r="62" spans="1:24" ht="15.75" x14ac:dyDescent="0.3">
      <c r="A62" s="51">
        <v>52</v>
      </c>
      <c r="B62" s="6" t="s">
        <v>1</v>
      </c>
      <c r="C62" s="4" t="s">
        <v>71</v>
      </c>
      <c r="D62" s="1">
        <v>0</v>
      </c>
      <c r="E62" s="1">
        <v>0</v>
      </c>
      <c r="F62" s="16">
        <v>14617926310.66</v>
      </c>
      <c r="G62" s="1">
        <v>4961045273.6999998</v>
      </c>
      <c r="H62" s="1">
        <v>0</v>
      </c>
      <c r="I62" s="1">
        <v>0</v>
      </c>
      <c r="J62" s="1">
        <v>19578971584.360001</v>
      </c>
      <c r="K62" s="20">
        <v>40950947.340000004</v>
      </c>
      <c r="L62" s="49">
        <v>138035995.53999999</v>
      </c>
      <c r="M62" s="20">
        <v>19844006014.740002</v>
      </c>
      <c r="N62" s="20">
        <v>-148772706.81999999</v>
      </c>
      <c r="O62" s="3">
        <v>19695233307.919998</v>
      </c>
      <c r="P62" s="9">
        <f t="shared" si="21"/>
        <v>0.15285640085161625</v>
      </c>
      <c r="Q62" s="14">
        <f t="shared" si="22"/>
        <v>2.0792313906498631E-3</v>
      </c>
      <c r="R62" s="14">
        <f t="shared" si="2"/>
        <v>7.0085991560451281E-3</v>
      </c>
      <c r="S62" s="36">
        <f t="shared" si="3"/>
        <v>3721.3425760827217</v>
      </c>
      <c r="T62" s="36">
        <f t="shared" si="4"/>
        <v>26.081398438088168</v>
      </c>
      <c r="U62" s="20">
        <v>3721.34</v>
      </c>
      <c r="V62" s="1">
        <v>3721.34</v>
      </c>
      <c r="W62" s="42">
        <v>258</v>
      </c>
      <c r="X62" s="1">
        <v>5292507.45</v>
      </c>
    </row>
    <row r="63" spans="1:24" ht="15.75" x14ac:dyDescent="0.3">
      <c r="A63" s="51">
        <v>53</v>
      </c>
      <c r="B63" s="6" t="s">
        <v>1</v>
      </c>
      <c r="C63" s="4" t="s">
        <v>70</v>
      </c>
      <c r="D63" s="1">
        <v>54731762.899999999</v>
      </c>
      <c r="E63" s="1">
        <v>0</v>
      </c>
      <c r="F63" s="1">
        <v>121975488.66</v>
      </c>
      <c r="G63" s="1">
        <v>71915290.200000003</v>
      </c>
      <c r="H63" s="1"/>
      <c r="I63" s="1"/>
      <c r="J63" s="1">
        <v>248877707.96000001</v>
      </c>
      <c r="K63" s="1">
        <v>638983.18000000005</v>
      </c>
      <c r="L63" s="48">
        <v>4189725.63</v>
      </c>
      <c r="M63" s="1">
        <v>255382852.74000001</v>
      </c>
      <c r="N63" s="1">
        <v>3061252.33</v>
      </c>
      <c r="O63" s="3">
        <v>252321600.41</v>
      </c>
      <c r="P63" s="9">
        <f t="shared" si="21"/>
        <v>1.9582896578474473E-3</v>
      </c>
      <c r="Q63" s="14">
        <f t="shared" si="22"/>
        <v>2.5324156907760159E-3</v>
      </c>
      <c r="R63" s="14">
        <f t="shared" si="2"/>
        <v>1.6604704564302346E-2</v>
      </c>
      <c r="S63" s="36">
        <f t="shared" si="3"/>
        <v>3139.69162991045</v>
      </c>
      <c r="T63" s="36">
        <f t="shared" si="4"/>
        <v>52.133651937675921</v>
      </c>
      <c r="U63" s="1">
        <v>3132.71</v>
      </c>
      <c r="V63" s="1">
        <v>3144.63</v>
      </c>
      <c r="W63" s="42">
        <v>17</v>
      </c>
      <c r="X63" s="1">
        <v>80365.09</v>
      </c>
    </row>
    <row r="64" spans="1:24" ht="15.75" x14ac:dyDescent="0.3">
      <c r="A64" s="51">
        <v>54</v>
      </c>
      <c r="B64" s="6" t="s">
        <v>48</v>
      </c>
      <c r="C64" s="4" t="s">
        <v>73</v>
      </c>
      <c r="D64" s="1">
        <v>0</v>
      </c>
      <c r="E64" s="1">
        <v>0</v>
      </c>
      <c r="F64" s="1">
        <v>0</v>
      </c>
      <c r="G64" s="20">
        <v>2309110278.5</v>
      </c>
      <c r="H64" s="1">
        <v>0</v>
      </c>
      <c r="I64" s="1">
        <v>0</v>
      </c>
      <c r="J64" s="1">
        <v>4234055343.6500001</v>
      </c>
      <c r="K64" s="20">
        <v>25391983066</v>
      </c>
      <c r="L64" s="49">
        <v>70479987.379999995</v>
      </c>
      <c r="M64" s="1">
        <v>6537018599.9799995</v>
      </c>
      <c r="N64" s="1">
        <v>-194008023.88</v>
      </c>
      <c r="O64" s="3">
        <v>6343010576.1000004</v>
      </c>
      <c r="P64" s="9">
        <f t="shared" si="21"/>
        <v>4.9228651017629334E-2</v>
      </c>
      <c r="Q64" s="14">
        <f t="shared" si="22"/>
        <v>4.0031437377189834</v>
      </c>
      <c r="R64" s="14">
        <f t="shared" si="2"/>
        <v>1.1111440937141651E-2</v>
      </c>
      <c r="S64" s="36">
        <f t="shared" si="3"/>
        <v>1128.6852608620216</v>
      </c>
      <c r="T64" s="36">
        <f t="shared" si="4"/>
        <v>12.541319612690669</v>
      </c>
      <c r="U64" s="1">
        <v>1128.69</v>
      </c>
      <c r="V64" s="1">
        <v>1128.69</v>
      </c>
      <c r="W64" s="88">
        <v>3170</v>
      </c>
      <c r="X64" s="1">
        <v>5619822.2800000003</v>
      </c>
    </row>
    <row r="65" spans="1:26" ht="15.75" x14ac:dyDescent="0.3">
      <c r="A65" s="51">
        <v>55</v>
      </c>
      <c r="B65" s="1" t="s">
        <v>64</v>
      </c>
      <c r="C65" s="4" t="s">
        <v>76</v>
      </c>
      <c r="D65" s="1"/>
      <c r="E65" s="1"/>
      <c r="F65" s="1">
        <v>21062209.449999999</v>
      </c>
      <c r="G65" s="1">
        <v>7268647.9900000002</v>
      </c>
      <c r="H65" s="23">
        <v>0</v>
      </c>
      <c r="I65" s="1">
        <v>0</v>
      </c>
      <c r="J65" s="1">
        <v>28330857.440000001</v>
      </c>
      <c r="K65" s="1">
        <v>57717.59</v>
      </c>
      <c r="L65" s="48">
        <v>677836.77</v>
      </c>
      <c r="M65" s="1">
        <v>56047456.890000001</v>
      </c>
      <c r="N65" s="1">
        <v>56510.09</v>
      </c>
      <c r="O65" s="3">
        <v>55693911.380000003</v>
      </c>
      <c r="P65" s="9">
        <f t="shared" si="21"/>
        <v>4.3224523973891139E-4</v>
      </c>
      <c r="Q65" s="14">
        <f t="shared" si="22"/>
        <v>1.0363357244958505E-3</v>
      </c>
      <c r="R65" s="14">
        <f t="shared" si="2"/>
        <v>1.2170751760908196E-2</v>
      </c>
      <c r="S65" s="36">
        <f t="shared" si="3"/>
        <v>12.303408125025129</v>
      </c>
      <c r="T65" s="36">
        <f t="shared" si="4"/>
        <v>0.1497417261028218</v>
      </c>
      <c r="U65" s="1">
        <v>12.3034</v>
      </c>
      <c r="V65" s="1">
        <v>12.381500000000001</v>
      </c>
      <c r="W65" s="42">
        <v>36</v>
      </c>
      <c r="X65" s="1">
        <v>4526706</v>
      </c>
    </row>
    <row r="66" spans="1:26" ht="15.75" x14ac:dyDescent="0.3">
      <c r="A66" s="51">
        <v>56</v>
      </c>
      <c r="B66" s="6" t="s">
        <v>41</v>
      </c>
      <c r="C66" s="29" t="s">
        <v>92</v>
      </c>
      <c r="D66" s="23">
        <v>0</v>
      </c>
      <c r="E66" s="1">
        <v>0</v>
      </c>
      <c r="F66" s="1">
        <v>104850163.73</v>
      </c>
      <c r="G66" s="1">
        <v>139885571.74000001</v>
      </c>
      <c r="H66" s="1">
        <v>0</v>
      </c>
      <c r="I66" s="1">
        <v>0</v>
      </c>
      <c r="J66" s="1">
        <v>245842908.53</v>
      </c>
      <c r="K66" s="1">
        <v>929970.55</v>
      </c>
      <c r="L66" s="48">
        <v>1661582.15</v>
      </c>
      <c r="M66" s="1">
        <v>245842908.53</v>
      </c>
      <c r="N66" s="1">
        <v>-11235620.98</v>
      </c>
      <c r="O66" s="3">
        <v>234607287.55000001</v>
      </c>
      <c r="P66" s="9">
        <f t="shared" si="21"/>
        <v>1.8208073510879615E-3</v>
      </c>
      <c r="Q66" s="14">
        <f t="shared" si="22"/>
        <v>3.9639457056584518E-3</v>
      </c>
      <c r="R66" s="14">
        <f t="shared" si="2"/>
        <v>7.0823978545247876E-3</v>
      </c>
      <c r="S66" s="36">
        <f t="shared" si="3"/>
        <v>0.77162814836253868</v>
      </c>
      <c r="T66" s="36">
        <f t="shared" si="4"/>
        <v>5.4649775424537783E-3</v>
      </c>
      <c r="U66" s="1">
        <v>0.76619999999999999</v>
      </c>
      <c r="V66" s="1">
        <v>0.76619999999999999</v>
      </c>
      <c r="W66" s="42">
        <v>840</v>
      </c>
      <c r="X66" s="1">
        <v>304041899</v>
      </c>
      <c r="Y66" s="18"/>
      <c r="Z66" s="17"/>
    </row>
    <row r="67" spans="1:26" ht="15.75" x14ac:dyDescent="0.3">
      <c r="A67" s="51">
        <v>57</v>
      </c>
      <c r="B67" s="29" t="s">
        <v>1</v>
      </c>
      <c r="C67" s="29" t="s">
        <v>88</v>
      </c>
      <c r="D67" s="1">
        <f>(364.47*0)</f>
        <v>0</v>
      </c>
      <c r="E67" s="1">
        <v>0</v>
      </c>
      <c r="F67" s="1">
        <f>(307*54384918.66)</f>
        <v>16696170028.619999</v>
      </c>
      <c r="G67" s="1">
        <f>(307*168573901.89)</f>
        <v>51752187880.229996</v>
      </c>
      <c r="H67" s="1">
        <v>0</v>
      </c>
      <c r="I67" s="1">
        <v>0</v>
      </c>
      <c r="J67" s="1">
        <f>+(307*223333486.34)</f>
        <v>68563380306.380005</v>
      </c>
      <c r="K67" s="1">
        <f>(307*371950.8)</f>
        <v>114188895.59999999</v>
      </c>
      <c r="L67" s="48">
        <f>(307*884303.18)</f>
        <v>271481076.25999999</v>
      </c>
      <c r="M67" s="1">
        <f>(307*225580532.45)</f>
        <v>69253223462.149994</v>
      </c>
      <c r="N67" s="1">
        <f>(307*-926529.78)</f>
        <v>-284444642.46000004</v>
      </c>
      <c r="O67" s="3">
        <f>(307*224654002.67)</f>
        <v>68968778819.690002</v>
      </c>
      <c r="P67" s="9">
        <f t="shared" si="21"/>
        <v>0.53527262849278545</v>
      </c>
      <c r="Q67" s="14">
        <f t="shared" si="22"/>
        <v>1.6556606852287782E-3</v>
      </c>
      <c r="R67" s="14">
        <f t="shared" si="2"/>
        <v>3.9362894472838549E-3</v>
      </c>
      <c r="S67" s="36">
        <f t="shared" si="3"/>
        <v>1.1311875570417536</v>
      </c>
      <c r="T67" s="36">
        <f t="shared" si="4"/>
        <v>4.4526816436822577E-3</v>
      </c>
      <c r="U67" s="1">
        <f>(1.1604*307)</f>
        <v>356.24280000000005</v>
      </c>
      <c r="V67" s="1">
        <f>(307*1.1604)</f>
        <v>356.24280000000005</v>
      </c>
      <c r="W67" s="43">
        <v>1978</v>
      </c>
      <c r="X67" s="86">
        <f>(307*198600136)</f>
        <v>60970241752</v>
      </c>
    </row>
    <row r="68" spans="1:26" ht="15.75" x14ac:dyDescent="0.3">
      <c r="A68" s="51">
        <v>58</v>
      </c>
      <c r="B68" s="29" t="s">
        <v>85</v>
      </c>
      <c r="C68" s="29" t="s">
        <v>89</v>
      </c>
      <c r="D68" s="1">
        <v>0</v>
      </c>
      <c r="E68" s="23">
        <v>0</v>
      </c>
      <c r="F68" s="1">
        <v>34828384.549999997</v>
      </c>
      <c r="G68" s="1">
        <v>386738505.60000002</v>
      </c>
      <c r="H68" s="1">
        <v>0</v>
      </c>
      <c r="I68" s="1">
        <v>0</v>
      </c>
      <c r="J68" s="1">
        <v>502398098792</v>
      </c>
      <c r="K68" s="1">
        <v>918274.42</v>
      </c>
      <c r="L68" s="48">
        <v>3840528.56</v>
      </c>
      <c r="M68" s="1">
        <v>502398098.92000002</v>
      </c>
      <c r="N68" s="1">
        <v>2635795.5</v>
      </c>
      <c r="O68" s="3">
        <v>499762303.42000002</v>
      </c>
      <c r="P68" s="9">
        <f t="shared" si="21"/>
        <v>3.8786982508795826E-3</v>
      </c>
      <c r="Q68" s="14">
        <f t="shared" si="22"/>
        <v>1.837422338011522E-3</v>
      </c>
      <c r="R68" s="14">
        <f t="shared" si="2"/>
        <v>7.6847103787506393E-3</v>
      </c>
      <c r="S68" s="36">
        <f t="shared" si="3"/>
        <v>1198.2696032320714</v>
      </c>
      <c r="T68" s="36">
        <f t="shared" si="4"/>
        <v>9.2083548564989091</v>
      </c>
      <c r="U68" s="1">
        <v>1198.27</v>
      </c>
      <c r="V68" s="1">
        <v>1204.98</v>
      </c>
      <c r="W68" s="43">
        <v>135</v>
      </c>
      <c r="X68" s="86">
        <v>417070</v>
      </c>
    </row>
    <row r="69" spans="1:26" ht="15.75" x14ac:dyDescent="0.3">
      <c r="A69" s="51">
        <v>59</v>
      </c>
      <c r="B69" s="6" t="s">
        <v>27</v>
      </c>
      <c r="C69" s="29" t="s">
        <v>83</v>
      </c>
      <c r="D69" s="1">
        <v>5214541.0999999996</v>
      </c>
      <c r="E69" s="1">
        <v>0</v>
      </c>
      <c r="F69" s="1">
        <v>306919822.62</v>
      </c>
      <c r="G69" s="1">
        <v>0</v>
      </c>
      <c r="H69" s="1">
        <v>0</v>
      </c>
      <c r="I69" s="1">
        <v>0</v>
      </c>
      <c r="J69" s="1">
        <v>312134363.72000003</v>
      </c>
      <c r="K69" s="1">
        <v>394587.32</v>
      </c>
      <c r="L69" s="48">
        <v>4300570.78</v>
      </c>
      <c r="M69" s="1">
        <v>312386564.44999999</v>
      </c>
      <c r="N69" s="1">
        <v>3635436.63</v>
      </c>
      <c r="O69" s="3">
        <v>308751127.82999998</v>
      </c>
      <c r="P69" s="9">
        <f t="shared" si="21"/>
        <v>2.3962440769865283E-3</v>
      </c>
      <c r="Q69" s="14">
        <f>(K69/O69)</f>
        <v>1.2780109429017597E-3</v>
      </c>
      <c r="R69" s="14">
        <f>L69/O69</f>
        <v>1.3928923305400579E-2</v>
      </c>
      <c r="S69" s="36">
        <f>O69/X69</f>
        <v>139.5789829665529</v>
      </c>
      <c r="T69" s="36">
        <f>L69/X69</f>
        <v>1.9441849487869294</v>
      </c>
      <c r="U69" s="1">
        <v>143.61000000000001</v>
      </c>
      <c r="V69" s="1">
        <v>143.76</v>
      </c>
      <c r="W69" s="42">
        <v>19</v>
      </c>
      <c r="X69" s="1">
        <v>2212017.3199999998</v>
      </c>
    </row>
    <row r="70" spans="1:26" ht="15.75" x14ac:dyDescent="0.3">
      <c r="A70" s="51">
        <v>60</v>
      </c>
      <c r="B70" s="1" t="s">
        <v>29</v>
      </c>
      <c r="C70" s="4" t="s">
        <v>107</v>
      </c>
      <c r="D70" s="1">
        <v>0</v>
      </c>
      <c r="E70" s="1">
        <v>0</v>
      </c>
      <c r="F70" s="1">
        <v>1201217672.4400001</v>
      </c>
      <c r="G70" s="1">
        <v>467314981.08999997</v>
      </c>
      <c r="H70" s="1">
        <v>0</v>
      </c>
      <c r="I70" s="1">
        <v>0</v>
      </c>
      <c r="J70" s="1">
        <v>1668532653.53</v>
      </c>
      <c r="K70" s="1">
        <v>2431679.33</v>
      </c>
      <c r="L70" s="48">
        <v>11312984.560000001</v>
      </c>
      <c r="M70" s="1">
        <v>1668532653.53</v>
      </c>
      <c r="N70" s="1">
        <v>-6928466.1399999997</v>
      </c>
      <c r="O70" s="3">
        <v>1661604187.3900001</v>
      </c>
      <c r="P70" s="9">
        <f t="shared" si="21"/>
        <v>1.2895853110928867E-2</v>
      </c>
      <c r="Q70" s="14">
        <f t="shared" si="22"/>
        <v>1.4634528177373046E-3</v>
      </c>
      <c r="R70" s="14">
        <f t="shared" si="2"/>
        <v>6.8084713831698448E-3</v>
      </c>
      <c r="S70" s="36">
        <f>O70/X70</f>
        <v>22.910446915945482</v>
      </c>
      <c r="T70" s="36">
        <f t="shared" si="4"/>
        <v>0.15598512220284666</v>
      </c>
      <c r="U70" s="1">
        <v>22.901800000000001</v>
      </c>
      <c r="V70" s="1">
        <v>22.901800000000001</v>
      </c>
      <c r="W70" s="42">
        <v>1251</v>
      </c>
      <c r="X70" s="1">
        <v>72526048.640000001</v>
      </c>
      <c r="Z70" s="30"/>
    </row>
    <row r="71" spans="1:26" ht="15.75" x14ac:dyDescent="0.3">
      <c r="A71" s="51">
        <v>61</v>
      </c>
      <c r="B71" s="1" t="s">
        <v>27</v>
      </c>
      <c r="C71" s="60" t="s">
        <v>126</v>
      </c>
      <c r="D71" s="23">
        <f>(364.47*0)</f>
        <v>0</v>
      </c>
      <c r="E71" s="1"/>
      <c r="F71" s="23">
        <f>(307*208014.5)</f>
        <v>63860451.5</v>
      </c>
      <c r="G71" s="23">
        <f>(37*4229467.76)</f>
        <v>156490307.12</v>
      </c>
      <c r="H71" s="23">
        <v>0</v>
      </c>
      <c r="I71" s="23">
        <f>(364.47*0)</f>
        <v>0</v>
      </c>
      <c r="J71" s="1">
        <f>(307*4437640.01)</f>
        <v>1362355483.0699999</v>
      </c>
      <c r="K71" s="1">
        <f>(307*7503.99)</f>
        <v>2303724.9299999997</v>
      </c>
      <c r="L71" s="48">
        <v>24755469.379999999</v>
      </c>
      <c r="M71" s="1">
        <f>(307*4453577.52)</f>
        <v>1367248298.6399999</v>
      </c>
      <c r="N71" s="1">
        <f>(307*-69112)</f>
        <v>-21217384</v>
      </c>
      <c r="O71" s="3">
        <f>(307*4384465.52)</f>
        <v>1346030914.6399999</v>
      </c>
      <c r="P71" s="9">
        <f t="shared" si="21"/>
        <v>1.044666178004309E-2</v>
      </c>
      <c r="Q71" s="14">
        <f>(K101/O71)</f>
        <v>2.4536275311947838E-3</v>
      </c>
      <c r="R71" s="14">
        <f t="shared" si="2"/>
        <v>1.8391456771719782E-2</v>
      </c>
      <c r="S71" s="36">
        <f>O71/X101</f>
        <v>1.8927510316930671</v>
      </c>
      <c r="T71" s="36">
        <f>L71/X101</f>
        <v>3.4810448779011065E-2</v>
      </c>
      <c r="U71" s="23">
        <f>(307*1.1)</f>
        <v>337.70000000000005</v>
      </c>
      <c r="V71" s="23">
        <f>(307*1.1)</f>
        <v>337.70000000000005</v>
      </c>
      <c r="W71" s="23">
        <v>263</v>
      </c>
      <c r="X71" s="1">
        <f>(307*417851051)</f>
        <v>128280272657</v>
      </c>
    </row>
    <row r="72" spans="1:26" s="67" customFormat="1" ht="15.75" x14ac:dyDescent="0.3">
      <c r="A72" s="51">
        <v>62</v>
      </c>
      <c r="B72" s="35" t="s">
        <v>90</v>
      </c>
      <c r="C72" s="60" t="s">
        <v>91</v>
      </c>
      <c r="D72" s="35">
        <v>0</v>
      </c>
      <c r="E72" s="72"/>
      <c r="F72" s="35">
        <v>236116358.94</v>
      </c>
      <c r="G72" s="35">
        <v>156297547.94</v>
      </c>
      <c r="H72" s="35">
        <v>0</v>
      </c>
      <c r="I72" s="35">
        <v>0</v>
      </c>
      <c r="J72" s="35">
        <v>392413906.88</v>
      </c>
      <c r="K72" s="35">
        <v>15824529.5</v>
      </c>
      <c r="L72" s="48">
        <v>267912.40999999997</v>
      </c>
      <c r="M72" s="35">
        <v>412298905.82999998</v>
      </c>
      <c r="N72" s="35">
        <v>8719123.2599999998</v>
      </c>
      <c r="O72" s="3">
        <v>403579782.57999998</v>
      </c>
      <c r="P72" s="9">
        <f t="shared" si="21"/>
        <v>3.1322174283078667E-3</v>
      </c>
      <c r="Q72" s="14">
        <f t="shared" si="22"/>
        <v>3.9210411876524486E-2</v>
      </c>
      <c r="R72" s="14">
        <f t="shared" si="2"/>
        <v>6.6384001767207644E-4</v>
      </c>
      <c r="S72" s="36">
        <f t="shared" si="3"/>
        <v>146.17680040290023</v>
      </c>
      <c r="T72" s="36">
        <f t="shared" si="4"/>
        <v>9.7038009762708891E-2</v>
      </c>
      <c r="U72" s="35">
        <v>146.17679999999999</v>
      </c>
      <c r="V72" s="35">
        <v>149.33487099999999</v>
      </c>
      <c r="W72" s="66">
        <v>288</v>
      </c>
      <c r="X72" s="89">
        <v>2760901.74</v>
      </c>
    </row>
    <row r="73" spans="1:26" ht="15.75" x14ac:dyDescent="0.3">
      <c r="A73" s="51">
        <v>63</v>
      </c>
      <c r="B73" s="1" t="s">
        <v>100</v>
      </c>
      <c r="C73" s="4" t="s">
        <v>102</v>
      </c>
      <c r="D73" s="1">
        <v>0</v>
      </c>
      <c r="E73" s="1">
        <v>0</v>
      </c>
      <c r="F73" s="16">
        <v>112466143.93000001</v>
      </c>
      <c r="G73" s="1">
        <v>743139966.62</v>
      </c>
      <c r="H73" s="1">
        <v>0</v>
      </c>
      <c r="I73" s="1">
        <v>0</v>
      </c>
      <c r="J73" s="1">
        <v>855606110.55999994</v>
      </c>
      <c r="K73" s="1">
        <v>859829.56</v>
      </c>
      <c r="L73" s="48">
        <v>15104847.060000001</v>
      </c>
      <c r="M73" s="1">
        <v>862885898.5</v>
      </c>
      <c r="N73" s="1">
        <v>31529368.260000002</v>
      </c>
      <c r="O73" s="3">
        <v>831356530.24000001</v>
      </c>
      <c r="P73" s="9">
        <f t="shared" si="21"/>
        <v>6.4522295852099719E-3</v>
      </c>
      <c r="Q73" s="14">
        <f t="shared" si="22"/>
        <v>1.0342488796615098E-3</v>
      </c>
      <c r="R73" s="14">
        <f t="shared" si="2"/>
        <v>1.8168916115495551E-2</v>
      </c>
      <c r="S73" s="36">
        <f t="shared" si="3"/>
        <v>1.3264719241202652</v>
      </c>
      <c r="T73" s="36">
        <f t="shared" si="4"/>
        <v>2.4100557118901078E-2</v>
      </c>
      <c r="U73" s="1">
        <v>1.3286</v>
      </c>
      <c r="V73" s="1">
        <v>1.3286</v>
      </c>
      <c r="W73" s="42">
        <v>55</v>
      </c>
      <c r="X73" s="1">
        <v>626742651.02999997</v>
      </c>
    </row>
    <row r="74" spans="1:26" ht="15.75" x14ac:dyDescent="0.3">
      <c r="A74" s="51">
        <v>64</v>
      </c>
      <c r="B74" s="1" t="s">
        <v>1</v>
      </c>
      <c r="C74" s="4" t="s">
        <v>145</v>
      </c>
      <c r="D74" s="1"/>
      <c r="E74" s="1"/>
      <c r="F74" s="1">
        <v>0</v>
      </c>
      <c r="G74" s="1">
        <v>1143779205.4000001</v>
      </c>
      <c r="H74" s="1">
        <v>0</v>
      </c>
      <c r="I74" s="1">
        <v>0</v>
      </c>
      <c r="J74" s="1">
        <v>1143779205.4000001</v>
      </c>
      <c r="K74" s="1">
        <v>26607152.489999998</v>
      </c>
      <c r="L74" s="48">
        <v>14915126.939999999</v>
      </c>
      <c r="M74" s="1">
        <v>1521314664.3099999</v>
      </c>
      <c r="N74" s="1">
        <v>7240760.8099999996</v>
      </c>
      <c r="O74" s="3">
        <v>1514073903.5</v>
      </c>
      <c r="P74" s="9">
        <f t="shared" si="21"/>
        <v>1.1750857879875969E-2</v>
      </c>
      <c r="Q74" s="14">
        <f t="shared" ref="Q74" si="23">(K74/O74)</f>
        <v>1.7573219133157063E-2</v>
      </c>
      <c r="R74" s="14">
        <f t="shared" ref="R74" si="24">L74/O74</f>
        <v>9.850990037884897E-3</v>
      </c>
      <c r="S74" s="36">
        <f t="shared" ref="S74" si="25">O74/X74</f>
        <v>104.20821394710819</v>
      </c>
      <c r="T74" s="36">
        <f t="shared" ref="T74" si="26">L74/X74</f>
        <v>1.0265540774587409</v>
      </c>
      <c r="U74" s="1">
        <v>104.21</v>
      </c>
      <c r="V74" s="1">
        <v>104.21</v>
      </c>
      <c r="W74" s="42">
        <v>335</v>
      </c>
      <c r="X74" s="1">
        <v>14529314.4</v>
      </c>
    </row>
    <row r="75" spans="1:26" ht="15.75" x14ac:dyDescent="0.3">
      <c r="A75" s="51">
        <v>65</v>
      </c>
      <c r="B75" s="68" t="s">
        <v>158</v>
      </c>
      <c r="C75" s="58" t="s">
        <v>160</v>
      </c>
      <c r="D75" s="1">
        <v>0</v>
      </c>
      <c r="E75" s="1">
        <v>0</v>
      </c>
      <c r="F75" s="1">
        <v>104572314.26000001</v>
      </c>
      <c r="G75" s="1">
        <v>35269446.409999996</v>
      </c>
      <c r="H75" s="1">
        <v>0</v>
      </c>
      <c r="I75" s="1">
        <v>0</v>
      </c>
      <c r="J75" s="1">
        <v>456857593.44999999</v>
      </c>
      <c r="K75" s="1">
        <v>0</v>
      </c>
      <c r="L75" s="48">
        <v>4422441.96</v>
      </c>
      <c r="M75" s="1">
        <v>456857593</v>
      </c>
      <c r="N75" s="1">
        <v>19031.77</v>
      </c>
      <c r="O75" s="3">
        <v>456838561.68000001</v>
      </c>
      <c r="P75" s="9">
        <f t="shared" si="21"/>
        <v>3.5455633968323212E-3</v>
      </c>
      <c r="Q75" s="14">
        <f t="shared" si="22"/>
        <v>0</v>
      </c>
      <c r="R75" s="14">
        <f t="shared" si="2"/>
        <v>9.6805356004464691E-3</v>
      </c>
      <c r="S75" s="36">
        <f t="shared" si="3"/>
        <v>1.1425536371701102</v>
      </c>
      <c r="T75" s="36">
        <f t="shared" si="4"/>
        <v>1.1060531160044849E-2</v>
      </c>
      <c r="U75" s="1">
        <v>1.1399999999999999</v>
      </c>
      <c r="V75" s="1">
        <v>1.1399999999999999</v>
      </c>
      <c r="W75" s="42">
        <v>185</v>
      </c>
      <c r="X75" s="1">
        <v>399839925.94999999</v>
      </c>
    </row>
    <row r="76" spans="1:26" ht="15.75" x14ac:dyDescent="0.3">
      <c r="A76" s="51"/>
      <c r="B76" s="56"/>
      <c r="C76" s="59" t="s">
        <v>60</v>
      </c>
      <c r="D76" s="1"/>
      <c r="E76" s="1"/>
      <c r="F76" s="1"/>
      <c r="G76" s="1"/>
      <c r="H76" s="1"/>
      <c r="I76" s="1"/>
      <c r="J76" s="1"/>
      <c r="K76" s="1"/>
      <c r="L76" s="48"/>
      <c r="M76" s="1"/>
      <c r="N76" s="1"/>
      <c r="O76" s="7">
        <f>SUM(O56:O75)</f>
        <v>128847946165.10001</v>
      </c>
      <c r="P76" s="41">
        <f>(O76/$O$112)</f>
        <v>0.12832136650126139</v>
      </c>
      <c r="Q76" s="14"/>
      <c r="R76" s="14"/>
      <c r="S76" s="36"/>
      <c r="T76" s="36"/>
      <c r="U76" s="1"/>
      <c r="V76" s="1"/>
      <c r="W76" s="42"/>
      <c r="X76" s="1"/>
    </row>
    <row r="77" spans="1:26" ht="15.75" x14ac:dyDescent="0.3">
      <c r="A77" s="83"/>
      <c r="B77" s="57"/>
      <c r="C77" s="77" t="s">
        <v>32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"/>
      <c r="P77" s="9"/>
      <c r="Q77" s="14"/>
      <c r="R77" s="14"/>
      <c r="S77" s="36"/>
      <c r="T77" s="36"/>
      <c r="U77" s="2"/>
      <c r="V77" s="2"/>
      <c r="W77" s="2"/>
      <c r="X77" s="2"/>
    </row>
    <row r="78" spans="1:26" s="67" customFormat="1" ht="15.75" x14ac:dyDescent="0.3">
      <c r="A78" s="78">
        <v>66</v>
      </c>
      <c r="B78" s="68" t="s">
        <v>30</v>
      </c>
      <c r="C78" s="58" t="s">
        <v>155</v>
      </c>
      <c r="D78" s="35">
        <v>0</v>
      </c>
      <c r="E78" s="35">
        <v>0</v>
      </c>
      <c r="F78" s="35">
        <v>78174885.189999998</v>
      </c>
      <c r="G78" s="35">
        <v>521457768.91000003</v>
      </c>
      <c r="H78" s="35">
        <v>1846390000</v>
      </c>
      <c r="I78" s="35">
        <v>1272840.8799999999</v>
      </c>
      <c r="J78" s="35">
        <v>2447295494.98</v>
      </c>
      <c r="K78" s="35">
        <v>5617410.7300000004</v>
      </c>
      <c r="L78" s="48">
        <v>12176939.949999999</v>
      </c>
      <c r="M78" s="35">
        <v>2457218998</v>
      </c>
      <c r="N78" s="35">
        <v>75126096</v>
      </c>
      <c r="O78" s="3">
        <v>2382092902</v>
      </c>
      <c r="P78" s="9">
        <f>(O78/$O$81)</f>
        <v>5.2983613733343149E-2</v>
      </c>
      <c r="Q78" s="14">
        <f t="shared" ref="Q78:Q88" si="27">(K78/O78)</f>
        <v>2.3581828925662951E-3</v>
      </c>
      <c r="R78" s="14">
        <f t="shared" si="2"/>
        <v>5.1118660988311027E-3</v>
      </c>
      <c r="S78" s="36">
        <f t="shared" si="3"/>
        <v>119.1046451</v>
      </c>
      <c r="T78" s="36">
        <f t="shared" si="4"/>
        <v>0.60884699749999993</v>
      </c>
      <c r="U78" s="35">
        <v>85.5</v>
      </c>
      <c r="V78" s="35">
        <v>85.5</v>
      </c>
      <c r="W78" s="66">
        <v>2602</v>
      </c>
      <c r="X78" s="35">
        <v>20000000</v>
      </c>
    </row>
    <row r="79" spans="1:26" ht="15.75" x14ac:dyDescent="0.3">
      <c r="A79" s="51">
        <v>67</v>
      </c>
      <c r="B79" s="6" t="s">
        <v>30</v>
      </c>
      <c r="C79" s="29" t="s">
        <v>33</v>
      </c>
      <c r="D79" s="1">
        <v>0</v>
      </c>
      <c r="E79" s="1">
        <v>0</v>
      </c>
      <c r="F79" s="1">
        <v>0</v>
      </c>
      <c r="G79" s="1">
        <v>307645303.80000001</v>
      </c>
      <c r="H79" s="1">
        <v>9920294277.1100006</v>
      </c>
      <c r="I79" s="1">
        <v>0</v>
      </c>
      <c r="J79" s="1">
        <v>10312727364.299999</v>
      </c>
      <c r="K79" s="1">
        <v>12557718.449999999</v>
      </c>
      <c r="L79" s="48">
        <v>50507566.159999996</v>
      </c>
      <c r="M79" s="1">
        <v>10979173448.09</v>
      </c>
      <c r="N79" s="1">
        <v>1168743031.96</v>
      </c>
      <c r="O79" s="3">
        <v>9810430416</v>
      </c>
      <c r="P79" s="9">
        <f>(O79/$O$81)</f>
        <v>0.21820813759310925</v>
      </c>
      <c r="Q79" s="14">
        <f t="shared" si="27"/>
        <v>1.2800374619159828E-3</v>
      </c>
      <c r="R79" s="14">
        <f t="shared" si="2"/>
        <v>5.1483537437487289E-3</v>
      </c>
      <c r="S79" s="36">
        <f t="shared" si="3"/>
        <v>52.147894636277378</v>
      </c>
      <c r="T79" s="36">
        <f t="shared" si="4"/>
        <v>0.26847580857929287</v>
      </c>
      <c r="U79" s="1">
        <v>40.700000000000003</v>
      </c>
      <c r="V79" s="1">
        <v>40.700000000000003</v>
      </c>
      <c r="W79" s="42">
        <v>5221</v>
      </c>
      <c r="X79" s="1">
        <v>188127066</v>
      </c>
      <c r="Z79" s="25"/>
    </row>
    <row r="80" spans="1:26" ht="15.75" x14ac:dyDescent="0.3">
      <c r="A80" s="90">
        <v>68</v>
      </c>
      <c r="B80" s="4" t="s">
        <v>25</v>
      </c>
      <c r="C80" s="29" t="s">
        <v>34</v>
      </c>
      <c r="D80" s="1">
        <v>0</v>
      </c>
      <c r="E80" s="1">
        <v>0</v>
      </c>
      <c r="F80" s="1">
        <v>159611259.13</v>
      </c>
      <c r="G80" s="1">
        <v>688130465.75</v>
      </c>
      <c r="H80" s="1">
        <v>29289131890</v>
      </c>
      <c r="I80" s="23"/>
      <c r="J80" s="1">
        <v>30136873614.880001</v>
      </c>
      <c r="K80" s="1">
        <v>137106468.27000001</v>
      </c>
      <c r="L80" s="48">
        <v>28648899.170000002</v>
      </c>
      <c r="M80" s="1">
        <v>33300202206.849998</v>
      </c>
      <c r="N80" s="1">
        <v>533676223.51999998</v>
      </c>
      <c r="O80" s="3">
        <v>32766525983.330002</v>
      </c>
      <c r="P80" s="9">
        <f>(O80/$O$81)</f>
        <v>0.72880824867354754</v>
      </c>
      <c r="Q80" s="14">
        <f t="shared" si="27"/>
        <v>4.1843455830426774E-3</v>
      </c>
      <c r="R80" s="14">
        <f t="shared" ref="R80:R112" si="28">L80/O80</f>
        <v>8.7433434916399605E-4</v>
      </c>
      <c r="S80" s="36">
        <f t="shared" ref="S80:S112" si="29">O80/X80</f>
        <v>12.280066156484569</v>
      </c>
      <c r="T80" s="36">
        <f t="shared" ref="T80:T112" si="30">L80/X80</f>
        <v>1.0736883650620749E-2</v>
      </c>
      <c r="U80" s="1">
        <v>12.28</v>
      </c>
      <c r="V80" s="1">
        <v>12.28</v>
      </c>
      <c r="W80" s="42">
        <v>894</v>
      </c>
      <c r="X80" s="1">
        <v>2668269500</v>
      </c>
    </row>
    <row r="81" spans="1:26" ht="15.75" x14ac:dyDescent="0.3">
      <c r="A81" s="51"/>
      <c r="B81" s="6"/>
      <c r="C81" s="59" t="s">
        <v>60</v>
      </c>
      <c r="D81" s="1"/>
      <c r="E81" s="1"/>
      <c r="F81" s="1"/>
      <c r="G81" s="1"/>
      <c r="H81" s="1"/>
      <c r="I81" s="1"/>
      <c r="J81" s="1"/>
      <c r="K81" s="1"/>
      <c r="L81" s="48"/>
      <c r="M81" s="1"/>
      <c r="N81" s="1"/>
      <c r="O81" s="7">
        <f>SUM(O78:O80)</f>
        <v>44959049301.330002</v>
      </c>
      <c r="P81" s="41">
        <f>(O81/$O$112)</f>
        <v>4.4775309305682236E-2</v>
      </c>
      <c r="Q81" s="14"/>
      <c r="R81" s="14"/>
      <c r="S81" s="36"/>
      <c r="T81" s="36"/>
      <c r="U81" s="1"/>
      <c r="V81" s="1"/>
      <c r="W81" s="42"/>
      <c r="X81" s="1"/>
    </row>
    <row r="82" spans="1:26" ht="15.75" x14ac:dyDescent="0.3">
      <c r="A82" s="83"/>
      <c r="B82" s="57"/>
      <c r="C82" s="77" t="s">
        <v>35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"/>
      <c r="P82" s="9"/>
      <c r="Q82" s="14"/>
      <c r="R82" s="14"/>
      <c r="S82" s="36"/>
      <c r="T82" s="36"/>
      <c r="U82" s="2"/>
      <c r="V82" s="2"/>
      <c r="W82" s="2"/>
      <c r="X82" s="2"/>
    </row>
    <row r="83" spans="1:26" s="67" customFormat="1" ht="15.75" x14ac:dyDescent="0.3">
      <c r="A83" s="78">
        <v>69</v>
      </c>
      <c r="B83" s="68" t="s">
        <v>1</v>
      </c>
      <c r="C83" s="58" t="s">
        <v>10</v>
      </c>
      <c r="D83" s="35">
        <v>311063514.33999997</v>
      </c>
      <c r="E83" s="35">
        <v>0</v>
      </c>
      <c r="F83" s="35">
        <v>305277099.52999997</v>
      </c>
      <c r="G83" s="35">
        <v>54600593.079999998</v>
      </c>
      <c r="H83" s="35">
        <v>0</v>
      </c>
      <c r="I83" s="35">
        <v>0</v>
      </c>
      <c r="J83" s="35">
        <v>1169132291.54</v>
      </c>
      <c r="K83" s="35">
        <v>1515440.89</v>
      </c>
      <c r="L83" s="48">
        <v>21932659.100000001</v>
      </c>
      <c r="M83" s="35">
        <v>1200763125.52</v>
      </c>
      <c r="N83" s="35">
        <v>-6482254.8899999997</v>
      </c>
      <c r="O83" s="3">
        <v>1194280870.6329999</v>
      </c>
      <c r="P83" s="9">
        <v>4.5600000000000002E-2</v>
      </c>
      <c r="Q83" s="14">
        <f t="shared" si="27"/>
        <v>1.2689149824502981E-3</v>
      </c>
      <c r="R83" s="14">
        <f t="shared" si="28"/>
        <v>1.8364741192224844E-2</v>
      </c>
      <c r="S83" s="36">
        <f t="shared" si="29"/>
        <v>2573.1682416462368</v>
      </c>
      <c r="T83" s="36">
        <f t="shared" si="30"/>
        <v>47.25556880188541</v>
      </c>
      <c r="U83" s="1">
        <v>2566.3000000000002</v>
      </c>
      <c r="V83" s="1">
        <v>2578.0300000000002</v>
      </c>
      <c r="W83" s="1">
        <v>921</v>
      </c>
      <c r="X83" s="1">
        <v>464128.56</v>
      </c>
    </row>
    <row r="84" spans="1:26" ht="15.75" x14ac:dyDescent="0.3">
      <c r="A84" s="51">
        <v>70</v>
      </c>
      <c r="B84" s="6" t="s">
        <v>6</v>
      </c>
      <c r="C84" s="58" t="s">
        <v>36</v>
      </c>
      <c r="D84" s="1">
        <v>60270251.600000001</v>
      </c>
      <c r="E84" s="1">
        <v>0</v>
      </c>
      <c r="F84" s="1">
        <v>58552199.979999997</v>
      </c>
      <c r="G84" s="6">
        <v>29317697.879999999</v>
      </c>
      <c r="H84" s="1">
        <v>0</v>
      </c>
      <c r="I84" s="1"/>
      <c r="J84" s="1">
        <v>155029823.27000001</v>
      </c>
      <c r="K84" s="1">
        <v>337790.01</v>
      </c>
      <c r="L84" s="48">
        <v>243070.94</v>
      </c>
      <c r="M84" s="6">
        <v>155029823.27000001</v>
      </c>
      <c r="N84" s="1">
        <v>205309.09</v>
      </c>
      <c r="O84" s="3">
        <v>152976414.18000001</v>
      </c>
      <c r="P84" s="9">
        <f t="shared" ref="P84:P103" si="31">(O84/$O$104)</f>
        <v>6.112620800971004E-3</v>
      </c>
      <c r="Q84" s="14">
        <f t="shared" si="27"/>
        <v>2.2081182371194732E-3</v>
      </c>
      <c r="R84" s="14">
        <f t="shared" si="28"/>
        <v>1.5889438989855657E-3</v>
      </c>
      <c r="S84" s="36">
        <f t="shared" si="29"/>
        <v>1097.2264879752693</v>
      </c>
      <c r="T84" s="36">
        <f t="shared" si="30"/>
        <v>1.7434313338736633</v>
      </c>
      <c r="U84" s="1">
        <v>111.1</v>
      </c>
      <c r="V84" s="1">
        <v>112.14</v>
      </c>
      <c r="W84" s="42">
        <v>742</v>
      </c>
      <c r="X84" s="1">
        <v>139421</v>
      </c>
    </row>
    <row r="85" spans="1:26" ht="15.75" x14ac:dyDescent="0.3">
      <c r="A85" s="78">
        <v>71</v>
      </c>
      <c r="B85" s="6" t="s">
        <v>8</v>
      </c>
      <c r="C85" s="58" t="s">
        <v>117</v>
      </c>
      <c r="D85" s="1">
        <v>422770740.80000001</v>
      </c>
      <c r="E85" s="1">
        <v>0</v>
      </c>
      <c r="F85" s="1">
        <v>0</v>
      </c>
      <c r="G85" s="1">
        <v>220380852</v>
      </c>
      <c r="H85" s="1">
        <v>0</v>
      </c>
      <c r="I85" s="1">
        <v>0</v>
      </c>
      <c r="J85" s="1">
        <v>643151593</v>
      </c>
      <c r="K85" s="1">
        <v>1283941</v>
      </c>
      <c r="L85" s="48">
        <v>26472535</v>
      </c>
      <c r="M85" s="1">
        <v>847430608</v>
      </c>
      <c r="N85" s="1">
        <v>77857477</v>
      </c>
      <c r="O85" s="3">
        <v>769573131.55999994</v>
      </c>
      <c r="P85" s="9">
        <f t="shared" si="31"/>
        <v>3.0750549076846261E-2</v>
      </c>
      <c r="Q85" s="14">
        <f t="shared" si="27"/>
        <v>1.6683807520635838E-3</v>
      </c>
      <c r="R85" s="14">
        <f t="shared" si="28"/>
        <v>3.4398985508157731E-2</v>
      </c>
      <c r="S85" s="36">
        <f t="shared" si="29"/>
        <v>1.1557665136769453</v>
      </c>
      <c r="T85" s="36">
        <f t="shared" si="30"/>
        <v>3.9757195554787218E-2</v>
      </c>
      <c r="U85" s="1">
        <v>1.2040999999999999</v>
      </c>
      <c r="V85" s="1">
        <v>1.2241</v>
      </c>
      <c r="W85" s="42">
        <v>3644</v>
      </c>
      <c r="X85" s="1">
        <v>665855190</v>
      </c>
    </row>
    <row r="86" spans="1:26" ht="15.75" x14ac:dyDescent="0.3">
      <c r="A86" s="51">
        <v>72</v>
      </c>
      <c r="B86" s="23" t="s">
        <v>62</v>
      </c>
      <c r="C86" s="29" t="s">
        <v>37</v>
      </c>
      <c r="D86" s="1">
        <v>1872606544.1700001</v>
      </c>
      <c r="E86" s="23">
        <v>0</v>
      </c>
      <c r="F86" s="1">
        <v>174896769.40000001</v>
      </c>
      <c r="G86" s="1">
        <v>566603827.10000002</v>
      </c>
      <c r="H86" s="1">
        <v>52000000</v>
      </c>
      <c r="I86" s="1"/>
      <c r="J86" s="1">
        <v>2666107140.7600002</v>
      </c>
      <c r="K86" s="1">
        <v>7023605.2000000002</v>
      </c>
      <c r="L86" s="48">
        <v>58601528.719999999</v>
      </c>
      <c r="M86" s="1">
        <v>3623967435</v>
      </c>
      <c r="N86" s="1">
        <v>20445486</v>
      </c>
      <c r="O86" s="3">
        <v>3603521949</v>
      </c>
      <c r="P86" s="9">
        <f t="shared" si="31"/>
        <v>0.14398927664950298</v>
      </c>
      <c r="Q86" s="14">
        <f t="shared" si="27"/>
        <v>1.9490946078319559E-3</v>
      </c>
      <c r="R86" s="14">
        <f t="shared" si="28"/>
        <v>1.6262292709570504E-2</v>
      </c>
      <c r="S86" s="36">
        <f t="shared" si="29"/>
        <v>344.85902390609249</v>
      </c>
      <c r="T86" s="36">
        <f t="shared" si="30"/>
        <v>5.6081983902976491</v>
      </c>
      <c r="U86" s="1">
        <v>349</v>
      </c>
      <c r="V86" s="1">
        <v>359</v>
      </c>
      <c r="W86" s="42">
        <v>35325</v>
      </c>
      <c r="X86" s="1">
        <v>10449261</v>
      </c>
    </row>
    <row r="87" spans="1:26" ht="15.75" x14ac:dyDescent="0.3">
      <c r="A87" s="78">
        <v>73</v>
      </c>
      <c r="B87" s="6" t="s">
        <v>29</v>
      </c>
      <c r="C87" s="58" t="s">
        <v>38</v>
      </c>
      <c r="D87" s="1">
        <v>0.02</v>
      </c>
      <c r="E87" s="1">
        <v>0</v>
      </c>
      <c r="F87" s="1">
        <v>1756538471.1600001</v>
      </c>
      <c r="G87" s="1">
        <v>377954327.19</v>
      </c>
      <c r="H87" s="16">
        <v>0</v>
      </c>
      <c r="I87" s="1">
        <v>0</v>
      </c>
      <c r="J87" s="1">
        <v>2134492798.3699999</v>
      </c>
      <c r="K87" s="1">
        <v>6582095.5700000003</v>
      </c>
      <c r="L87" s="48">
        <v>12567463.789999999</v>
      </c>
      <c r="M87" s="1">
        <v>2134492798.3699999</v>
      </c>
      <c r="N87" s="91">
        <v>10369379.310000001</v>
      </c>
      <c r="O87" s="3">
        <v>2124123419.0599999</v>
      </c>
      <c r="P87" s="9">
        <f t="shared" si="31"/>
        <v>8.4875574216939087E-2</v>
      </c>
      <c r="Q87" s="14">
        <f t="shared" si="27"/>
        <v>3.0987349938982412E-3</v>
      </c>
      <c r="R87" s="14">
        <f t="shared" si="28"/>
        <v>5.9165412316585387E-3</v>
      </c>
      <c r="S87" s="36">
        <f t="shared" si="29"/>
        <v>10.424648703352617</v>
      </c>
      <c r="T87" s="36">
        <f t="shared" si="30"/>
        <v>6.1677863878941482E-2</v>
      </c>
      <c r="U87" s="1">
        <v>10.337999999999999</v>
      </c>
      <c r="V87" s="1">
        <v>10.493600000000001</v>
      </c>
      <c r="W87" s="42">
        <v>6775</v>
      </c>
      <c r="X87" s="1">
        <v>203759712.15000001</v>
      </c>
    </row>
    <row r="88" spans="1:26" ht="15.75" x14ac:dyDescent="0.3">
      <c r="A88" s="51">
        <v>74</v>
      </c>
      <c r="B88" s="29" t="s">
        <v>93</v>
      </c>
      <c r="C88" s="58" t="s">
        <v>125</v>
      </c>
      <c r="D88" s="1">
        <v>310579689.82999998</v>
      </c>
      <c r="E88" s="1">
        <v>0</v>
      </c>
      <c r="F88" s="1">
        <v>542029357.21000004</v>
      </c>
      <c r="G88" s="1">
        <v>20003512.5</v>
      </c>
      <c r="H88" s="1">
        <v>27870299.609999999</v>
      </c>
      <c r="I88" s="1"/>
      <c r="J88" s="1">
        <v>1080514459.1500001</v>
      </c>
      <c r="K88" s="1">
        <v>1547357.99</v>
      </c>
      <c r="L88" s="48">
        <v>11043565.039999999</v>
      </c>
      <c r="M88" s="1">
        <v>1080271847.0799999</v>
      </c>
      <c r="N88" s="1">
        <v>39161928.280000001</v>
      </c>
      <c r="O88" s="3">
        <v>1041109918.8</v>
      </c>
      <c r="P88" s="9">
        <f t="shared" si="31"/>
        <v>4.1600596927746029E-2</v>
      </c>
      <c r="Q88" s="14">
        <f t="shared" si="27"/>
        <v>1.4862580425547283E-3</v>
      </c>
      <c r="R88" s="14">
        <f t="shared" si="28"/>
        <v>1.0607491908951352E-2</v>
      </c>
      <c r="S88" s="36">
        <f t="shared" si="29"/>
        <v>1.9141448992596846</v>
      </c>
      <c r="T88" s="36">
        <f t="shared" si="30"/>
        <v>2.0304276531457607E-2</v>
      </c>
      <c r="U88" s="1">
        <v>2.0623999999999998</v>
      </c>
      <c r="V88" s="1">
        <v>2.0886</v>
      </c>
      <c r="W88" s="42">
        <v>2842</v>
      </c>
      <c r="X88" s="1">
        <v>543903400</v>
      </c>
    </row>
    <row r="89" spans="1:26" ht="15.75" x14ac:dyDescent="0.3">
      <c r="A89" s="78">
        <v>75</v>
      </c>
      <c r="B89" s="6" t="s">
        <v>17</v>
      </c>
      <c r="C89" s="58" t="s">
        <v>104</v>
      </c>
      <c r="D89" s="1">
        <v>13381086.949999999</v>
      </c>
      <c r="E89" s="1">
        <v>0</v>
      </c>
      <c r="F89" s="1">
        <v>90593243.439999998</v>
      </c>
      <c r="G89" s="1">
        <v>0</v>
      </c>
      <c r="H89" s="1">
        <v>0</v>
      </c>
      <c r="I89" s="1">
        <v>0</v>
      </c>
      <c r="J89" s="1">
        <v>109386350.7</v>
      </c>
      <c r="K89" s="1">
        <v>147330.44</v>
      </c>
      <c r="L89" s="48">
        <v>862384.78</v>
      </c>
      <c r="M89" s="1">
        <v>109386350.7</v>
      </c>
      <c r="N89" s="1">
        <v>2970497.55</v>
      </c>
      <c r="O89" s="3">
        <v>106415853.15000001</v>
      </c>
      <c r="P89" s="9">
        <f t="shared" si="31"/>
        <v>4.2521571773304701E-3</v>
      </c>
      <c r="Q89" s="14">
        <f t="shared" ref="Q89:Q104" si="32">(K89/O89)</f>
        <v>1.3844783050541187E-3</v>
      </c>
      <c r="R89" s="14">
        <f t="shared" si="28"/>
        <v>8.1039126640690753E-3</v>
      </c>
      <c r="S89" s="36">
        <f t="shared" si="29"/>
        <v>2.4429511712628891</v>
      </c>
      <c r="T89" s="36">
        <f t="shared" si="30"/>
        <v>1.9797462934499705E-2</v>
      </c>
      <c r="U89" s="1">
        <v>2.4661</v>
      </c>
      <c r="V89" s="1">
        <v>2.5104000000000002</v>
      </c>
      <c r="W89" s="42">
        <v>11813</v>
      </c>
      <c r="X89" s="1">
        <v>43560368.460000001</v>
      </c>
    </row>
    <row r="90" spans="1:26" ht="15.75" x14ac:dyDescent="0.3">
      <c r="A90" s="51">
        <v>76</v>
      </c>
      <c r="B90" s="4" t="s">
        <v>39</v>
      </c>
      <c r="C90" s="60" t="s">
        <v>143</v>
      </c>
      <c r="D90" s="4">
        <v>1288482538.73</v>
      </c>
      <c r="E90" s="4">
        <v>0</v>
      </c>
      <c r="F90" s="4">
        <v>622050582.94000006</v>
      </c>
      <c r="G90" s="4">
        <v>998513147.88999999</v>
      </c>
      <c r="H90" s="4">
        <v>0</v>
      </c>
      <c r="I90" s="4">
        <v>0</v>
      </c>
      <c r="J90" s="4">
        <v>2899603236.4899998</v>
      </c>
      <c r="K90" s="4">
        <v>3336079.56</v>
      </c>
      <c r="L90" s="50">
        <v>48402311.710000001</v>
      </c>
      <c r="M90" s="4">
        <v>2914862884.8699999</v>
      </c>
      <c r="N90" s="4">
        <v>-15259648.380000001</v>
      </c>
      <c r="O90" s="22">
        <v>2899603236.4899998</v>
      </c>
      <c r="P90" s="21">
        <f t="shared" si="31"/>
        <v>0.11586214223243872</v>
      </c>
      <c r="Q90" s="31">
        <f t="shared" ref="Q90" si="33">(K90/O90)</f>
        <v>1.1505296717899789E-3</v>
      </c>
      <c r="R90" s="14">
        <f t="shared" ref="R90" si="34">L90/O90</f>
        <v>1.6692736130544367E-2</v>
      </c>
      <c r="S90" s="36">
        <f t="shared" ref="S90" si="35">O90/X90</f>
        <v>146.82240122158774</v>
      </c>
      <c r="T90" s="36">
        <f t="shared" ref="T90" si="36">L90/X90</f>
        <v>2.4508676016448789</v>
      </c>
      <c r="U90" s="1">
        <v>146.82</v>
      </c>
      <c r="V90" s="1">
        <v>147.9</v>
      </c>
      <c r="W90" s="42">
        <v>5541</v>
      </c>
      <c r="X90" s="1">
        <v>19749052</v>
      </c>
    </row>
    <row r="91" spans="1:26" ht="15.75" x14ac:dyDescent="0.3">
      <c r="A91" s="78">
        <v>77</v>
      </c>
      <c r="B91" s="29" t="s">
        <v>65</v>
      </c>
      <c r="C91" s="58" t="s">
        <v>40</v>
      </c>
      <c r="D91" s="1">
        <v>258746050.5</v>
      </c>
      <c r="E91" s="1"/>
      <c r="F91" s="1">
        <v>69022804.799999997</v>
      </c>
      <c r="G91" s="1"/>
      <c r="H91" s="1"/>
      <c r="I91" s="1"/>
      <c r="J91" s="1">
        <v>327768855.30000001</v>
      </c>
      <c r="K91" s="1">
        <v>809112.75</v>
      </c>
      <c r="L91" s="48">
        <v>213057.81</v>
      </c>
      <c r="M91" s="1">
        <v>333373752.19</v>
      </c>
      <c r="N91" s="1">
        <v>6745115.5499999998</v>
      </c>
      <c r="O91" s="3">
        <v>326628636.63999999</v>
      </c>
      <c r="P91" s="9">
        <f t="shared" si="31"/>
        <v>1.3051404095334663E-2</v>
      </c>
      <c r="Q91" s="14">
        <f t="shared" si="32"/>
        <v>2.4771641529146727E-3</v>
      </c>
      <c r="R91" s="14">
        <f t="shared" si="28"/>
        <v>6.5229372473799886E-4</v>
      </c>
      <c r="S91" s="36">
        <f t="shared" si="29"/>
        <v>148.71495349008401</v>
      </c>
      <c r="T91" s="36">
        <f t="shared" si="30"/>
        <v>9.7005830936285162E-2</v>
      </c>
      <c r="U91" s="1">
        <v>146.32</v>
      </c>
      <c r="V91" s="1">
        <v>149.03</v>
      </c>
      <c r="W91" s="42">
        <v>1798</v>
      </c>
      <c r="X91" s="1">
        <v>2196340.2400000002</v>
      </c>
    </row>
    <row r="92" spans="1:26" ht="15.75" x14ac:dyDescent="0.3">
      <c r="A92" s="51">
        <v>78</v>
      </c>
      <c r="B92" s="6" t="s">
        <v>111</v>
      </c>
      <c r="C92" s="61" t="s">
        <v>112</v>
      </c>
      <c r="D92" s="1">
        <v>2203872448.9499998</v>
      </c>
      <c r="E92" s="1">
        <v>156768271.88</v>
      </c>
      <c r="F92" s="1">
        <v>1167390574.04</v>
      </c>
      <c r="G92" s="1">
        <v>1021992032.46</v>
      </c>
      <c r="H92" s="1">
        <v>0</v>
      </c>
      <c r="I92" s="1">
        <v>0</v>
      </c>
      <c r="J92" s="1">
        <v>4550023327.3299999</v>
      </c>
      <c r="K92" s="1">
        <v>4852706.95</v>
      </c>
      <c r="L92" s="48">
        <v>148042412.65000001</v>
      </c>
      <c r="M92" s="1">
        <v>4779272801.8699999</v>
      </c>
      <c r="N92" s="1">
        <v>18457728.789999999</v>
      </c>
      <c r="O92" s="3">
        <v>4760815073.0799999</v>
      </c>
      <c r="P92" s="9">
        <f t="shared" si="31"/>
        <v>0.19023231392417969</v>
      </c>
      <c r="Q92" s="14">
        <f t="shared" si="32"/>
        <v>1.0193017110535552E-3</v>
      </c>
      <c r="R92" s="14">
        <f t="shared" si="28"/>
        <v>3.109602250402561E-2</v>
      </c>
      <c r="S92" s="36">
        <f t="shared" si="29"/>
        <v>148.32684721392354</v>
      </c>
      <c r="T92" s="36">
        <f t="shared" si="30"/>
        <v>4.6123749789153345</v>
      </c>
      <c r="U92" s="1">
        <v>148.33000000000001</v>
      </c>
      <c r="V92" s="1">
        <v>183.33</v>
      </c>
      <c r="W92" s="42">
        <v>24</v>
      </c>
      <c r="X92" s="42">
        <v>32096786</v>
      </c>
    </row>
    <row r="93" spans="1:26" ht="15.75" x14ac:dyDescent="0.3">
      <c r="A93" s="78">
        <v>79</v>
      </c>
      <c r="B93" s="4" t="s">
        <v>41</v>
      </c>
      <c r="C93" s="58" t="s">
        <v>42</v>
      </c>
      <c r="D93" s="1">
        <v>270664006.14999998</v>
      </c>
      <c r="E93" s="1">
        <v>271011</v>
      </c>
      <c r="F93" s="1">
        <v>611744954.01999998</v>
      </c>
      <c r="G93" s="1">
        <v>741675369.04999995</v>
      </c>
      <c r="H93" s="1">
        <v>0</v>
      </c>
      <c r="I93" s="1">
        <v>0</v>
      </c>
      <c r="J93" s="1">
        <v>1702492246.1700001</v>
      </c>
      <c r="K93" s="1">
        <v>6330375.3600000003</v>
      </c>
      <c r="L93" s="48">
        <v>10664047.75</v>
      </c>
      <c r="M93" s="1">
        <v>1702492346.1700001</v>
      </c>
      <c r="N93" s="1">
        <v>112933375.17</v>
      </c>
      <c r="O93" s="3">
        <v>1589558971</v>
      </c>
      <c r="P93" s="9">
        <f t="shared" si="31"/>
        <v>6.3515485590294185E-2</v>
      </c>
      <c r="Q93" s="14">
        <f t="shared" si="32"/>
        <v>3.9824727962231733E-3</v>
      </c>
      <c r="R93" s="14">
        <f t="shared" si="28"/>
        <v>6.7088091379781849E-3</v>
      </c>
      <c r="S93" s="36">
        <f t="shared" si="29"/>
        <v>0.90408021757286139</v>
      </c>
      <c r="T93" s="36">
        <f t="shared" si="30"/>
        <v>6.0653016251181174E-3</v>
      </c>
      <c r="U93" s="1">
        <v>0.90759999999999996</v>
      </c>
      <c r="V93" s="1">
        <v>0.89990000000000003</v>
      </c>
      <c r="W93" s="42">
        <v>10434</v>
      </c>
      <c r="X93" s="1">
        <v>1758205677</v>
      </c>
    </row>
    <row r="94" spans="1:26" ht="15.75" x14ac:dyDescent="0.3">
      <c r="A94" s="51">
        <v>80</v>
      </c>
      <c r="B94" s="6" t="s">
        <v>25</v>
      </c>
      <c r="C94" s="58" t="s">
        <v>43</v>
      </c>
      <c r="D94" s="1">
        <v>684870992.46000004</v>
      </c>
      <c r="E94" s="1">
        <v>0</v>
      </c>
      <c r="F94" s="1">
        <v>610643857.88</v>
      </c>
      <c r="G94" s="1">
        <v>496710711.45999998</v>
      </c>
      <c r="H94" s="1">
        <v>0</v>
      </c>
      <c r="I94" s="1"/>
      <c r="J94" s="1">
        <v>1792225561.8</v>
      </c>
      <c r="K94" s="1">
        <v>7460411.2800000003</v>
      </c>
      <c r="L94" s="48">
        <v>3920870.2</v>
      </c>
      <c r="M94" s="1">
        <v>1884489406.05</v>
      </c>
      <c r="N94" s="1">
        <v>25293208.16</v>
      </c>
      <c r="O94" s="3">
        <v>1879011790.6500001</v>
      </c>
      <c r="P94" s="9">
        <f t="shared" si="31"/>
        <v>7.5081421004432145E-2</v>
      </c>
      <c r="Q94" s="14">
        <f t="shared" si="32"/>
        <v>3.9703908815916719E-3</v>
      </c>
      <c r="R94" s="14">
        <f t="shared" si="28"/>
        <v>2.0866660973126025E-3</v>
      </c>
      <c r="S94" s="36">
        <f t="shared" si="29"/>
        <v>2923.561393003692</v>
      </c>
      <c r="T94" s="36">
        <f t="shared" si="30"/>
        <v>6.1004964421928092</v>
      </c>
      <c r="U94" s="1">
        <v>3055.44</v>
      </c>
      <c r="V94" s="1">
        <v>3089.55</v>
      </c>
      <c r="W94" s="42">
        <v>941</v>
      </c>
      <c r="X94" s="1">
        <v>642713.30000000005</v>
      </c>
    </row>
    <row r="95" spans="1:26" ht="15.75" x14ac:dyDescent="0.3">
      <c r="A95" s="78">
        <v>81</v>
      </c>
      <c r="B95" s="6" t="s">
        <v>8</v>
      </c>
      <c r="C95" s="58" t="s">
        <v>94</v>
      </c>
      <c r="D95" s="1">
        <v>113124200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113124200</v>
      </c>
      <c r="K95" s="1">
        <v>890177</v>
      </c>
      <c r="L95" s="48">
        <v>12802353</v>
      </c>
      <c r="M95" s="1">
        <v>532841318</v>
      </c>
      <c r="N95" s="1">
        <v>13682259.060000001</v>
      </c>
      <c r="O95" s="3">
        <v>519159059</v>
      </c>
      <c r="P95" s="9">
        <f t="shared" si="31"/>
        <v>2.074452117384526E-2</v>
      </c>
      <c r="Q95" s="14">
        <f t="shared" si="32"/>
        <v>1.7146517711058569E-3</v>
      </c>
      <c r="R95" s="14">
        <f t="shared" si="28"/>
        <v>2.4659789284347245E-2</v>
      </c>
      <c r="S95" s="36">
        <f t="shared" si="29"/>
        <v>1.0454148455910857</v>
      </c>
      <c r="T95" s="36">
        <f t="shared" si="30"/>
        <v>2.5779709807004583E-2</v>
      </c>
      <c r="U95" s="1">
        <v>1.0889</v>
      </c>
      <c r="V95" s="1">
        <v>1.0961000000000001</v>
      </c>
      <c r="W95" s="42">
        <v>204</v>
      </c>
      <c r="X95" s="1">
        <v>496605784</v>
      </c>
      <c r="Y95" s="18"/>
      <c r="Z95" s="17"/>
    </row>
    <row r="96" spans="1:26" ht="15.75" x14ac:dyDescent="0.3">
      <c r="A96" s="51">
        <v>82</v>
      </c>
      <c r="B96" s="1" t="s">
        <v>4</v>
      </c>
      <c r="C96" s="58" t="s">
        <v>44</v>
      </c>
      <c r="D96" s="20">
        <v>276573564.39999998</v>
      </c>
      <c r="E96" s="20">
        <v>0</v>
      </c>
      <c r="F96" s="20">
        <v>853019891.5</v>
      </c>
      <c r="G96" s="20">
        <v>0</v>
      </c>
      <c r="H96" s="1">
        <v>0</v>
      </c>
      <c r="I96" s="1">
        <v>0</v>
      </c>
      <c r="J96" s="20">
        <v>1129593455.9000001</v>
      </c>
      <c r="K96" s="20">
        <v>1809610.78</v>
      </c>
      <c r="L96" s="49">
        <v>8837559.1400000006</v>
      </c>
      <c r="M96" s="20">
        <v>1131509011.9000001</v>
      </c>
      <c r="N96" s="20">
        <v>34072795.82</v>
      </c>
      <c r="O96" s="3">
        <v>1097436216.0799999</v>
      </c>
      <c r="P96" s="9">
        <f t="shared" si="31"/>
        <v>4.3851279153767367E-2</v>
      </c>
      <c r="Q96" s="14">
        <f t="shared" si="32"/>
        <v>1.6489439235601868E-3</v>
      </c>
      <c r="R96" s="14">
        <f t="shared" si="28"/>
        <v>8.0529137005952139E-3</v>
      </c>
      <c r="S96" s="36">
        <f t="shared" si="29"/>
        <v>1471.1927288424156</v>
      </c>
      <c r="T96" s="36">
        <f t="shared" si="30"/>
        <v>11.847388082311147</v>
      </c>
      <c r="U96" s="1">
        <v>0</v>
      </c>
      <c r="V96" s="1">
        <v>0</v>
      </c>
      <c r="W96" s="42">
        <v>815</v>
      </c>
      <c r="X96" s="6">
        <v>745950</v>
      </c>
    </row>
    <row r="97" spans="1:25" ht="15.75" x14ac:dyDescent="0.3">
      <c r="A97" s="78">
        <v>83</v>
      </c>
      <c r="B97" s="1" t="s">
        <v>100</v>
      </c>
      <c r="C97" s="58" t="s">
        <v>105</v>
      </c>
      <c r="D97" s="20">
        <v>38912748.700000003</v>
      </c>
      <c r="E97" s="20">
        <v>0</v>
      </c>
      <c r="F97" s="20">
        <v>40763885.270000003</v>
      </c>
      <c r="G97" s="20">
        <v>17272140.190000001</v>
      </c>
      <c r="H97" s="1">
        <v>0</v>
      </c>
      <c r="I97" s="1">
        <v>0</v>
      </c>
      <c r="J97" s="20">
        <v>96948774.099999994</v>
      </c>
      <c r="K97" s="20">
        <v>133897.09</v>
      </c>
      <c r="L97" s="49">
        <v>2619792.7200000002</v>
      </c>
      <c r="M97" s="20">
        <v>100767784.68000001</v>
      </c>
      <c r="N97" s="20">
        <v>2912301.62</v>
      </c>
      <c r="O97" s="37">
        <v>97855483.060000002</v>
      </c>
      <c r="P97" s="9">
        <f t="shared" si="31"/>
        <v>3.9101025112132856E-3</v>
      </c>
      <c r="Q97" s="14">
        <f t="shared" si="32"/>
        <v>1.3683146392308044E-3</v>
      </c>
      <c r="R97" s="14">
        <f t="shared" si="28"/>
        <v>2.6772058530370513E-2</v>
      </c>
      <c r="S97" s="36">
        <f t="shared" si="29"/>
        <v>0.93189357610615375</v>
      </c>
      <c r="T97" s="36">
        <f t="shared" si="30"/>
        <v>2.4948709363590234E-2</v>
      </c>
      <c r="U97" s="1">
        <v>0.92759999999999998</v>
      </c>
      <c r="V97" s="1">
        <v>0.93520000000000003</v>
      </c>
      <c r="W97" s="42">
        <v>73</v>
      </c>
      <c r="X97" s="6">
        <v>105007144.13</v>
      </c>
    </row>
    <row r="98" spans="1:25" ht="15.75" x14ac:dyDescent="0.3">
      <c r="A98" s="51">
        <v>84</v>
      </c>
      <c r="B98" s="1" t="s">
        <v>74</v>
      </c>
      <c r="C98" s="29" t="s">
        <v>108</v>
      </c>
      <c r="D98" s="20">
        <v>201363312.44999999</v>
      </c>
      <c r="E98" s="20">
        <v>0</v>
      </c>
      <c r="F98" s="20">
        <v>103916340.89</v>
      </c>
      <c r="G98" s="20">
        <v>117655954.04000001</v>
      </c>
      <c r="H98" s="16">
        <v>0</v>
      </c>
      <c r="I98" s="16">
        <v>0</v>
      </c>
      <c r="J98" s="1">
        <v>422935607.37</v>
      </c>
      <c r="K98" s="1">
        <v>782719.94</v>
      </c>
      <c r="L98" s="49">
        <v>1903280.94</v>
      </c>
      <c r="M98" s="20">
        <v>473093593.38</v>
      </c>
      <c r="N98" s="20">
        <v>10919533.49</v>
      </c>
      <c r="O98" s="3">
        <v>462174059.88999999</v>
      </c>
      <c r="P98" s="9">
        <f t="shared" si="31"/>
        <v>1.846751858641868E-2</v>
      </c>
      <c r="Q98" s="14">
        <f t="shared" si="32"/>
        <v>1.6935609501456911E-3</v>
      </c>
      <c r="R98" s="14">
        <f t="shared" si="28"/>
        <v>4.1181042061360857E-3</v>
      </c>
      <c r="S98" s="36">
        <f t="shared" si="29"/>
        <v>101.6935858572412</v>
      </c>
      <c r="T98" s="36">
        <f t="shared" si="30"/>
        <v>0.41878478365576616</v>
      </c>
      <c r="U98" s="1">
        <v>99.25</v>
      </c>
      <c r="V98" s="1">
        <v>99.94</v>
      </c>
      <c r="W98" s="42">
        <v>367</v>
      </c>
      <c r="X98" s="6">
        <v>4544771</v>
      </c>
    </row>
    <row r="99" spans="1:25" ht="15.75" x14ac:dyDescent="0.3">
      <c r="A99" s="78">
        <v>85</v>
      </c>
      <c r="B99" s="1" t="s">
        <v>74</v>
      </c>
      <c r="C99" s="58" t="s">
        <v>109</v>
      </c>
      <c r="D99" s="20">
        <v>152135813.75999999</v>
      </c>
      <c r="E99" s="20">
        <v>0</v>
      </c>
      <c r="F99" s="20">
        <v>22037243.890000001</v>
      </c>
      <c r="G99" s="20">
        <v>82473193.040000007</v>
      </c>
      <c r="H99" s="1">
        <v>0</v>
      </c>
      <c r="I99" s="1">
        <v>0</v>
      </c>
      <c r="J99" s="20">
        <v>256646250.69</v>
      </c>
      <c r="K99" s="20">
        <v>549541.77</v>
      </c>
      <c r="L99" s="49">
        <v>1660827.39</v>
      </c>
      <c r="M99" s="20">
        <v>300163719.97000003</v>
      </c>
      <c r="N99" s="20">
        <v>7871021.3700000001</v>
      </c>
      <c r="O99" s="3">
        <v>292292698.60000002</v>
      </c>
      <c r="P99" s="9">
        <f t="shared" si="31"/>
        <v>1.1679411097530462E-2</v>
      </c>
      <c r="Q99" s="14">
        <f t="shared" si="32"/>
        <v>1.8801077571631137E-3</v>
      </c>
      <c r="R99" s="14">
        <f t="shared" si="28"/>
        <v>5.6820693707194773E-3</v>
      </c>
      <c r="S99" s="36">
        <f t="shared" si="29"/>
        <v>107.18309647709735</v>
      </c>
      <c r="T99" s="36">
        <f t="shared" si="30"/>
        <v>0.60902178955138553</v>
      </c>
      <c r="U99" s="1">
        <v>100.92</v>
      </c>
      <c r="V99" s="1">
        <v>101.79</v>
      </c>
      <c r="W99" s="42">
        <v>103</v>
      </c>
      <c r="X99" s="6">
        <v>2727041</v>
      </c>
    </row>
    <row r="100" spans="1:25" ht="15.75" x14ac:dyDescent="0.3">
      <c r="A100" s="51">
        <v>86</v>
      </c>
      <c r="B100" s="1" t="s">
        <v>87</v>
      </c>
      <c r="C100" s="58" t="s">
        <v>113</v>
      </c>
      <c r="D100" s="20">
        <v>36924998.549999997</v>
      </c>
      <c r="E100" s="20">
        <v>0</v>
      </c>
      <c r="F100" s="20">
        <v>162964942.66999999</v>
      </c>
      <c r="G100" s="20">
        <v>0</v>
      </c>
      <c r="H100" s="1">
        <v>0</v>
      </c>
      <c r="I100" s="1">
        <v>0</v>
      </c>
      <c r="J100" s="20">
        <v>236168350.46000001</v>
      </c>
      <c r="K100" s="20">
        <v>335043.45</v>
      </c>
      <c r="L100" s="49">
        <v>1376710.68</v>
      </c>
      <c r="M100" s="20">
        <v>236168350.46000001</v>
      </c>
      <c r="N100" s="20">
        <v>1404196.05</v>
      </c>
      <c r="O100" s="3">
        <v>234764154.41</v>
      </c>
      <c r="P100" s="9">
        <f t="shared" si="31"/>
        <v>9.3806895740176678E-3</v>
      </c>
      <c r="Q100" s="14">
        <f t="shared" si="32"/>
        <v>1.4271490928503031E-3</v>
      </c>
      <c r="R100" s="14">
        <f t="shared" si="28"/>
        <v>5.8642286487896539E-3</v>
      </c>
      <c r="S100" s="36">
        <f t="shared" si="29"/>
        <v>116.69030498720198</v>
      </c>
      <c r="T100" s="36">
        <f t="shared" si="30"/>
        <v>0.68429862954195209</v>
      </c>
      <c r="U100" s="1">
        <v>116.68</v>
      </c>
      <c r="V100" s="1">
        <v>117.38</v>
      </c>
      <c r="W100" s="42">
        <v>41</v>
      </c>
      <c r="X100" s="6">
        <v>2011856.55</v>
      </c>
    </row>
    <row r="101" spans="1:25" ht="15.75" x14ac:dyDescent="0.3">
      <c r="A101" s="78">
        <v>87</v>
      </c>
      <c r="B101" s="1" t="s">
        <v>27</v>
      </c>
      <c r="C101" s="58" t="s">
        <v>45</v>
      </c>
      <c r="D101" s="1">
        <v>453473975.25</v>
      </c>
      <c r="E101" s="1"/>
      <c r="F101" s="1">
        <v>722189979.36000001</v>
      </c>
      <c r="G101" s="1">
        <v>160522054.75999999</v>
      </c>
      <c r="H101" s="1">
        <v>312000000</v>
      </c>
      <c r="I101" s="1"/>
      <c r="J101" s="1">
        <v>1649719973.6500001</v>
      </c>
      <c r="K101" s="1">
        <v>3302658.51</v>
      </c>
      <c r="L101" s="48">
        <v>3233635.86</v>
      </c>
      <c r="M101" s="1">
        <v>1657562423.75</v>
      </c>
      <c r="N101" s="1">
        <v>74510271.400000006</v>
      </c>
      <c r="O101" s="3">
        <v>1583052152.3599999</v>
      </c>
      <c r="P101" s="9">
        <f t="shared" si="31"/>
        <v>6.3255486588616641E-2</v>
      </c>
      <c r="Q101" s="14">
        <v>0</v>
      </c>
      <c r="R101" s="14">
        <f t="shared" si="28"/>
        <v>2.0426590843386459E-3</v>
      </c>
      <c r="S101" s="36">
        <f t="shared" si="29"/>
        <v>2.2260436681015578</v>
      </c>
      <c r="T101" s="36">
        <f t="shared" si="30"/>
        <v>4.5470483207821688E-3</v>
      </c>
      <c r="U101" s="1">
        <v>2.19</v>
      </c>
      <c r="V101" s="1">
        <v>2.2200000000000002</v>
      </c>
      <c r="W101" s="1">
        <v>2025</v>
      </c>
      <c r="X101" s="1">
        <v>711150538.08000004</v>
      </c>
    </row>
    <row r="102" spans="1:25" ht="15.75" x14ac:dyDescent="0.3">
      <c r="A102" s="51">
        <v>88</v>
      </c>
      <c r="B102" s="1" t="s">
        <v>64</v>
      </c>
      <c r="C102" s="60" t="s">
        <v>46</v>
      </c>
      <c r="D102" s="1">
        <v>29463208.399999999</v>
      </c>
      <c r="E102" s="1"/>
      <c r="F102" s="1">
        <v>51451913.630000003</v>
      </c>
      <c r="G102" s="1">
        <v>40496298.270000003</v>
      </c>
      <c r="H102" s="1">
        <v>171000</v>
      </c>
      <c r="I102" s="1"/>
      <c r="J102" s="1">
        <v>121582420.3</v>
      </c>
      <c r="K102" s="1">
        <v>141183.07999999999</v>
      </c>
      <c r="L102" s="48">
        <v>964307.75</v>
      </c>
      <c r="M102" s="1">
        <v>132045587.25</v>
      </c>
      <c r="N102" s="1">
        <v>141183.07999999999</v>
      </c>
      <c r="O102" s="3">
        <v>129860661.81</v>
      </c>
      <c r="P102" s="9">
        <f t="shared" si="31"/>
        <v>5.1889631931995306E-3</v>
      </c>
      <c r="Q102" s="14">
        <f t="shared" ref="Q102:Q103" si="37">(K102/O102)</f>
        <v>1.0871889764936351E-3</v>
      </c>
      <c r="R102" s="14">
        <f t="shared" ref="R102:R103" si="38">L102/O102</f>
        <v>7.4257110395054438E-3</v>
      </c>
      <c r="S102" s="36">
        <f t="shared" ref="S102:S103" si="39">O102/X102</f>
        <v>1.3271503168103007</v>
      </c>
      <c r="T102" s="36">
        <f t="shared" ref="T102:T104" si="40">L102/X102</f>
        <v>9.855034758621397E-3</v>
      </c>
      <c r="U102" s="1">
        <v>1.3271999999999999</v>
      </c>
      <c r="V102" s="1">
        <v>1.3494999999999999</v>
      </c>
      <c r="W102" s="42">
        <v>92</v>
      </c>
      <c r="X102" s="1">
        <v>97849249</v>
      </c>
    </row>
    <row r="103" spans="1:25" ht="15.75" x14ac:dyDescent="0.3">
      <c r="A103" s="78">
        <v>89</v>
      </c>
      <c r="B103" s="1" t="s">
        <v>90</v>
      </c>
      <c r="C103" s="4" t="s">
        <v>154</v>
      </c>
      <c r="D103" s="1">
        <v>40284986.380000003</v>
      </c>
      <c r="E103" s="1">
        <v>0</v>
      </c>
      <c r="F103" s="1">
        <v>114333537.15000001</v>
      </c>
      <c r="G103" s="1">
        <v>0</v>
      </c>
      <c r="H103" s="1">
        <v>0</v>
      </c>
      <c r="I103" s="1">
        <v>0</v>
      </c>
      <c r="J103" s="1">
        <v>154618523.53</v>
      </c>
      <c r="K103" s="1">
        <v>271115.84000000003</v>
      </c>
      <c r="L103" s="48">
        <v>5270971.5599999996</v>
      </c>
      <c r="M103" s="1">
        <v>164434518.59</v>
      </c>
      <c r="N103" s="1">
        <v>-2326635.9700000002</v>
      </c>
      <c r="O103" s="3">
        <v>162107882.62</v>
      </c>
      <c r="P103" s="9">
        <f t="shared" si="31"/>
        <v>6.4774953747995991E-3</v>
      </c>
      <c r="Q103" s="14">
        <f t="shared" si="37"/>
        <v>1.6724408191520677E-3</v>
      </c>
      <c r="R103" s="14">
        <f t="shared" si="38"/>
        <v>3.2515208235467358E-2</v>
      </c>
      <c r="S103" s="36">
        <f t="shared" si="39"/>
        <v>105.37476883355973</v>
      </c>
      <c r="T103" s="36">
        <f t="shared" si="40"/>
        <v>3.42628255138743</v>
      </c>
      <c r="U103" s="1">
        <v>105.37479999999999</v>
      </c>
      <c r="V103" s="1">
        <v>106.8871</v>
      </c>
      <c r="W103" s="42">
        <v>96</v>
      </c>
      <c r="X103" s="92">
        <v>1538393.72</v>
      </c>
    </row>
    <row r="104" spans="1:25" ht="15.75" x14ac:dyDescent="0.3">
      <c r="A104" s="51"/>
      <c r="B104" s="1"/>
      <c r="C104" s="59" t="s">
        <v>60</v>
      </c>
      <c r="D104" s="1"/>
      <c r="E104" s="1"/>
      <c r="F104" s="1"/>
      <c r="G104" s="1"/>
      <c r="H104" s="1"/>
      <c r="I104" s="1"/>
      <c r="J104" s="1"/>
      <c r="K104" s="1"/>
      <c r="L104" s="48"/>
      <c r="M104" s="1"/>
      <c r="N104" s="1"/>
      <c r="O104" s="7">
        <f>SUM(O83:O103)</f>
        <v>25026321632.072998</v>
      </c>
      <c r="P104" s="41">
        <f>(O104/$O$112)</f>
        <v>2.4924043307704147E-2</v>
      </c>
      <c r="Q104" s="14"/>
      <c r="R104" s="14"/>
      <c r="S104" s="36"/>
      <c r="T104" s="36"/>
      <c r="U104" s="1"/>
      <c r="V104" s="1"/>
      <c r="W104" s="42"/>
      <c r="X104" s="6"/>
    </row>
    <row r="105" spans="1:25" ht="15.75" x14ac:dyDescent="0.3">
      <c r="A105" s="93"/>
      <c r="B105" s="2"/>
      <c r="C105" s="77" t="s">
        <v>69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3"/>
      <c r="P105" s="9"/>
      <c r="Q105" s="14"/>
      <c r="R105" s="14"/>
      <c r="S105" s="36"/>
      <c r="T105" s="36"/>
      <c r="U105" s="2"/>
      <c r="V105" s="2"/>
      <c r="W105" s="2"/>
      <c r="X105" s="2"/>
      <c r="Y105" s="19"/>
    </row>
    <row r="106" spans="1:25" ht="15.75" x14ac:dyDescent="0.3">
      <c r="A106" s="51">
        <v>90</v>
      </c>
      <c r="B106" s="6" t="s">
        <v>29</v>
      </c>
      <c r="C106" s="4" t="s">
        <v>47</v>
      </c>
      <c r="D106" s="1">
        <v>0.22</v>
      </c>
      <c r="E106" s="16">
        <v>0</v>
      </c>
      <c r="F106" s="1">
        <v>341110025.11000001</v>
      </c>
      <c r="G106" s="1">
        <v>156593641.65000001</v>
      </c>
      <c r="H106" s="23">
        <v>0</v>
      </c>
      <c r="I106" s="1">
        <v>0</v>
      </c>
      <c r="J106" s="1">
        <v>497703666.54000002</v>
      </c>
      <c r="K106" s="1">
        <v>1632477.88</v>
      </c>
      <c r="L106" s="49">
        <v>2108014.71</v>
      </c>
      <c r="M106" s="1">
        <v>497703666.54000002</v>
      </c>
      <c r="N106" s="1">
        <v>4753868.83</v>
      </c>
      <c r="O106" s="3">
        <v>492949797.70999998</v>
      </c>
      <c r="P106" s="9">
        <f>(O106/$O$111)</f>
        <v>0.1094373661708261</v>
      </c>
      <c r="Q106" s="14">
        <f>(L106/O106)</f>
        <v>4.2763273659767991E-3</v>
      </c>
      <c r="R106" s="14">
        <f t="shared" si="28"/>
        <v>4.2763273659767991E-3</v>
      </c>
      <c r="S106" s="36">
        <f t="shared" si="29"/>
        <v>11.038609953450178</v>
      </c>
      <c r="T106" s="36">
        <f t="shared" si="30"/>
        <v>4.720470982628288E-2</v>
      </c>
      <c r="U106" s="1">
        <v>11.6747</v>
      </c>
      <c r="V106" s="1">
        <v>11.821899999999999</v>
      </c>
      <c r="W106" s="42">
        <v>1633</v>
      </c>
      <c r="X106" s="1">
        <v>44656872.539999999</v>
      </c>
      <c r="Y106" s="19"/>
    </row>
    <row r="107" spans="1:25" ht="15.75" x14ac:dyDescent="0.3">
      <c r="A107" s="51">
        <v>91</v>
      </c>
      <c r="B107" s="6" t="s">
        <v>48</v>
      </c>
      <c r="C107" s="4" t="s">
        <v>49</v>
      </c>
      <c r="D107" s="20">
        <v>775937385.64999998</v>
      </c>
      <c r="E107" s="1">
        <v>0</v>
      </c>
      <c r="F107" s="20">
        <v>0</v>
      </c>
      <c r="G107" s="20">
        <v>382810372.87</v>
      </c>
      <c r="H107" s="1">
        <v>0</v>
      </c>
      <c r="I107" s="20">
        <v>1665896.67</v>
      </c>
      <c r="J107" s="1">
        <v>1930490151.2</v>
      </c>
      <c r="K107" s="20">
        <v>3554068.63</v>
      </c>
      <c r="L107" s="49">
        <v>-1309445.03</v>
      </c>
      <c r="M107" s="20">
        <v>2422012267.4699998</v>
      </c>
      <c r="N107" s="20">
        <v>92064558.959999993</v>
      </c>
      <c r="O107" s="3">
        <v>2329947708.5100002</v>
      </c>
      <c r="P107" s="9">
        <f>(O107/$O$111)</f>
        <v>0.51726026000946157</v>
      </c>
      <c r="Q107" s="14">
        <f t="shared" ref="Q107:Q112" si="41">(K107/O107)</f>
        <v>1.5253855771178763E-3</v>
      </c>
      <c r="R107" s="14">
        <f t="shared" si="28"/>
        <v>-5.6200618804333133E-4</v>
      </c>
      <c r="S107" s="36">
        <f t="shared" si="29"/>
        <v>1.1767636456405621</v>
      </c>
      <c r="T107" s="36">
        <f t="shared" si="30"/>
        <v>-6.6134845071442582E-4</v>
      </c>
      <c r="U107" s="1">
        <v>1.17</v>
      </c>
      <c r="V107" s="1">
        <v>1.19</v>
      </c>
      <c r="W107" s="42">
        <v>15353</v>
      </c>
      <c r="X107" s="94">
        <v>1979962346</v>
      </c>
    </row>
    <row r="108" spans="1:25" ht="15.75" x14ac:dyDescent="0.3">
      <c r="A108" s="51">
        <v>92</v>
      </c>
      <c r="B108" s="6" t="s">
        <v>1</v>
      </c>
      <c r="C108" s="4" t="s">
        <v>50</v>
      </c>
      <c r="D108" s="20">
        <v>773940852.14999998</v>
      </c>
      <c r="E108" s="1">
        <v>0</v>
      </c>
      <c r="F108" s="20">
        <v>162223152.5</v>
      </c>
      <c r="G108" s="1">
        <v>303096452.50999999</v>
      </c>
      <c r="H108" s="1">
        <v>0</v>
      </c>
      <c r="I108" s="1">
        <v>0</v>
      </c>
      <c r="J108" s="20">
        <v>1240425947.8499999</v>
      </c>
      <c r="K108" s="20">
        <v>5569850.1399999997</v>
      </c>
      <c r="L108" s="49">
        <v>40432278.009999998</v>
      </c>
      <c r="M108" s="20">
        <v>1255718308.79</v>
      </c>
      <c r="N108" s="20">
        <v>-19606585.670000002</v>
      </c>
      <c r="O108" s="3">
        <v>1236111723.1199999</v>
      </c>
      <c r="P108" s="9">
        <f>(O108/$O$111)</f>
        <v>0.27442309926804542</v>
      </c>
      <c r="Q108" s="14">
        <f t="shared" si="41"/>
        <v>4.5059439497438427E-3</v>
      </c>
      <c r="R108" s="14">
        <f t="shared" si="28"/>
        <v>3.2709242420213579E-2</v>
      </c>
      <c r="S108" s="36">
        <f t="shared" si="29"/>
        <v>0.89614706393361776</v>
      </c>
      <c r="T108" s="36">
        <f t="shared" si="30"/>
        <v>2.9312291558367339E-2</v>
      </c>
      <c r="U108" s="1">
        <v>0.89</v>
      </c>
      <c r="V108" s="1">
        <v>0.9</v>
      </c>
      <c r="W108" s="42">
        <v>9505</v>
      </c>
      <c r="X108" s="1">
        <v>1379362576.5999999</v>
      </c>
    </row>
    <row r="109" spans="1:25" ht="15.75" x14ac:dyDescent="0.3">
      <c r="A109" s="51">
        <v>93</v>
      </c>
      <c r="B109" s="23" t="s">
        <v>62</v>
      </c>
      <c r="C109" s="4" t="s">
        <v>51</v>
      </c>
      <c r="D109" s="1">
        <v>76478663.700000003</v>
      </c>
      <c r="E109" s="1">
        <v>0</v>
      </c>
      <c r="F109" s="1"/>
      <c r="G109" s="1">
        <v>138106012.65000001</v>
      </c>
      <c r="H109" s="1">
        <v>37640000</v>
      </c>
      <c r="I109" s="1"/>
      <c r="J109" s="1">
        <v>286996569.69999999</v>
      </c>
      <c r="K109" s="1">
        <v>612486.62</v>
      </c>
      <c r="L109" s="48">
        <v>3875499.5</v>
      </c>
      <c r="M109" s="1">
        <v>274399520</v>
      </c>
      <c r="N109" s="1">
        <v>1940627</v>
      </c>
      <c r="O109" s="3">
        <v>272458893</v>
      </c>
      <c r="P109" s="9">
        <f>(O109/$O$111)</f>
        <v>6.0487262147696903E-2</v>
      </c>
      <c r="Q109" s="14">
        <f t="shared" si="41"/>
        <v>2.2479964344566282E-3</v>
      </c>
      <c r="R109" s="14">
        <f t="shared" si="28"/>
        <v>1.4224162248211146E-2</v>
      </c>
      <c r="S109" s="36">
        <f t="shared" si="29"/>
        <v>30.204414744683195</v>
      </c>
      <c r="T109" s="36">
        <f t="shared" si="30"/>
        <v>0.4296324959406348</v>
      </c>
      <c r="U109" s="1">
        <v>29.38</v>
      </c>
      <c r="V109" s="1">
        <v>30.26</v>
      </c>
      <c r="W109" s="42">
        <v>1828</v>
      </c>
      <c r="X109" s="1">
        <v>9020499</v>
      </c>
    </row>
    <row r="110" spans="1:25" ht="15.75" x14ac:dyDescent="0.3">
      <c r="A110" s="51">
        <v>94</v>
      </c>
      <c r="B110" s="6" t="s">
        <v>1</v>
      </c>
      <c r="C110" s="29" t="s">
        <v>82</v>
      </c>
      <c r="D110" s="1">
        <v>108055280.7</v>
      </c>
      <c r="E110" s="1">
        <v>0</v>
      </c>
      <c r="F110" s="1">
        <v>0</v>
      </c>
      <c r="G110" s="1">
        <v>47202282.409999996</v>
      </c>
      <c r="H110" s="1">
        <v>0</v>
      </c>
      <c r="I110" s="1">
        <v>0</v>
      </c>
      <c r="J110" s="1">
        <v>156607780.91</v>
      </c>
      <c r="K110" s="1">
        <v>278825.39</v>
      </c>
      <c r="L110" s="48">
        <v>8258397.5199999996</v>
      </c>
      <c r="M110" s="1">
        <v>175334161.75</v>
      </c>
      <c r="N110" s="1">
        <v>-2401137.04</v>
      </c>
      <c r="O110" s="3">
        <v>172933024.71000001</v>
      </c>
      <c r="P110" s="9">
        <f>(O110/$O$111)</f>
        <v>3.8392012403969937E-2</v>
      </c>
      <c r="Q110" s="14">
        <f t="shared" si="41"/>
        <v>1.6123316553768501E-3</v>
      </c>
      <c r="R110" s="14">
        <f t="shared" si="28"/>
        <v>4.7754889697031074E-2</v>
      </c>
      <c r="S110" s="36">
        <f t="shared" si="29"/>
        <v>157.83764970789363</v>
      </c>
      <c r="T110" s="36">
        <f t="shared" si="30"/>
        <v>7.5375195518390896</v>
      </c>
      <c r="U110" s="1">
        <v>156.83000000000001</v>
      </c>
      <c r="V110" s="1">
        <v>158.55000000000001</v>
      </c>
      <c r="W110" s="42">
        <v>272</v>
      </c>
      <c r="X110" s="1">
        <v>1095638.6200000001</v>
      </c>
    </row>
    <row r="111" spans="1:25" ht="15.75" x14ac:dyDescent="0.3">
      <c r="A111" s="95"/>
      <c r="B111" s="8"/>
      <c r="C111" s="62" t="s">
        <v>60</v>
      </c>
      <c r="D111" s="1"/>
      <c r="E111" s="1"/>
      <c r="F111" s="1"/>
      <c r="G111" s="1"/>
      <c r="H111" s="1"/>
      <c r="I111" s="1"/>
      <c r="J111" s="1"/>
      <c r="K111" s="1"/>
      <c r="L111" s="48"/>
      <c r="M111" s="1"/>
      <c r="N111" s="1"/>
      <c r="O111" s="7">
        <f>SUM(O106:O110)</f>
        <v>4504401147.0500002</v>
      </c>
      <c r="P111" s="41">
        <f>(O111/$O$112)</f>
        <v>4.4859924248902491E-3</v>
      </c>
      <c r="Q111" s="14"/>
      <c r="R111" s="14"/>
      <c r="S111" s="36"/>
      <c r="T111" s="36"/>
      <c r="U111" s="1"/>
      <c r="V111" s="1"/>
      <c r="W111" s="42"/>
      <c r="X111" s="1"/>
    </row>
    <row r="112" spans="1:25" ht="15.75" x14ac:dyDescent="0.3">
      <c r="A112" s="96"/>
      <c r="B112" s="97"/>
      <c r="C112" s="98" t="s">
        <v>61</v>
      </c>
      <c r="D112" s="99">
        <f t="shared" ref="D112:N112" si="42">SUM(D4:D111)</f>
        <v>18571472008.060001</v>
      </c>
      <c r="E112" s="99">
        <f t="shared" si="42"/>
        <v>157039282.88</v>
      </c>
      <c r="F112" s="99">
        <f t="shared" si="42"/>
        <v>738012021525.00403</v>
      </c>
      <c r="G112" s="99">
        <f t="shared" si="42"/>
        <v>401402192498.409</v>
      </c>
      <c r="H112" s="99">
        <f t="shared" si="42"/>
        <v>41485497466.720001</v>
      </c>
      <c r="I112" s="99">
        <f t="shared" si="42"/>
        <v>2938737.55</v>
      </c>
      <c r="J112" s="99">
        <f t="shared" si="42"/>
        <v>1424859759655.5046</v>
      </c>
      <c r="K112" s="99">
        <f t="shared" si="42"/>
        <v>26966847648.170002</v>
      </c>
      <c r="L112" s="99">
        <f t="shared" si="42"/>
        <v>7980091857.0305023</v>
      </c>
      <c r="M112" s="99">
        <f t="shared" si="42"/>
        <v>1027709872462.1249</v>
      </c>
      <c r="N112" s="99">
        <f t="shared" si="42"/>
        <v>-2885222356.1464977</v>
      </c>
      <c r="O112" s="7">
        <f>(O18+O43+O54+O76+O81+O104+O111)</f>
        <v>1004103600812.5229</v>
      </c>
      <c r="P112" s="10"/>
      <c r="Q112" s="14"/>
      <c r="R112" s="14"/>
      <c r="S112" s="36"/>
      <c r="T112" s="36"/>
      <c r="U112" s="99">
        <f>SUM(U4:U111)</f>
        <v>1113302.3737099997</v>
      </c>
      <c r="V112" s="99">
        <f>SUM(V4:V111)</f>
        <v>1113666.3925709985</v>
      </c>
      <c r="W112" s="99">
        <f>SUM(W4:W111)</f>
        <v>430164</v>
      </c>
      <c r="X112" s="99">
        <f>SUM(X4:X111)</f>
        <v>390574967839.0553</v>
      </c>
      <c r="Y112" s="34"/>
    </row>
    <row r="113" spans="1:24" x14ac:dyDescent="0.25">
      <c r="A113" s="15"/>
      <c r="B113" s="15"/>
      <c r="C113" s="15"/>
    </row>
    <row r="114" spans="1:24" x14ac:dyDescent="0.25">
      <c r="A114" s="15"/>
      <c r="B114" s="28"/>
      <c r="C114" s="11"/>
      <c r="O114" s="25"/>
      <c r="X114" s="30"/>
    </row>
    <row r="115" spans="1:24" x14ac:dyDescent="0.25">
      <c r="A115" s="15"/>
      <c r="B115" s="12"/>
      <c r="C115" s="13"/>
      <c r="O115" s="26"/>
      <c r="P115" s="30"/>
    </row>
    <row r="116" spans="1:24" x14ac:dyDescent="0.25">
      <c r="A116" s="15"/>
      <c r="B116" s="12"/>
      <c r="C116" s="13"/>
      <c r="O116" s="26"/>
      <c r="P116" s="30"/>
    </row>
    <row r="117" spans="1:24" x14ac:dyDescent="0.25">
      <c r="A117" s="15"/>
      <c r="B117" s="12"/>
      <c r="C117" s="13"/>
      <c r="O117" s="26"/>
      <c r="P117" s="30"/>
    </row>
    <row r="118" spans="1:24" x14ac:dyDescent="0.25">
      <c r="A118" s="15"/>
      <c r="B118" s="12"/>
      <c r="C118" s="13"/>
      <c r="O118" s="26"/>
      <c r="P118" s="30"/>
    </row>
  </sheetData>
  <mergeCells count="1">
    <mergeCell ref="A1:X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December 2019</vt:lpstr>
      <vt:lpstr>'December 2019'!Print_Area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Isaac, Tunde</cp:lastModifiedBy>
  <cp:lastPrinted>2018-01-18T12:57:29Z</cp:lastPrinted>
  <dcterms:created xsi:type="dcterms:W3CDTF">2016-02-10T12:36:33Z</dcterms:created>
  <dcterms:modified xsi:type="dcterms:W3CDTF">2020-02-06T08:37:10Z</dcterms:modified>
</cp:coreProperties>
</file>