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Objects="non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Monthly NAVs\"/>
    </mc:Choice>
  </mc:AlternateContent>
  <bookViews>
    <workbookView xWindow="0" yWindow="0" windowWidth="15360" windowHeight="7755"/>
  </bookViews>
  <sheets>
    <sheet name="November 2019" sheetId="9" r:id="rId1"/>
  </sheets>
  <definedNames>
    <definedName name="_xlnm.Print_Area" localSheetId="0">'November 2019'!$A$1:$W$115</definedName>
  </definedNames>
  <calcPr calcId="162913"/>
</workbook>
</file>

<file path=xl/calcChain.xml><?xml version="1.0" encoding="utf-8"?>
<calcChain xmlns="http://schemas.openxmlformats.org/spreadsheetml/2006/main">
  <c r="Q48" i="9" l="1"/>
  <c r="O101" i="9"/>
  <c r="O78" i="9"/>
  <c r="O73" i="9"/>
  <c r="O52" i="9"/>
  <c r="O41" i="9"/>
  <c r="O17" i="9"/>
  <c r="S35" i="9" l="1"/>
  <c r="T35" i="9"/>
  <c r="R35" i="9"/>
  <c r="Q35" i="9"/>
  <c r="P4" i="9"/>
  <c r="P70" i="9"/>
  <c r="P40" i="9"/>
  <c r="P48" i="9"/>
  <c r="T40" i="9"/>
  <c r="S40" i="9"/>
  <c r="R40" i="9"/>
  <c r="Q40" i="9"/>
  <c r="P5" i="9"/>
  <c r="P6" i="9"/>
  <c r="T26" i="9"/>
  <c r="S26" i="9"/>
  <c r="R26" i="9"/>
  <c r="Q26" i="9"/>
  <c r="P26" i="9"/>
  <c r="T47" i="9" l="1"/>
  <c r="T48" i="9"/>
  <c r="X69" i="9" l="1"/>
  <c r="V69" i="9"/>
  <c r="U69" i="9"/>
  <c r="N69" i="9"/>
  <c r="M69" i="9"/>
  <c r="K69" i="9"/>
  <c r="J69" i="9"/>
  <c r="G69" i="9"/>
  <c r="F69" i="9"/>
  <c r="X50" i="9" l="1"/>
  <c r="V50" i="9"/>
  <c r="U50" i="9"/>
  <c r="O50" i="9"/>
  <c r="N50" i="9"/>
  <c r="M50" i="9"/>
  <c r="L50" i="9"/>
  <c r="K50" i="9"/>
  <c r="J50" i="9"/>
  <c r="G50" i="9"/>
  <c r="F50" i="9"/>
  <c r="V49" i="9"/>
  <c r="X49" i="9"/>
  <c r="U49" i="9"/>
  <c r="N49" i="9"/>
  <c r="M49" i="9"/>
  <c r="L49" i="9"/>
  <c r="K49" i="9"/>
  <c r="J49" i="9"/>
  <c r="I49" i="9"/>
  <c r="H49" i="9"/>
  <c r="G49" i="9"/>
  <c r="F49" i="9"/>
  <c r="Q16" i="9"/>
  <c r="R16" i="9"/>
  <c r="S66" i="9" l="1"/>
  <c r="Q4" i="9" l="1"/>
  <c r="R4" i="9"/>
  <c r="S4" i="9"/>
  <c r="T4" i="9"/>
  <c r="Q5" i="9"/>
  <c r="R5" i="9"/>
  <c r="S5" i="9"/>
  <c r="T5" i="9"/>
  <c r="Q6" i="9"/>
  <c r="R6" i="9"/>
  <c r="S6" i="9"/>
  <c r="T6" i="9"/>
  <c r="Q7" i="9"/>
  <c r="R7" i="9"/>
  <c r="S7" i="9"/>
  <c r="T7" i="9"/>
  <c r="Q8" i="9"/>
  <c r="R8" i="9"/>
  <c r="S8" i="9"/>
  <c r="T8" i="9"/>
  <c r="Q9" i="9"/>
  <c r="R9" i="9"/>
  <c r="S9" i="9"/>
  <c r="T9" i="9"/>
  <c r="Q10" i="9"/>
  <c r="R10" i="9"/>
  <c r="S10" i="9"/>
  <c r="T10" i="9"/>
  <c r="Q11" i="9"/>
  <c r="R11" i="9"/>
  <c r="S11" i="9"/>
  <c r="T11" i="9"/>
  <c r="Q12" i="9"/>
  <c r="R12" i="9"/>
  <c r="S12" i="9"/>
  <c r="T12" i="9"/>
  <c r="Q13" i="9"/>
  <c r="R13" i="9"/>
  <c r="S13" i="9"/>
  <c r="T13" i="9"/>
  <c r="Q14" i="9"/>
  <c r="R14" i="9"/>
  <c r="S14" i="9"/>
  <c r="T14" i="9"/>
  <c r="Q15" i="9"/>
  <c r="R15" i="9"/>
  <c r="S15" i="9"/>
  <c r="T15" i="9"/>
  <c r="S16" i="9"/>
  <c r="T16" i="9"/>
  <c r="Q19" i="9"/>
  <c r="R19" i="9"/>
  <c r="S19" i="9"/>
  <c r="T19" i="9"/>
  <c r="Q20" i="9"/>
  <c r="R20" i="9"/>
  <c r="S20" i="9"/>
  <c r="T20" i="9"/>
  <c r="Q21" i="9"/>
  <c r="R21" i="9"/>
  <c r="S21" i="9"/>
  <c r="T21" i="9"/>
  <c r="P22" i="9"/>
  <c r="Q22" i="9"/>
  <c r="R22" i="9"/>
  <c r="S22" i="9"/>
  <c r="T22" i="9"/>
  <c r="Q23" i="9"/>
  <c r="R23" i="9"/>
  <c r="S23" i="9"/>
  <c r="T23" i="9"/>
  <c r="Q24" i="9"/>
  <c r="R24" i="9"/>
  <c r="S24" i="9"/>
  <c r="T24" i="9"/>
  <c r="Q25" i="9"/>
  <c r="R25" i="9"/>
  <c r="S25" i="9"/>
  <c r="T25" i="9"/>
  <c r="Q27" i="9"/>
  <c r="R27" i="9"/>
  <c r="S27" i="9"/>
  <c r="T27" i="9"/>
  <c r="Q28" i="9"/>
  <c r="R28" i="9"/>
  <c r="S28" i="9"/>
  <c r="T28" i="9"/>
  <c r="Q29" i="9"/>
  <c r="R29" i="9"/>
  <c r="S29" i="9"/>
  <c r="T29" i="9"/>
  <c r="P30" i="9"/>
  <c r="Q30" i="9"/>
  <c r="R30" i="9"/>
  <c r="S30" i="9"/>
  <c r="T30" i="9"/>
  <c r="Q31" i="9"/>
  <c r="R31" i="9"/>
  <c r="S31" i="9"/>
  <c r="T31" i="9"/>
  <c r="Q32" i="9"/>
  <c r="R32" i="9"/>
  <c r="S32" i="9"/>
  <c r="T32" i="9"/>
  <c r="Q33" i="9"/>
  <c r="R33" i="9"/>
  <c r="S33" i="9"/>
  <c r="T33" i="9"/>
  <c r="P34" i="9"/>
  <c r="Q34" i="9"/>
  <c r="R34" i="9"/>
  <c r="S34" i="9"/>
  <c r="T34" i="9"/>
  <c r="Q36" i="9"/>
  <c r="R36" i="9"/>
  <c r="S36" i="9"/>
  <c r="T36" i="9"/>
  <c r="Q37" i="9"/>
  <c r="R37" i="9"/>
  <c r="S37" i="9"/>
  <c r="T37" i="9"/>
  <c r="P38" i="9"/>
  <c r="Q38" i="9"/>
  <c r="R38" i="9"/>
  <c r="S38" i="9"/>
  <c r="T38" i="9"/>
  <c r="Q39" i="9"/>
  <c r="R39" i="9"/>
  <c r="S39" i="9"/>
  <c r="T39" i="9"/>
  <c r="P19" i="9"/>
  <c r="Q43" i="9"/>
  <c r="R43" i="9"/>
  <c r="S43" i="9"/>
  <c r="T43" i="9"/>
  <c r="Q44" i="9"/>
  <c r="R44" i="9"/>
  <c r="S44" i="9"/>
  <c r="T44" i="9"/>
  <c r="Q45" i="9"/>
  <c r="R45" i="9"/>
  <c r="S45" i="9"/>
  <c r="T45" i="9"/>
  <c r="P46" i="9"/>
  <c r="Q46" i="9"/>
  <c r="R46" i="9"/>
  <c r="S46" i="9"/>
  <c r="T46" i="9"/>
  <c r="Q47" i="9"/>
  <c r="R47" i="9"/>
  <c r="S47" i="9"/>
  <c r="R48" i="9"/>
  <c r="S48" i="9"/>
  <c r="P49" i="9"/>
  <c r="Q49" i="9"/>
  <c r="R49" i="9"/>
  <c r="S49" i="9"/>
  <c r="T49" i="9"/>
  <c r="P50" i="9"/>
  <c r="Q50" i="9"/>
  <c r="R50" i="9"/>
  <c r="S50" i="9"/>
  <c r="T50" i="9"/>
  <c r="Q51" i="9"/>
  <c r="R51" i="9"/>
  <c r="S51" i="9"/>
  <c r="T51" i="9"/>
  <c r="P43" i="9"/>
  <c r="P54" i="9"/>
  <c r="Q54" i="9"/>
  <c r="R54" i="9"/>
  <c r="S54" i="9"/>
  <c r="T54" i="9"/>
  <c r="Q55" i="9"/>
  <c r="R55" i="9"/>
  <c r="S55" i="9"/>
  <c r="T55" i="9"/>
  <c r="Q56" i="9"/>
  <c r="R56" i="9"/>
  <c r="S56" i="9"/>
  <c r="T56" i="9"/>
  <c r="Q57" i="9"/>
  <c r="R57" i="9"/>
  <c r="S57" i="9"/>
  <c r="T57" i="9"/>
  <c r="P58" i="9"/>
  <c r="Q58" i="9"/>
  <c r="R58" i="9"/>
  <c r="S58" i="9"/>
  <c r="T58" i="9"/>
  <c r="Q59" i="9"/>
  <c r="R59" i="9"/>
  <c r="S59" i="9"/>
  <c r="T59" i="9"/>
  <c r="Q60" i="9"/>
  <c r="R60" i="9"/>
  <c r="S60" i="9"/>
  <c r="T60" i="9"/>
  <c r="Q61" i="9"/>
  <c r="R61" i="9"/>
  <c r="S61" i="9"/>
  <c r="T61" i="9"/>
  <c r="P62" i="9"/>
  <c r="Q62" i="9"/>
  <c r="R62" i="9"/>
  <c r="S62" i="9"/>
  <c r="T62" i="9"/>
  <c r="Q63" i="9"/>
  <c r="R63" i="9"/>
  <c r="S63" i="9"/>
  <c r="T63" i="9"/>
  <c r="Q64" i="9"/>
  <c r="R64" i="9"/>
  <c r="S64" i="9"/>
  <c r="T64" i="9"/>
  <c r="Q65" i="9"/>
  <c r="R65" i="9"/>
  <c r="S65" i="9"/>
  <c r="T65" i="9"/>
  <c r="P66" i="9"/>
  <c r="Q66" i="9"/>
  <c r="R66" i="9"/>
  <c r="T66" i="9"/>
  <c r="Q67" i="9"/>
  <c r="R67" i="9"/>
  <c r="S67" i="9"/>
  <c r="T67" i="9"/>
  <c r="Q68" i="9"/>
  <c r="R68" i="9"/>
  <c r="S68" i="9"/>
  <c r="T68" i="9"/>
  <c r="Q69" i="9"/>
  <c r="R69" i="9"/>
  <c r="S69" i="9"/>
  <c r="T69" i="9"/>
  <c r="Q70" i="9"/>
  <c r="R70" i="9"/>
  <c r="S70" i="9"/>
  <c r="T70" i="9"/>
  <c r="Q71" i="9"/>
  <c r="R71" i="9"/>
  <c r="S71" i="9"/>
  <c r="T71" i="9"/>
  <c r="Q72" i="9"/>
  <c r="R72" i="9"/>
  <c r="S72" i="9"/>
  <c r="T72" i="9"/>
  <c r="P55" i="9"/>
  <c r="S73" i="9"/>
  <c r="T73" i="9"/>
  <c r="R74" i="9"/>
  <c r="S74" i="9"/>
  <c r="T74" i="9"/>
  <c r="P75" i="9"/>
  <c r="Q75" i="9"/>
  <c r="R75" i="9"/>
  <c r="S75" i="9"/>
  <c r="T75" i="9"/>
  <c r="Q76" i="9"/>
  <c r="R76" i="9"/>
  <c r="S76" i="9"/>
  <c r="T76" i="9"/>
  <c r="Q77" i="9"/>
  <c r="R77" i="9"/>
  <c r="S77" i="9"/>
  <c r="T77" i="9"/>
  <c r="P76" i="9"/>
  <c r="S78" i="9"/>
  <c r="T78" i="9"/>
  <c r="Q80" i="9"/>
  <c r="R80" i="9"/>
  <c r="S80" i="9"/>
  <c r="T80" i="9"/>
  <c r="Q81" i="9"/>
  <c r="R81" i="9"/>
  <c r="S81" i="9"/>
  <c r="T81" i="9"/>
  <c r="Q82" i="9"/>
  <c r="R82" i="9"/>
  <c r="S82" i="9"/>
  <c r="T82" i="9"/>
  <c r="P83" i="9"/>
  <c r="Q83" i="9"/>
  <c r="R83" i="9"/>
  <c r="S83" i="9"/>
  <c r="T83" i="9"/>
  <c r="Q84" i="9"/>
  <c r="R84" i="9"/>
  <c r="S84" i="9"/>
  <c r="T84" i="9"/>
  <c r="Q85" i="9"/>
  <c r="R85" i="9"/>
  <c r="S85" i="9"/>
  <c r="T85" i="9"/>
  <c r="Q86" i="9"/>
  <c r="R86" i="9"/>
  <c r="S86" i="9"/>
  <c r="T86" i="9"/>
  <c r="P87" i="9"/>
  <c r="Q87" i="9"/>
  <c r="R87" i="9"/>
  <c r="S87" i="9"/>
  <c r="T87" i="9"/>
  <c r="Q88" i="9"/>
  <c r="R88" i="9"/>
  <c r="S88" i="9"/>
  <c r="T88" i="9"/>
  <c r="Q89" i="9"/>
  <c r="R89" i="9"/>
  <c r="S89" i="9"/>
  <c r="T89" i="9"/>
  <c r="Q90" i="9"/>
  <c r="R90" i="9"/>
  <c r="S90" i="9"/>
  <c r="T90" i="9"/>
  <c r="P91" i="9"/>
  <c r="Q91" i="9"/>
  <c r="R91" i="9"/>
  <c r="S91" i="9"/>
  <c r="T91" i="9"/>
  <c r="Q92" i="9"/>
  <c r="R92" i="9"/>
  <c r="S92" i="9"/>
  <c r="T92" i="9"/>
  <c r="Q93" i="9"/>
  <c r="R93" i="9"/>
  <c r="S93" i="9"/>
  <c r="T93" i="9"/>
  <c r="Q94" i="9"/>
  <c r="R94" i="9"/>
  <c r="S94" i="9"/>
  <c r="T94" i="9"/>
  <c r="P95" i="9"/>
  <c r="Q95" i="9"/>
  <c r="R95" i="9"/>
  <c r="S95" i="9"/>
  <c r="T95" i="9"/>
  <c r="Q96" i="9"/>
  <c r="R96" i="9"/>
  <c r="S96" i="9"/>
  <c r="T96" i="9"/>
  <c r="Q97" i="9"/>
  <c r="R97" i="9"/>
  <c r="S97" i="9"/>
  <c r="T97" i="9"/>
  <c r="Q98" i="9"/>
  <c r="R98" i="9"/>
  <c r="S98" i="9"/>
  <c r="T98" i="9"/>
  <c r="P99" i="9"/>
  <c r="Q99" i="9"/>
  <c r="R99" i="9"/>
  <c r="S99" i="9"/>
  <c r="T99" i="9"/>
  <c r="Q100" i="9"/>
  <c r="R100" i="9"/>
  <c r="S100" i="9"/>
  <c r="T100" i="9"/>
  <c r="P80" i="9"/>
  <c r="Q101" i="9"/>
  <c r="R101" i="9"/>
  <c r="S101" i="9"/>
  <c r="T101" i="9"/>
  <c r="Q103" i="9"/>
  <c r="R103" i="9"/>
  <c r="S103" i="9"/>
  <c r="T103" i="9"/>
  <c r="Q104" i="9"/>
  <c r="R104" i="9"/>
  <c r="S104" i="9"/>
  <c r="T104" i="9"/>
  <c r="Q105" i="9"/>
  <c r="R105" i="9"/>
  <c r="S105" i="9"/>
  <c r="T105" i="9"/>
  <c r="Q106" i="9"/>
  <c r="R106" i="9"/>
  <c r="S106" i="9"/>
  <c r="T106" i="9"/>
  <c r="Q107" i="9"/>
  <c r="R107" i="9"/>
  <c r="S107" i="9"/>
  <c r="T107" i="9"/>
  <c r="O108" i="9"/>
  <c r="P104" i="9" s="1"/>
  <c r="T108" i="9"/>
  <c r="P107" i="9" l="1"/>
  <c r="S108" i="9"/>
  <c r="P103" i="9"/>
  <c r="R108" i="9"/>
  <c r="P7" i="9"/>
  <c r="Q108" i="9"/>
  <c r="P106" i="9"/>
  <c r="P98" i="9"/>
  <c r="P94" i="9"/>
  <c r="P90" i="9"/>
  <c r="P86" i="9"/>
  <c r="P82" i="9"/>
  <c r="P69" i="9"/>
  <c r="P65" i="9"/>
  <c r="P61" i="9"/>
  <c r="P57" i="9"/>
  <c r="P45" i="9"/>
  <c r="P37" i="9"/>
  <c r="P33" i="9"/>
  <c r="P29" i="9"/>
  <c r="P25" i="9"/>
  <c r="P21" i="9"/>
  <c r="P14" i="9"/>
  <c r="P10" i="9"/>
  <c r="P15" i="9"/>
  <c r="P11" i="9"/>
  <c r="P105" i="9"/>
  <c r="P97" i="9"/>
  <c r="P93" i="9"/>
  <c r="P89" i="9"/>
  <c r="P85" i="9"/>
  <c r="P81" i="9"/>
  <c r="R78" i="9"/>
  <c r="P77" i="9"/>
  <c r="R73" i="9"/>
  <c r="P72" i="9"/>
  <c r="P68" i="9"/>
  <c r="P64" i="9"/>
  <c r="P60" i="9"/>
  <c r="P56" i="9"/>
  <c r="P44" i="9"/>
  <c r="P36" i="9"/>
  <c r="P32" i="9"/>
  <c r="P28" i="9"/>
  <c r="P24" i="9"/>
  <c r="P20" i="9"/>
  <c r="P13" i="9"/>
  <c r="P9" i="9"/>
  <c r="P100" i="9"/>
  <c r="P96" i="9"/>
  <c r="P92" i="9"/>
  <c r="P88" i="9"/>
  <c r="P84" i="9"/>
  <c r="Q78" i="9"/>
  <c r="Q73" i="9"/>
  <c r="P71" i="9"/>
  <c r="P67" i="9"/>
  <c r="P63" i="9"/>
  <c r="P59" i="9"/>
  <c r="P51" i="9"/>
  <c r="P47" i="9"/>
  <c r="P39" i="9"/>
  <c r="P35" i="9"/>
  <c r="P31" i="9"/>
  <c r="P27" i="9"/>
  <c r="P23" i="9"/>
  <c r="P16" i="9"/>
  <c r="P12" i="9"/>
  <c r="P8" i="9"/>
  <c r="X109" i="9"/>
  <c r="W109" i="9"/>
  <c r="V109" i="9"/>
  <c r="U109" i="9"/>
  <c r="N109" i="9"/>
  <c r="M109" i="9"/>
  <c r="L109" i="9"/>
  <c r="K109" i="9"/>
  <c r="J109" i="9"/>
  <c r="I109" i="9"/>
  <c r="H109" i="9"/>
  <c r="G109" i="9"/>
  <c r="F109" i="9"/>
  <c r="E109" i="9"/>
  <c r="D109" i="9"/>
  <c r="T109" i="9" l="1"/>
  <c r="O109" i="9" l="1"/>
  <c r="S109" i="9" l="1"/>
  <c r="P41" i="9"/>
  <c r="P52" i="9"/>
  <c r="P73" i="9"/>
  <c r="P78" i="9"/>
  <c r="P108" i="9"/>
  <c r="P101" i="9"/>
  <c r="Q109" i="9"/>
  <c r="R109" i="9"/>
</calcChain>
</file>

<file path=xl/sharedStrings.xml><?xml version="1.0" encoding="utf-8"?>
<sst xmlns="http://schemas.openxmlformats.org/spreadsheetml/2006/main" count="232" uniqueCount="161">
  <si>
    <t>EQUITY BASED FUNDS</t>
  </si>
  <si>
    <t>Stanbic IBTC Asset Mgt. Limited</t>
  </si>
  <si>
    <t>First City Asset Management Plc</t>
  </si>
  <si>
    <t>Legacy Equity Fund</t>
  </si>
  <si>
    <t>SCM Capital Limited</t>
  </si>
  <si>
    <t>Frontier Fund</t>
  </si>
  <si>
    <t>Chapel Hill Denham Mgt. Limited</t>
  </si>
  <si>
    <t>Paramount Equity Fund</t>
  </si>
  <si>
    <t>United Capital Asset Mgt. Ltd</t>
  </si>
  <si>
    <t>ARM Aggressive Growth Fund</t>
  </si>
  <si>
    <t>Stanbic IBTC Balanced Fund</t>
  </si>
  <si>
    <t>FBN Capital Asset Mgt</t>
  </si>
  <si>
    <t>Meristem Wealth Management Limited</t>
  </si>
  <si>
    <t>Meristem Equity Market Fund</t>
  </si>
  <si>
    <t>MONEY MARKET FUNDS</t>
  </si>
  <si>
    <t>Stanbic IBTC Money Market Fund</t>
  </si>
  <si>
    <t>FBN Money Market Fund</t>
  </si>
  <si>
    <t>AIICO Capital Ltd</t>
  </si>
  <si>
    <t>ARM Money Market Fund</t>
  </si>
  <si>
    <t>Meristem Money Market Fund</t>
  </si>
  <si>
    <t>BOND FUNDS</t>
  </si>
  <si>
    <t>Stanbic IBTC Bond Fund</t>
  </si>
  <si>
    <t>Nigeria International Debt Fund</t>
  </si>
  <si>
    <t>FBN Fixed Income Fund</t>
  </si>
  <si>
    <t>FIXED INCOME FUNDS</t>
  </si>
  <si>
    <t>FSDH Asset Management Ltd</t>
  </si>
  <si>
    <t>Coral Income Fund</t>
  </si>
  <si>
    <t>Investment One Funds Management Limited</t>
  </si>
  <si>
    <t>Vantage Guaranteed Income Fund</t>
  </si>
  <si>
    <t>Zenith Asset Management Ltd</t>
  </si>
  <si>
    <t>Stanbic IBTC Guaranteed Fund</t>
  </si>
  <si>
    <t>SFS Capital Nigeria Ltd</t>
  </si>
  <si>
    <t>SFS Fixed Income Fund</t>
  </si>
  <si>
    <t>REAL ESTATE FUNDS</t>
  </si>
  <si>
    <t>Union Homes REITS</t>
  </si>
  <si>
    <t>UPDC Real Estate Investment Fund</t>
  </si>
  <si>
    <t>MIXED FUNDS</t>
  </si>
  <si>
    <t>Women Investment Fund</t>
  </si>
  <si>
    <t>ARM Discovery Fund</t>
  </si>
  <si>
    <t>Zenith Equity Fund</t>
  </si>
  <si>
    <t>FBN Capital Asset Mgt. Limited</t>
  </si>
  <si>
    <t>Afrinvest Equity Fund</t>
  </si>
  <si>
    <t>Alternative Cap. Partners Ltd</t>
  </si>
  <si>
    <t>ACAP Canary Growth Fund</t>
  </si>
  <si>
    <t>Coral Growth Fund</t>
  </si>
  <si>
    <t>Nigeria Energy Sector Fund</t>
  </si>
  <si>
    <t>Vantage Balanced Fund</t>
  </si>
  <si>
    <t>PACAM Balanced Fund</t>
  </si>
  <si>
    <t>Zenith Ethical Fund</t>
  </si>
  <si>
    <t>Lotus Capital Limited</t>
  </si>
  <si>
    <t>Lotus Halal Inv. Fund</t>
  </si>
  <si>
    <t>Stanbic IBTC Ethical Fund</t>
  </si>
  <si>
    <t>ARM Ethical Fund</t>
  </si>
  <si>
    <t>S/NO</t>
  </si>
  <si>
    <t>TOTAL LIABILITIES (N)</t>
  </si>
  <si>
    <t xml:space="preserve">TOTAL VALUE OF INVESTMENT (N)               </t>
  </si>
  <si>
    <t>EQUITIES</t>
  </si>
  <si>
    <t>BONDS</t>
  </si>
  <si>
    <t>REAL ESTATE</t>
  </si>
  <si>
    <t>OTHERS</t>
  </si>
  <si>
    <t>MONEY MARKET</t>
  </si>
  <si>
    <t>Sub Total</t>
  </si>
  <si>
    <t>Grand Total</t>
  </si>
  <si>
    <t xml:space="preserve">ARM Investment Managers Limited </t>
  </si>
  <si>
    <t>FBN Nigeria Smart Beta Equity Fund</t>
  </si>
  <si>
    <t>PAC Asset Management Ltd.</t>
  </si>
  <si>
    <t>Afrinvest Asset Management Ltd.</t>
  </si>
  <si>
    <t>TOTAL EXPENSES (N)</t>
  </si>
  <si>
    <t>EXPENSE RATIO (%)</t>
  </si>
  <si>
    <t>% ON TOTAL</t>
  </si>
  <si>
    <t>ETHICAL FUNDS</t>
  </si>
  <si>
    <t>Stanbic IBTC Conservative Fund (Sub Fund)</t>
  </si>
  <si>
    <t>Stanbic IBTC Absolute Fund (Sub Fund)</t>
  </si>
  <si>
    <t>Stanbic IBTC Aggressive Fund (Sub Fund)</t>
  </si>
  <si>
    <t>Lotus Halal Fixed Income Fund</t>
  </si>
  <si>
    <t>Cordros Asset Management Limited</t>
  </si>
  <si>
    <t>Cordros Money Market Fund</t>
  </si>
  <si>
    <t>PACAM Fixed Income Fund</t>
  </si>
  <si>
    <t>AXA Mansard Investments Limited</t>
  </si>
  <si>
    <t>AXA Mansard Equity Income Fund</t>
  </si>
  <si>
    <t xml:space="preserve"> AXA Mansard Investments Limited </t>
  </si>
  <si>
    <t>PACAM Money Market Fund</t>
  </si>
  <si>
    <t>UNQUOTED EQUITIES</t>
  </si>
  <si>
    <t>Stanbic IBTC Imaan Fund</t>
  </si>
  <si>
    <t>Kedari Investment Fund</t>
  </si>
  <si>
    <t>Abacus Money Market Fund</t>
  </si>
  <si>
    <t>EDC Fund Management</t>
  </si>
  <si>
    <t>EDC Money Market ClassA</t>
  </si>
  <si>
    <t xml:space="preserve">Greenwich Asst Management Ltd </t>
  </si>
  <si>
    <t>Stanbic IBTC Dollar Fund</t>
  </si>
  <si>
    <t>EDC Nigeria Fixed Income Fund</t>
  </si>
  <si>
    <t>Lead Asset Mgt Ltd</t>
  </si>
  <si>
    <t xml:space="preserve">Lead Fixed Income Fund </t>
  </si>
  <si>
    <t>ACAP Income Fund(Fmrl BGL Nubian)</t>
  </si>
  <si>
    <t>Capital Express Assset &amp; Trust Limited</t>
  </si>
  <si>
    <t>Wealth For Women Fund</t>
  </si>
  <si>
    <t>Nigerian Eurobond Fund</t>
  </si>
  <si>
    <t>EDC Money Market Class B</t>
  </si>
  <si>
    <t>Chapel Hill Denham Money Market Fund(Frml NGIF)</t>
  </si>
  <si>
    <t>CEAT Fixed Income Fund(Frml BGL Sapphire)</t>
  </si>
  <si>
    <t>AIICO money market fund</t>
  </si>
  <si>
    <t>Coronation Asset Management Limited</t>
  </si>
  <si>
    <t>Coronation Money Market Fund</t>
  </si>
  <si>
    <t>Coronation Fixed Income Fund</t>
  </si>
  <si>
    <t>Greenwich Plus Money Market</t>
  </si>
  <si>
    <t>AIICO Balanced Fund</t>
  </si>
  <si>
    <t>Coronation Balanced Fund</t>
  </si>
  <si>
    <t>Zenith Money Market Fund</t>
  </si>
  <si>
    <t>Zenith Income Fund</t>
  </si>
  <si>
    <t>Cordros Milestone Fune 2023</t>
  </si>
  <si>
    <t>Cordros Milestone Fune 2028</t>
  </si>
  <si>
    <t>Afrinvest Plutus Fund</t>
  </si>
  <si>
    <t>Valualliance Asset Management Limited</t>
  </si>
  <si>
    <t>Valualliance Value Fund</t>
  </si>
  <si>
    <t>Nigeria Entertainment Fund</t>
  </si>
  <si>
    <t>United Capital Bond Fund</t>
  </si>
  <si>
    <t>United Capital Equity Fund</t>
  </si>
  <si>
    <t>United Capital Money Market Fund</t>
  </si>
  <si>
    <t>United Capital Balanced Fund</t>
  </si>
  <si>
    <t>Legacy USD Bond Fund</t>
  </si>
  <si>
    <t>Legacy Debt(formerly Short Maturity) Fund</t>
  </si>
  <si>
    <t xml:space="preserve">Growth and Development Asset Management Limited </t>
  </si>
  <si>
    <t>GDL Money Market Fund</t>
  </si>
  <si>
    <t>Stanbic IBTC Nigerian Equity Fund</t>
  </si>
  <si>
    <t>FBN Nigeria Eurobond (USD) Fund - Retail</t>
  </si>
  <si>
    <t>FBN Nigeria Eurobond (USD) Fund - Institutional</t>
  </si>
  <si>
    <t>Union Trustees Mixed Fund</t>
  </si>
  <si>
    <t>Vantage Dollar Fund</t>
  </si>
  <si>
    <t>Vantage Equity Income Fund</t>
  </si>
  <si>
    <t>Return on Equity (RoE)</t>
  </si>
  <si>
    <t>Net Asset Per Unit</t>
  </si>
  <si>
    <t>FUND MANAGER</t>
  </si>
  <si>
    <t>FUND</t>
  </si>
  <si>
    <t>NUMBER OF UNITS</t>
  </si>
  <si>
    <t>NUMBER OF UNIT HOLDERS</t>
  </si>
  <si>
    <t>AXA Mansard Money Market Fund</t>
  </si>
  <si>
    <t>NET ASSET VALUE  (N)</t>
  </si>
  <si>
    <t>Earnings Per Unit (EPU)</t>
  </si>
  <si>
    <t>BID PRICE (N)</t>
  </si>
  <si>
    <t>OFFER PRICE (N)</t>
  </si>
  <si>
    <t>GROSS ASSET VALUE (N)</t>
  </si>
  <si>
    <t>NET INCOME/LOSS</t>
  </si>
  <si>
    <t>Legacy Money Market Fund</t>
  </si>
  <si>
    <t>Pacam Equity Fund</t>
  </si>
  <si>
    <t>FBN Balanced Fund</t>
  </si>
  <si>
    <t>Pacam Eurobond Fund</t>
  </si>
  <si>
    <t>Stanbic IBTC Shariah Fixed Income Fund</t>
  </si>
  <si>
    <t>Vetiva Fund Managers Limited</t>
  </si>
  <si>
    <t>Vetiva Money Market Fund</t>
  </si>
  <si>
    <t>First Allay Asset Management Limited</t>
  </si>
  <si>
    <t>First Allay Asset Management Money Market Fund</t>
  </si>
  <si>
    <t>Global Asset Management Nig. Ltd</t>
  </si>
  <si>
    <t>Continental Unit Trust Fund (Inactive)</t>
  </si>
  <si>
    <t>FSDH Treasury Bill Fund</t>
  </si>
  <si>
    <t>40a</t>
  </si>
  <si>
    <t>40b</t>
  </si>
  <si>
    <t xml:space="preserve"> </t>
  </si>
  <si>
    <t xml:space="preserve">Lead Balanced Fund </t>
  </si>
  <si>
    <t>SFS Real Estate Investment Trust Fund</t>
  </si>
  <si>
    <t>101,56</t>
  </si>
  <si>
    <t>SCHEDULE OF REGISTERED UNIT TRUST SCHEMES AS AT 30TH NOVEMBER,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</si>
</sst>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rebuchet MS"/>
      <family val="2"/>
    </font>
    <font>
      <b/>
      <sz val="8"/>
      <color theme="1"/>
      <name val="Trebuchet MS"/>
      <family val="2"/>
    </font>
    <font>
      <sz val="8"/>
      <color theme="1"/>
      <name val="Trebuchet MS"/>
      <family val="2"/>
    </font>
    <font>
      <b/>
      <sz val="26"/>
      <color rgb="FFFF0000"/>
      <name val="Trebuchet MS"/>
      <family val="2"/>
    </font>
    <font>
      <i/>
      <sz val="8"/>
      <color theme="1"/>
      <name val="Arial Narrow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rgb="FFFF0000"/>
      <name val="Trebuchet MS"/>
      <family val="2"/>
    </font>
    <font>
      <b/>
      <sz val="8"/>
      <name val="Trebuchet MS"/>
      <family val="2"/>
    </font>
    <font>
      <b/>
      <sz val="8"/>
      <color rgb="FFFF0000"/>
      <name val="Trebuchet MS"/>
      <family val="2"/>
    </font>
    <font>
      <b/>
      <sz val="10"/>
      <name val="Trebuchet MS"/>
      <family val="2"/>
    </font>
    <font>
      <b/>
      <sz val="10"/>
      <color theme="1"/>
      <name val="Trebuchet MS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7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26">
    <xf numFmtId="0" fontId="0" fillId="0" borderId="0" xfId="0"/>
    <xf numFmtId="43" fontId="4" fillId="0" borderId="1" xfId="1" applyFont="1" applyBorder="1"/>
    <xf numFmtId="43" fontId="4" fillId="3" borderId="1" xfId="1" applyFont="1" applyFill="1" applyBorder="1"/>
    <xf numFmtId="43" fontId="4" fillId="5" borderId="1" xfId="1" applyFont="1" applyFill="1" applyBorder="1"/>
    <xf numFmtId="43" fontId="2" fillId="0" borderId="1" xfId="1" applyFont="1" applyBorder="1"/>
    <xf numFmtId="43" fontId="2" fillId="3" borderId="1" xfId="1" applyFont="1" applyFill="1" applyBorder="1"/>
    <xf numFmtId="43" fontId="4" fillId="0" borderId="1" xfId="1" applyFont="1" applyBorder="1" applyAlignment="1">
      <alignment wrapText="1"/>
    </xf>
    <xf numFmtId="43" fontId="3" fillId="5" borderId="1" xfId="1" applyFont="1" applyFill="1" applyBorder="1"/>
    <xf numFmtId="43" fontId="3" fillId="0" borderId="1" xfId="1" applyFont="1" applyBorder="1"/>
    <xf numFmtId="165" fontId="3" fillId="0" borderId="2" xfId="1" applyNumberFormat="1" applyFont="1" applyBorder="1" applyAlignment="1">
      <alignment horizontal="center"/>
    </xf>
    <xf numFmtId="10" fontId="4" fillId="7" borderId="1" xfId="2" applyNumberFormat="1" applyFont="1" applyFill="1" applyBorder="1"/>
    <xf numFmtId="10" fontId="3" fillId="7" borderId="1" xfId="2" applyNumberFormat="1" applyFont="1" applyFill="1" applyBorder="1"/>
    <xf numFmtId="0" fontId="6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Border="1"/>
    <xf numFmtId="10" fontId="4" fillId="4" borderId="1" xfId="2" applyNumberFormat="1" applyFont="1" applyFill="1" applyBorder="1" applyAlignment="1">
      <alignment horizontal="right" vertical="center"/>
    </xf>
    <xf numFmtId="0" fontId="8" fillId="0" borderId="0" xfId="0" applyFont="1"/>
    <xf numFmtId="43" fontId="4" fillId="0" borderId="1" xfId="1" applyFont="1" applyFill="1" applyBorder="1"/>
    <xf numFmtId="165" fontId="3" fillId="6" borderId="7" xfId="1" applyNumberFormat="1" applyFont="1" applyFill="1" applyBorder="1" applyAlignment="1">
      <alignment horizontal="center" wrapText="1"/>
    </xf>
    <xf numFmtId="43" fontId="3" fillId="6" borderId="4" xfId="1" applyFont="1" applyFill="1" applyBorder="1" applyAlignment="1">
      <alignment wrapText="1"/>
    </xf>
    <xf numFmtId="43" fontId="3" fillId="6" borderId="4" xfId="1" applyFont="1" applyFill="1" applyBorder="1"/>
    <xf numFmtId="43" fontId="3" fillId="5" borderId="4" xfId="1" applyFont="1" applyFill="1" applyBorder="1"/>
    <xf numFmtId="10" fontId="3" fillId="7" borderId="4" xfId="2" applyNumberFormat="1" applyFont="1" applyFill="1" applyBorder="1"/>
    <xf numFmtId="10" fontId="4" fillId="4" borderId="4" xfId="2" applyNumberFormat="1" applyFont="1" applyFill="1" applyBorder="1" applyAlignment="1">
      <alignment horizontal="right" vertical="center"/>
    </xf>
    <xf numFmtId="0" fontId="0" fillId="2" borderId="0" xfId="0" applyFill="1" applyBorder="1"/>
    <xf numFmtId="43" fontId="4" fillId="2" borderId="0" xfId="1" applyFont="1" applyFill="1" applyBorder="1"/>
    <xf numFmtId="43" fontId="0" fillId="2" borderId="0" xfId="0" applyNumberFormat="1" applyFill="1" applyBorder="1"/>
    <xf numFmtId="4" fontId="0" fillId="0" borderId="0" xfId="0" applyNumberFormat="1"/>
    <xf numFmtId="4" fontId="4" fillId="0" borderId="1" xfId="0" applyNumberFormat="1" applyFont="1" applyBorder="1"/>
    <xf numFmtId="10" fontId="2" fillId="7" borderId="1" xfId="2" applyNumberFormat="1" applyFont="1" applyFill="1" applyBorder="1"/>
    <xf numFmtId="43" fontId="2" fillId="5" borderId="1" xfId="1" applyFont="1" applyFill="1" applyBorder="1"/>
    <xf numFmtId="0" fontId="4" fillId="0" borderId="1" xfId="0" applyFont="1" applyBorder="1"/>
    <xf numFmtId="43" fontId="4" fillId="0" borderId="0" xfId="1" applyFont="1" applyBorder="1"/>
    <xf numFmtId="2" fontId="4" fillId="0" borderId="1" xfId="0" applyNumberFormat="1" applyFont="1" applyBorder="1"/>
    <xf numFmtId="165" fontId="4" fillId="0" borderId="2" xfId="1" applyNumberFormat="1" applyFont="1" applyBorder="1" applyAlignment="1">
      <alignment horizontal="center" wrapText="1"/>
    </xf>
    <xf numFmtId="43" fontId="0" fillId="0" borderId="0" xfId="1" applyFont="1"/>
    <xf numFmtId="43" fontId="0" fillId="0" borderId="0" xfId="0" applyNumberFormat="1"/>
    <xf numFmtId="43" fontId="3" fillId="0" borderId="0" xfId="1" applyFont="1" applyBorder="1"/>
    <xf numFmtId="0" fontId="11" fillId="0" borderId="0" xfId="0" applyFont="1" applyBorder="1"/>
    <xf numFmtId="43" fontId="2" fillId="0" borderId="1" xfId="1" applyFont="1" applyBorder="1" applyAlignment="1">
      <alignment wrapText="1"/>
    </xf>
    <xf numFmtId="4" fontId="12" fillId="0" borderId="0" xfId="0" applyNumberFormat="1" applyFont="1"/>
    <xf numFmtId="0" fontId="12" fillId="0" borderId="0" xfId="0" applyFont="1"/>
    <xf numFmtId="164" fontId="0" fillId="0" borderId="0" xfId="0" applyNumberFormat="1"/>
    <xf numFmtId="10" fontId="2" fillId="4" borderId="1" xfId="2" applyNumberFormat="1" applyFont="1" applyFill="1" applyBorder="1" applyAlignment="1">
      <alignment horizontal="right" vertical="center"/>
    </xf>
    <xf numFmtId="0" fontId="13" fillId="0" borderId="0" xfId="0" applyFont="1"/>
    <xf numFmtId="0" fontId="0" fillId="0" borderId="10" xfId="0" applyBorder="1"/>
    <xf numFmtId="43" fontId="4" fillId="0" borderId="11" xfId="1" applyFont="1" applyFill="1" applyBorder="1"/>
    <xf numFmtId="4" fontId="12" fillId="0" borderId="12" xfId="0" applyNumberFormat="1" applyFont="1" applyBorder="1"/>
    <xf numFmtId="4" fontId="12" fillId="0" borderId="13" xfId="0" applyNumberFormat="1" applyFont="1" applyBorder="1"/>
    <xf numFmtId="4" fontId="12" fillId="0" borderId="1" xfId="0" applyNumberFormat="1" applyFont="1" applyBorder="1"/>
    <xf numFmtId="0" fontId="0" fillId="0" borderId="0" xfId="0" applyBorder="1"/>
    <xf numFmtId="4" fontId="12" fillId="0" borderId="16" xfId="0" applyNumberFormat="1" applyFont="1" applyBorder="1"/>
    <xf numFmtId="43" fontId="4" fillId="0" borderId="3" xfId="1" applyFont="1" applyBorder="1"/>
    <xf numFmtId="43" fontId="4" fillId="3" borderId="3" xfId="1" applyFont="1" applyFill="1" applyBorder="1"/>
    <xf numFmtId="43" fontId="4" fillId="0" borderId="3" xfId="1" quotePrefix="1" applyFont="1" applyBorder="1" applyAlignment="1">
      <alignment horizontal="center" wrapText="1"/>
    </xf>
    <xf numFmtId="43" fontId="2" fillId="0" borderId="3" xfId="1" applyFont="1" applyBorder="1"/>
    <xf numFmtId="3" fontId="12" fillId="0" borderId="16" xfId="0" applyNumberFormat="1" applyFont="1" applyBorder="1"/>
    <xf numFmtId="43" fontId="4" fillId="0" borderId="3" xfId="1" applyFont="1" applyBorder="1" applyAlignment="1">
      <alignment wrapText="1"/>
    </xf>
    <xf numFmtId="43" fontId="3" fillId="6" borderId="17" xfId="1" applyFont="1" applyFill="1" applyBorder="1"/>
    <xf numFmtId="43" fontId="4" fillId="2" borderId="1" xfId="1" applyFont="1" applyFill="1" applyBorder="1"/>
    <xf numFmtId="43" fontId="4" fillId="4" borderId="1" xfId="1" applyFont="1" applyFill="1" applyBorder="1" applyAlignment="1">
      <alignment horizontal="right" vertical="center"/>
    </xf>
    <xf numFmtId="4" fontId="4" fillId="5" borderId="1" xfId="0" applyNumberFormat="1" applyFont="1" applyFill="1" applyBorder="1"/>
    <xf numFmtId="0" fontId="17" fillId="4" borderId="5" xfId="0" applyFont="1" applyFill="1" applyBorder="1" applyAlignment="1">
      <alignment horizontal="center" vertical="top" wrapText="1"/>
    </xf>
    <xf numFmtId="0" fontId="17" fillId="4" borderId="6" xfId="0" applyFont="1" applyFill="1" applyBorder="1" applyAlignment="1">
      <alignment horizontal="center" vertical="top" wrapText="1"/>
    </xf>
    <xf numFmtId="0" fontId="17" fillId="4" borderId="15" xfId="0" applyFont="1" applyFill="1" applyBorder="1" applyAlignment="1">
      <alignment horizontal="center" vertical="top" wrapText="1"/>
    </xf>
    <xf numFmtId="10" fontId="16" fillId="7" borderId="1" xfId="2" applyNumberFormat="1" applyFont="1" applyFill="1" applyBorder="1"/>
    <xf numFmtId="165" fontId="4" fillId="0" borderId="1" xfId="1" applyNumberFormat="1" applyFont="1" applyBorder="1"/>
    <xf numFmtId="165" fontId="4" fillId="0" borderId="1" xfId="0" applyNumberFormat="1" applyFont="1" applyBorder="1"/>
    <xf numFmtId="165" fontId="4" fillId="0" borderId="1" xfId="1" quotePrefix="1" applyNumberFormat="1" applyFont="1" applyBorder="1" applyAlignment="1">
      <alignment horizontal="center" wrapText="1"/>
    </xf>
    <xf numFmtId="165" fontId="2" fillId="0" borderId="1" xfId="1" applyNumberFormat="1" applyFont="1" applyBorder="1"/>
    <xf numFmtId="165" fontId="12" fillId="0" borderId="0" xfId="0" applyNumberFormat="1" applyFont="1"/>
    <xf numFmtId="0" fontId="18" fillId="3" borderId="18" xfId="0" applyFont="1" applyFill="1" applyBorder="1" applyAlignment="1">
      <alignment vertical="top" wrapText="1"/>
    </xf>
    <xf numFmtId="0" fontId="18" fillId="3" borderId="12" xfId="0" applyFont="1" applyFill="1" applyBorder="1" applyAlignment="1">
      <alignment vertical="top" wrapText="1"/>
    </xf>
    <xf numFmtId="0" fontId="18" fillId="3" borderId="19" xfId="0" applyFont="1" applyFill="1" applyBorder="1" applyAlignment="1">
      <alignment vertical="top" wrapText="1"/>
    </xf>
    <xf numFmtId="4" fontId="12" fillId="8" borderId="0" xfId="0" applyNumberFormat="1" applyFont="1" applyFill="1"/>
    <xf numFmtId="43" fontId="4" fillId="8" borderId="1" xfId="1" applyFont="1" applyFill="1" applyBorder="1"/>
    <xf numFmtId="4" fontId="4" fillId="8" borderId="1" xfId="0" applyNumberFormat="1" applyFont="1" applyFill="1" applyBorder="1"/>
    <xf numFmtId="43" fontId="2" fillId="8" borderId="1" xfId="1" applyFont="1" applyFill="1" applyBorder="1"/>
    <xf numFmtId="4" fontId="12" fillId="8" borderId="1" xfId="0" applyNumberFormat="1" applyFont="1" applyFill="1" applyBorder="1"/>
    <xf numFmtId="165" fontId="2" fillId="0" borderId="2" xfId="1" applyNumberFormat="1" applyFont="1" applyBorder="1" applyAlignment="1">
      <alignment horizontal="center" wrapText="1"/>
    </xf>
    <xf numFmtId="0" fontId="4" fillId="0" borderId="0" xfId="0" applyFont="1"/>
    <xf numFmtId="165" fontId="4" fillId="0" borderId="1" xfId="1" applyNumberFormat="1" applyFont="1" applyBorder="1" applyAlignment="1">
      <alignment horizontal="center" wrapText="1"/>
    </xf>
    <xf numFmtId="43" fontId="14" fillId="2" borderId="1" xfId="1" applyFont="1" applyFill="1" applyBorder="1" applyAlignment="1">
      <alignment vertical="center" wrapText="1"/>
    </xf>
    <xf numFmtId="43" fontId="14" fillId="2" borderId="1" xfId="1" applyFont="1" applyFill="1" applyBorder="1"/>
    <xf numFmtId="165" fontId="14" fillId="2" borderId="1" xfId="1" applyNumberFormat="1" applyFont="1" applyFill="1" applyBorder="1"/>
    <xf numFmtId="43" fontId="4" fillId="0" borderId="1" xfId="1" applyFont="1" applyBorder="1" applyAlignment="1">
      <alignment vertical="center" wrapText="1"/>
    </xf>
    <xf numFmtId="43" fontId="4" fillId="0" borderId="1" xfId="1" applyFont="1" applyBorder="1" applyAlignment="1">
      <alignment vertical="top" wrapText="1"/>
    </xf>
    <xf numFmtId="165" fontId="4" fillId="3" borderId="2" xfId="1" applyNumberFormat="1" applyFont="1" applyFill="1" applyBorder="1" applyAlignment="1">
      <alignment horizontal="center" wrapText="1"/>
    </xf>
    <xf numFmtId="43" fontId="4" fillId="3" borderId="1" xfId="1" applyFont="1" applyFill="1" applyBorder="1" applyAlignment="1">
      <alignment wrapText="1"/>
    </xf>
    <xf numFmtId="165" fontId="4" fillId="3" borderId="2" xfId="1" applyNumberFormat="1" applyFont="1" applyFill="1" applyBorder="1"/>
    <xf numFmtId="43" fontId="2" fillId="2" borderId="1" xfId="1" applyFont="1" applyFill="1" applyBorder="1" applyAlignment="1">
      <alignment wrapText="1"/>
    </xf>
    <xf numFmtId="43" fontId="2" fillId="0" borderId="1" xfId="1" applyFont="1" applyBorder="1" applyAlignment="1">
      <alignment horizontal="right"/>
    </xf>
    <xf numFmtId="0" fontId="17" fillId="3" borderId="1" xfId="0" applyFont="1" applyFill="1" applyBorder="1" applyAlignment="1">
      <alignment horizontal="left" vertical="top" wrapText="1"/>
    </xf>
    <xf numFmtId="0" fontId="17" fillId="3" borderId="18" xfId="0" applyFont="1" applyFill="1" applyBorder="1" applyAlignment="1">
      <alignment horizontal="left" vertical="top" wrapText="1"/>
    </xf>
    <xf numFmtId="43" fontId="2" fillId="2" borderId="1" xfId="1" applyFont="1" applyFill="1" applyBorder="1"/>
    <xf numFmtId="43" fontId="2" fillId="2" borderId="1" xfId="1" applyFont="1" applyFill="1" applyBorder="1" applyAlignment="1">
      <alignment vertical="top" wrapText="1"/>
    </xf>
    <xf numFmtId="43" fontId="15" fillId="0" borderId="1" xfId="1" applyFont="1" applyBorder="1" applyAlignment="1">
      <alignment horizontal="right"/>
    </xf>
    <xf numFmtId="43" fontId="15" fillId="6" borderId="4" xfId="1" applyFont="1" applyFill="1" applyBorder="1" applyAlignment="1">
      <alignment horizontal="right"/>
    </xf>
    <xf numFmtId="43" fontId="2" fillId="0" borderId="1" xfId="1" applyFont="1" applyBorder="1" applyAlignment="1">
      <alignment vertical="center" wrapText="1"/>
    </xf>
    <xf numFmtId="165" fontId="4" fillId="0" borderId="2" xfId="1" applyNumberFormat="1" applyFont="1" applyBorder="1" applyAlignment="1">
      <alignment horizontal="right" wrapText="1"/>
    </xf>
    <xf numFmtId="0" fontId="0" fillId="3" borderId="0" xfId="0" applyFill="1"/>
    <xf numFmtId="43" fontId="4" fillId="0" borderId="3" xfId="1" applyFont="1" applyBorder="1" applyAlignment="1">
      <alignment horizontal="right"/>
    </xf>
    <xf numFmtId="0" fontId="12" fillId="3" borderId="0" xfId="0" applyFont="1" applyFill="1"/>
    <xf numFmtId="0" fontId="4" fillId="3" borderId="12" xfId="0" applyFont="1" applyFill="1" applyBorder="1" applyAlignment="1">
      <alignment vertical="top" wrapText="1"/>
    </xf>
    <xf numFmtId="0" fontId="3" fillId="3" borderId="12" xfId="0" applyFont="1" applyFill="1" applyBorder="1" applyAlignment="1">
      <alignment vertical="top" wrapText="1"/>
    </xf>
    <xf numFmtId="0" fontId="3" fillId="3" borderId="14" xfId="0" applyFont="1" applyFill="1" applyBorder="1" applyAlignment="1">
      <alignment vertical="top" wrapText="1"/>
    </xf>
    <xf numFmtId="164" fontId="12" fillId="0" borderId="0" xfId="0" applyNumberFormat="1" applyFont="1"/>
    <xf numFmtId="165" fontId="12" fillId="0" borderId="0" xfId="1" applyNumberFormat="1" applyFont="1"/>
    <xf numFmtId="43" fontId="4" fillId="0" borderId="1" xfId="1" applyNumberFormat="1" applyFont="1" applyBorder="1"/>
    <xf numFmtId="4" fontId="4" fillId="0" borderId="0" xfId="0" applyNumberFormat="1" applyFont="1"/>
    <xf numFmtId="165" fontId="4" fillId="2" borderId="2" xfId="1" applyNumberFormat="1" applyFont="1" applyFill="1" applyBorder="1" applyAlignment="1">
      <alignment horizontal="center" wrapText="1"/>
    </xf>
    <xf numFmtId="165" fontId="4" fillId="2" borderId="1" xfId="1" applyNumberFormat="1" applyFont="1" applyFill="1" applyBorder="1"/>
    <xf numFmtId="43" fontId="4" fillId="2" borderId="3" xfId="1" applyFont="1" applyFill="1" applyBorder="1" applyAlignment="1">
      <alignment horizontal="right"/>
    </xf>
    <xf numFmtId="0" fontId="0" fillId="2" borderId="0" xfId="0" applyFill="1"/>
    <xf numFmtId="165" fontId="4" fillId="2" borderId="2" xfId="1" applyNumberFormat="1" applyFont="1" applyFill="1" applyBorder="1" applyAlignment="1">
      <alignment horizontal="right" wrapText="1"/>
    </xf>
    <xf numFmtId="43" fontId="4" fillId="2" borderId="3" xfId="1" applyFont="1" applyFill="1" applyBorder="1"/>
    <xf numFmtId="43" fontId="4" fillId="2" borderId="1" xfId="1" applyFont="1" applyFill="1" applyBorder="1" applyAlignment="1">
      <alignment wrapText="1"/>
    </xf>
    <xf numFmtId="43" fontId="2" fillId="4" borderId="1" xfId="1" applyFont="1" applyFill="1" applyBorder="1" applyAlignment="1">
      <alignment horizontal="right" vertical="center"/>
    </xf>
    <xf numFmtId="43" fontId="2" fillId="2" borderId="0" xfId="1" applyFont="1" applyFill="1" applyBorder="1"/>
    <xf numFmtId="0" fontId="13" fillId="2" borderId="0" xfId="0" applyFont="1" applyFill="1" applyBorder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5" fontId="4" fillId="0" borderId="2" xfId="1" applyNumberFormat="1" applyFont="1" applyBorder="1" applyAlignment="1">
      <alignment horizontal="center"/>
    </xf>
    <xf numFmtId="10" fontId="4" fillId="2" borderId="1" xfId="2" applyNumberFormat="1" applyFont="1" applyFill="1" applyBorder="1"/>
    <xf numFmtId="10" fontId="4" fillId="2" borderId="1" xfId="2" applyNumberFormat="1" applyFont="1" applyFill="1" applyBorder="1" applyAlignment="1">
      <alignment horizontal="right" vertical="center"/>
    </xf>
    <xf numFmtId="43" fontId="4" fillId="2" borderId="1" xfId="1" applyFont="1" applyFill="1" applyBorder="1" applyAlignment="1">
      <alignment horizontal="right" vertical="center"/>
    </xf>
  </cellXfs>
  <cellStyles count="17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5"/>
  <sheetViews>
    <sheetView tabSelected="1" zoomScale="120" zoomScaleNormal="120" workbookViewId="0">
      <pane ySplit="2" topLeftCell="A99" activePane="bottomLeft" state="frozen"/>
      <selection pane="bottomLeft" activeCell="A106" sqref="A106"/>
    </sheetView>
  </sheetViews>
  <sheetFormatPr defaultColWidth="8.85546875" defaultRowHeight="15" x14ac:dyDescent="0.25"/>
  <cols>
    <col min="1" max="1" width="6.5703125" customWidth="1"/>
    <col min="2" max="2" width="41.140625" customWidth="1"/>
    <col min="3" max="3" width="37.85546875" customWidth="1"/>
    <col min="4" max="4" width="18.85546875" customWidth="1"/>
    <col min="5" max="5" width="16.85546875" customWidth="1"/>
    <col min="6" max="6" width="18.85546875" customWidth="1"/>
    <col min="7" max="7" width="18.42578125" customWidth="1"/>
    <col min="8" max="8" width="18.5703125" customWidth="1"/>
    <col min="9" max="9" width="18" customWidth="1"/>
    <col min="10" max="10" width="19.28515625" customWidth="1"/>
    <col min="11" max="11" width="20.28515625" customWidth="1"/>
    <col min="12" max="12" width="18.140625" customWidth="1"/>
    <col min="13" max="13" width="19.5703125" customWidth="1"/>
    <col min="14" max="14" width="18.140625" customWidth="1"/>
    <col min="15" max="15" width="20.140625" customWidth="1"/>
    <col min="16" max="16" width="10.5703125" customWidth="1"/>
    <col min="17" max="17" width="11" customWidth="1"/>
    <col min="18" max="18" width="12.140625" customWidth="1"/>
    <col min="19" max="19" width="11.85546875" customWidth="1"/>
    <col min="20" max="20" width="11" customWidth="1"/>
    <col min="21" max="21" width="13.5703125" customWidth="1"/>
    <col min="22" max="22" width="12.42578125" customWidth="1"/>
    <col min="23" max="23" width="17" customWidth="1"/>
    <col min="24" max="24" width="18.42578125" customWidth="1"/>
    <col min="25" max="25" width="18.140625" customWidth="1"/>
    <col min="26" max="26" width="18.5703125" customWidth="1"/>
  </cols>
  <sheetData>
    <row r="1" spans="1:25" ht="34.5" thickBot="1" x14ac:dyDescent="0.55000000000000004">
      <c r="A1" s="120" t="s">
        <v>160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</row>
    <row r="2" spans="1:25" ht="54" customHeight="1" x14ac:dyDescent="0.25">
      <c r="A2" s="62" t="s">
        <v>53</v>
      </c>
      <c r="B2" s="63" t="s">
        <v>131</v>
      </c>
      <c r="C2" s="63" t="s">
        <v>132</v>
      </c>
      <c r="D2" s="63" t="s">
        <v>56</v>
      </c>
      <c r="E2" s="63" t="s">
        <v>82</v>
      </c>
      <c r="F2" s="63" t="s">
        <v>60</v>
      </c>
      <c r="G2" s="63" t="s">
        <v>57</v>
      </c>
      <c r="H2" s="63" t="s">
        <v>58</v>
      </c>
      <c r="I2" s="63" t="s">
        <v>59</v>
      </c>
      <c r="J2" s="63" t="s">
        <v>55</v>
      </c>
      <c r="K2" s="63" t="s">
        <v>67</v>
      </c>
      <c r="L2" s="63" t="s">
        <v>141</v>
      </c>
      <c r="M2" s="63" t="s">
        <v>140</v>
      </c>
      <c r="N2" s="63" t="s">
        <v>54</v>
      </c>
      <c r="O2" s="63" t="s">
        <v>136</v>
      </c>
      <c r="P2" s="63" t="s">
        <v>69</v>
      </c>
      <c r="Q2" s="63" t="s">
        <v>68</v>
      </c>
      <c r="R2" s="63" t="s">
        <v>129</v>
      </c>
      <c r="S2" s="63" t="s">
        <v>130</v>
      </c>
      <c r="T2" s="63" t="s">
        <v>137</v>
      </c>
      <c r="U2" s="63" t="s">
        <v>138</v>
      </c>
      <c r="V2" s="63" t="s">
        <v>139</v>
      </c>
      <c r="W2" s="63" t="s">
        <v>134</v>
      </c>
      <c r="X2" s="64" t="s">
        <v>133</v>
      </c>
      <c r="Y2" s="45"/>
    </row>
    <row r="3" spans="1:25" ht="18" customHeight="1" x14ac:dyDescent="0.25">
      <c r="A3" s="100"/>
      <c r="B3" s="72"/>
      <c r="C3" s="71" t="s">
        <v>0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3"/>
    </row>
    <row r="4" spans="1:25" ht="15.75" x14ac:dyDescent="0.3">
      <c r="A4" s="34">
        <v>1</v>
      </c>
      <c r="B4" s="6" t="s">
        <v>1</v>
      </c>
      <c r="C4" s="39" t="s">
        <v>123</v>
      </c>
      <c r="D4" s="1">
        <v>2875686660.5500002</v>
      </c>
      <c r="E4" s="1"/>
      <c r="F4" s="1">
        <v>1147469502.77</v>
      </c>
      <c r="G4" s="1">
        <v>725710751.14999998</v>
      </c>
      <c r="H4" s="1">
        <v>0</v>
      </c>
      <c r="I4" s="1">
        <v>0</v>
      </c>
      <c r="J4" s="40">
        <v>4762908559.4499998</v>
      </c>
      <c r="K4" s="40">
        <v>17422618.219999999</v>
      </c>
      <c r="L4" s="74">
        <v>80156271.489999995</v>
      </c>
      <c r="M4" s="40">
        <v>4763114358.25</v>
      </c>
      <c r="N4" s="40">
        <v>-45260358.479999997</v>
      </c>
      <c r="O4" s="3">
        <v>4717853999.7700005</v>
      </c>
      <c r="P4" s="10">
        <f>(O4/$O$17)</f>
        <v>0.44520764039633487</v>
      </c>
      <c r="Q4" s="15">
        <f t="shared" ref="Q4:Q14" si="0">(K4/O4)</f>
        <v>3.6929116968963784E-3</v>
      </c>
      <c r="R4" s="15">
        <f>L4/O4</f>
        <v>1.6989985593854257E-2</v>
      </c>
      <c r="S4" s="60">
        <f>O4/X4</f>
        <v>7616.6927809405915</v>
      </c>
      <c r="T4" s="60">
        <f>L4/X4</f>
        <v>129.40750062099437</v>
      </c>
      <c r="U4" s="1">
        <v>7569.11</v>
      </c>
      <c r="V4" s="1">
        <v>7650.35</v>
      </c>
      <c r="W4" s="66">
        <v>17225</v>
      </c>
      <c r="X4" s="51">
        <v>619409.78</v>
      </c>
      <c r="Y4" s="32"/>
    </row>
    <row r="5" spans="1:25" ht="15.75" x14ac:dyDescent="0.3">
      <c r="A5" s="34">
        <v>2</v>
      </c>
      <c r="B5" s="1" t="s">
        <v>2</v>
      </c>
      <c r="C5" s="39" t="s">
        <v>3</v>
      </c>
      <c r="D5" s="1">
        <v>366679017.19999999</v>
      </c>
      <c r="E5" s="1"/>
      <c r="F5" s="1">
        <v>172514620.88999999</v>
      </c>
      <c r="G5" s="1"/>
      <c r="H5" s="1"/>
      <c r="I5" s="1"/>
      <c r="J5" s="1">
        <v>554794362.51999998</v>
      </c>
      <c r="K5" s="1">
        <v>730998.7</v>
      </c>
      <c r="L5" s="75">
        <v>1096193.8999999999</v>
      </c>
      <c r="M5" s="1">
        <v>554794362.51999998</v>
      </c>
      <c r="N5" s="1">
        <v>-1465725.79</v>
      </c>
      <c r="O5" s="3">
        <v>553328636.73000002</v>
      </c>
      <c r="P5" s="10">
        <f t="shared" ref="P5:P16" si="1">(O5/$O$17)</f>
        <v>5.2215718573379685E-2</v>
      </c>
      <c r="Q5" s="15">
        <f t="shared" si="0"/>
        <v>1.321093201176022E-3</v>
      </c>
      <c r="R5" s="15">
        <f t="shared" ref="R5:R76" si="2">L5/O5</f>
        <v>1.9810901284237964E-3</v>
      </c>
      <c r="S5" s="60">
        <f t="shared" ref="S5:S76" si="3">O5/X5</f>
        <v>1.0956740960746634</v>
      </c>
      <c r="T5" s="60">
        <f t="shared" ref="T5:T76" si="4">L5/X5</f>
        <v>2.1706291357031816E-3</v>
      </c>
      <c r="U5" s="1">
        <v>1.08</v>
      </c>
      <c r="V5" s="41">
        <v>1.1000000000000001</v>
      </c>
      <c r="W5" s="66">
        <v>3816</v>
      </c>
      <c r="X5" s="52">
        <v>505012064</v>
      </c>
      <c r="Y5" s="32"/>
    </row>
    <row r="6" spans="1:25" ht="15.75" x14ac:dyDescent="0.3">
      <c r="A6" s="34">
        <v>3</v>
      </c>
      <c r="B6" s="4" t="s">
        <v>4</v>
      </c>
      <c r="C6" s="39" t="s">
        <v>5</v>
      </c>
      <c r="D6" s="28"/>
      <c r="E6" s="28"/>
      <c r="F6" s="28">
        <v>202476234.83000001</v>
      </c>
      <c r="G6" s="1">
        <v>0</v>
      </c>
      <c r="H6" s="1"/>
      <c r="I6" s="1"/>
      <c r="J6" s="1">
        <v>266607380.63</v>
      </c>
      <c r="K6" s="28">
        <v>688698.9</v>
      </c>
      <c r="L6" s="76">
        <v>3240827.84</v>
      </c>
      <c r="M6" s="28">
        <v>275305988.88999999</v>
      </c>
      <c r="N6" s="28">
        <v>10210104.84</v>
      </c>
      <c r="O6" s="3">
        <v>265095884.06</v>
      </c>
      <c r="P6" s="10">
        <f t="shared" si="1"/>
        <v>2.5016185966519243E-2</v>
      </c>
      <c r="Q6" s="15">
        <f t="shared" si="0"/>
        <v>2.5979237755503009E-3</v>
      </c>
      <c r="R6" s="15">
        <f t="shared" si="2"/>
        <v>1.2225115646331547E-2</v>
      </c>
      <c r="S6" s="60">
        <f t="shared" si="3"/>
        <v>133.18422968733123</v>
      </c>
      <c r="T6" s="60">
        <f t="shared" si="4"/>
        <v>1.6281926101952076</v>
      </c>
      <c r="U6" s="33">
        <v>133.18</v>
      </c>
      <c r="V6" s="31">
        <v>135.13999999999999</v>
      </c>
      <c r="W6" s="67">
        <v>786</v>
      </c>
      <c r="X6" s="52">
        <v>1990445</v>
      </c>
      <c r="Y6" s="32"/>
    </row>
    <row r="7" spans="1:25" ht="15.75" x14ac:dyDescent="0.3">
      <c r="A7" s="34">
        <v>4</v>
      </c>
      <c r="B7" s="6" t="s">
        <v>6</v>
      </c>
      <c r="C7" s="39" t="s">
        <v>7</v>
      </c>
      <c r="D7" s="1">
        <v>92947349.400000006</v>
      </c>
      <c r="F7" s="1">
        <v>116615011.23999999</v>
      </c>
      <c r="G7" s="1">
        <v>28062878.640000001</v>
      </c>
      <c r="H7" s="1">
        <v>0</v>
      </c>
      <c r="I7" s="1">
        <v>0</v>
      </c>
      <c r="J7" s="1">
        <v>239666421.09999999</v>
      </c>
      <c r="K7" s="1">
        <v>552796.6</v>
      </c>
      <c r="L7" s="75">
        <v>917753.81</v>
      </c>
      <c r="M7" s="1">
        <v>239666521.09999999</v>
      </c>
      <c r="N7" s="1">
        <v>2824878.26</v>
      </c>
      <c r="O7" s="3">
        <v>236841642.84</v>
      </c>
      <c r="P7" s="10">
        <f t="shared" si="1"/>
        <v>2.234993048990672E-2</v>
      </c>
      <c r="Q7" s="15">
        <f t="shared" si="0"/>
        <v>2.3340346459826133E-3</v>
      </c>
      <c r="R7" s="15">
        <f t="shared" si="2"/>
        <v>3.8749680968054884E-3</v>
      </c>
      <c r="S7" s="60">
        <f t="shared" si="3"/>
        <v>12.524749897540389</v>
      </c>
      <c r="T7" s="60">
        <f t="shared" si="4"/>
        <v>4.8533006273436811E-2</v>
      </c>
      <c r="U7" s="1">
        <v>12.38</v>
      </c>
      <c r="V7" s="1">
        <v>12.5</v>
      </c>
      <c r="W7" s="66">
        <v>8864</v>
      </c>
      <c r="X7" s="52">
        <v>18909890</v>
      </c>
      <c r="Y7" s="32"/>
    </row>
    <row r="8" spans="1:25" ht="15.75" x14ac:dyDescent="0.3">
      <c r="A8" s="34">
        <v>5</v>
      </c>
      <c r="B8" s="6" t="s">
        <v>8</v>
      </c>
      <c r="C8" s="39" t="s">
        <v>116</v>
      </c>
      <c r="D8" s="1">
        <v>702647979</v>
      </c>
      <c r="E8" s="1"/>
      <c r="F8" s="1">
        <v>0</v>
      </c>
      <c r="G8" s="1"/>
      <c r="H8" s="1"/>
      <c r="I8" s="1"/>
      <c r="J8" s="1">
        <v>702647979</v>
      </c>
      <c r="K8" s="1">
        <v>1582967</v>
      </c>
      <c r="L8" s="75">
        <v>34233675</v>
      </c>
      <c r="M8" s="1">
        <v>1112020214</v>
      </c>
      <c r="N8" s="1">
        <v>61117584.93</v>
      </c>
      <c r="O8" s="3">
        <v>1050902629</v>
      </c>
      <c r="P8" s="10">
        <f t="shared" si="1"/>
        <v>9.9170063288563814E-2</v>
      </c>
      <c r="Q8" s="15">
        <f t="shared" si="0"/>
        <v>1.5062927395150707E-3</v>
      </c>
      <c r="R8" s="15">
        <f t="shared" si="2"/>
        <v>3.2575496582947457E-2</v>
      </c>
      <c r="S8" s="60">
        <f t="shared" si="3"/>
        <v>0.66048229668018754</v>
      </c>
      <c r="T8" s="60">
        <f t="shared" si="4"/>
        <v>2.151553879860274E-2</v>
      </c>
      <c r="U8" s="108">
        <v>0.68489999999999995</v>
      </c>
      <c r="V8" s="108">
        <v>0.69879999999999998</v>
      </c>
      <c r="W8" s="66">
        <v>7002</v>
      </c>
      <c r="X8" s="52">
        <v>1591114000</v>
      </c>
      <c r="Y8" s="32"/>
    </row>
    <row r="9" spans="1:25" ht="15.75" x14ac:dyDescent="0.3">
      <c r="A9" s="34">
        <v>6</v>
      </c>
      <c r="B9" s="31" t="s">
        <v>63</v>
      </c>
      <c r="C9" s="39" t="s">
        <v>9</v>
      </c>
      <c r="D9" s="1">
        <v>1825662862.4000001</v>
      </c>
      <c r="E9" s="1">
        <v>0</v>
      </c>
      <c r="F9" s="1">
        <v>0</v>
      </c>
      <c r="G9" s="1">
        <v>82990736.680000007</v>
      </c>
      <c r="H9" s="1"/>
      <c r="I9" s="1"/>
      <c r="J9" s="1">
        <v>1908653599.0799999</v>
      </c>
      <c r="K9" s="1">
        <v>4793459.24</v>
      </c>
      <c r="L9" s="75">
        <v>142361255.75</v>
      </c>
      <c r="M9" s="1">
        <v>2352815544</v>
      </c>
      <c r="N9" s="1">
        <v>-9816805</v>
      </c>
      <c r="O9" s="3">
        <v>2342998739</v>
      </c>
      <c r="P9" s="10">
        <f t="shared" si="1"/>
        <v>0.22110072505266826</v>
      </c>
      <c r="Q9" s="15">
        <f t="shared" si="0"/>
        <v>2.0458650532803381E-3</v>
      </c>
      <c r="R9" s="15">
        <f t="shared" si="2"/>
        <v>6.0760278433081988E-2</v>
      </c>
      <c r="S9" s="60">
        <f t="shared" si="3"/>
        <v>15.129156861578375</v>
      </c>
      <c r="T9" s="60">
        <f t="shared" si="4"/>
        <v>0.91925178336727498</v>
      </c>
      <c r="U9" s="1">
        <v>15.05</v>
      </c>
      <c r="V9" s="1">
        <v>15.51</v>
      </c>
      <c r="W9" s="66">
        <v>11881</v>
      </c>
      <c r="X9" s="52">
        <v>154866445</v>
      </c>
      <c r="Y9" s="32"/>
    </row>
    <row r="10" spans="1:25" ht="15.75" x14ac:dyDescent="0.3">
      <c r="A10" s="34">
        <v>7</v>
      </c>
      <c r="B10" s="6" t="s">
        <v>11</v>
      </c>
      <c r="C10" s="39" t="s">
        <v>64</v>
      </c>
      <c r="D10" s="1"/>
      <c r="E10" s="1"/>
      <c r="F10" s="1">
        <v>49315718.729999997</v>
      </c>
      <c r="G10" s="1">
        <v>0</v>
      </c>
      <c r="H10" s="1"/>
      <c r="I10" s="1"/>
      <c r="J10" s="4">
        <v>216674341.72999999</v>
      </c>
      <c r="K10" s="1">
        <v>450005.96</v>
      </c>
      <c r="L10" s="75">
        <v>13267643.119999999</v>
      </c>
      <c r="M10" s="1">
        <v>221174213.69</v>
      </c>
      <c r="N10" s="1">
        <v>-4499871.6900000004</v>
      </c>
      <c r="O10" s="3">
        <v>216674341.72999999</v>
      </c>
      <c r="P10" s="10">
        <f t="shared" si="1"/>
        <v>2.044681171158437E-2</v>
      </c>
      <c r="Q10" s="15">
        <f t="shared" si="0"/>
        <v>2.0768770146340487E-3</v>
      </c>
      <c r="R10" s="15">
        <f t="shared" si="2"/>
        <v>6.123310685550825E-2</v>
      </c>
      <c r="S10" s="60">
        <f t="shared" si="3"/>
        <v>128.46226143476196</v>
      </c>
      <c r="T10" s="60">
        <f t="shared" si="4"/>
        <v>7.8661433813350152</v>
      </c>
      <c r="U10" s="1">
        <v>120.66</v>
      </c>
      <c r="V10" s="1">
        <v>122.19</v>
      </c>
      <c r="W10" s="66">
        <v>1380</v>
      </c>
      <c r="X10" s="52">
        <v>1686677</v>
      </c>
      <c r="Y10" s="37"/>
    </row>
    <row r="11" spans="1:25" ht="15.75" x14ac:dyDescent="0.3">
      <c r="A11" s="34">
        <v>8</v>
      </c>
      <c r="B11" s="6" t="s">
        <v>12</v>
      </c>
      <c r="C11" s="39" t="s">
        <v>13</v>
      </c>
      <c r="D11" s="46">
        <v>228222480.05000001</v>
      </c>
      <c r="E11" s="1">
        <v>0</v>
      </c>
      <c r="F11" s="28">
        <v>22993440.969999999</v>
      </c>
      <c r="G11" s="41">
        <v>0</v>
      </c>
      <c r="H11" s="1">
        <v>0</v>
      </c>
      <c r="I11" s="1">
        <v>0</v>
      </c>
      <c r="J11" s="1">
        <v>251215921.05000001</v>
      </c>
      <c r="K11" s="1">
        <v>507359.14</v>
      </c>
      <c r="L11" s="75">
        <v>-11975697</v>
      </c>
      <c r="M11" s="1">
        <v>258619007.81</v>
      </c>
      <c r="N11" s="1">
        <v>158225.32999999999</v>
      </c>
      <c r="O11" s="3">
        <v>258619007.81</v>
      </c>
      <c r="P11" s="10">
        <f t="shared" si="1"/>
        <v>2.440498545193313E-2</v>
      </c>
      <c r="Q11" s="15">
        <f t="shared" si="0"/>
        <v>1.9618014325255718E-3</v>
      </c>
      <c r="R11" s="15">
        <f t="shared" si="2"/>
        <v>-4.6306329536296896E-2</v>
      </c>
      <c r="S11" s="60">
        <f t="shared" si="3"/>
        <v>9.6348757081381855</v>
      </c>
      <c r="T11" s="60">
        <f t="shared" si="4"/>
        <v>-0.44615572958230876</v>
      </c>
      <c r="U11" s="1">
        <v>9.4042999999999992</v>
      </c>
      <c r="V11" s="1">
        <v>9.4953000000000003</v>
      </c>
      <c r="W11" s="66">
        <v>120</v>
      </c>
      <c r="X11" s="52">
        <v>26841966.170000002</v>
      </c>
    </row>
    <row r="12" spans="1:25" ht="15.75" x14ac:dyDescent="0.3">
      <c r="A12" s="34">
        <v>9</v>
      </c>
      <c r="B12" s="6" t="s">
        <v>1</v>
      </c>
      <c r="C12" s="4" t="s">
        <v>73</v>
      </c>
      <c r="D12" s="1">
        <v>217541360.84999999</v>
      </c>
      <c r="E12" s="1"/>
      <c r="F12" s="1">
        <v>89414908.140000001</v>
      </c>
      <c r="G12" s="1">
        <v>11814582.42</v>
      </c>
      <c r="H12" s="1"/>
      <c r="I12" s="1"/>
      <c r="J12" s="40">
        <v>320358548.32999998</v>
      </c>
      <c r="K12" s="1">
        <v>357560.83</v>
      </c>
      <c r="L12" s="75">
        <v>21131979.949999999</v>
      </c>
      <c r="M12" s="40">
        <v>328885849.55000001</v>
      </c>
      <c r="N12" s="40">
        <v>-2287002.12</v>
      </c>
      <c r="O12" s="3">
        <v>326598847.43000001</v>
      </c>
      <c r="P12" s="10">
        <f t="shared" si="1"/>
        <v>3.0820008891237725E-2</v>
      </c>
      <c r="Q12" s="15">
        <f t="shared" si="0"/>
        <v>1.0948012609770035E-3</v>
      </c>
      <c r="R12" s="15">
        <f t="shared" si="2"/>
        <v>6.4703167559491223E-2</v>
      </c>
      <c r="S12" s="60">
        <f t="shared" si="3"/>
        <v>1912.6201661151028</v>
      </c>
      <c r="T12" s="60">
        <f t="shared" si="4"/>
        <v>123.75258308580743</v>
      </c>
      <c r="U12" s="40">
        <v>1900.46</v>
      </c>
      <c r="V12" s="40">
        <v>1921.48</v>
      </c>
      <c r="W12" s="66">
        <v>23</v>
      </c>
      <c r="X12" s="52">
        <v>170759.91</v>
      </c>
    </row>
    <row r="13" spans="1:25" ht="15.75" x14ac:dyDescent="0.3">
      <c r="A13" s="34">
        <v>10</v>
      </c>
      <c r="B13" s="6" t="s">
        <v>27</v>
      </c>
      <c r="C13" s="94" t="s">
        <v>128</v>
      </c>
      <c r="D13" s="40">
        <v>201676468.59999999</v>
      </c>
      <c r="E13" s="1"/>
      <c r="F13" s="1">
        <v>25604544.579999998</v>
      </c>
      <c r="G13" s="1"/>
      <c r="H13" s="1"/>
      <c r="I13" s="1"/>
      <c r="J13" s="1">
        <v>227281013.18000001</v>
      </c>
      <c r="K13" s="1">
        <v>553371.39</v>
      </c>
      <c r="L13" s="75">
        <v>18926695.050000001</v>
      </c>
      <c r="M13" s="40">
        <v>232720759.55000001</v>
      </c>
      <c r="N13" s="40">
        <v>7021635.4400000004</v>
      </c>
      <c r="O13" s="3">
        <v>225699124.12</v>
      </c>
      <c r="P13" s="10">
        <f t="shared" si="1"/>
        <v>2.1298449357246608E-2</v>
      </c>
      <c r="Q13" s="15">
        <f t="shared" si="0"/>
        <v>2.4518100907905288E-3</v>
      </c>
      <c r="R13" s="15">
        <f t="shared" si="2"/>
        <v>8.3858079307109007E-2</v>
      </c>
      <c r="S13" s="60">
        <f t="shared" si="3"/>
        <v>0.8257039465836512</v>
      </c>
      <c r="T13" s="60">
        <f t="shared" si="4"/>
        <v>6.9241947036804724E-2</v>
      </c>
      <c r="U13" s="108">
        <v>0.97</v>
      </c>
      <c r="V13" s="1">
        <v>0.98</v>
      </c>
      <c r="W13" s="66">
        <v>106</v>
      </c>
      <c r="X13" s="52">
        <v>273341462.22000003</v>
      </c>
    </row>
    <row r="14" spans="1:25" ht="15.75" x14ac:dyDescent="0.3">
      <c r="A14" s="34">
        <v>11</v>
      </c>
      <c r="B14" s="85" t="s">
        <v>78</v>
      </c>
      <c r="C14" s="98" t="s">
        <v>79</v>
      </c>
      <c r="D14" s="1">
        <v>100777309.23</v>
      </c>
      <c r="E14" s="1"/>
      <c r="F14" s="1">
        <v>33439740</v>
      </c>
      <c r="G14" s="1"/>
      <c r="H14" s="1"/>
      <c r="I14" s="1"/>
      <c r="J14" s="1">
        <v>134217049.23</v>
      </c>
      <c r="K14" s="1">
        <v>300767.33</v>
      </c>
      <c r="L14" s="75">
        <v>207952.81</v>
      </c>
      <c r="M14" s="1">
        <v>144863222.75999999</v>
      </c>
      <c r="N14" s="1">
        <v>503244.11</v>
      </c>
      <c r="O14" s="3">
        <v>144359978.65000001</v>
      </c>
      <c r="P14" s="10">
        <f t="shared" si="1"/>
        <v>1.3622754215277753E-2</v>
      </c>
      <c r="Q14" s="15">
        <f t="shared" si="0"/>
        <v>2.083453688568414E-3</v>
      </c>
      <c r="R14" s="15">
        <f t="shared" si="2"/>
        <v>1.4405156605362243E-3</v>
      </c>
      <c r="S14" s="60">
        <f t="shared" si="3"/>
        <v>97.102337383291541</v>
      </c>
      <c r="T14" s="60">
        <f t="shared" si="4"/>
        <v>0.1398774376753035</v>
      </c>
      <c r="U14" s="1">
        <v>96.77</v>
      </c>
      <c r="V14" s="1">
        <v>97.45</v>
      </c>
      <c r="W14" s="66">
        <v>427</v>
      </c>
      <c r="X14" s="52">
        <v>1486678.72</v>
      </c>
    </row>
    <row r="15" spans="1:25" ht="15.75" x14ac:dyDescent="0.3">
      <c r="A15" s="34">
        <v>12</v>
      </c>
      <c r="B15" s="85" t="s">
        <v>65</v>
      </c>
      <c r="C15" s="98" t="s">
        <v>143</v>
      </c>
      <c r="D15" s="1">
        <v>84009000</v>
      </c>
      <c r="E15" s="1"/>
      <c r="F15" s="1">
        <v>167522661.59999999</v>
      </c>
      <c r="G15" s="1"/>
      <c r="H15" s="1"/>
      <c r="I15" s="1"/>
      <c r="J15" s="1">
        <v>251531661.59999999</v>
      </c>
      <c r="K15" s="1">
        <v>329279.78000000003</v>
      </c>
      <c r="L15" s="75">
        <v>3503881.58</v>
      </c>
      <c r="M15" s="1">
        <v>254970397.66999999</v>
      </c>
      <c r="N15" s="1">
        <v>331553.2</v>
      </c>
      <c r="O15" s="3">
        <v>253246577.65000001</v>
      </c>
      <c r="P15" s="10">
        <f t="shared" si="1"/>
        <v>2.3898007712722824E-2</v>
      </c>
      <c r="Q15" s="15">
        <f t="shared" ref="Q15:Q16" si="5">(K15/O15)</f>
        <v>1.3002338789947316E-3</v>
      </c>
      <c r="R15" s="15">
        <f t="shared" ref="R15:R16" si="6">L15/O15</f>
        <v>1.3835849678658037E-2</v>
      </c>
      <c r="S15" s="60">
        <f t="shared" ref="S15:S16" si="7">O15/X15</f>
        <v>1.0098939949894623</v>
      </c>
      <c r="T15" s="60">
        <f t="shared" ref="T15:T16" si="8">L15/X15</f>
        <v>1.3972741506053633E-2</v>
      </c>
      <c r="U15" s="1">
        <v>1.0099</v>
      </c>
      <c r="V15" s="1">
        <v>1.0167999999999999</v>
      </c>
      <c r="W15" s="66">
        <v>12</v>
      </c>
      <c r="X15" s="52">
        <v>250765505</v>
      </c>
    </row>
    <row r="16" spans="1:25" ht="15.75" x14ac:dyDescent="0.3">
      <c r="A16" s="81">
        <v>13</v>
      </c>
      <c r="B16" s="82" t="s">
        <v>151</v>
      </c>
      <c r="C16" s="82" t="s">
        <v>152</v>
      </c>
      <c r="D16" s="83"/>
      <c r="E16" s="83"/>
      <c r="F16" s="83">
        <v>2392582.4700000002</v>
      </c>
      <c r="G16" s="83"/>
      <c r="H16" s="83"/>
      <c r="I16" s="83"/>
      <c r="J16" s="83">
        <v>2392582.4700000002</v>
      </c>
      <c r="K16" s="83">
        <v>0</v>
      </c>
      <c r="L16" s="75">
        <v>0</v>
      </c>
      <c r="M16" s="83">
        <v>4755062.6500000004</v>
      </c>
      <c r="N16" s="83">
        <v>0</v>
      </c>
      <c r="O16" s="3">
        <v>4755062.6500000004</v>
      </c>
      <c r="P16" s="10">
        <f t="shared" si="1"/>
        <v>4.4871889262500459E-4</v>
      </c>
      <c r="Q16" s="15">
        <f t="shared" si="5"/>
        <v>0</v>
      </c>
      <c r="R16" s="15">
        <f t="shared" si="6"/>
        <v>0</v>
      </c>
      <c r="S16" s="15">
        <f t="shared" si="7"/>
        <v>1.2031432240271243</v>
      </c>
      <c r="T16" s="15">
        <f t="shared" si="8"/>
        <v>0</v>
      </c>
      <c r="U16" s="83">
        <v>1.2</v>
      </c>
      <c r="V16" s="83">
        <v>1.26</v>
      </c>
      <c r="W16" s="84">
        <v>2405</v>
      </c>
      <c r="X16" s="83">
        <v>3952200</v>
      </c>
    </row>
    <row r="17" spans="1:26" ht="15.75" x14ac:dyDescent="0.3">
      <c r="A17" s="122"/>
      <c r="B17" s="86"/>
      <c r="C17" s="96" t="s">
        <v>61</v>
      </c>
      <c r="D17" s="1"/>
      <c r="E17" s="1"/>
      <c r="F17" s="1"/>
      <c r="G17" s="1"/>
      <c r="H17" s="1"/>
      <c r="I17" s="1"/>
      <c r="J17" s="1"/>
      <c r="K17" s="1"/>
      <c r="L17" s="75"/>
      <c r="M17" s="1"/>
      <c r="N17" s="1"/>
      <c r="O17" s="7">
        <f>SUM(O4:O16)</f>
        <v>10596974471.440001</v>
      </c>
      <c r="P17" s="65"/>
      <c r="Q17" s="15"/>
      <c r="R17" s="15"/>
      <c r="S17" s="60"/>
      <c r="T17" s="60"/>
      <c r="U17" s="1"/>
      <c r="V17" s="1"/>
      <c r="W17" s="1"/>
      <c r="X17" s="52"/>
      <c r="Y17" s="24"/>
      <c r="Z17" s="24"/>
    </row>
    <row r="18" spans="1:26" ht="15.75" customHeight="1" x14ac:dyDescent="0.25">
      <c r="A18" s="102"/>
      <c r="B18" s="103"/>
      <c r="C18" s="71" t="s">
        <v>14</v>
      </c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5"/>
      <c r="Y18" s="24"/>
      <c r="Z18" s="24"/>
    </row>
    <row r="19" spans="1:26" ht="15.75" x14ac:dyDescent="0.3">
      <c r="A19" s="34">
        <v>14</v>
      </c>
      <c r="B19" s="6" t="s">
        <v>1</v>
      </c>
      <c r="C19" s="39" t="s">
        <v>15</v>
      </c>
      <c r="D19" s="1">
        <v>0</v>
      </c>
      <c r="E19" s="1">
        <v>0</v>
      </c>
      <c r="F19" s="1">
        <v>320913025655.09998</v>
      </c>
      <c r="G19" s="1">
        <v>0</v>
      </c>
      <c r="H19" s="1"/>
      <c r="I19" s="1"/>
      <c r="J19" s="1">
        <v>320913025655.09998</v>
      </c>
      <c r="K19" s="1">
        <v>424743202.50999999</v>
      </c>
      <c r="L19" s="75">
        <v>2753478716.3899999</v>
      </c>
      <c r="M19" s="1">
        <v>320913653389.73999</v>
      </c>
      <c r="N19" s="1">
        <v>-1217143347.0699999</v>
      </c>
      <c r="O19" s="3">
        <v>319696510042.66998</v>
      </c>
      <c r="P19" s="10">
        <f t="shared" ref="P19:P38" si="9">(O19/$O$41)</f>
        <v>0.46258110734504798</v>
      </c>
      <c r="Q19" s="15">
        <f t="shared" ref="Q19:Q40" si="10">(K19/O19)</f>
        <v>1.3285825436546348E-3</v>
      </c>
      <c r="R19" s="15">
        <f t="shared" si="2"/>
        <v>8.6127894108774979E-3</v>
      </c>
      <c r="S19" s="60">
        <f t="shared" si="3"/>
        <v>104.6295351137795</v>
      </c>
      <c r="T19" s="60">
        <f t="shared" si="4"/>
        <v>0.90115215209299548</v>
      </c>
      <c r="U19" s="1">
        <v>100</v>
      </c>
      <c r="V19" s="1">
        <v>100</v>
      </c>
      <c r="W19" s="66">
        <v>88020</v>
      </c>
      <c r="X19" s="52">
        <v>3055509227.8200002</v>
      </c>
      <c r="Y19" s="25"/>
      <c r="Z19" s="24"/>
    </row>
    <row r="20" spans="1:26" ht="15.75" x14ac:dyDescent="0.3">
      <c r="A20" s="34">
        <v>15</v>
      </c>
      <c r="B20" s="6" t="s">
        <v>40</v>
      </c>
      <c r="C20" s="39" t="s">
        <v>16</v>
      </c>
      <c r="D20" s="1"/>
      <c r="E20" s="1"/>
      <c r="F20" s="1">
        <v>177293868650.07001</v>
      </c>
      <c r="G20" s="1">
        <v>4168239912.48</v>
      </c>
      <c r="H20" s="1"/>
      <c r="I20" s="1"/>
      <c r="J20" s="1">
        <v>177483052711.78</v>
      </c>
      <c r="K20" s="1">
        <v>154254960.02000001</v>
      </c>
      <c r="L20" s="75">
        <v>1579345978.9300001</v>
      </c>
      <c r="M20" s="1">
        <v>180766737368.82999</v>
      </c>
      <c r="N20" s="1">
        <v>-3283684657.0500002</v>
      </c>
      <c r="O20" s="3">
        <v>177483052711.78</v>
      </c>
      <c r="P20" s="10">
        <f t="shared" si="9"/>
        <v>0.25680701690311464</v>
      </c>
      <c r="Q20" s="15">
        <f t="shared" si="10"/>
        <v>8.6912501032140356E-4</v>
      </c>
      <c r="R20" s="15">
        <f t="shared" si="2"/>
        <v>8.8985734401061199E-3</v>
      </c>
      <c r="S20" s="60">
        <f t="shared" si="3"/>
        <v>100.00000000663725</v>
      </c>
      <c r="T20" s="60">
        <f t="shared" si="4"/>
        <v>0.88985734406967409</v>
      </c>
      <c r="U20" s="1">
        <v>100</v>
      </c>
      <c r="V20" s="1">
        <v>100</v>
      </c>
      <c r="W20" s="66">
        <v>19846</v>
      </c>
      <c r="X20" s="52">
        <v>1774830527</v>
      </c>
      <c r="Y20" s="25"/>
      <c r="Z20" s="24"/>
    </row>
    <row r="21" spans="1:26" ht="15.75" x14ac:dyDescent="0.3">
      <c r="A21" s="34">
        <v>16</v>
      </c>
      <c r="B21" s="6" t="s">
        <v>8</v>
      </c>
      <c r="C21" s="39" t="s">
        <v>117</v>
      </c>
      <c r="D21" s="1"/>
      <c r="E21" s="1"/>
      <c r="F21" s="1">
        <v>4744354163</v>
      </c>
      <c r="G21" s="1"/>
      <c r="H21" s="1"/>
      <c r="I21" s="1"/>
      <c r="J21" s="1">
        <v>4744354163</v>
      </c>
      <c r="K21" s="1">
        <v>10307168.84</v>
      </c>
      <c r="L21" s="75">
        <v>103466775</v>
      </c>
      <c r="M21" s="1">
        <v>14408796666.08</v>
      </c>
      <c r="N21" s="1">
        <v>-291594085.57999998</v>
      </c>
      <c r="O21" s="3">
        <v>14117202581</v>
      </c>
      <c r="P21" s="10">
        <f t="shared" si="9"/>
        <v>2.0426720334425112E-2</v>
      </c>
      <c r="Q21" s="15">
        <f t="shared" si="10"/>
        <v>7.3011411296684001E-4</v>
      </c>
      <c r="R21" s="15">
        <f t="shared" si="2"/>
        <v>7.3291273116143718E-3</v>
      </c>
      <c r="S21" s="60">
        <f t="shared" si="3"/>
        <v>1.0012884534936184</v>
      </c>
      <c r="T21" s="60">
        <f t="shared" si="4"/>
        <v>7.338570551304195E-3</v>
      </c>
      <c r="U21" s="1">
        <v>1000</v>
      </c>
      <c r="V21" s="1">
        <v>1000</v>
      </c>
      <c r="W21" s="66">
        <v>6615</v>
      </c>
      <c r="X21" s="52">
        <v>14099036628</v>
      </c>
      <c r="Y21" s="25"/>
      <c r="Z21" s="24"/>
    </row>
    <row r="22" spans="1:26" ht="15.75" x14ac:dyDescent="0.3">
      <c r="A22" s="34">
        <v>17</v>
      </c>
      <c r="B22" s="6" t="s">
        <v>17</v>
      </c>
      <c r="C22" s="39" t="s">
        <v>100</v>
      </c>
      <c r="D22" s="1"/>
      <c r="E22" s="1"/>
      <c r="F22" s="1">
        <v>805818819.44000006</v>
      </c>
      <c r="G22" s="1"/>
      <c r="H22" s="1"/>
      <c r="I22" s="1"/>
      <c r="J22" s="1">
        <v>1035977248.28</v>
      </c>
      <c r="K22" s="1">
        <v>2076207.25</v>
      </c>
      <c r="L22" s="75">
        <v>7928152.0700000003</v>
      </c>
      <c r="M22" s="1">
        <v>1035977248.28</v>
      </c>
      <c r="N22" s="1">
        <v>28292954.77</v>
      </c>
      <c r="O22" s="3">
        <v>1007684293.51</v>
      </c>
      <c r="P22" s="10">
        <f t="shared" si="9"/>
        <v>1.4580569437053063E-3</v>
      </c>
      <c r="Q22" s="15">
        <f t="shared" si="10"/>
        <v>2.0603747258658611E-3</v>
      </c>
      <c r="R22" s="15">
        <f t="shared" si="2"/>
        <v>7.8676943970064205E-3</v>
      </c>
      <c r="S22" s="60">
        <f t="shared" si="3"/>
        <v>103.13604357286857</v>
      </c>
      <c r="T22" s="60">
        <f t="shared" si="4"/>
        <v>0.81144287214766808</v>
      </c>
      <c r="U22" s="1">
        <v>100</v>
      </c>
      <c r="V22" s="1">
        <v>100</v>
      </c>
      <c r="W22" s="66">
        <v>678</v>
      </c>
      <c r="X22" s="52">
        <v>9770437.75</v>
      </c>
      <c r="Y22" s="25"/>
      <c r="Z22" s="24"/>
    </row>
    <row r="23" spans="1:26" ht="15.75" x14ac:dyDescent="0.3">
      <c r="A23" s="34">
        <v>18</v>
      </c>
      <c r="B23" s="31" t="s">
        <v>63</v>
      </c>
      <c r="C23" s="39" t="s">
        <v>18</v>
      </c>
      <c r="D23" s="1"/>
      <c r="E23" s="1"/>
      <c r="F23" s="1">
        <v>33566003507.459999</v>
      </c>
      <c r="G23" s="1">
        <v>0</v>
      </c>
      <c r="H23" s="1"/>
      <c r="I23" s="1"/>
      <c r="J23" s="1">
        <v>33566003507</v>
      </c>
      <c r="K23" s="1">
        <v>128315853.02</v>
      </c>
      <c r="L23" s="75">
        <v>641649087.84000003</v>
      </c>
      <c r="M23" s="1">
        <v>73358740340</v>
      </c>
      <c r="N23" s="1">
        <v>-1563813125</v>
      </c>
      <c r="O23" s="3">
        <v>71794927215</v>
      </c>
      <c r="P23" s="10">
        <f t="shared" si="9"/>
        <v>0.10388282602284005</v>
      </c>
      <c r="Q23" s="15">
        <f t="shared" si="10"/>
        <v>1.7872551445834068E-3</v>
      </c>
      <c r="R23" s="15">
        <f t="shared" si="2"/>
        <v>8.9372482531877451E-3</v>
      </c>
      <c r="S23" s="60">
        <f t="shared" si="3"/>
        <v>0.99999156354197249</v>
      </c>
      <c r="T23" s="60">
        <f t="shared" si="4"/>
        <v>8.9371728544679757E-3</v>
      </c>
      <c r="U23" s="1">
        <v>0</v>
      </c>
      <c r="V23" s="1">
        <v>0</v>
      </c>
      <c r="W23" s="66">
        <v>69303</v>
      </c>
      <c r="X23" s="52">
        <v>71795532915</v>
      </c>
      <c r="Y23" s="25"/>
      <c r="Z23" s="24"/>
    </row>
    <row r="24" spans="1:26" ht="15.75" x14ac:dyDescent="0.3">
      <c r="A24" s="34">
        <v>19</v>
      </c>
      <c r="B24" s="6" t="s">
        <v>12</v>
      </c>
      <c r="C24" s="39" t="s">
        <v>19</v>
      </c>
      <c r="D24" s="1">
        <v>0</v>
      </c>
      <c r="E24" s="1">
        <v>0</v>
      </c>
      <c r="F24" s="1">
        <v>1108538461.52</v>
      </c>
      <c r="G24" s="1">
        <v>0</v>
      </c>
      <c r="H24" s="1">
        <v>0</v>
      </c>
      <c r="I24" s="1">
        <v>0</v>
      </c>
      <c r="J24" s="1">
        <v>1479928355.75</v>
      </c>
      <c r="K24" s="1">
        <v>1820177.3</v>
      </c>
      <c r="L24" s="75">
        <v>9863338.3300000001</v>
      </c>
      <c r="M24" s="1">
        <v>1507035778.6900001</v>
      </c>
      <c r="N24" s="1">
        <v>5372146.5099999998</v>
      </c>
      <c r="O24" s="3">
        <v>1506642028.6800001</v>
      </c>
      <c r="P24" s="10">
        <f t="shared" si="9"/>
        <v>2.1800179736286849E-3</v>
      </c>
      <c r="Q24" s="15">
        <f t="shared" si="10"/>
        <v>1.2081020344259842E-3</v>
      </c>
      <c r="R24" s="15">
        <f t="shared" si="2"/>
        <v>6.5465705471136181E-3</v>
      </c>
      <c r="S24" s="60">
        <f t="shared" si="3"/>
        <v>10.043767830480419</v>
      </c>
      <c r="T24" s="60">
        <f t="shared" si="4"/>
        <v>6.5752234661070358E-2</v>
      </c>
      <c r="U24" s="1">
        <v>10</v>
      </c>
      <c r="V24" s="1">
        <v>10</v>
      </c>
      <c r="W24" s="66">
        <v>1065</v>
      </c>
      <c r="X24" s="52">
        <v>150007651.91999999</v>
      </c>
      <c r="Y24" s="25"/>
      <c r="Z24" s="24"/>
    </row>
    <row r="25" spans="1:26" ht="15.75" x14ac:dyDescent="0.3">
      <c r="A25" s="34">
        <v>20</v>
      </c>
      <c r="B25" s="6" t="s">
        <v>75</v>
      </c>
      <c r="C25" s="39" t="s">
        <v>76</v>
      </c>
      <c r="D25" s="1">
        <v>0</v>
      </c>
      <c r="E25" s="1">
        <v>0</v>
      </c>
      <c r="F25" s="1">
        <v>5471558812.6099997</v>
      </c>
      <c r="G25" s="1">
        <v>0</v>
      </c>
      <c r="H25" s="1">
        <v>0</v>
      </c>
      <c r="I25" s="1">
        <v>0</v>
      </c>
      <c r="J25" s="1">
        <v>5471558812.6099997</v>
      </c>
      <c r="K25" s="1">
        <v>8487818.6999999993</v>
      </c>
      <c r="L25" s="75">
        <v>81290074.459999993</v>
      </c>
      <c r="M25" s="1">
        <v>9638753948.5200005</v>
      </c>
      <c r="N25" s="1">
        <v>184160426.5</v>
      </c>
      <c r="O25" s="3">
        <v>9454593522.0200005</v>
      </c>
      <c r="P25" s="10">
        <f t="shared" si="9"/>
        <v>1.3680212963005428E-2</v>
      </c>
      <c r="Q25" s="15">
        <f t="shared" si="10"/>
        <v>8.9774549061592585E-4</v>
      </c>
      <c r="R25" s="15">
        <f t="shared" si="2"/>
        <v>8.5979449323414312E-3</v>
      </c>
      <c r="S25" s="60">
        <f t="shared" si="3"/>
        <v>100.17459547822844</v>
      </c>
      <c r="T25" s="60">
        <f t="shared" si="4"/>
        <v>0.86129565554138721</v>
      </c>
      <c r="U25" s="1">
        <v>100</v>
      </c>
      <c r="V25" s="1">
        <v>100</v>
      </c>
      <c r="W25" s="66">
        <v>4001</v>
      </c>
      <c r="X25" s="52">
        <v>94381150</v>
      </c>
      <c r="Y25" s="25"/>
      <c r="Z25" s="24"/>
    </row>
    <row r="26" spans="1:26" s="113" customFormat="1" ht="15.75" x14ac:dyDescent="0.3">
      <c r="A26" s="110">
        <v>21</v>
      </c>
      <c r="B26" s="116" t="s">
        <v>80</v>
      </c>
      <c r="C26" s="90" t="s">
        <v>135</v>
      </c>
      <c r="D26" s="59"/>
      <c r="E26" s="59"/>
      <c r="F26" s="59">
        <v>16741561360.719999</v>
      </c>
      <c r="G26" s="59"/>
      <c r="H26" s="59"/>
      <c r="I26" s="59"/>
      <c r="J26" s="59">
        <v>16741561360.719999</v>
      </c>
      <c r="K26" s="59">
        <v>36483356.93</v>
      </c>
      <c r="L26" s="75">
        <v>269337140.85000002</v>
      </c>
      <c r="M26" s="59">
        <v>32465461425.619999</v>
      </c>
      <c r="N26" s="59">
        <v>75718877.659999996</v>
      </c>
      <c r="O26" s="7">
        <v>32389742547.959999</v>
      </c>
      <c r="P26" s="10">
        <f t="shared" si="9"/>
        <v>4.6865957255700356E-2</v>
      </c>
      <c r="Q26" s="15">
        <f t="shared" si="10"/>
        <v>1.126386135239529E-3</v>
      </c>
      <c r="R26" s="15">
        <f t="shared" si="2"/>
        <v>8.315507307635691E-3</v>
      </c>
      <c r="S26" s="60">
        <f t="shared" si="3"/>
        <v>1.0171749746156145</v>
      </c>
      <c r="T26" s="60">
        <f t="shared" si="4"/>
        <v>8.4583259345602894E-3</v>
      </c>
      <c r="U26" s="59">
        <v>1</v>
      </c>
      <c r="V26" s="59">
        <v>1</v>
      </c>
      <c r="W26" s="111">
        <v>13124</v>
      </c>
      <c r="X26" s="111">
        <v>31842842535.720001</v>
      </c>
      <c r="Y26" s="25"/>
      <c r="Z26" s="24"/>
    </row>
    <row r="27" spans="1:26" ht="15.75" x14ac:dyDescent="0.3">
      <c r="A27" s="34">
        <v>22</v>
      </c>
      <c r="B27" s="1" t="s">
        <v>65</v>
      </c>
      <c r="C27" s="4" t="s">
        <v>81</v>
      </c>
      <c r="D27" s="41"/>
      <c r="E27" s="1"/>
      <c r="F27" s="1">
        <v>647283524.89999998</v>
      </c>
      <c r="G27" s="1"/>
      <c r="H27" s="41"/>
      <c r="I27" s="1"/>
      <c r="J27" s="1">
        <v>647283524.89999998</v>
      </c>
      <c r="K27" s="1">
        <v>652658.76</v>
      </c>
      <c r="L27" s="75">
        <v>8070845.9100000001</v>
      </c>
      <c r="M27" s="1">
        <v>693506217.91999996</v>
      </c>
      <c r="N27" s="1">
        <v>649718.76</v>
      </c>
      <c r="O27" s="3">
        <v>689650694.33000004</v>
      </c>
      <c r="P27" s="10">
        <f t="shared" si="9"/>
        <v>9.9788196568637239E-4</v>
      </c>
      <c r="Q27" s="15">
        <f t="shared" si="10"/>
        <v>9.4636134693384466E-4</v>
      </c>
      <c r="R27" s="15">
        <f t="shared" si="2"/>
        <v>1.1702802558389182E-2</v>
      </c>
      <c r="S27" s="60">
        <f t="shared" si="3"/>
        <v>10.177989927895512</v>
      </c>
      <c r="T27" s="60">
        <f t="shared" si="4"/>
        <v>0.11911100656743492</v>
      </c>
      <c r="U27" s="1">
        <v>10</v>
      </c>
      <c r="V27" s="1">
        <v>10</v>
      </c>
      <c r="W27" s="66">
        <v>235</v>
      </c>
      <c r="X27" s="52">
        <v>67759027</v>
      </c>
      <c r="Y27" s="25"/>
      <c r="Z27" s="24"/>
    </row>
    <row r="28" spans="1:26" ht="15.75" x14ac:dyDescent="0.3">
      <c r="A28" s="34">
        <v>23</v>
      </c>
      <c r="B28" s="1" t="s">
        <v>6</v>
      </c>
      <c r="C28" s="4" t="s">
        <v>98</v>
      </c>
      <c r="D28" s="1"/>
      <c r="E28" s="1"/>
      <c r="F28" s="1">
        <v>2174181009.77</v>
      </c>
      <c r="G28" s="1">
        <v>0</v>
      </c>
      <c r="H28" s="1">
        <v>0</v>
      </c>
      <c r="I28" s="1"/>
      <c r="J28" s="1">
        <v>2174181009.77</v>
      </c>
      <c r="K28" s="1">
        <v>2913145.59</v>
      </c>
      <c r="L28" s="75">
        <v>17305916.030000001</v>
      </c>
      <c r="M28" s="1">
        <v>2174181009.77</v>
      </c>
      <c r="N28" s="1">
        <v>14744364.720000001</v>
      </c>
      <c r="O28" s="3">
        <v>2116869339.5</v>
      </c>
      <c r="P28" s="10">
        <f t="shared" si="9"/>
        <v>3.0629792081245835E-3</v>
      </c>
      <c r="Q28" s="15">
        <f t="shared" si="10"/>
        <v>1.3761574867384486E-3</v>
      </c>
      <c r="R28" s="15">
        <f t="shared" si="2"/>
        <v>8.175240534254051E-3</v>
      </c>
      <c r="S28" s="60">
        <f t="shared" si="3"/>
        <v>99.867184368652659</v>
      </c>
      <c r="T28" s="60">
        <f t="shared" si="4"/>
        <v>0.81643825369243184</v>
      </c>
      <c r="U28" s="1">
        <v>100</v>
      </c>
      <c r="V28" s="1">
        <v>100</v>
      </c>
      <c r="W28" s="66">
        <v>558</v>
      </c>
      <c r="X28" s="52">
        <v>21196846.120000001</v>
      </c>
      <c r="Y28" s="25"/>
      <c r="Z28" s="24"/>
    </row>
    <row r="29" spans="1:26" ht="15.75" x14ac:dyDescent="0.3">
      <c r="A29" s="34">
        <v>24</v>
      </c>
      <c r="B29" s="6" t="s">
        <v>27</v>
      </c>
      <c r="C29" s="39" t="s">
        <v>85</v>
      </c>
      <c r="D29" s="1"/>
      <c r="E29" s="1"/>
      <c r="F29" s="1">
        <v>12510290683.74</v>
      </c>
      <c r="G29" s="1"/>
      <c r="H29" s="1"/>
      <c r="I29" s="1"/>
      <c r="J29" s="1">
        <v>12510290683.74</v>
      </c>
      <c r="K29" s="1">
        <v>15615765.77</v>
      </c>
      <c r="L29" s="75">
        <v>115333989.09999999</v>
      </c>
      <c r="M29" s="1">
        <v>12645623430.25</v>
      </c>
      <c r="N29" s="1">
        <v>358157141.92000002</v>
      </c>
      <c r="O29" s="3">
        <v>12287466288.33</v>
      </c>
      <c r="P29" s="10">
        <f t="shared" si="9"/>
        <v>1.7779204913316068E-2</v>
      </c>
      <c r="Q29" s="15">
        <f t="shared" si="10"/>
        <v>1.2708694700412767E-3</v>
      </c>
      <c r="R29" s="15">
        <f t="shared" si="2"/>
        <v>9.3863117418713296E-3</v>
      </c>
      <c r="S29" s="60">
        <f t="shared" si="3"/>
        <v>98.61347289686411</v>
      </c>
      <c r="T29" s="60">
        <f t="shared" si="4"/>
        <v>0.92561679855854573</v>
      </c>
      <c r="U29" s="1">
        <v>100</v>
      </c>
      <c r="V29" s="1">
        <v>100</v>
      </c>
      <c r="W29" s="1">
        <v>5546</v>
      </c>
      <c r="X29" s="52">
        <v>124602307.65000001</v>
      </c>
      <c r="Y29" s="25"/>
      <c r="Z29" s="24"/>
    </row>
    <row r="30" spans="1:26" ht="15.75" x14ac:dyDescent="0.3">
      <c r="A30" s="34">
        <v>25</v>
      </c>
      <c r="B30" s="6" t="s">
        <v>86</v>
      </c>
      <c r="C30" s="39" t="s">
        <v>87</v>
      </c>
      <c r="D30" s="1"/>
      <c r="E30" s="1"/>
      <c r="F30" s="1">
        <v>7827551029.9899998</v>
      </c>
      <c r="G30" s="1"/>
      <c r="H30" s="1"/>
      <c r="I30" s="1"/>
      <c r="J30" s="1">
        <v>11131552480.52</v>
      </c>
      <c r="K30" s="1">
        <v>10799870.289999999</v>
      </c>
      <c r="L30" s="75">
        <v>101647408.77</v>
      </c>
      <c r="M30" s="1">
        <v>11131552480.52</v>
      </c>
      <c r="N30" s="1">
        <v>238369912.52000001</v>
      </c>
      <c r="O30" s="3">
        <v>10893182568</v>
      </c>
      <c r="P30" s="10">
        <f t="shared" si="9"/>
        <v>1.5761762473242697E-2</v>
      </c>
      <c r="Q30" s="15">
        <f t="shared" si="10"/>
        <v>9.914338828512692E-4</v>
      </c>
      <c r="R30" s="15">
        <f t="shared" si="2"/>
        <v>9.3312866222036127E-3</v>
      </c>
      <c r="S30" s="60">
        <f t="shared" si="3"/>
        <v>99.999999706238285</v>
      </c>
      <c r="T30" s="60">
        <f t="shared" si="4"/>
        <v>0.93312865947918655</v>
      </c>
      <c r="U30" s="1">
        <v>100</v>
      </c>
      <c r="V30" s="1">
        <v>100</v>
      </c>
      <c r="W30" s="66">
        <v>1639</v>
      </c>
      <c r="X30" s="52">
        <v>108931826</v>
      </c>
      <c r="Y30" s="25"/>
      <c r="Z30" s="24"/>
    </row>
    <row r="31" spans="1:26" ht="15.75" x14ac:dyDescent="0.3">
      <c r="A31" s="34">
        <v>26</v>
      </c>
      <c r="B31" s="6" t="s">
        <v>86</v>
      </c>
      <c r="C31" s="39" t="s">
        <v>97</v>
      </c>
      <c r="D31" s="1"/>
      <c r="E31" s="1"/>
      <c r="F31" s="1">
        <v>906985864.17999995</v>
      </c>
      <c r="G31" s="1"/>
      <c r="H31" s="1"/>
      <c r="I31" s="1"/>
      <c r="J31" s="1">
        <v>1145902857.75</v>
      </c>
      <c r="K31" s="1">
        <v>1077789.2</v>
      </c>
      <c r="L31" s="75">
        <v>10506089.939999999</v>
      </c>
      <c r="M31" s="1">
        <v>1145902857.78</v>
      </c>
      <c r="N31" s="1">
        <v>25889857.780000001</v>
      </c>
      <c r="O31" s="3">
        <v>1120013000</v>
      </c>
      <c r="P31" s="10">
        <f t="shared" si="9"/>
        <v>1.6205896451972487E-3</v>
      </c>
      <c r="Q31" s="15">
        <f t="shared" si="10"/>
        <v>9.6230061615356244E-4</v>
      </c>
      <c r="R31" s="15">
        <f t="shared" si="2"/>
        <v>9.3803285676148391E-3</v>
      </c>
      <c r="S31" s="60">
        <f t="shared" si="3"/>
        <v>1000002.678547513</v>
      </c>
      <c r="T31" s="60">
        <f t="shared" si="4"/>
        <v>9380.3536932705956</v>
      </c>
      <c r="U31" s="1">
        <v>1000000</v>
      </c>
      <c r="V31" s="1">
        <v>1000000</v>
      </c>
      <c r="W31" s="66">
        <v>7</v>
      </c>
      <c r="X31" s="52">
        <v>1120.01</v>
      </c>
      <c r="Y31" s="25"/>
      <c r="Z31" s="24"/>
    </row>
    <row r="32" spans="1:26" ht="15.75" x14ac:dyDescent="0.3">
      <c r="A32" s="34">
        <v>27</v>
      </c>
      <c r="B32" s="6" t="s">
        <v>66</v>
      </c>
      <c r="C32" s="39" t="s">
        <v>111</v>
      </c>
      <c r="D32" s="1"/>
      <c r="E32" s="1"/>
      <c r="F32" s="1">
        <v>623927213.21000004</v>
      </c>
      <c r="G32" s="1"/>
      <c r="H32" s="41"/>
      <c r="I32" s="1"/>
      <c r="J32" s="1">
        <v>623927213.21000004</v>
      </c>
      <c r="K32" s="1">
        <v>-1231084.53</v>
      </c>
      <c r="L32" s="75">
        <v>5170785.3600000003</v>
      </c>
      <c r="M32" s="1">
        <v>631518836.22000003</v>
      </c>
      <c r="N32" s="1">
        <v>-7123211.9299999997</v>
      </c>
      <c r="O32" s="3">
        <v>638642048.14999998</v>
      </c>
      <c r="P32" s="10">
        <f t="shared" si="9"/>
        <v>9.2407560467552851E-4</v>
      </c>
      <c r="Q32" s="15">
        <f t="shared" si="10"/>
        <v>-1.927659685994949E-3</v>
      </c>
      <c r="R32" s="15">
        <f t="shared" si="2"/>
        <v>8.0965313433066042E-3</v>
      </c>
      <c r="S32" s="60">
        <f t="shared" si="3"/>
        <v>116.1468919839551</v>
      </c>
      <c r="T32" s="60">
        <f t="shared" si="4"/>
        <v>0.94038695137573902</v>
      </c>
      <c r="U32" s="1">
        <v>100</v>
      </c>
      <c r="V32" s="1">
        <v>100</v>
      </c>
      <c r="W32" s="66">
        <v>670</v>
      </c>
      <c r="X32" s="52">
        <v>5498572</v>
      </c>
      <c r="Y32" s="25"/>
      <c r="Z32" s="24"/>
    </row>
    <row r="33" spans="1:26" ht="15.75" x14ac:dyDescent="0.3">
      <c r="A33" s="34">
        <v>28</v>
      </c>
      <c r="B33" s="6" t="s">
        <v>2</v>
      </c>
      <c r="C33" s="39" t="s">
        <v>142</v>
      </c>
      <c r="D33" s="1"/>
      <c r="E33" s="1"/>
      <c r="F33" s="1">
        <v>9591901862.4699993</v>
      </c>
      <c r="G33" s="1"/>
      <c r="H33" s="1"/>
      <c r="I33" s="1"/>
      <c r="J33" s="1">
        <v>9607796026.4799995</v>
      </c>
      <c r="K33" s="1">
        <v>8636373.6099999994</v>
      </c>
      <c r="L33" s="75">
        <v>82245045.760000005</v>
      </c>
      <c r="M33" s="1">
        <v>9495006638.8400002</v>
      </c>
      <c r="N33" s="1">
        <v>-17593650.27</v>
      </c>
      <c r="O33" s="3">
        <v>9477412988.5699997</v>
      </c>
      <c r="P33" s="10">
        <f t="shared" si="9"/>
        <v>1.3713231321899347E-2</v>
      </c>
      <c r="Q33" s="15">
        <f t="shared" si="10"/>
        <v>9.1125854918591026E-4</v>
      </c>
      <c r="R33" s="15">
        <f t="shared" si="2"/>
        <v>8.678005892450779E-3</v>
      </c>
      <c r="S33" s="60">
        <f t="shared" si="3"/>
        <v>0.99923102876566561</v>
      </c>
      <c r="T33" s="60">
        <f t="shared" si="4"/>
        <v>8.6713327555481001E-3</v>
      </c>
      <c r="U33" s="1">
        <v>1</v>
      </c>
      <c r="V33" s="1">
        <v>1</v>
      </c>
      <c r="W33" s="66">
        <v>971</v>
      </c>
      <c r="X33" s="52">
        <v>9484706455</v>
      </c>
      <c r="Y33" s="25"/>
      <c r="Z33" s="24"/>
    </row>
    <row r="34" spans="1:26" ht="15.75" x14ac:dyDescent="0.3">
      <c r="A34" s="34">
        <v>29</v>
      </c>
      <c r="B34" s="6" t="s">
        <v>29</v>
      </c>
      <c r="C34" s="39" t="s">
        <v>107</v>
      </c>
      <c r="D34" s="1" t="s">
        <v>156</v>
      </c>
      <c r="E34" s="1"/>
      <c r="F34" s="1">
        <v>9722872862.9799995</v>
      </c>
      <c r="G34" s="1"/>
      <c r="H34" s="1"/>
      <c r="I34" s="1"/>
      <c r="J34" s="1">
        <v>9722872862.9799995</v>
      </c>
      <c r="K34" s="1">
        <v>8805497.6600000001</v>
      </c>
      <c r="L34" s="75">
        <v>487681223.48000002</v>
      </c>
      <c r="M34" s="1">
        <v>9722872682.9799995</v>
      </c>
      <c r="N34" s="1">
        <v>17410480.859999999</v>
      </c>
      <c r="O34" s="3">
        <v>9705462382.1200008</v>
      </c>
      <c r="P34" s="10">
        <f t="shared" si="9"/>
        <v>1.404320471129808E-2</v>
      </c>
      <c r="Q34" s="15">
        <f t="shared" si="10"/>
        <v>9.0727234966383769E-4</v>
      </c>
      <c r="R34" s="15">
        <f t="shared" si="2"/>
        <v>5.0248118459398319E-2</v>
      </c>
      <c r="S34" s="60">
        <f t="shared" si="3"/>
        <v>8.0623404672121257</v>
      </c>
      <c r="T34" s="60">
        <f t="shared" si="4"/>
        <v>0.40511743885647566</v>
      </c>
      <c r="U34" s="1">
        <v>1</v>
      </c>
      <c r="V34" s="1">
        <v>1</v>
      </c>
      <c r="W34" s="66">
        <v>1938</v>
      </c>
      <c r="X34" s="52">
        <v>1203802099.5999999</v>
      </c>
      <c r="Y34" s="25"/>
      <c r="Z34" s="24"/>
    </row>
    <row r="35" spans="1:26" s="44" customFormat="1" ht="15.75" x14ac:dyDescent="0.3">
      <c r="A35" s="79">
        <v>30</v>
      </c>
      <c r="B35" s="39" t="s">
        <v>88</v>
      </c>
      <c r="C35" s="39" t="s">
        <v>104</v>
      </c>
      <c r="D35" s="4"/>
      <c r="E35" s="4"/>
      <c r="F35" s="4">
        <v>3718998875.7600002</v>
      </c>
      <c r="G35" s="4"/>
      <c r="H35" s="4"/>
      <c r="I35" s="4"/>
      <c r="J35" s="4">
        <v>3718998875.7600002</v>
      </c>
      <c r="K35" s="4">
        <v>6786275.9199999999</v>
      </c>
      <c r="L35" s="77">
        <v>43843962.310000002</v>
      </c>
      <c r="M35" s="4">
        <v>4732355333.0100002</v>
      </c>
      <c r="N35" s="4">
        <v>6419325.3700000001</v>
      </c>
      <c r="O35" s="30">
        <v>4725936007.6400003</v>
      </c>
      <c r="P35" s="29">
        <f t="shared" si="9"/>
        <v>6.8381375554089196E-3</v>
      </c>
      <c r="Q35" s="43">
        <f t="shared" si="10"/>
        <v>1.4359644119237398E-3</v>
      </c>
      <c r="R35" s="43">
        <f t="shared" si="2"/>
        <v>9.2773076569639054E-3</v>
      </c>
      <c r="S35" s="117">
        <f t="shared" si="3"/>
        <v>101.56895442565525</v>
      </c>
      <c r="T35" s="117">
        <f t="shared" si="4"/>
        <v>0.94228643860294936</v>
      </c>
      <c r="U35" s="4">
        <v>100</v>
      </c>
      <c r="V35" s="4">
        <v>100</v>
      </c>
      <c r="W35" s="69">
        <v>619</v>
      </c>
      <c r="X35" s="55">
        <v>46529336</v>
      </c>
      <c r="Y35" s="118"/>
      <c r="Z35" s="119"/>
    </row>
    <row r="36" spans="1:26" ht="15.75" x14ac:dyDescent="0.3">
      <c r="A36" s="34">
        <v>31</v>
      </c>
      <c r="B36" s="6" t="s">
        <v>101</v>
      </c>
      <c r="C36" s="39" t="s">
        <v>102</v>
      </c>
      <c r="D36" s="1">
        <v>0</v>
      </c>
      <c r="E36" s="1">
        <v>0</v>
      </c>
      <c r="F36" s="1">
        <v>5831384436.2799997</v>
      </c>
      <c r="G36" s="1">
        <v>0</v>
      </c>
      <c r="H36" s="1">
        <v>0</v>
      </c>
      <c r="I36" s="1">
        <v>0</v>
      </c>
      <c r="J36" s="1">
        <v>5831384436.2799997</v>
      </c>
      <c r="K36" s="1">
        <v>6006145.0999999996</v>
      </c>
      <c r="L36" s="75">
        <v>50253624.719999999</v>
      </c>
      <c r="M36" s="1">
        <v>6235391263.8400002</v>
      </c>
      <c r="N36" s="1">
        <v>39050488.340000004</v>
      </c>
      <c r="O36" s="3">
        <v>6196340775.5</v>
      </c>
      <c r="P36" s="10">
        <f t="shared" si="9"/>
        <v>8.9657224504436916E-3</v>
      </c>
      <c r="Q36" s="15">
        <f t="shared" si="10"/>
        <v>9.6930516212858666E-4</v>
      </c>
      <c r="R36" s="15">
        <f t="shared" si="2"/>
        <v>8.1102099675828265E-3</v>
      </c>
      <c r="S36" s="60">
        <f t="shared" si="3"/>
        <v>1.0174101509261928</v>
      </c>
      <c r="T36" s="60">
        <f t="shared" si="4"/>
        <v>8.2514099471615553E-3</v>
      </c>
      <c r="U36" s="1">
        <v>1</v>
      </c>
      <c r="V36" s="1">
        <v>1</v>
      </c>
      <c r="W36" s="66">
        <v>1284</v>
      </c>
      <c r="X36" s="52">
        <v>6090307600.9799995</v>
      </c>
      <c r="Y36" s="25"/>
      <c r="Z36" s="24"/>
    </row>
    <row r="37" spans="1:26" ht="16.5" customHeight="1" x14ac:dyDescent="0.3">
      <c r="A37" s="34">
        <v>32</v>
      </c>
      <c r="B37" s="6" t="s">
        <v>121</v>
      </c>
      <c r="C37" s="90" t="s">
        <v>122</v>
      </c>
      <c r="D37" s="59"/>
      <c r="E37" s="1"/>
      <c r="F37" s="1">
        <v>148608691.03</v>
      </c>
      <c r="G37" s="1"/>
      <c r="H37" s="1"/>
      <c r="I37" s="1"/>
      <c r="J37" s="1">
        <v>855408691.02999997</v>
      </c>
      <c r="K37" s="1">
        <v>3107945.47</v>
      </c>
      <c r="L37" s="75">
        <v>4751469.6500000004</v>
      </c>
      <c r="M37" s="1">
        <v>877807051.59000003</v>
      </c>
      <c r="N37" s="1">
        <v>25733889.149999999</v>
      </c>
      <c r="O37" s="3">
        <v>863176675.03999996</v>
      </c>
      <c r="P37" s="10">
        <f t="shared" si="9"/>
        <v>1.2489633437697727E-3</v>
      </c>
      <c r="Q37" s="15">
        <f t="shared" si="10"/>
        <v>3.600590191870021E-3</v>
      </c>
      <c r="R37" s="15">
        <f t="shared" si="2"/>
        <v>5.5046316558308474E-3</v>
      </c>
      <c r="S37" s="60">
        <f t="shared" si="3"/>
        <v>9.9687619507112242</v>
      </c>
      <c r="T37" s="60">
        <f t="shared" si="4"/>
        <v>5.4874362603327072E-2</v>
      </c>
      <c r="U37" s="1">
        <v>10</v>
      </c>
      <c r="V37" s="1">
        <v>10</v>
      </c>
      <c r="W37" s="66">
        <v>296</v>
      </c>
      <c r="X37" s="52">
        <v>86588152</v>
      </c>
      <c r="Y37" s="25"/>
      <c r="Z37" s="24"/>
    </row>
    <row r="38" spans="1:26" ht="16.5" customHeight="1" x14ac:dyDescent="0.3">
      <c r="A38" s="34">
        <v>33</v>
      </c>
      <c r="B38" s="6" t="s">
        <v>147</v>
      </c>
      <c r="C38" s="90" t="s">
        <v>148</v>
      </c>
      <c r="D38" s="59"/>
      <c r="E38" s="1"/>
      <c r="F38" s="1">
        <v>1041252034.67</v>
      </c>
      <c r="G38" s="1"/>
      <c r="H38" s="1"/>
      <c r="I38" s="1"/>
      <c r="J38" s="1">
        <v>1041252034.67</v>
      </c>
      <c r="K38" s="1">
        <v>303534.25</v>
      </c>
      <c r="L38" s="75">
        <v>574333.36</v>
      </c>
      <c r="M38" s="1">
        <v>1047800983.76</v>
      </c>
      <c r="N38" s="1">
        <v>4132535.43</v>
      </c>
      <c r="O38" s="3">
        <v>1040332448.33</v>
      </c>
      <c r="P38" s="10">
        <f t="shared" si="9"/>
        <v>1.505296807560537E-3</v>
      </c>
      <c r="Q38" s="15">
        <f t="shared" si="10"/>
        <v>2.9176658911990124E-4</v>
      </c>
      <c r="R38" s="15">
        <f t="shared" si="2"/>
        <v>5.5206714057794897E-4</v>
      </c>
      <c r="S38" s="60">
        <f t="shared" si="3"/>
        <v>1.0103415103403752</v>
      </c>
      <c r="T38" s="60">
        <f t="shared" si="4"/>
        <v>5.5777634862081728E-4</v>
      </c>
      <c r="U38" s="1">
        <v>0</v>
      </c>
      <c r="V38" s="1">
        <v>0</v>
      </c>
      <c r="W38" s="66">
        <v>143</v>
      </c>
      <c r="X38" s="52">
        <v>1029683961</v>
      </c>
      <c r="Y38" s="25"/>
      <c r="Z38" s="24"/>
    </row>
    <row r="39" spans="1:26" ht="16.5" customHeight="1" x14ac:dyDescent="0.3">
      <c r="A39" s="81">
        <v>34</v>
      </c>
      <c r="B39" s="6" t="s">
        <v>25</v>
      </c>
      <c r="C39" s="90" t="s">
        <v>153</v>
      </c>
      <c r="D39" s="59"/>
      <c r="E39" s="1"/>
      <c r="F39" s="1">
        <v>3200836527.2399998</v>
      </c>
      <c r="G39" s="1"/>
      <c r="H39" s="1"/>
      <c r="I39" s="1"/>
      <c r="J39" s="1">
        <v>3200836527.2399998</v>
      </c>
      <c r="K39" s="1">
        <v>1902876.29</v>
      </c>
      <c r="L39" s="75">
        <v>27255456.870000001</v>
      </c>
      <c r="M39" s="1">
        <v>3326712373.0700002</v>
      </c>
      <c r="N39" s="1">
        <v>248461097.88999999</v>
      </c>
      <c r="O39" s="3">
        <v>2988251275.1799998</v>
      </c>
      <c r="P39" s="10">
        <f t="shared" ref="P39:P40" si="11">(O39/$O$41)</f>
        <v>4.323815057328961E-3</v>
      </c>
      <c r="Q39" s="15">
        <f t="shared" si="10"/>
        <v>6.3678590411891608E-4</v>
      </c>
      <c r="R39" s="15">
        <f t="shared" si="2"/>
        <v>9.1208718277408733E-3</v>
      </c>
      <c r="S39" s="60">
        <f t="shared" si="3"/>
        <v>95.565119389814882</v>
      </c>
      <c r="T39" s="60">
        <f t="shared" si="4"/>
        <v>0.87163720515725562</v>
      </c>
      <c r="U39" s="1">
        <v>100</v>
      </c>
      <c r="V39" s="1">
        <v>100</v>
      </c>
      <c r="W39" s="66">
        <v>369</v>
      </c>
      <c r="X39" s="1">
        <v>31269267.43</v>
      </c>
      <c r="Y39" s="25"/>
      <c r="Z39" s="24"/>
    </row>
    <row r="40" spans="1:26" s="113" customFormat="1" ht="16.5" customHeight="1" x14ac:dyDescent="0.3">
      <c r="A40" s="110">
        <v>35</v>
      </c>
      <c r="B40" s="116" t="s">
        <v>149</v>
      </c>
      <c r="C40" s="90" t="s">
        <v>150</v>
      </c>
      <c r="D40" s="59">
        <v>0</v>
      </c>
      <c r="E40" s="59"/>
      <c r="F40" s="59">
        <v>570251648.25999999</v>
      </c>
      <c r="G40" s="59">
        <v>0</v>
      </c>
      <c r="H40" s="59">
        <v>0</v>
      </c>
      <c r="I40" s="59">
        <v>0</v>
      </c>
      <c r="J40" s="59">
        <v>570251648.25999999</v>
      </c>
      <c r="K40" s="59">
        <v>1893870.59</v>
      </c>
      <c r="L40" s="59">
        <v>7430546.3399999999</v>
      </c>
      <c r="M40" s="59">
        <v>927932382.11000001</v>
      </c>
      <c r="N40" s="59">
        <v>6525262.8399999999</v>
      </c>
      <c r="O40" s="3">
        <v>921407119.26999998</v>
      </c>
      <c r="P40" s="10">
        <f t="shared" si="11"/>
        <v>1.3332192005806971E-3</v>
      </c>
      <c r="Q40" s="15">
        <f t="shared" si="10"/>
        <v>2.0554112838855102E-3</v>
      </c>
      <c r="R40" s="15">
        <f t="shared" si="2"/>
        <v>8.0643465679828621E-3</v>
      </c>
      <c r="S40" s="60">
        <f t="shared" si="3"/>
        <v>1.0088955908633825</v>
      </c>
      <c r="T40" s="60">
        <f t="shared" si="4"/>
        <v>8.1360836956321601E-3</v>
      </c>
      <c r="U40" s="59">
        <v>1</v>
      </c>
      <c r="V40" s="59">
        <v>1</v>
      </c>
      <c r="W40" s="111">
        <v>382</v>
      </c>
      <c r="X40" s="115">
        <v>913282928</v>
      </c>
      <c r="Y40" s="25"/>
      <c r="Z40" s="24"/>
    </row>
    <row r="41" spans="1:26" ht="15.75" x14ac:dyDescent="0.3">
      <c r="A41" s="34" t="s">
        <v>156</v>
      </c>
      <c r="B41" s="6"/>
      <c r="C41" s="96" t="s">
        <v>61</v>
      </c>
      <c r="D41" s="1"/>
      <c r="E41" s="1"/>
      <c r="F41" s="1"/>
      <c r="G41" s="1"/>
      <c r="H41" s="1"/>
      <c r="I41" s="1"/>
      <c r="J41" s="1"/>
      <c r="K41" s="1"/>
      <c r="L41" s="75"/>
      <c r="M41" s="1"/>
      <c r="N41" s="1"/>
      <c r="O41" s="7">
        <f>SUM(O19:O40)</f>
        <v>691114498552.57996</v>
      </c>
      <c r="P41" s="65">
        <f>(O41/$O$109)</f>
        <v>0.74958663055150487</v>
      </c>
      <c r="Q41" s="15"/>
      <c r="R41" s="15"/>
      <c r="S41" s="60"/>
      <c r="T41" s="60"/>
      <c r="U41" s="1"/>
      <c r="V41" s="1"/>
      <c r="W41" s="66"/>
      <c r="X41" s="52"/>
      <c r="Y41" s="26"/>
      <c r="Z41" s="24"/>
    </row>
    <row r="42" spans="1:26" ht="15.75" x14ac:dyDescent="0.3">
      <c r="A42" s="87"/>
      <c r="B42" s="88"/>
      <c r="C42" s="92" t="s">
        <v>20</v>
      </c>
      <c r="D42" s="2"/>
      <c r="E42" s="2"/>
      <c r="F42" s="2"/>
      <c r="G42" s="2"/>
      <c r="H42" s="2"/>
      <c r="I42" s="2"/>
      <c r="J42" s="5"/>
      <c r="K42" s="2"/>
      <c r="L42" s="2"/>
      <c r="M42" s="2"/>
      <c r="N42" s="2"/>
      <c r="O42" s="3"/>
      <c r="P42" s="11"/>
      <c r="Q42" s="15"/>
      <c r="R42" s="15"/>
      <c r="S42" s="60"/>
      <c r="T42" s="60"/>
      <c r="U42" s="2"/>
      <c r="V42" s="2"/>
      <c r="W42" s="2"/>
      <c r="X42" s="53"/>
      <c r="Y42" s="24"/>
      <c r="Z42" s="24"/>
    </row>
    <row r="43" spans="1:26" ht="15.75" x14ac:dyDescent="0.3">
      <c r="A43" s="34">
        <v>36</v>
      </c>
      <c r="B43" s="6" t="s">
        <v>1</v>
      </c>
      <c r="C43" s="39" t="s">
        <v>21</v>
      </c>
      <c r="D43" s="1"/>
      <c r="E43" s="1"/>
      <c r="F43" s="1">
        <v>1002441786.78</v>
      </c>
      <c r="G43" s="1">
        <v>3480848824.2800002</v>
      </c>
      <c r="H43" s="1"/>
      <c r="I43" s="1"/>
      <c r="J43" s="1">
        <v>4489458493.9399996</v>
      </c>
      <c r="K43" s="1">
        <v>4247330.82</v>
      </c>
      <c r="L43" s="75">
        <v>17258557.75</v>
      </c>
      <c r="M43" s="1">
        <v>5207773469.8100004</v>
      </c>
      <c r="N43" s="1">
        <v>-9009830.2100000009</v>
      </c>
      <c r="O43" s="3">
        <v>5198763639.6000004</v>
      </c>
      <c r="P43" s="11">
        <f t="shared" ref="P43:P51" si="12">(O43/$O$52)</f>
        <v>0.16733676062780953</v>
      </c>
      <c r="Q43" s="15">
        <f t="shared" ref="Q43:Q51" si="13">(K43/O43)</f>
        <v>8.1698863699962237E-4</v>
      </c>
      <c r="R43" s="15">
        <f t="shared" si="2"/>
        <v>3.3197427208535098E-3</v>
      </c>
      <c r="S43" s="60">
        <f t="shared" si="3"/>
        <v>209.50503253282329</v>
      </c>
      <c r="T43" s="60">
        <f t="shared" si="4"/>
        <v>0.6955028067330179</v>
      </c>
      <c r="U43" s="1">
        <v>209.51</v>
      </c>
      <c r="V43" s="1">
        <v>209.51</v>
      </c>
      <c r="W43" s="66">
        <v>1186</v>
      </c>
      <c r="X43" s="52">
        <v>24814504.82</v>
      </c>
      <c r="Y43" s="24"/>
      <c r="Z43" s="24"/>
    </row>
    <row r="44" spans="1:26" ht="15.75" x14ac:dyDescent="0.3">
      <c r="A44" s="34">
        <v>37</v>
      </c>
      <c r="B44" s="6" t="s">
        <v>8</v>
      </c>
      <c r="C44" s="39" t="s">
        <v>115</v>
      </c>
      <c r="D44" s="1"/>
      <c r="E44" s="1"/>
      <c r="F44" s="1">
        <v>2995148</v>
      </c>
      <c r="G44" s="1">
        <v>462932472</v>
      </c>
      <c r="H44" s="1"/>
      <c r="I44" s="1"/>
      <c r="J44" s="1">
        <v>465927619</v>
      </c>
      <c r="K44" s="1">
        <v>999041</v>
      </c>
      <c r="L44" s="75">
        <v>6591972</v>
      </c>
      <c r="M44" s="1">
        <v>651350975.14999998</v>
      </c>
      <c r="N44" s="1">
        <v>-25219850.170000002</v>
      </c>
      <c r="O44" s="3">
        <v>626131125</v>
      </c>
      <c r="P44" s="10">
        <f t="shared" si="12"/>
        <v>2.0153782985565312E-2</v>
      </c>
      <c r="Q44" s="15">
        <f t="shared" si="13"/>
        <v>1.5955779230748192E-3</v>
      </c>
      <c r="R44" s="15">
        <f t="shared" si="2"/>
        <v>1.0528101442010249E-2</v>
      </c>
      <c r="S44" s="60">
        <f t="shared" si="3"/>
        <v>1.7057795050163853</v>
      </c>
      <c r="T44" s="60">
        <f t="shared" si="4"/>
        <v>1.7958619666514537E-2</v>
      </c>
      <c r="U44" s="1">
        <v>1.7317</v>
      </c>
      <c r="V44" s="1">
        <v>1.7317</v>
      </c>
      <c r="W44" s="66">
        <v>2229</v>
      </c>
      <c r="X44" s="52">
        <v>367064514</v>
      </c>
      <c r="Y44" s="24"/>
      <c r="Z44" s="24"/>
    </row>
    <row r="45" spans="1:26" ht="15.75" x14ac:dyDescent="0.3">
      <c r="A45" s="34">
        <v>38</v>
      </c>
      <c r="B45" s="6" t="s">
        <v>66</v>
      </c>
      <c r="C45" s="39" t="s">
        <v>22</v>
      </c>
      <c r="D45" s="1" t="s">
        <v>156</v>
      </c>
      <c r="E45" s="1">
        <v>0</v>
      </c>
      <c r="F45" s="1">
        <v>358843736.94</v>
      </c>
      <c r="G45" s="1">
        <v>958188975.34000003</v>
      </c>
      <c r="H45" s="1">
        <v>0</v>
      </c>
      <c r="I45" s="1">
        <v>0</v>
      </c>
      <c r="J45" s="1">
        <v>1317032712.28</v>
      </c>
      <c r="K45" s="1">
        <v>2162844.84</v>
      </c>
      <c r="L45" s="75">
        <v>1878541.31</v>
      </c>
      <c r="M45" s="1">
        <v>1323789102</v>
      </c>
      <c r="N45" s="1">
        <v>-15427562.85</v>
      </c>
      <c r="O45" s="3">
        <v>1308361539.1500001</v>
      </c>
      <c r="P45" s="10">
        <f>(O45/$O$52)</f>
        <v>4.2113278631036456E-2</v>
      </c>
      <c r="Q45" s="15">
        <f t="shared" si="13"/>
        <v>1.653094175639808E-3</v>
      </c>
      <c r="R45" s="15">
        <f>L45/O45</f>
        <v>1.4357967991174879E-3</v>
      </c>
      <c r="S45" s="60">
        <f t="shared" si="3"/>
        <v>299.59783993728757</v>
      </c>
      <c r="T45" s="60">
        <f>L45/X45</f>
        <v>0.43016161960447102</v>
      </c>
      <c r="U45" s="1">
        <v>299.60000000000002</v>
      </c>
      <c r="V45" s="1">
        <v>299.60000000000002</v>
      </c>
      <c r="W45" s="66">
        <v>94</v>
      </c>
      <c r="X45" s="52">
        <v>4367059.32</v>
      </c>
    </row>
    <row r="46" spans="1:26" ht="15.75" x14ac:dyDescent="0.3">
      <c r="A46" s="34">
        <v>39</v>
      </c>
      <c r="B46" s="6" t="s">
        <v>11</v>
      </c>
      <c r="C46" s="39" t="s">
        <v>23</v>
      </c>
      <c r="D46" s="1"/>
      <c r="E46" s="1"/>
      <c r="F46" s="1">
        <v>3521797243.5999999</v>
      </c>
      <c r="G46" s="1">
        <v>3973323227.5100002</v>
      </c>
      <c r="H46" s="1"/>
      <c r="I46" s="1"/>
      <c r="J46" s="1">
        <v>7497303832.1599998</v>
      </c>
      <c r="K46" s="1">
        <v>6844208.3499999996</v>
      </c>
      <c r="L46" s="75">
        <v>70726401.629999995</v>
      </c>
      <c r="M46" s="1">
        <v>7505713876.8900003</v>
      </c>
      <c r="N46" s="1">
        <v>-8410044.7300000004</v>
      </c>
      <c r="O46" s="3">
        <v>7497303832.1599998</v>
      </c>
      <c r="P46" s="10">
        <f t="shared" si="12"/>
        <v>0.241321711023709</v>
      </c>
      <c r="Q46" s="15">
        <f t="shared" si="13"/>
        <v>9.1288928703162336E-4</v>
      </c>
      <c r="R46" s="15">
        <f t="shared" si="2"/>
        <v>9.4335781520039404E-3</v>
      </c>
      <c r="S46" s="60">
        <f t="shared" si="3"/>
        <v>1253.3675607048665</v>
      </c>
      <c r="T46" s="60">
        <f t="shared" si="4"/>
        <v>11.823740837095903</v>
      </c>
      <c r="U46" s="1">
        <v>1253.3599999999999</v>
      </c>
      <c r="V46" s="1">
        <v>1254.5</v>
      </c>
      <c r="W46" s="66">
        <v>1016</v>
      </c>
      <c r="X46" s="52">
        <v>5981728</v>
      </c>
    </row>
    <row r="47" spans="1:26" ht="15.75" customHeight="1" x14ac:dyDescent="0.3">
      <c r="A47" s="99" t="s">
        <v>154</v>
      </c>
      <c r="B47" s="39" t="s">
        <v>11</v>
      </c>
      <c r="C47" s="39" t="s">
        <v>124</v>
      </c>
      <c r="D47" s="1"/>
      <c r="E47" s="1"/>
      <c r="F47" s="1"/>
      <c r="G47" s="1"/>
      <c r="H47" s="41"/>
      <c r="I47" s="1"/>
      <c r="J47" s="1"/>
      <c r="K47" s="80"/>
      <c r="L47" s="75"/>
      <c r="M47" s="1"/>
      <c r="N47" s="41"/>
      <c r="O47" s="3"/>
      <c r="P47" s="10">
        <f t="shared" si="12"/>
        <v>0</v>
      </c>
      <c r="Q47" s="15" t="e">
        <f t="shared" si="13"/>
        <v>#DIV/0!</v>
      </c>
      <c r="R47" s="15" t="e">
        <f t="shared" si="2"/>
        <v>#DIV/0!</v>
      </c>
      <c r="S47" s="60" t="e">
        <f t="shared" si="3"/>
        <v>#DIV/0!</v>
      </c>
      <c r="T47" s="60" t="e">
        <f t="shared" si="4"/>
        <v>#DIV/0!</v>
      </c>
      <c r="U47" s="1"/>
      <c r="V47" s="1"/>
      <c r="W47" s="66"/>
      <c r="X47" s="52"/>
    </row>
    <row r="48" spans="1:26" s="113" customFormat="1" ht="15.75" customHeight="1" x14ac:dyDescent="0.3">
      <c r="A48" s="114" t="s">
        <v>155</v>
      </c>
      <c r="B48" s="90" t="s">
        <v>11</v>
      </c>
      <c r="C48" s="90" t="s">
        <v>125</v>
      </c>
      <c r="D48" s="59">
        <v>0</v>
      </c>
      <c r="E48" s="59"/>
      <c r="F48" s="59">
        <v>1458889291.97</v>
      </c>
      <c r="G48" s="59">
        <v>1401020836.6600001</v>
      </c>
      <c r="H48" s="59">
        <v>0</v>
      </c>
      <c r="I48" s="59">
        <v>0</v>
      </c>
      <c r="J48" s="59">
        <v>2926346764.0100002</v>
      </c>
      <c r="K48" s="59">
        <v>5119922.1500000004</v>
      </c>
      <c r="L48" s="59">
        <v>3710737.16</v>
      </c>
      <c r="M48" s="59">
        <v>2946369390.7399998</v>
      </c>
      <c r="N48" s="59">
        <v>-20022626.73</v>
      </c>
      <c r="O48" s="3">
        <v>2926346764.0100002</v>
      </c>
      <c r="P48" s="10">
        <f t="shared" si="12"/>
        <v>9.4192662315531514E-2</v>
      </c>
      <c r="Q48" s="15">
        <f t="shared" si="13"/>
        <v>1.7495951651963909E-3</v>
      </c>
      <c r="R48" s="15">
        <f>L48/O48</f>
        <v>1.2680442405653739E-3</v>
      </c>
      <c r="S48" s="60">
        <f>O48/X48</f>
        <v>43140.694441745807</v>
      </c>
      <c r="T48" s="60">
        <f t="shared" si="4"/>
        <v>54.704309120846411</v>
      </c>
      <c r="U48" s="59">
        <v>42972.07</v>
      </c>
      <c r="V48" s="59">
        <v>43051.81</v>
      </c>
      <c r="W48" s="111">
        <v>1179</v>
      </c>
      <c r="X48" s="115">
        <v>67832.63</v>
      </c>
    </row>
    <row r="49" spans="1:26" ht="15.75" x14ac:dyDescent="0.3">
      <c r="A49" s="34">
        <v>41</v>
      </c>
      <c r="B49" s="39" t="s">
        <v>2</v>
      </c>
      <c r="C49" s="39" t="s">
        <v>119</v>
      </c>
      <c r="D49" s="1">
        <v>0</v>
      </c>
      <c r="E49" s="1">
        <v>0</v>
      </c>
      <c r="F49" s="1">
        <f>(306.95*783934.65)</f>
        <v>240628740.8175</v>
      </c>
      <c r="G49" s="1">
        <f>(306.95*6485386.54)</f>
        <v>1990689398.4529998</v>
      </c>
      <c r="H49" s="1">
        <f>(306.95*0)</f>
        <v>0</v>
      </c>
      <c r="I49" s="1">
        <f>(306.95*0)</f>
        <v>0</v>
      </c>
      <c r="J49" s="1">
        <f>(306.95*7326468.63)</f>
        <v>2248859545.9784999</v>
      </c>
      <c r="K49" s="1">
        <f>(306.95*10476.92)</f>
        <v>3215890.594</v>
      </c>
      <c r="L49" s="1">
        <f>(306.95*28649.06)</f>
        <v>8793828.9670000002</v>
      </c>
      <c r="M49" s="1">
        <f>(306.95*7326184.68)</f>
        <v>2248772387.526</v>
      </c>
      <c r="N49" s="1">
        <f>(306.95*-50618)</f>
        <v>-15537195.1</v>
      </c>
      <c r="O49" s="3">
        <v>2233235100.3400002</v>
      </c>
      <c r="P49" s="10">
        <f t="shared" si="12"/>
        <v>7.1882923194402024E-2</v>
      </c>
      <c r="Q49" s="15">
        <f t="shared" si="13"/>
        <v>1.4400143511582792E-3</v>
      </c>
      <c r="R49" s="15">
        <f t="shared" si="2"/>
        <v>3.9377085581635265E-3</v>
      </c>
      <c r="S49" s="60">
        <f t="shared" si="3"/>
        <v>1.0751160783759552</v>
      </c>
      <c r="T49" s="60">
        <f t="shared" si="4"/>
        <v>4.2334937828402081E-3</v>
      </c>
      <c r="U49" s="1">
        <f>(306.95*1.08)</f>
        <v>331.50600000000003</v>
      </c>
      <c r="V49" s="1">
        <f t="shared" ref="V49" si="14">(306.95*1.08)</f>
        <v>331.50600000000003</v>
      </c>
      <c r="W49" s="1">
        <v>103</v>
      </c>
      <c r="X49" s="1">
        <f>(306.95*6767238)</f>
        <v>2077203704.0999999</v>
      </c>
    </row>
    <row r="50" spans="1:26" ht="15.75" x14ac:dyDescent="0.3">
      <c r="A50" s="34">
        <v>42</v>
      </c>
      <c r="B50" s="39" t="s">
        <v>8</v>
      </c>
      <c r="C50" s="39" t="s">
        <v>96</v>
      </c>
      <c r="D50" s="1">
        <v>0</v>
      </c>
      <c r="E50" s="1">
        <v>0</v>
      </c>
      <c r="F50" s="1">
        <f>(306.95*0)</f>
        <v>0</v>
      </c>
      <c r="G50" s="1">
        <f>(306.95*32067374)</f>
        <v>9843080449.2999992</v>
      </c>
      <c r="H50" s="1">
        <v>0</v>
      </c>
      <c r="I50" s="1">
        <v>0</v>
      </c>
      <c r="J50" s="1">
        <f>(306.95*32067374)</f>
        <v>9843080449.2999992</v>
      </c>
      <c r="K50" s="1">
        <f>(306.95*46114)</f>
        <v>14154692.299999999</v>
      </c>
      <c r="L50" s="1">
        <f>(306.95*167379)</f>
        <v>51376984.049999997</v>
      </c>
      <c r="M50" s="1">
        <f>(306.95*35684331)</f>
        <v>10953305400.449999</v>
      </c>
      <c r="N50" s="1">
        <f>(306.95*394380.47)</f>
        <v>121055085.26649998</v>
      </c>
      <c r="O50" s="3">
        <f>(306.95*35289951)</f>
        <v>10832250459.449999</v>
      </c>
      <c r="P50" s="10">
        <f t="shared" si="12"/>
        <v>0.34866630373157925</v>
      </c>
      <c r="Q50" s="15">
        <f t="shared" si="13"/>
        <v>1.3067175978793511E-3</v>
      </c>
      <c r="R50" s="15">
        <f t="shared" si="2"/>
        <v>4.742964930724897E-3</v>
      </c>
      <c r="S50" s="60">
        <f t="shared" si="3"/>
        <v>113.9157203266729</v>
      </c>
      <c r="T50" s="60">
        <f t="shared" si="4"/>
        <v>0.54029826656767488</v>
      </c>
      <c r="U50" s="1">
        <f>(306.95*111.23)</f>
        <v>34142.048499999997</v>
      </c>
      <c r="V50" s="1">
        <f>(306.95*111.23)</f>
        <v>34142.048499999997</v>
      </c>
      <c r="W50" s="1">
        <v>304</v>
      </c>
      <c r="X50" s="1">
        <f>(306.95*309790)</f>
        <v>95090040.5</v>
      </c>
    </row>
    <row r="51" spans="1:26" ht="15.75" x14ac:dyDescent="0.3">
      <c r="A51" s="34">
        <v>43</v>
      </c>
      <c r="B51" s="39" t="s">
        <v>65</v>
      </c>
      <c r="C51" s="39" t="s">
        <v>145</v>
      </c>
      <c r="D51" s="1"/>
      <c r="E51" s="1"/>
      <c r="F51" s="1"/>
      <c r="G51" s="1">
        <v>444525768</v>
      </c>
      <c r="H51" s="1"/>
      <c r="I51" s="1"/>
      <c r="J51" s="1">
        <v>444525768</v>
      </c>
      <c r="K51" s="1">
        <v>883098</v>
      </c>
      <c r="L51" s="75">
        <v>-59637.599999999999</v>
      </c>
      <c r="M51" s="1">
        <v>452878552.801</v>
      </c>
      <c r="N51" s="1">
        <v>98024853.599999994</v>
      </c>
      <c r="O51" s="3">
        <v>445279820.39999998</v>
      </c>
      <c r="P51" s="10">
        <f t="shared" si="12"/>
        <v>1.433257749036689E-2</v>
      </c>
      <c r="Q51" s="15">
        <f t="shared" si="13"/>
        <v>1.9832428049551018E-3</v>
      </c>
      <c r="R51" s="15">
        <f t="shared" si="2"/>
        <v>-1.339328603448206E-4</v>
      </c>
      <c r="S51" s="60">
        <f t="shared" si="3"/>
        <v>36772.633611363446</v>
      </c>
      <c r="T51" s="60">
        <f t="shared" si="4"/>
        <v>-4.9250640019819967</v>
      </c>
      <c r="U51" s="1">
        <v>102.145</v>
      </c>
      <c r="V51" s="1">
        <v>103.88809999999999</v>
      </c>
      <c r="W51" s="68">
        <v>29</v>
      </c>
      <c r="X51" s="54">
        <v>12109</v>
      </c>
    </row>
    <row r="52" spans="1:26" ht="15.75" x14ac:dyDescent="0.3">
      <c r="A52" s="34"/>
      <c r="B52" s="6"/>
      <c r="C52" s="96" t="s">
        <v>61</v>
      </c>
      <c r="D52" s="1"/>
      <c r="E52" s="1"/>
      <c r="F52" s="1"/>
      <c r="G52" s="1"/>
      <c r="H52" s="1"/>
      <c r="I52" s="1"/>
      <c r="J52" s="1"/>
      <c r="K52" s="1"/>
      <c r="L52" s="75"/>
      <c r="M52" s="1"/>
      <c r="N52" s="1"/>
      <c r="O52" s="7">
        <f>SUM(O43:O51)</f>
        <v>31067672280.110001</v>
      </c>
      <c r="P52" s="65">
        <f>(O52/$O$109)</f>
        <v>3.3696170218246842E-2</v>
      </c>
      <c r="Q52" s="15"/>
      <c r="R52" s="15"/>
      <c r="S52" s="60"/>
      <c r="T52" s="60"/>
      <c r="U52" s="1"/>
      <c r="V52" s="1"/>
      <c r="W52" s="66"/>
      <c r="X52" s="52"/>
    </row>
    <row r="53" spans="1:26" ht="15.75" customHeight="1" x14ac:dyDescent="0.25">
      <c r="A53" s="102"/>
      <c r="B53" s="103"/>
      <c r="C53" s="93" t="s">
        <v>24</v>
      </c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5"/>
    </row>
    <row r="54" spans="1:26" ht="15.75" x14ac:dyDescent="0.3">
      <c r="A54" s="34">
        <v>44</v>
      </c>
      <c r="B54" s="6" t="s">
        <v>25</v>
      </c>
      <c r="C54" s="4" t="s">
        <v>26</v>
      </c>
      <c r="D54" s="1"/>
      <c r="E54" s="1"/>
      <c r="F54" s="1">
        <v>3006145371.1500001</v>
      </c>
      <c r="G54" s="1">
        <v>598907052.97000003</v>
      </c>
      <c r="H54" s="1">
        <v>0</v>
      </c>
      <c r="I54" s="1"/>
      <c r="J54" s="1">
        <v>3605052424.1199999</v>
      </c>
      <c r="K54" s="1">
        <v>5351144.09</v>
      </c>
      <c r="L54" s="75">
        <v>37622329</v>
      </c>
      <c r="M54" s="1">
        <v>3786041432.9200001</v>
      </c>
      <c r="N54" s="1">
        <v>123972692.48999999</v>
      </c>
      <c r="O54" s="3">
        <v>3662068740.4299998</v>
      </c>
      <c r="P54" s="10">
        <f t="shared" ref="P54:P70" si="15">(O54/$O$73)</f>
        <v>3.1803274556695668E-2</v>
      </c>
      <c r="Q54" s="15">
        <f>(J54/O54)</f>
        <v>0.98443057180207238</v>
      </c>
      <c r="R54" s="15">
        <f t="shared" si="2"/>
        <v>1.0273517966673227E-2</v>
      </c>
      <c r="S54" s="60">
        <f t="shared" si="3"/>
        <v>3067.1435545070844</v>
      </c>
      <c r="T54" s="60" t="e">
        <f>#REF!/X54</f>
        <v>#REF!</v>
      </c>
      <c r="U54" s="1">
        <v>3067.15</v>
      </c>
      <c r="V54" s="1">
        <v>3067.15</v>
      </c>
      <c r="W54" s="66">
        <v>1390</v>
      </c>
      <c r="X54" s="52">
        <v>1193967.18</v>
      </c>
    </row>
    <row r="55" spans="1:26" ht="14.25" customHeight="1" x14ac:dyDescent="0.3">
      <c r="A55" s="34">
        <v>45</v>
      </c>
      <c r="B55" s="6" t="s">
        <v>27</v>
      </c>
      <c r="C55" s="39" t="s">
        <v>28</v>
      </c>
      <c r="D55" s="1">
        <v>41557521.600000001</v>
      </c>
      <c r="E55" s="1"/>
      <c r="F55" s="1">
        <v>827912840.00999999</v>
      </c>
      <c r="G55" s="1">
        <v>1556853398.5</v>
      </c>
      <c r="H55" s="1"/>
      <c r="I55" s="1"/>
      <c r="J55" s="1">
        <v>2426323760.0999999</v>
      </c>
      <c r="K55" s="1">
        <v>1051605.8</v>
      </c>
      <c r="L55" s="75">
        <v>32915297.899999999</v>
      </c>
      <c r="M55" s="1">
        <v>2431998224.4299998</v>
      </c>
      <c r="N55" s="1">
        <v>83862960.969999999</v>
      </c>
      <c r="O55" s="3">
        <v>2348135263.4699998</v>
      </c>
      <c r="P55" s="10">
        <f t="shared" si="15"/>
        <v>2.0392405433554639E-2</v>
      </c>
      <c r="Q55" s="15">
        <f t="shared" ref="Q55:Q73" si="16">(K55/O55)</f>
        <v>4.4784719873674161E-4</v>
      </c>
      <c r="R55" s="15">
        <f t="shared" si="2"/>
        <v>1.4017632805087563E-2</v>
      </c>
      <c r="S55" s="60">
        <f t="shared" si="3"/>
        <v>1.0463047689143115</v>
      </c>
      <c r="T55" s="60">
        <f t="shared" si="4"/>
        <v>1.4666716052852814E-2</v>
      </c>
      <c r="U55" s="1">
        <v>1</v>
      </c>
      <c r="V55" s="1">
        <v>1</v>
      </c>
      <c r="W55" s="66">
        <v>4081</v>
      </c>
      <c r="X55" s="52">
        <v>2244217300</v>
      </c>
    </row>
    <row r="56" spans="1:26" s="44" customFormat="1" ht="15.75" x14ac:dyDescent="0.3">
      <c r="A56" s="34">
        <v>46</v>
      </c>
      <c r="B56" s="39" t="s">
        <v>94</v>
      </c>
      <c r="C56" s="39" t="s">
        <v>99</v>
      </c>
      <c r="D56" s="4"/>
      <c r="F56" s="4">
        <v>66422024.549999997</v>
      </c>
      <c r="G56" s="4">
        <v>274859725.55000001</v>
      </c>
      <c r="H56" s="4"/>
      <c r="I56" s="4"/>
      <c r="J56" s="4">
        <v>341281750.10000002</v>
      </c>
      <c r="K56" s="4">
        <v>944279.33</v>
      </c>
      <c r="L56" s="77">
        <v>2814601.93</v>
      </c>
      <c r="M56" s="4">
        <v>343355322.38999999</v>
      </c>
      <c r="N56" s="4">
        <v>5397689.9500000002</v>
      </c>
      <c r="O56" s="30">
        <v>337957632.44</v>
      </c>
      <c r="P56" s="29">
        <f t="shared" si="15"/>
        <v>2.9349966193584097E-3</v>
      </c>
      <c r="Q56" s="43">
        <f t="shared" si="16"/>
        <v>2.7940760597192447E-3</v>
      </c>
      <c r="R56" s="15">
        <f t="shared" si="2"/>
        <v>8.3282685752028296E-3</v>
      </c>
      <c r="S56" s="60">
        <f t="shared" si="3"/>
        <v>1.8565887188030024</v>
      </c>
      <c r="T56" s="60">
        <f t="shared" si="4"/>
        <v>1.5462169483883126E-2</v>
      </c>
      <c r="U56" s="4">
        <v>1.8859999999999999</v>
      </c>
      <c r="V56" s="4">
        <v>1.8866000000000001</v>
      </c>
      <c r="W56" s="69">
        <v>1425</v>
      </c>
      <c r="X56" s="55">
        <v>182031501.65529999</v>
      </c>
    </row>
    <row r="57" spans="1:26" ht="15.75" x14ac:dyDescent="0.3">
      <c r="A57" s="34">
        <v>47</v>
      </c>
      <c r="B57" s="6" t="s">
        <v>1</v>
      </c>
      <c r="C57" s="39" t="s">
        <v>30</v>
      </c>
      <c r="D57" s="1">
        <v>184500600</v>
      </c>
      <c r="F57" s="1">
        <v>9550875897.9599991</v>
      </c>
      <c r="G57" s="1">
        <v>59072912.090000004</v>
      </c>
      <c r="H57" s="1"/>
      <c r="I57" s="1"/>
      <c r="J57" s="1">
        <v>9794449410.0499992</v>
      </c>
      <c r="K57" s="1">
        <v>-15264610.9</v>
      </c>
      <c r="L57" s="75">
        <v>90491352.359999999</v>
      </c>
      <c r="M57" s="1">
        <v>9933930809.6100006</v>
      </c>
      <c r="N57" s="1">
        <v>-33268837.300000001</v>
      </c>
      <c r="O57" s="3">
        <v>9900661972.3099995</v>
      </c>
      <c r="P57" s="10">
        <f t="shared" si="15"/>
        <v>8.5982403203452309E-2</v>
      </c>
      <c r="Q57" s="15">
        <f t="shared" si="16"/>
        <v>-1.541776796611358E-3</v>
      </c>
      <c r="R57" s="15">
        <f t="shared" si="2"/>
        <v>9.1399294929050863E-3</v>
      </c>
      <c r="S57" s="60">
        <f t="shared" si="3"/>
        <v>280.1034096949532</v>
      </c>
      <c r="T57" s="60">
        <f t="shared" si="4"/>
        <v>2.5601254153341793</v>
      </c>
      <c r="U57" s="1">
        <v>272.45999999999998</v>
      </c>
      <c r="V57" s="1">
        <v>272.55</v>
      </c>
      <c r="W57" s="66">
        <v>7283</v>
      </c>
      <c r="X57" s="52">
        <v>35346452.880000003</v>
      </c>
    </row>
    <row r="58" spans="1:26" ht="15.75" x14ac:dyDescent="0.3">
      <c r="A58" s="34">
        <v>48</v>
      </c>
      <c r="B58" s="6" t="s">
        <v>31</v>
      </c>
      <c r="C58" s="39" t="s">
        <v>32</v>
      </c>
      <c r="D58" s="17"/>
      <c r="E58" s="17"/>
      <c r="F58" s="1">
        <v>1160631948.8599999</v>
      </c>
      <c r="G58" s="1">
        <v>1751947926.29</v>
      </c>
      <c r="H58" s="1"/>
      <c r="I58" s="1"/>
      <c r="J58" s="1">
        <v>2912579874.9699998</v>
      </c>
      <c r="K58" s="1">
        <v>3597149.06</v>
      </c>
      <c r="L58" s="75">
        <v>31439578.739999998</v>
      </c>
      <c r="M58" s="1">
        <v>2981702158</v>
      </c>
      <c r="N58" s="1">
        <v>38581767</v>
      </c>
      <c r="O58" s="3">
        <v>2943120390</v>
      </c>
      <c r="P58" s="10">
        <f t="shared" si="15"/>
        <v>2.5559560033160008E-2</v>
      </c>
      <c r="Q58" s="15">
        <f t="shared" si="16"/>
        <v>1.2222228734584657E-3</v>
      </c>
      <c r="R58" s="15">
        <f t="shared" si="2"/>
        <v>1.0682396427554905E-2</v>
      </c>
      <c r="S58" s="60" t="e">
        <f>O58/#REF!</f>
        <v>#REF!</v>
      </c>
      <c r="T58" s="60" t="e">
        <f>L58/#REF!</f>
        <v>#REF!</v>
      </c>
      <c r="U58" s="1">
        <v>1.02</v>
      </c>
      <c r="V58" s="1">
        <v>1.02</v>
      </c>
      <c r="W58" s="107">
        <v>1148</v>
      </c>
      <c r="X58" s="66">
        <v>2878630871</v>
      </c>
    </row>
    <row r="59" spans="1:26" ht="15.75" x14ac:dyDescent="0.3">
      <c r="A59" s="34">
        <v>49</v>
      </c>
      <c r="B59" s="1" t="s">
        <v>2</v>
      </c>
      <c r="C59" s="39" t="s">
        <v>120</v>
      </c>
      <c r="D59" s="1"/>
      <c r="E59" s="1"/>
      <c r="F59" s="17">
        <v>1756955194.3599999</v>
      </c>
      <c r="G59" s="1">
        <v>1689791300.1300001</v>
      </c>
      <c r="H59" s="1"/>
      <c r="I59" s="1"/>
      <c r="J59" s="1">
        <v>1819998229.53</v>
      </c>
      <c r="K59" s="1">
        <v>3427806.81</v>
      </c>
      <c r="L59" s="75">
        <v>30214438.460000001</v>
      </c>
      <c r="M59" s="1">
        <v>3509789529.6599998</v>
      </c>
      <c r="N59" s="1">
        <v>-6448062.25</v>
      </c>
      <c r="O59" s="3">
        <v>3503341467.4099998</v>
      </c>
      <c r="P59" s="10">
        <f t="shared" si="15"/>
        <v>3.0424805881938376E-2</v>
      </c>
      <c r="Q59" s="15">
        <f t="shared" si="16"/>
        <v>9.7843925346339654E-4</v>
      </c>
      <c r="R59" s="15">
        <f t="shared" si="2"/>
        <v>8.624462885240063E-3</v>
      </c>
      <c r="S59" s="60">
        <f t="shared" si="3"/>
        <v>3.6218790006341268</v>
      </c>
      <c r="T59" s="60">
        <f t="shared" si="4"/>
        <v>3.1236761015799395E-2</v>
      </c>
      <c r="U59" s="1">
        <v>3.62</v>
      </c>
      <c r="V59" s="1">
        <v>3.62</v>
      </c>
      <c r="W59" s="66">
        <v>907</v>
      </c>
      <c r="X59" s="66">
        <v>967271813</v>
      </c>
    </row>
    <row r="60" spans="1:26" ht="15.75" x14ac:dyDescent="0.3">
      <c r="A60" s="34">
        <v>50</v>
      </c>
      <c r="B60" s="6" t="s">
        <v>1</v>
      </c>
      <c r="C60" s="4" t="s">
        <v>72</v>
      </c>
      <c r="D60" s="1"/>
      <c r="E60" s="1"/>
      <c r="F60" s="17">
        <v>16516349618.790001</v>
      </c>
      <c r="G60" s="1">
        <v>212662483.52000001</v>
      </c>
      <c r="H60" s="1"/>
      <c r="I60" s="1"/>
      <c r="J60" s="1">
        <v>16729012102.309999</v>
      </c>
      <c r="K60" s="40">
        <v>43238676.649999999</v>
      </c>
      <c r="L60" s="74">
        <v>140281447.80000001</v>
      </c>
      <c r="M60" s="40">
        <v>16813773354.49</v>
      </c>
      <c r="N60" s="40">
        <v>-106327444.42</v>
      </c>
      <c r="O60" s="3">
        <v>16707445910.07</v>
      </c>
      <c r="P60" s="10">
        <f t="shared" si="15"/>
        <v>0.14509599002139623</v>
      </c>
      <c r="Q60" s="15">
        <f t="shared" si="16"/>
        <v>2.5879884264020845E-3</v>
      </c>
      <c r="R60" s="15">
        <f t="shared" si="2"/>
        <v>8.3963430769181079E-3</v>
      </c>
      <c r="S60" s="60">
        <f t="shared" si="3"/>
        <v>3687.5948743640361</v>
      </c>
      <c r="T60" s="60">
        <f t="shared" si="4"/>
        <v>30.962311693845177</v>
      </c>
      <c r="U60" s="109">
        <v>3687.59</v>
      </c>
      <c r="V60" s="1">
        <v>3687.59</v>
      </c>
      <c r="W60" s="66">
        <v>254</v>
      </c>
      <c r="X60" s="52">
        <v>4530716.22</v>
      </c>
    </row>
    <row r="61" spans="1:26" ht="15.75" x14ac:dyDescent="0.3">
      <c r="A61" s="34">
        <v>51</v>
      </c>
      <c r="B61" s="6" t="s">
        <v>1</v>
      </c>
      <c r="C61" s="4" t="s">
        <v>71</v>
      </c>
      <c r="D61" s="1">
        <v>52306936.149999999</v>
      </c>
      <c r="E61" s="1"/>
      <c r="F61" s="1">
        <v>143269505.46000001</v>
      </c>
      <c r="G61" s="1">
        <v>67294388.609999999</v>
      </c>
      <c r="H61" s="1"/>
      <c r="I61" s="1"/>
      <c r="J61" s="1">
        <v>263125996.41999999</v>
      </c>
      <c r="K61" s="1">
        <v>369359.55</v>
      </c>
      <c r="L61" s="75">
        <v>3994349.18</v>
      </c>
      <c r="M61" s="1">
        <v>311361977.62</v>
      </c>
      <c r="N61" s="1">
        <v>-2274981.48</v>
      </c>
      <c r="O61" s="3">
        <v>309086996.13999999</v>
      </c>
      <c r="P61" s="10">
        <f t="shared" si="15"/>
        <v>2.6842692742546715E-3</v>
      </c>
      <c r="Q61" s="15">
        <f t="shared" si="16"/>
        <v>1.1950019075946494E-3</v>
      </c>
      <c r="R61" s="15">
        <f t="shared" si="2"/>
        <v>1.2923058005943323E-2</v>
      </c>
      <c r="S61" s="60">
        <f t="shared" si="3"/>
        <v>3058.8853386336446</v>
      </c>
      <c r="T61" s="60">
        <f t="shared" si="4"/>
        <v>39.530152664692181</v>
      </c>
      <c r="U61" s="1">
        <v>3053.58</v>
      </c>
      <c r="V61" s="1">
        <v>3062.64</v>
      </c>
      <c r="W61" s="66">
        <v>18</v>
      </c>
      <c r="X61" s="52">
        <v>101045.63</v>
      </c>
    </row>
    <row r="62" spans="1:26" ht="15.75" x14ac:dyDescent="0.3">
      <c r="A62" s="34">
        <v>52</v>
      </c>
      <c r="B62" s="6" t="s">
        <v>49</v>
      </c>
      <c r="C62" s="4" t="s">
        <v>74</v>
      </c>
      <c r="D62" s="1"/>
      <c r="E62" s="1"/>
      <c r="F62" s="1">
        <v>2224345988.48</v>
      </c>
      <c r="G62" s="109">
        <v>1708722266.96</v>
      </c>
      <c r="H62" s="1"/>
      <c r="I62" s="1"/>
      <c r="J62" s="1">
        <v>3933180755.4000001</v>
      </c>
      <c r="K62" s="40">
        <v>7320769.2800000003</v>
      </c>
      <c r="L62" s="74">
        <v>55959587.600000001</v>
      </c>
      <c r="M62" s="1">
        <v>6020368723.1000004</v>
      </c>
      <c r="N62" s="1">
        <v>102447860.7</v>
      </c>
      <c r="O62" s="3">
        <v>5917920862.46</v>
      </c>
      <c r="P62" s="10">
        <f t="shared" si="15"/>
        <v>5.1394246076198205E-2</v>
      </c>
      <c r="Q62" s="15">
        <f t="shared" si="16"/>
        <v>1.2370508917141645E-3</v>
      </c>
      <c r="R62" s="15">
        <f t="shared" si="2"/>
        <v>9.4559540251672701E-3</v>
      </c>
      <c r="S62" s="60">
        <f t="shared" si="3"/>
        <v>1115.8746737606825</v>
      </c>
      <c r="T62" s="60">
        <f t="shared" si="4"/>
        <v>10.551659612929539</v>
      </c>
      <c r="U62" s="1">
        <v>1115.08</v>
      </c>
      <c r="V62" s="1">
        <v>1115.08</v>
      </c>
      <c r="W62" s="70">
        <v>3075</v>
      </c>
      <c r="X62" s="52">
        <v>5303392.04</v>
      </c>
    </row>
    <row r="63" spans="1:26" ht="15.75" x14ac:dyDescent="0.3">
      <c r="A63" s="34">
        <v>53</v>
      </c>
      <c r="B63" s="1" t="s">
        <v>65</v>
      </c>
      <c r="C63" s="4" t="s">
        <v>77</v>
      </c>
      <c r="D63" s="1"/>
      <c r="E63" s="1"/>
      <c r="F63" s="1">
        <v>40714746.890000001</v>
      </c>
      <c r="G63" s="1">
        <v>7082321.8899999997</v>
      </c>
      <c r="H63" s="41"/>
      <c r="I63" s="1"/>
      <c r="J63" s="1">
        <v>47797068.780000001</v>
      </c>
      <c r="K63" s="1">
        <v>56363.360000000001</v>
      </c>
      <c r="L63" s="75">
        <v>285445.28999999998</v>
      </c>
      <c r="M63" s="1">
        <v>55913656.710000001</v>
      </c>
      <c r="N63" s="1">
        <v>56310.86</v>
      </c>
      <c r="O63" s="3">
        <v>55616621.270000003</v>
      </c>
      <c r="P63" s="10">
        <f t="shared" si="15"/>
        <v>4.8300313334857803E-4</v>
      </c>
      <c r="Q63" s="15">
        <f t="shared" si="16"/>
        <v>1.0134265389185515E-3</v>
      </c>
      <c r="R63" s="15">
        <f t="shared" si="2"/>
        <v>5.1323738026849749E-3</v>
      </c>
      <c r="S63" s="60">
        <f t="shared" si="3"/>
        <v>12.305112146604783</v>
      </c>
      <c r="T63" s="60">
        <f t="shared" si="4"/>
        <v>6.3154435220335065E-2</v>
      </c>
      <c r="U63" s="1">
        <v>12.305099999999999</v>
      </c>
      <c r="V63" s="1">
        <v>12.370799999999999</v>
      </c>
      <c r="W63" s="66">
        <v>36</v>
      </c>
      <c r="X63" s="52">
        <v>4519798</v>
      </c>
    </row>
    <row r="64" spans="1:26" ht="15.75" x14ac:dyDescent="0.3">
      <c r="A64" s="34">
        <v>54</v>
      </c>
      <c r="B64" s="6" t="s">
        <v>42</v>
      </c>
      <c r="C64" s="39" t="s">
        <v>93</v>
      </c>
      <c r="E64" s="1"/>
      <c r="F64" s="1">
        <v>104548478.38</v>
      </c>
      <c r="G64" s="1">
        <v>136389067.34999999</v>
      </c>
      <c r="H64" s="1"/>
      <c r="I64" s="1"/>
      <c r="J64" s="1">
        <v>242196133.87</v>
      </c>
      <c r="K64" s="1">
        <v>958879.75</v>
      </c>
      <c r="L64" s="75">
        <v>1832366.74</v>
      </c>
      <c r="M64" s="1">
        <v>242196133.87</v>
      </c>
      <c r="N64" s="1">
        <v>7360493.7599999998</v>
      </c>
      <c r="O64" s="3">
        <v>234835640.11000001</v>
      </c>
      <c r="P64" s="10">
        <f t="shared" si="15"/>
        <v>2.0394325905632098E-3</v>
      </c>
      <c r="Q64" s="15">
        <f t="shared" si="16"/>
        <v>4.0831951638637494E-3</v>
      </c>
      <c r="R64" s="15">
        <f t="shared" si="2"/>
        <v>7.8027625582798932E-3</v>
      </c>
      <c r="S64" s="60">
        <f t="shared" si="3"/>
        <v>0.76617238520100328</v>
      </c>
      <c r="T64" s="60">
        <f t="shared" si="4"/>
        <v>5.9782612004343873E-3</v>
      </c>
      <c r="U64" s="1">
        <v>0.76619999999999999</v>
      </c>
      <c r="V64" s="1">
        <v>0.76619999999999999</v>
      </c>
      <c r="W64" s="66">
        <v>840</v>
      </c>
      <c r="X64" s="52">
        <v>306504965</v>
      </c>
      <c r="Y64" s="25"/>
      <c r="Z64" s="24"/>
    </row>
    <row r="65" spans="1:26" ht="15.75" x14ac:dyDescent="0.3">
      <c r="A65" s="34">
        <v>55</v>
      </c>
      <c r="B65" s="39" t="s">
        <v>1</v>
      </c>
      <c r="C65" s="39" t="s">
        <v>89</v>
      </c>
      <c r="D65" s="1">
        <v>0</v>
      </c>
      <c r="E65" s="1">
        <v>0</v>
      </c>
      <c r="F65" s="1">
        <v>46667926798.195</v>
      </c>
      <c r="G65" s="1">
        <v>1532889822.2390001</v>
      </c>
      <c r="H65" s="1">
        <v>0</v>
      </c>
      <c r="I65" s="1">
        <v>0</v>
      </c>
      <c r="J65" s="1">
        <v>62314818450.219002</v>
      </c>
      <c r="K65" s="1">
        <v>81799200.654499993</v>
      </c>
      <c r="L65" s="75">
        <v>260921444.7385</v>
      </c>
      <c r="M65" s="1">
        <v>63500856854.917999</v>
      </c>
      <c r="N65" s="1">
        <v>-191293830.66</v>
      </c>
      <c r="O65" s="3">
        <v>63309563024.260002</v>
      </c>
      <c r="P65" s="10">
        <f t="shared" si="15"/>
        <v>0.5498125670597187</v>
      </c>
      <c r="Q65" s="15">
        <f t="shared" si="16"/>
        <v>1.2920512596675928E-3</v>
      </c>
      <c r="R65" s="15">
        <f t="shared" si="2"/>
        <v>4.1213591166079575E-3</v>
      </c>
      <c r="S65" s="60">
        <f t="shared" si="3"/>
        <v>1.1554114833707025</v>
      </c>
      <c r="T65" s="60">
        <f t="shared" si="4"/>
        <v>4.7618656504233685E-3</v>
      </c>
      <c r="U65" s="1">
        <v>354.65000300000003</v>
      </c>
      <c r="V65" s="1">
        <v>354.63002999999998</v>
      </c>
      <c r="W65" s="68">
        <v>1863</v>
      </c>
      <c r="X65" s="54">
        <v>54793953440.349998</v>
      </c>
    </row>
    <row r="66" spans="1:26" ht="15.75" x14ac:dyDescent="0.3">
      <c r="A66" s="34">
        <v>56</v>
      </c>
      <c r="B66" s="39" t="s">
        <v>86</v>
      </c>
      <c r="C66" s="39" t="s">
        <v>90</v>
      </c>
      <c r="D66" s="1"/>
      <c r="E66" s="41"/>
      <c r="F66" s="1">
        <v>38804768.109999999</v>
      </c>
      <c r="G66" s="1">
        <v>368717575.30000001</v>
      </c>
      <c r="H66" s="1"/>
      <c r="I66" s="1"/>
      <c r="J66" s="1">
        <v>427067966.26999998</v>
      </c>
      <c r="K66" s="1">
        <v>561545.73</v>
      </c>
      <c r="L66" s="75">
        <v>4235962.0199999996</v>
      </c>
      <c r="M66" s="1">
        <v>427067966.26999998</v>
      </c>
      <c r="N66" s="1">
        <v>2169725.2200000002</v>
      </c>
      <c r="O66" s="3">
        <v>424989241.04000002</v>
      </c>
      <c r="P66" s="10">
        <f t="shared" si="15"/>
        <v>3.6908235411358724E-3</v>
      </c>
      <c r="Q66" s="15">
        <f t="shared" si="16"/>
        <v>1.3213175200055176E-3</v>
      </c>
      <c r="R66" s="15">
        <f t="shared" si="2"/>
        <v>9.9672217810363589E-3</v>
      </c>
      <c r="S66" s="60">
        <f t="shared" si="3"/>
        <v>1180.8339984329243</v>
      </c>
      <c r="T66" s="60">
        <f t="shared" si="4"/>
        <v>11.769634348968896</v>
      </c>
      <c r="U66" s="1">
        <v>1180.58</v>
      </c>
      <c r="V66" s="1">
        <v>1186.6099999999999</v>
      </c>
      <c r="W66" s="68">
        <v>131</v>
      </c>
      <c r="X66" s="54">
        <v>359906</v>
      </c>
    </row>
    <row r="67" spans="1:26" ht="15.75" x14ac:dyDescent="0.3">
      <c r="A67" s="34">
        <v>57</v>
      </c>
      <c r="B67" s="6" t="s">
        <v>27</v>
      </c>
      <c r="C67" s="39" t="s">
        <v>84</v>
      </c>
      <c r="D67" s="1">
        <v>5192991.3</v>
      </c>
      <c r="E67" s="1"/>
      <c r="F67" s="1">
        <v>302645981.61000001</v>
      </c>
      <c r="G67" s="1"/>
      <c r="H67" s="1"/>
      <c r="I67" s="1"/>
      <c r="J67" s="1">
        <v>307838972.91000003</v>
      </c>
      <c r="K67" s="1">
        <v>362375.29</v>
      </c>
      <c r="L67" s="75">
        <v>5008901.5999999996</v>
      </c>
      <c r="M67" s="1">
        <v>310095738.60000002</v>
      </c>
      <c r="N67" s="1">
        <v>3167765.24</v>
      </c>
      <c r="O67" s="3">
        <v>313263503.83999997</v>
      </c>
      <c r="P67" s="10">
        <f t="shared" si="15"/>
        <v>2.7205401993754424E-3</v>
      </c>
      <c r="Q67" s="15">
        <f>(K67/O67)</f>
        <v>1.1567746818827768E-3</v>
      </c>
      <c r="R67" s="15">
        <f>L67/O67</f>
        <v>1.5989419573619743E-2</v>
      </c>
      <c r="S67" s="60">
        <f>O67/X67</f>
        <v>141.6189199820551</v>
      </c>
      <c r="T67" s="60">
        <f>L67/X67</f>
        <v>2.2644043311559603</v>
      </c>
      <c r="U67" s="1">
        <v>141.66999999999999</v>
      </c>
      <c r="V67" s="1">
        <v>141.74</v>
      </c>
      <c r="W67" s="66">
        <v>19</v>
      </c>
      <c r="X67" s="52">
        <v>2212017.3199999998</v>
      </c>
    </row>
    <row r="68" spans="1:26" ht="15.75" x14ac:dyDescent="0.3">
      <c r="A68" s="34">
        <v>58</v>
      </c>
      <c r="B68" s="1" t="s">
        <v>29</v>
      </c>
      <c r="C68" s="4" t="s">
        <v>108</v>
      </c>
      <c r="D68" s="1"/>
      <c r="E68" s="1"/>
      <c r="F68" s="1">
        <v>699354038.53999996</v>
      </c>
      <c r="G68" s="1">
        <v>477382534.60000002</v>
      </c>
      <c r="H68" s="1"/>
      <c r="I68" s="1"/>
      <c r="J68" s="1">
        <v>1176736573.1400001</v>
      </c>
      <c r="K68" s="1">
        <v>3959067.48</v>
      </c>
      <c r="L68" s="75">
        <v>12663786.210000001</v>
      </c>
      <c r="M68" s="1">
        <v>1176736573.1400001</v>
      </c>
      <c r="N68" s="1">
        <v>-3959067.48</v>
      </c>
      <c r="O68" s="3">
        <v>1172777505.6600001</v>
      </c>
      <c r="P68" s="10">
        <f t="shared" si="15"/>
        <v>1.0184998603287317E-2</v>
      </c>
      <c r="Q68" s="15">
        <f t="shared" si="16"/>
        <v>3.3758044137894416E-3</v>
      </c>
      <c r="R68" s="15">
        <f t="shared" si="2"/>
        <v>1.0798114858856577E-2</v>
      </c>
      <c r="S68" s="60">
        <f>O68/X68</f>
        <v>22.735133221079526</v>
      </c>
      <c r="T68" s="60">
        <f t="shared" si="4"/>
        <v>0.24549657985262263</v>
      </c>
      <c r="U68" s="1">
        <v>22.735099999999999</v>
      </c>
      <c r="V68" s="1">
        <v>22.735099999999999</v>
      </c>
      <c r="W68" s="66">
        <v>1251</v>
      </c>
      <c r="X68" s="52">
        <v>51584369.189999998</v>
      </c>
      <c r="Z68" s="42"/>
    </row>
    <row r="69" spans="1:26" ht="15.75" x14ac:dyDescent="0.3">
      <c r="A69" s="34">
        <v>59</v>
      </c>
      <c r="B69" s="1" t="s">
        <v>27</v>
      </c>
      <c r="C69" s="94" t="s">
        <v>127</v>
      </c>
      <c r="D69" s="1">
        <v>0</v>
      </c>
      <c r="E69" s="1">
        <v>0</v>
      </c>
      <c r="F69" s="1">
        <f>(306.95*135065)</f>
        <v>41458201.75</v>
      </c>
      <c r="G69" s="1">
        <f>(306.95*4002505)</f>
        <v>1228568909.75</v>
      </c>
      <c r="H69" s="1">
        <v>0</v>
      </c>
      <c r="I69" s="1">
        <v>0</v>
      </c>
      <c r="J69" s="1">
        <f>(306.95*4137727.75)</f>
        <v>1270075532.8625</v>
      </c>
      <c r="K69" s="1">
        <f>(306.95*-5881)</f>
        <v>-1805172.95</v>
      </c>
      <c r="L69" s="75">
        <v>659.94</v>
      </c>
      <c r="M69" s="1">
        <f>(306.95*4176225.26)</f>
        <v>1281892343.5569999</v>
      </c>
      <c r="N69" s="1">
        <f>(306.95*-108346.82)</f>
        <v>-33257056.399</v>
      </c>
      <c r="O69" s="3">
        <v>1248635287.1600001</v>
      </c>
      <c r="P69" s="10">
        <f t="shared" si="15"/>
        <v>1.0843786305896922E-2</v>
      </c>
      <c r="Q69" s="15">
        <f t="shared" si="16"/>
        <v>-1.4457167505700047E-3</v>
      </c>
      <c r="R69" s="15">
        <f t="shared" si="2"/>
        <v>5.2852903228533805E-7</v>
      </c>
      <c r="S69" s="60">
        <f t="shared" si="3"/>
        <v>1.0204074391948343</v>
      </c>
      <c r="T69" s="60">
        <f t="shared" si="4"/>
        <v>5.3931495637440572E-7</v>
      </c>
      <c r="U69" s="1">
        <f>(306.95*1.08)</f>
        <v>331.50600000000003</v>
      </c>
      <c r="V69" s="1">
        <f t="shared" ref="V69" si="17">(306.95*1.08)</f>
        <v>331.50600000000003</v>
      </c>
      <c r="W69" s="1">
        <v>251</v>
      </c>
      <c r="X69" s="1">
        <f>(306.95*3986523.7)</f>
        <v>1223663449.7149999</v>
      </c>
    </row>
    <row r="70" spans="1:26" s="113" customFormat="1" ht="15.75" x14ac:dyDescent="0.3">
      <c r="A70" s="110">
        <v>60</v>
      </c>
      <c r="B70" s="59" t="s">
        <v>91</v>
      </c>
      <c r="C70" s="94" t="s">
        <v>92</v>
      </c>
      <c r="D70" s="59">
        <v>0</v>
      </c>
      <c r="E70" s="59">
        <v>0</v>
      </c>
      <c r="F70" s="59">
        <v>291007688.31</v>
      </c>
      <c r="G70" s="59">
        <v>105439764.38</v>
      </c>
      <c r="H70" s="59"/>
      <c r="I70" s="59"/>
      <c r="J70" s="59">
        <v>396447452.69</v>
      </c>
      <c r="K70" s="59">
        <v>13573201.789999999</v>
      </c>
      <c r="L70" s="59">
        <v>6556821.5099999998</v>
      </c>
      <c r="M70" s="59">
        <v>403470207.81999999</v>
      </c>
      <c r="N70" s="59">
        <v>7563265.5</v>
      </c>
      <c r="O70" s="3">
        <v>395334208.69999999</v>
      </c>
      <c r="P70" s="10">
        <f t="shared" si="15"/>
        <v>3.4332841003590266E-3</v>
      </c>
      <c r="Q70" s="15">
        <f t="shared" si="16"/>
        <v>3.4333486683668313E-2</v>
      </c>
      <c r="R70" s="15">
        <f t="shared" si="2"/>
        <v>1.6585515155799872E-2</v>
      </c>
      <c r="S70" s="60">
        <f t="shared" si="3"/>
        <v>144.93362887312284</v>
      </c>
      <c r="T70" s="60">
        <f t="shared" si="4"/>
        <v>2.4037988982602529</v>
      </c>
      <c r="U70" s="59">
        <v>144.93022400000001</v>
      </c>
      <c r="V70" s="59">
        <v>147.91296600000001</v>
      </c>
      <c r="W70" s="111">
        <v>287</v>
      </c>
      <c r="X70" s="112">
        <v>2727691.37</v>
      </c>
    </row>
    <row r="71" spans="1:26" ht="15.75" x14ac:dyDescent="0.3">
      <c r="A71" s="34">
        <v>61</v>
      </c>
      <c r="B71" s="1" t="s">
        <v>101</v>
      </c>
      <c r="C71" s="4" t="s">
        <v>103</v>
      </c>
      <c r="D71" s="1">
        <v>0</v>
      </c>
      <c r="E71" s="1"/>
      <c r="F71" s="1">
        <v>111452335.22</v>
      </c>
      <c r="G71" s="1">
        <v>529370196.51999998</v>
      </c>
      <c r="H71" s="1">
        <v>0</v>
      </c>
      <c r="I71" s="1">
        <v>0</v>
      </c>
      <c r="J71" s="1">
        <v>640822531.74000001</v>
      </c>
      <c r="K71" s="1">
        <v>721962.03</v>
      </c>
      <c r="L71" s="75">
        <v>-11090878.52</v>
      </c>
      <c r="M71" s="1">
        <v>653908147.05999994</v>
      </c>
      <c r="N71" s="1">
        <v>6173982.5999999996</v>
      </c>
      <c r="O71" s="3">
        <v>647734164.46000004</v>
      </c>
      <c r="P71" s="10">
        <f>(O71/$O$73)</f>
        <v>5.6252541752273028E-3</v>
      </c>
      <c r="Q71" s="15">
        <f t="shared" si="16"/>
        <v>1.1145961871594065E-3</v>
      </c>
      <c r="R71" s="15">
        <f t="shared" si="2"/>
        <v>-1.7122577638383783E-2</v>
      </c>
      <c r="S71" s="60">
        <f t="shared" si="3"/>
        <v>1.3198363281470029</v>
      </c>
      <c r="T71" s="60">
        <f t="shared" si="4"/>
        <v>-2.2598999998656433E-2</v>
      </c>
      <c r="U71" s="1">
        <v>1.3199000000000001</v>
      </c>
      <c r="V71" s="1">
        <v>1.3199000000000001</v>
      </c>
      <c r="W71" s="66">
        <v>50</v>
      </c>
      <c r="X71" s="52">
        <v>490768552.62</v>
      </c>
    </row>
    <row r="72" spans="1:26" ht="15.75" x14ac:dyDescent="0.3">
      <c r="A72" s="34">
        <v>62</v>
      </c>
      <c r="B72" s="1" t="s">
        <v>1</v>
      </c>
      <c r="C72" s="4" t="s">
        <v>146</v>
      </c>
      <c r="D72" s="1">
        <v>0</v>
      </c>
      <c r="E72" s="1"/>
      <c r="F72" s="1">
        <v>51286224.100000001</v>
      </c>
      <c r="G72" s="1">
        <v>1442005014.52</v>
      </c>
      <c r="H72" s="1">
        <v>0</v>
      </c>
      <c r="I72" s="1">
        <v>0</v>
      </c>
      <c r="J72" s="1">
        <v>1493291238.6199999</v>
      </c>
      <c r="K72" s="1">
        <v>6290831.5999999996</v>
      </c>
      <c r="L72" s="75">
        <v>8881871.5700000003</v>
      </c>
      <c r="M72" s="1">
        <v>1735757454.1500001</v>
      </c>
      <c r="N72" s="1">
        <v>-20708674.969999999</v>
      </c>
      <c r="O72" s="3">
        <v>1715048779.1800001</v>
      </c>
      <c r="P72" s="10">
        <f>(O72/$O$73)</f>
        <v>1.4894359191079164E-2</v>
      </c>
      <c r="Q72" s="15">
        <f t="shared" si="16"/>
        <v>3.668019053666669E-3</v>
      </c>
      <c r="R72" s="15">
        <f t="shared" si="2"/>
        <v>5.1787865615382702E-3</v>
      </c>
      <c r="S72" s="60">
        <f t="shared" si="3"/>
        <v>101.75826427657182</v>
      </c>
      <c r="T72" s="60">
        <f t="shared" si="4"/>
        <v>0.52698433156097002</v>
      </c>
      <c r="U72" s="1">
        <v>101.76</v>
      </c>
      <c r="V72" s="1">
        <v>101.76</v>
      </c>
      <c r="W72" s="66">
        <v>335</v>
      </c>
      <c r="X72" s="52">
        <v>16854147.34</v>
      </c>
    </row>
    <row r="73" spans="1:26" ht="15.75" x14ac:dyDescent="0.3">
      <c r="A73" s="34"/>
      <c r="B73" s="86"/>
      <c r="C73" s="91" t="s">
        <v>61</v>
      </c>
      <c r="D73" s="1"/>
      <c r="E73" s="1"/>
      <c r="F73" s="1"/>
      <c r="G73" s="1"/>
      <c r="H73" s="1"/>
      <c r="I73" s="1"/>
      <c r="J73" s="1"/>
      <c r="K73" s="1"/>
      <c r="L73" s="75"/>
      <c r="M73" s="1"/>
      <c r="N73" s="1"/>
      <c r="O73" s="7">
        <f>SUM(O54:O72)</f>
        <v>115147537210.40999</v>
      </c>
      <c r="P73" s="65">
        <f>(O73/$O$109)</f>
        <v>0.12488965954935551</v>
      </c>
      <c r="Q73" s="15">
        <f t="shared" si="16"/>
        <v>0</v>
      </c>
      <c r="R73" s="15">
        <f t="shared" si="2"/>
        <v>0</v>
      </c>
      <c r="S73" s="60" t="e">
        <f t="shared" si="3"/>
        <v>#DIV/0!</v>
      </c>
      <c r="T73" s="60" t="e">
        <f t="shared" si="4"/>
        <v>#DIV/0!</v>
      </c>
      <c r="U73" s="1"/>
      <c r="V73" s="1"/>
      <c r="W73" s="66"/>
      <c r="X73" s="52"/>
    </row>
    <row r="74" spans="1:26" ht="15.75" x14ac:dyDescent="0.3">
      <c r="A74" s="87"/>
      <c r="B74" s="88"/>
      <c r="C74" s="92" t="s">
        <v>33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3"/>
      <c r="P74" s="10"/>
      <c r="Q74" s="15"/>
      <c r="R74" s="15" t="e">
        <f t="shared" si="2"/>
        <v>#DIV/0!</v>
      </c>
      <c r="S74" s="60" t="e">
        <f t="shared" si="3"/>
        <v>#DIV/0!</v>
      </c>
      <c r="T74" s="60" t="e">
        <f t="shared" si="4"/>
        <v>#DIV/0!</v>
      </c>
      <c r="U74" s="2"/>
      <c r="V74" s="2"/>
      <c r="W74" s="2"/>
      <c r="X74" s="53"/>
    </row>
    <row r="75" spans="1:26" s="113" customFormat="1" ht="15.75" x14ac:dyDescent="0.3">
      <c r="A75" s="110">
        <v>63</v>
      </c>
      <c r="B75" s="116" t="s">
        <v>31</v>
      </c>
      <c r="C75" s="90" t="s">
        <v>158</v>
      </c>
      <c r="D75" s="59"/>
      <c r="E75" s="59"/>
      <c r="F75" s="59">
        <v>53063968.479999997</v>
      </c>
      <c r="G75" s="59">
        <v>522536849.04000002</v>
      </c>
      <c r="H75" s="59">
        <v>1846390000</v>
      </c>
      <c r="I75" s="59"/>
      <c r="J75" s="59">
        <v>2422178755.02</v>
      </c>
      <c r="K75" s="59">
        <v>8357998.7699999996</v>
      </c>
      <c r="L75" s="59">
        <v>8572457.5899999999</v>
      </c>
      <c r="M75" s="59">
        <v>2439667843</v>
      </c>
      <c r="N75" s="59">
        <v>69751881</v>
      </c>
      <c r="O75" s="59">
        <v>2369915962</v>
      </c>
      <c r="P75" s="123">
        <f>(O75/$O$78)</f>
        <v>5.3101891863389698E-2</v>
      </c>
      <c r="Q75" s="124">
        <f t="shared" ref="Q75:Q85" si="18">(K75/O75)</f>
        <v>3.5267068132435321E-3</v>
      </c>
      <c r="R75" s="124">
        <f t="shared" si="2"/>
        <v>3.6171989755981061E-3</v>
      </c>
      <c r="S75" s="125" t="e">
        <f t="shared" si="3"/>
        <v>#DIV/0!</v>
      </c>
      <c r="T75" s="125" t="e">
        <f t="shared" si="4"/>
        <v>#DIV/0!</v>
      </c>
      <c r="U75" s="59"/>
      <c r="V75" s="59"/>
      <c r="W75" s="111">
        <v>2602</v>
      </c>
      <c r="X75" s="115"/>
    </row>
    <row r="76" spans="1:26" ht="15.75" x14ac:dyDescent="0.3">
      <c r="A76" s="34">
        <v>64</v>
      </c>
      <c r="B76" s="6" t="s">
        <v>31</v>
      </c>
      <c r="C76" s="39" t="s">
        <v>34</v>
      </c>
      <c r="D76" s="1"/>
      <c r="E76" s="1"/>
      <c r="F76" s="1">
        <v>276549445.20999998</v>
      </c>
      <c r="G76" s="1">
        <v>165022251.63999999</v>
      </c>
      <c r="H76" s="1">
        <v>9919508562.8199997</v>
      </c>
      <c r="I76" s="1"/>
      <c r="J76" s="1">
        <v>10445868043.059999</v>
      </c>
      <c r="K76" s="1">
        <v>16624470.16</v>
      </c>
      <c r="L76" s="75">
        <v>23884795.649999999</v>
      </c>
      <c r="M76" s="1">
        <v>10971590258.32</v>
      </c>
      <c r="N76" s="1">
        <v>1211667408.3499999</v>
      </c>
      <c r="O76" s="3">
        <v>9759922850</v>
      </c>
      <c r="P76" s="10">
        <f>(O76/$O$78)</f>
        <v>0.21868723452048136</v>
      </c>
      <c r="Q76" s="15">
        <f t="shared" si="18"/>
        <v>1.7033403250723443E-3</v>
      </c>
      <c r="R76" s="15">
        <f t="shared" si="2"/>
        <v>2.4472320137243707E-3</v>
      </c>
      <c r="S76" s="60">
        <f t="shared" si="3"/>
        <v>51.879418828548573</v>
      </c>
      <c r="T76" s="60">
        <f t="shared" si="4"/>
        <v>0.12696097461063896</v>
      </c>
      <c r="U76" s="1">
        <v>40.700000000000003</v>
      </c>
      <c r="V76" s="1">
        <v>40.700000000000003</v>
      </c>
      <c r="W76" s="66">
        <v>5220</v>
      </c>
      <c r="X76" s="52">
        <v>188127066</v>
      </c>
      <c r="Z76" s="35"/>
    </row>
    <row r="77" spans="1:26" ht="15.75" x14ac:dyDescent="0.3">
      <c r="A77" s="79">
        <v>65</v>
      </c>
      <c r="B77" s="4" t="s">
        <v>25</v>
      </c>
      <c r="C77" s="39" t="s">
        <v>35</v>
      </c>
      <c r="D77" s="1"/>
      <c r="E77" s="1"/>
      <c r="F77" s="1">
        <v>1613950634.1199999</v>
      </c>
      <c r="G77" s="1">
        <v>731349657.52999997</v>
      </c>
      <c r="H77" s="1">
        <v>29289131890</v>
      </c>
      <c r="J77" s="1">
        <v>31634432181.650002</v>
      </c>
      <c r="K77" s="1">
        <v>7629968.9699999997</v>
      </c>
      <c r="L77" s="75">
        <v>783143303.03999996</v>
      </c>
      <c r="M77" s="1">
        <v>33223577322.330002</v>
      </c>
      <c r="N77" s="1">
        <v>723820486.47000003</v>
      </c>
      <c r="O77" s="3">
        <v>32499756835.869999</v>
      </c>
      <c r="P77" s="10">
        <f>(O77/$O$78)</f>
        <v>0.72821087361612902</v>
      </c>
      <c r="Q77" s="15">
        <f t="shared" si="18"/>
        <v>2.3477003254309886E-4</v>
      </c>
      <c r="R77" s="15">
        <f t="shared" ref="R77:R109" si="19">L77/O77</f>
        <v>2.4096897308955995E-2</v>
      </c>
      <c r="S77" s="60">
        <f t="shared" ref="S77:S109" si="20">O77/X77</f>
        <v>12.180087819416292</v>
      </c>
      <c r="T77" s="60">
        <f t="shared" ref="T77:T109" si="21">L77/X77</f>
        <v>0.2935023253985401</v>
      </c>
      <c r="U77" s="1">
        <v>12.18</v>
      </c>
      <c r="V77" s="1">
        <v>12.18</v>
      </c>
      <c r="W77" s="66">
        <v>894</v>
      </c>
      <c r="X77" s="52">
        <v>2668269500</v>
      </c>
    </row>
    <row r="78" spans="1:26" ht="15.75" x14ac:dyDescent="0.3">
      <c r="A78" s="34"/>
      <c r="B78" s="6"/>
      <c r="C78" s="91" t="s">
        <v>61</v>
      </c>
      <c r="D78" s="1"/>
      <c r="E78" s="1"/>
      <c r="F78" s="1"/>
      <c r="G78" s="1"/>
      <c r="H78" s="1"/>
      <c r="I78" s="1"/>
      <c r="J78" s="1"/>
      <c r="K78" s="1"/>
      <c r="L78" s="75"/>
      <c r="M78" s="1"/>
      <c r="N78" s="1"/>
      <c r="O78" s="7">
        <f>SUM(O75:O77)</f>
        <v>44629595647.869995</v>
      </c>
      <c r="P78" s="65">
        <f>(O78/$O$109)</f>
        <v>4.8405507762644365E-2</v>
      </c>
      <c r="Q78" s="15">
        <f t="shared" si="18"/>
        <v>0</v>
      </c>
      <c r="R78" s="15">
        <f t="shared" si="19"/>
        <v>0</v>
      </c>
      <c r="S78" s="60" t="e">
        <f t="shared" si="20"/>
        <v>#DIV/0!</v>
      </c>
      <c r="T78" s="60" t="e">
        <f t="shared" si="21"/>
        <v>#DIV/0!</v>
      </c>
      <c r="U78" s="1"/>
      <c r="V78" s="1"/>
      <c r="W78" s="66"/>
      <c r="X78" s="52"/>
    </row>
    <row r="79" spans="1:26" ht="15.75" x14ac:dyDescent="0.3">
      <c r="A79" s="87"/>
      <c r="B79" s="88"/>
      <c r="C79" s="92" t="s">
        <v>36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3"/>
      <c r="P79" s="10"/>
      <c r="Q79" s="15"/>
      <c r="R79" s="15"/>
      <c r="S79" s="60"/>
      <c r="T79" s="60"/>
      <c r="U79" s="2"/>
      <c r="V79" s="2"/>
      <c r="W79" s="2"/>
      <c r="X79" s="53"/>
    </row>
    <row r="80" spans="1:26" ht="15.75" x14ac:dyDescent="0.3">
      <c r="A80" s="34">
        <v>66</v>
      </c>
      <c r="B80" s="6" t="s">
        <v>1</v>
      </c>
      <c r="C80" s="90" t="s">
        <v>10</v>
      </c>
      <c r="D80" s="1">
        <v>297154492.75</v>
      </c>
      <c r="E80" s="1"/>
      <c r="F80" s="1">
        <v>401366242.02999997</v>
      </c>
      <c r="G80" s="1">
        <v>416720893.35000002</v>
      </c>
      <c r="H80" s="1"/>
      <c r="I80" s="1"/>
      <c r="J80" s="1">
        <v>1116107575.73</v>
      </c>
      <c r="K80" s="1">
        <v>1320294.95</v>
      </c>
      <c r="L80" s="75">
        <v>16997036.440000001</v>
      </c>
      <c r="M80" s="1">
        <v>1142556904.8399999</v>
      </c>
      <c r="N80" s="1">
        <v>-5231956.45</v>
      </c>
      <c r="O80" s="3">
        <v>1137324948.3699999</v>
      </c>
      <c r="P80" s="10">
        <f t="shared" ref="P80:P100" si="22">(O80/$O$101)</f>
        <v>4.548858280163573E-2</v>
      </c>
      <c r="Q80" s="15">
        <f t="shared" si="18"/>
        <v>1.1608775063733812E-3</v>
      </c>
      <c r="R80" s="15">
        <f t="shared" si="19"/>
        <v>1.4944749488138764E-2</v>
      </c>
      <c r="S80" s="60">
        <f t="shared" si="20"/>
        <v>2466.5604339810616</v>
      </c>
      <c r="T80" s="60">
        <f t="shared" si="21"/>
        <v>36.8621277832018</v>
      </c>
      <c r="U80" s="1">
        <v>2459.9499999999998</v>
      </c>
      <c r="V80" s="1">
        <v>2471.23</v>
      </c>
      <c r="W80" s="66">
        <v>877</v>
      </c>
      <c r="X80" s="52">
        <v>461097.54</v>
      </c>
    </row>
    <row r="81" spans="1:26" ht="15.75" x14ac:dyDescent="0.3">
      <c r="A81" s="34">
        <v>67</v>
      </c>
      <c r="B81" s="6" t="s">
        <v>6</v>
      </c>
      <c r="C81" s="90" t="s">
        <v>37</v>
      </c>
      <c r="D81" s="1">
        <v>52360378.049999997</v>
      </c>
      <c r="E81" s="1"/>
      <c r="F81" s="1">
        <v>61342722.100000001</v>
      </c>
      <c r="G81" s="6"/>
      <c r="H81" s="1"/>
      <c r="I81" s="1"/>
      <c r="J81" s="1">
        <v>146431829.03</v>
      </c>
      <c r="K81" s="1">
        <v>410208.55</v>
      </c>
      <c r="L81" s="75">
        <v>280241.06</v>
      </c>
      <c r="M81" s="6">
        <v>148132815.16999999</v>
      </c>
      <c r="N81" s="1">
        <v>1700986.14</v>
      </c>
      <c r="O81" s="3">
        <v>146431829.03</v>
      </c>
      <c r="P81" s="10">
        <f t="shared" si="22"/>
        <v>5.8567047079838971E-3</v>
      </c>
      <c r="Q81" s="15">
        <f t="shared" si="18"/>
        <v>2.8013619219081059E-3</v>
      </c>
      <c r="R81" s="15">
        <f t="shared" si="19"/>
        <v>1.9137988090184002E-3</v>
      </c>
      <c r="S81" s="60">
        <f t="shared" si="20"/>
        <v>110.70592119965828</v>
      </c>
      <c r="T81" s="60">
        <f t="shared" si="21"/>
        <v>0.21186886014319087</v>
      </c>
      <c r="U81" s="1">
        <v>109.74</v>
      </c>
      <c r="V81" s="1">
        <v>110.66</v>
      </c>
      <c r="W81" s="66">
        <v>741</v>
      </c>
      <c r="X81" s="52">
        <v>1322710</v>
      </c>
    </row>
    <row r="82" spans="1:26" ht="15.75" x14ac:dyDescent="0.3">
      <c r="A82" s="34">
        <v>68</v>
      </c>
      <c r="B82" s="6" t="s">
        <v>8</v>
      </c>
      <c r="C82" s="90" t="s">
        <v>118</v>
      </c>
      <c r="D82" s="1">
        <v>279822287.19999999</v>
      </c>
      <c r="E82" s="1"/>
      <c r="F82" s="1"/>
      <c r="G82" s="1">
        <v>217516324</v>
      </c>
      <c r="H82" s="1"/>
      <c r="I82" s="1"/>
      <c r="J82" s="1">
        <v>497338611</v>
      </c>
      <c r="K82" s="1">
        <v>1230947</v>
      </c>
      <c r="L82" s="75">
        <v>11108562</v>
      </c>
      <c r="M82" s="1">
        <v>796659644</v>
      </c>
      <c r="N82" s="1">
        <v>-53801720</v>
      </c>
      <c r="O82" s="3">
        <v>742857923.89999998</v>
      </c>
      <c r="P82" s="10">
        <f t="shared" si="22"/>
        <v>2.9711433156905599E-2</v>
      </c>
      <c r="Q82" s="15">
        <f t="shared" si="18"/>
        <v>1.6570422962408949E-3</v>
      </c>
      <c r="R82" s="15">
        <f t="shared" si="19"/>
        <v>1.4953817739036977E-2</v>
      </c>
      <c r="S82" s="60">
        <f t="shared" si="20"/>
        <v>1.1153846077848282</v>
      </c>
      <c r="T82" s="60">
        <f t="shared" si="21"/>
        <v>1.6679258133741565E-2</v>
      </c>
      <c r="U82" s="1">
        <v>1.1677999999999999</v>
      </c>
      <c r="V82" s="1">
        <v>1.181</v>
      </c>
      <c r="W82" s="66">
        <v>3644</v>
      </c>
      <c r="X82" s="52">
        <v>666010557</v>
      </c>
    </row>
    <row r="83" spans="1:26" ht="15.75" x14ac:dyDescent="0.3">
      <c r="A83" s="34">
        <v>69</v>
      </c>
      <c r="B83" s="31" t="s">
        <v>63</v>
      </c>
      <c r="C83" s="39" t="s">
        <v>38</v>
      </c>
      <c r="D83" s="1">
        <v>1798821500.26</v>
      </c>
      <c r="E83" s="41"/>
      <c r="F83" s="1">
        <v>421512945.18000001</v>
      </c>
      <c r="G83" s="1">
        <v>565886642.54999995</v>
      </c>
      <c r="H83" s="1">
        <v>52000000</v>
      </c>
      <c r="I83" s="1"/>
      <c r="J83" s="1">
        <v>2838221087.9899998</v>
      </c>
      <c r="K83" s="1">
        <v>6782084.9800000004</v>
      </c>
      <c r="L83" s="75">
        <v>167590568.11000001</v>
      </c>
      <c r="M83" s="1">
        <v>3551925.1630000002</v>
      </c>
      <c r="N83" s="1">
        <v>-13954934</v>
      </c>
      <c r="O83" s="3">
        <v>3537970229</v>
      </c>
      <c r="P83" s="10">
        <f t="shared" si="22"/>
        <v>0.14150507464224882</v>
      </c>
      <c r="Q83" s="15">
        <f t="shared" si="18"/>
        <v>1.9169423542370911E-3</v>
      </c>
      <c r="R83" s="15">
        <f t="shared" si="19"/>
        <v>4.7369128981441189E-2</v>
      </c>
      <c r="S83" s="60">
        <f t="shared" si="20"/>
        <v>338.58215653192491</v>
      </c>
      <c r="T83" s="60">
        <f t="shared" si="21"/>
        <v>16.03834184357526</v>
      </c>
      <c r="U83" s="1">
        <v>343</v>
      </c>
      <c r="V83" s="1">
        <v>353</v>
      </c>
      <c r="W83" s="66">
        <v>35313</v>
      </c>
      <c r="X83" s="52">
        <v>10449370</v>
      </c>
    </row>
    <row r="84" spans="1:26" ht="15.75" x14ac:dyDescent="0.3">
      <c r="A84" s="34">
        <v>70</v>
      </c>
      <c r="B84" s="6" t="s">
        <v>29</v>
      </c>
      <c r="C84" s="90" t="s">
        <v>39</v>
      </c>
      <c r="D84" s="1">
        <v>0.02</v>
      </c>
      <c r="E84" s="1"/>
      <c r="F84" s="1">
        <v>1742536711.8299999</v>
      </c>
      <c r="G84" s="1">
        <v>374258653.56</v>
      </c>
      <c r="I84" s="1"/>
      <c r="J84" s="1">
        <v>2116795365.4100001</v>
      </c>
      <c r="K84" s="1">
        <v>3365497.88</v>
      </c>
      <c r="L84" s="75">
        <v>119773740.84999999</v>
      </c>
      <c r="M84" s="1">
        <v>2116795365.4100001</v>
      </c>
      <c r="N84" s="106">
        <v>-3787283.72</v>
      </c>
      <c r="O84" s="3">
        <v>2113008081.6900001</v>
      </c>
      <c r="P84" s="10">
        <f t="shared" si="22"/>
        <v>8.4512120500157675E-2</v>
      </c>
      <c r="Q84" s="15">
        <f t="shared" si="18"/>
        <v>1.5927520150837515E-3</v>
      </c>
      <c r="R84" s="15">
        <f t="shared" si="19"/>
        <v>5.6683995621163948E-2</v>
      </c>
      <c r="S84" s="60">
        <f t="shared" si="20"/>
        <v>10.337940917548869</v>
      </c>
      <c r="T84" s="60">
        <f t="shared" si="21"/>
        <v>0.58599579770219157</v>
      </c>
      <c r="U84" s="1">
        <v>10.2523</v>
      </c>
      <c r="V84" s="1">
        <v>10.4062</v>
      </c>
      <c r="W84" s="66">
        <v>6775</v>
      </c>
      <c r="X84" s="52">
        <v>204393514.97</v>
      </c>
    </row>
    <row r="85" spans="1:26" ht="15.75" x14ac:dyDescent="0.3">
      <c r="A85" s="34">
        <v>71</v>
      </c>
      <c r="B85" s="39" t="s">
        <v>94</v>
      </c>
      <c r="C85" s="90" t="s">
        <v>126</v>
      </c>
      <c r="D85" s="1">
        <v>304921887.63999999</v>
      </c>
      <c r="E85" s="1"/>
      <c r="F85" s="1">
        <v>579749978.63999999</v>
      </c>
      <c r="G85" s="1">
        <v>198150054.63</v>
      </c>
      <c r="H85" s="1">
        <v>28670299.609999999</v>
      </c>
      <c r="I85" s="1"/>
      <c r="J85" s="1">
        <v>1111492220.52</v>
      </c>
      <c r="K85" s="1">
        <v>1487971.25</v>
      </c>
      <c r="L85" s="75">
        <v>19514421.829999998</v>
      </c>
      <c r="M85" s="1">
        <v>1112711924.8499999</v>
      </c>
      <c r="N85" s="1">
        <v>82645571.299999997</v>
      </c>
      <c r="O85" s="3">
        <v>1030066353.5599999</v>
      </c>
      <c r="P85" s="10">
        <f t="shared" si="22"/>
        <v>4.1198655390657569E-2</v>
      </c>
      <c r="Q85" s="15">
        <f t="shared" si="18"/>
        <v>1.4445392229902865E-3</v>
      </c>
      <c r="R85" s="15">
        <f t="shared" si="19"/>
        <v>1.894482016867791E-2</v>
      </c>
      <c r="S85" s="60">
        <f t="shared" si="20"/>
        <v>1.8938406223605146</v>
      </c>
      <c r="T85" s="60">
        <f t="shared" si="21"/>
        <v>3.5878470018757005E-2</v>
      </c>
      <c r="U85" s="1">
        <v>1.9096</v>
      </c>
      <c r="V85" s="1">
        <v>1.9356</v>
      </c>
      <c r="W85" s="66">
        <v>2842</v>
      </c>
      <c r="X85" s="52">
        <v>543903400</v>
      </c>
    </row>
    <row r="86" spans="1:26" ht="15.75" x14ac:dyDescent="0.3">
      <c r="A86" s="34">
        <v>72</v>
      </c>
      <c r="B86" s="6" t="s">
        <v>17</v>
      </c>
      <c r="C86" s="90" t="s">
        <v>105</v>
      </c>
      <c r="D86" s="1">
        <v>12489155.9</v>
      </c>
      <c r="E86" s="1"/>
      <c r="F86" s="1">
        <v>89621712.730000004</v>
      </c>
      <c r="G86" s="1"/>
      <c r="H86" s="1"/>
      <c r="I86" s="1"/>
      <c r="J86" s="1">
        <v>107477280.7</v>
      </c>
      <c r="K86" s="1">
        <v>140201.46</v>
      </c>
      <c r="L86" s="75">
        <v>868965.02</v>
      </c>
      <c r="M86" s="1">
        <v>107477280.7</v>
      </c>
      <c r="N86" s="1">
        <v>2823167.71</v>
      </c>
      <c r="O86" s="3">
        <v>104654112.89</v>
      </c>
      <c r="P86" s="10">
        <f t="shared" si="22"/>
        <v>4.1857582448633383E-3</v>
      </c>
      <c r="Q86" s="15">
        <f t="shared" ref="Q86:Q101" si="23">(K86/O86)</f>
        <v>1.3396650750588574E-3</v>
      </c>
      <c r="R86" s="15">
        <f t="shared" si="19"/>
        <v>8.3032094583167793E-3</v>
      </c>
      <c r="S86" s="60">
        <f t="shared" si="20"/>
        <v>2.4025075220862813</v>
      </c>
      <c r="T86" s="60">
        <f t="shared" si="21"/>
        <v>1.9948523181064021E-2</v>
      </c>
      <c r="U86" s="1">
        <v>2.4264000000000001</v>
      </c>
      <c r="V86" s="1">
        <v>2.4672999999999998</v>
      </c>
      <c r="W86" s="66">
        <v>11813</v>
      </c>
      <c r="X86" s="1">
        <v>43560368.460000001</v>
      </c>
    </row>
    <row r="87" spans="1:26" ht="15.75" x14ac:dyDescent="0.3">
      <c r="A87" s="79">
        <v>73</v>
      </c>
      <c r="B87" s="4" t="s">
        <v>40</v>
      </c>
      <c r="C87" s="94" t="s">
        <v>144</v>
      </c>
      <c r="D87" s="4">
        <v>1181533484.03</v>
      </c>
      <c r="E87" s="4"/>
      <c r="F87" s="4">
        <v>924364710.91999996</v>
      </c>
      <c r="G87" s="4">
        <v>744033223.51999998</v>
      </c>
      <c r="H87" s="4"/>
      <c r="I87" s="4"/>
      <c r="J87" s="4">
        <v>2835693130.4899998</v>
      </c>
      <c r="K87" s="4">
        <v>4527152.2</v>
      </c>
      <c r="L87" s="77">
        <v>125551453.45999999</v>
      </c>
      <c r="M87" s="4">
        <v>2848683787.9899998</v>
      </c>
      <c r="N87" s="4">
        <v>-12990657.5</v>
      </c>
      <c r="O87" s="30">
        <v>2835693130.4899998</v>
      </c>
      <c r="P87" s="29">
        <f t="shared" si="22"/>
        <v>0.11341671696483335</v>
      </c>
      <c r="Q87" s="43">
        <f t="shared" ref="Q87" si="24">(K87/O87)</f>
        <v>1.5964887566017134E-3</v>
      </c>
      <c r="R87" s="15">
        <f t="shared" ref="R87" si="25">L87/O87</f>
        <v>4.4275402056041607E-2</v>
      </c>
      <c r="S87" s="60">
        <f t="shared" ref="S87" si="26">O87/X87</f>
        <v>143.9352360671501</v>
      </c>
      <c r="T87" s="60">
        <f t="shared" ref="T87" si="27">L87/X87</f>
        <v>6.3727904469043315</v>
      </c>
      <c r="U87" s="1">
        <v>143.94</v>
      </c>
      <c r="V87" s="1">
        <v>144.91999999999999</v>
      </c>
      <c r="W87" s="66">
        <v>5541</v>
      </c>
      <c r="X87" s="52">
        <v>19701174</v>
      </c>
    </row>
    <row r="88" spans="1:26" ht="15.75" x14ac:dyDescent="0.3">
      <c r="A88" s="79">
        <v>74</v>
      </c>
      <c r="B88" s="39" t="s">
        <v>66</v>
      </c>
      <c r="C88" s="90" t="s">
        <v>41</v>
      </c>
      <c r="D88" s="1">
        <v>213404358.90000001</v>
      </c>
      <c r="E88" s="1"/>
      <c r="F88" s="1">
        <v>68475946.989999995</v>
      </c>
      <c r="G88" s="1"/>
      <c r="H88" s="1"/>
      <c r="I88" s="1"/>
      <c r="J88" s="1">
        <v>281880305.88999999</v>
      </c>
      <c r="K88" s="1">
        <v>783222.84</v>
      </c>
      <c r="L88" s="75">
        <v>-320034.07</v>
      </c>
      <c r="M88" s="1">
        <v>327297380.56</v>
      </c>
      <c r="N88" s="1">
        <v>5939722.7800000003</v>
      </c>
      <c r="O88" s="3">
        <v>321357657.77999997</v>
      </c>
      <c r="P88" s="10">
        <f t="shared" si="22"/>
        <v>1.2853058790115994E-2</v>
      </c>
      <c r="Q88" s="15">
        <f t="shared" si="23"/>
        <v>2.4372309824842913E-3</v>
      </c>
      <c r="R88" s="15">
        <f t="shared" si="19"/>
        <v>-9.9588126267429388E-4</v>
      </c>
      <c r="S88" s="60">
        <f t="shared" si="20"/>
        <v>146.31506172285944</v>
      </c>
      <c r="T88" s="60">
        <f t="shared" si="21"/>
        <v>-0.14571242841682852</v>
      </c>
      <c r="U88" s="1">
        <v>146.31</v>
      </c>
      <c r="V88" s="1">
        <v>149.02000000000001</v>
      </c>
      <c r="W88" s="66">
        <v>1808</v>
      </c>
      <c r="X88" s="52">
        <v>2196340.2400000002</v>
      </c>
    </row>
    <row r="89" spans="1:26" ht="15.75" x14ac:dyDescent="0.3">
      <c r="A89" s="34">
        <v>75</v>
      </c>
      <c r="B89" s="6" t="s">
        <v>112</v>
      </c>
      <c r="C89" s="95" t="s">
        <v>113</v>
      </c>
      <c r="D89" s="1">
        <v>2305801719.9000001</v>
      </c>
      <c r="E89" s="1"/>
      <c r="F89" s="1">
        <v>1453431081.3399999</v>
      </c>
      <c r="G89" s="1">
        <v>775918610.83000004</v>
      </c>
      <c r="H89" s="1"/>
      <c r="I89" s="1"/>
      <c r="J89" s="1">
        <v>4688240777.0699997</v>
      </c>
      <c r="K89" s="1">
        <v>6319535.7400000002</v>
      </c>
      <c r="L89" s="75">
        <v>192866489</v>
      </c>
      <c r="M89" s="1">
        <v>4979760422.5299997</v>
      </c>
      <c r="N89" s="1">
        <v>31031145.34</v>
      </c>
      <c r="O89" s="3">
        <v>4948729277.1899996</v>
      </c>
      <c r="P89" s="10">
        <f t="shared" si="22"/>
        <v>0.19792995995644172</v>
      </c>
      <c r="Q89" s="15">
        <f t="shared" si="23"/>
        <v>1.2770017081209937E-3</v>
      </c>
      <c r="R89" s="15">
        <f t="shared" si="19"/>
        <v>3.8972931877476628E-2</v>
      </c>
      <c r="S89" s="60">
        <f t="shared" si="20"/>
        <v>154.18145845474993</v>
      </c>
      <c r="T89" s="60">
        <f t="shared" si="21"/>
        <v>6.008903477126962</v>
      </c>
      <c r="U89" s="1">
        <v>0</v>
      </c>
      <c r="V89" s="1">
        <v>0</v>
      </c>
      <c r="W89" s="66">
        <v>24</v>
      </c>
      <c r="X89" s="66">
        <v>32096786</v>
      </c>
    </row>
    <row r="90" spans="1:26" ht="15.75" x14ac:dyDescent="0.3">
      <c r="A90" s="34">
        <v>76</v>
      </c>
      <c r="B90" s="4" t="s">
        <v>42</v>
      </c>
      <c r="C90" s="90" t="s">
        <v>43</v>
      </c>
      <c r="D90" s="1"/>
      <c r="E90" s="1"/>
      <c r="F90" s="1">
        <v>608500608.33000004</v>
      </c>
      <c r="G90" s="1">
        <v>722440093.45000005</v>
      </c>
      <c r="H90" s="1"/>
      <c r="I90" s="1"/>
      <c r="J90" s="1">
        <v>1674827941.5</v>
      </c>
      <c r="K90" s="1">
        <v>6481248.7999999998</v>
      </c>
      <c r="L90" s="75">
        <v>28617121.059999999</v>
      </c>
      <c r="M90" s="1">
        <v>1674827941.5</v>
      </c>
      <c r="N90" s="1">
        <v>95651932.109999999</v>
      </c>
      <c r="O90" s="3">
        <v>1579176009.3900001</v>
      </c>
      <c r="P90" s="10">
        <f t="shared" si="22"/>
        <v>6.316090996196469E-2</v>
      </c>
      <c r="Q90" s="15">
        <f t="shared" si="23"/>
        <v>4.1041965945921126E-3</v>
      </c>
      <c r="R90" s="15">
        <f t="shared" si="19"/>
        <v>1.8121552562753371E-2</v>
      </c>
      <c r="S90" s="60">
        <f t="shared" si="20"/>
        <v>1</v>
      </c>
      <c r="T90" s="60">
        <f t="shared" si="21"/>
        <v>1.8121552562753371E-2</v>
      </c>
      <c r="U90" s="1">
        <v>0.89300000000000002</v>
      </c>
      <c r="V90" s="1">
        <v>0.90129999999999999</v>
      </c>
      <c r="W90" s="66">
        <v>10434</v>
      </c>
      <c r="X90" s="52">
        <v>1579176009.3900001</v>
      </c>
    </row>
    <row r="91" spans="1:26" ht="15.75" x14ac:dyDescent="0.3">
      <c r="A91" s="34">
        <v>77</v>
      </c>
      <c r="B91" s="6" t="s">
        <v>25</v>
      </c>
      <c r="C91" s="90" t="s">
        <v>44</v>
      </c>
      <c r="D91" s="1">
        <v>672396393.45000005</v>
      </c>
      <c r="E91" s="1"/>
      <c r="F91" s="1">
        <v>1212348316.45</v>
      </c>
      <c r="G91" s="1">
        <v>44984825.810000002</v>
      </c>
      <c r="H91" s="1"/>
      <c r="I91" s="1"/>
      <c r="J91" s="1">
        <v>1929729535.7</v>
      </c>
      <c r="K91" s="1">
        <v>4690133.66</v>
      </c>
      <c r="L91" s="75">
        <v>8033112.9000000004</v>
      </c>
      <c r="M91" s="1">
        <v>1977833434.8499999</v>
      </c>
      <c r="N91" s="1">
        <v>21245291.510000002</v>
      </c>
      <c r="O91" s="3">
        <v>1979161737.5</v>
      </c>
      <c r="P91" s="10">
        <f t="shared" si="22"/>
        <v>7.9158786328504288E-2</v>
      </c>
      <c r="Q91" s="15">
        <f t="shared" si="23"/>
        <v>2.3697576459437795E-3</v>
      </c>
      <c r="R91" s="15">
        <f t="shared" si="19"/>
        <v>4.0588461002419723E-3</v>
      </c>
      <c r="S91" s="60">
        <f t="shared" si="20"/>
        <v>3075.3503487984294</v>
      </c>
      <c r="T91" s="60">
        <f t="shared" si="21"/>
        <v>12.482373770098294</v>
      </c>
      <c r="U91" s="1">
        <v>3057.08</v>
      </c>
      <c r="V91" s="1">
        <v>3090.52</v>
      </c>
      <c r="W91" s="66">
        <v>941</v>
      </c>
      <c r="X91" s="52">
        <v>643556.51</v>
      </c>
    </row>
    <row r="92" spans="1:26" ht="15.75" x14ac:dyDescent="0.3">
      <c r="A92" s="34">
        <v>78</v>
      </c>
      <c r="B92" s="6" t="s">
        <v>8</v>
      </c>
      <c r="C92" s="90" t="s">
        <v>95</v>
      </c>
      <c r="D92" s="1">
        <v>103007750</v>
      </c>
      <c r="E92" s="1"/>
      <c r="F92" s="1">
        <v>0</v>
      </c>
      <c r="G92" s="1"/>
      <c r="H92" s="1"/>
      <c r="I92" s="1"/>
      <c r="J92" s="1">
        <v>103007750</v>
      </c>
      <c r="K92" s="1">
        <v>851673</v>
      </c>
      <c r="L92" s="75">
        <v>4997687</v>
      </c>
      <c r="M92" s="1">
        <v>518408788</v>
      </c>
      <c r="N92" s="1">
        <v>-12792082.43</v>
      </c>
      <c r="O92" s="3">
        <v>505616706</v>
      </c>
      <c r="P92" s="10">
        <f t="shared" si="22"/>
        <v>2.0222705419180614E-2</v>
      </c>
      <c r="Q92" s="15">
        <f t="shared" si="23"/>
        <v>1.6844241693232344E-3</v>
      </c>
      <c r="R92" s="15">
        <f t="shared" si="19"/>
        <v>9.884339146024974E-3</v>
      </c>
      <c r="S92" s="60">
        <f t="shared" si="20"/>
        <v>1.0195588789943839</v>
      </c>
      <c r="T92" s="60">
        <f t="shared" si="21"/>
        <v>1.0077665739321527E-2</v>
      </c>
      <c r="U92" s="1">
        <v>1.0633999999999999</v>
      </c>
      <c r="V92" s="1">
        <v>1.07</v>
      </c>
      <c r="W92" s="66">
        <v>204</v>
      </c>
      <c r="X92" s="52">
        <v>495917123</v>
      </c>
      <c r="Y92" s="25"/>
      <c r="Z92" s="24"/>
    </row>
    <row r="93" spans="1:26" ht="15.75" x14ac:dyDescent="0.3">
      <c r="A93" s="34">
        <v>79</v>
      </c>
      <c r="B93" s="1" t="s">
        <v>4</v>
      </c>
      <c r="C93" s="90" t="s">
        <v>45</v>
      </c>
      <c r="D93" s="28">
        <v>274623384.19999999</v>
      </c>
      <c r="E93" s="28"/>
      <c r="F93" s="28">
        <v>841966604.00999999</v>
      </c>
      <c r="G93" s="28"/>
      <c r="H93" s="1"/>
      <c r="I93" s="1"/>
      <c r="J93" s="28">
        <v>1116589988.21</v>
      </c>
      <c r="K93" s="28">
        <v>1794687.39</v>
      </c>
      <c r="L93" s="76">
        <v>8590441.5099999998</v>
      </c>
      <c r="M93" s="28">
        <v>1119699623.25</v>
      </c>
      <c r="N93" s="28">
        <v>32876335.449999999</v>
      </c>
      <c r="O93" s="3">
        <v>1086823287.8</v>
      </c>
      <c r="P93" s="10">
        <f t="shared" si="22"/>
        <v>4.3468712427956746E-2</v>
      </c>
      <c r="Q93" s="15">
        <f t="shared" si="23"/>
        <v>1.6513148090826178E-3</v>
      </c>
      <c r="R93" s="15">
        <f t="shared" si="19"/>
        <v>7.9041750452267037E-3</v>
      </c>
      <c r="S93" s="60">
        <f t="shared" si="20"/>
        <v>1456.9653298478449</v>
      </c>
      <c r="T93" s="60">
        <f t="shared" si="21"/>
        <v>11.51610900194383</v>
      </c>
      <c r="U93" s="1">
        <v>0</v>
      </c>
      <c r="V93" s="1">
        <v>0</v>
      </c>
      <c r="W93" s="66">
        <v>830</v>
      </c>
      <c r="X93" s="57">
        <v>745950</v>
      </c>
    </row>
    <row r="94" spans="1:26" ht="15.75" x14ac:dyDescent="0.3">
      <c r="A94" s="34">
        <v>80</v>
      </c>
      <c r="B94" s="1" t="s">
        <v>101</v>
      </c>
      <c r="C94" s="90" t="s">
        <v>106</v>
      </c>
      <c r="D94" s="28">
        <v>37564667.049999997</v>
      </c>
      <c r="E94" s="28">
        <v>0</v>
      </c>
      <c r="F94" s="28">
        <v>32115914.609999999</v>
      </c>
      <c r="G94" s="28">
        <v>16310146.060000001</v>
      </c>
      <c r="H94" s="1">
        <v>0</v>
      </c>
      <c r="I94" s="1">
        <v>0</v>
      </c>
      <c r="J94" s="28">
        <v>97216859.840000004</v>
      </c>
      <c r="K94" s="28">
        <v>123087.65</v>
      </c>
      <c r="L94" s="76">
        <v>6041813.7300000004</v>
      </c>
      <c r="M94" s="28">
        <v>98530018.760000005</v>
      </c>
      <c r="N94" s="28">
        <v>1749924.97</v>
      </c>
      <c r="O94" s="61">
        <v>89757045.090000004</v>
      </c>
      <c r="P94" s="10">
        <f t="shared" si="22"/>
        <v>3.5899333637745383E-3</v>
      </c>
      <c r="Q94" s="15">
        <f t="shared" si="23"/>
        <v>1.3713424932447272E-3</v>
      </c>
      <c r="R94" s="15">
        <f t="shared" si="19"/>
        <v>6.7312974975299519E-2</v>
      </c>
      <c r="S94" s="60">
        <f t="shared" si="20"/>
        <v>0.85038505620077731</v>
      </c>
      <c r="T94" s="60">
        <f t="shared" si="21"/>
        <v>5.7241948007411593E-2</v>
      </c>
      <c r="U94" s="1">
        <v>0.91279999999999994</v>
      </c>
      <c r="V94" s="1">
        <v>0.92010000000000003</v>
      </c>
      <c r="W94" s="66">
        <v>72</v>
      </c>
      <c r="X94" s="57">
        <v>105548709.3</v>
      </c>
    </row>
    <row r="95" spans="1:26" ht="15.75" x14ac:dyDescent="0.3">
      <c r="A95" s="34">
        <v>81</v>
      </c>
      <c r="B95" s="1" t="s">
        <v>75</v>
      </c>
      <c r="C95" s="39" t="s">
        <v>109</v>
      </c>
      <c r="D95" s="28">
        <v>205033784.90000001</v>
      </c>
      <c r="E95" s="28"/>
      <c r="F95" s="28">
        <v>102803246.51000001</v>
      </c>
      <c r="G95" s="28">
        <v>116386312.40000001</v>
      </c>
      <c r="J95" s="1">
        <v>424223343.80000001</v>
      </c>
      <c r="K95" s="1">
        <v>748173.11</v>
      </c>
      <c r="L95" s="76">
        <v>1912847.52</v>
      </c>
      <c r="M95" s="28">
        <v>473372452.89999998</v>
      </c>
      <c r="N95" s="28">
        <v>10136813.550000001</v>
      </c>
      <c r="O95" s="3">
        <v>463235639.35000002</v>
      </c>
      <c r="P95" s="10">
        <f t="shared" si="22"/>
        <v>1.8527627277886743E-2</v>
      </c>
      <c r="Q95" s="15" t="e">
        <f>(#REF!/O95)</f>
        <v>#REF!</v>
      </c>
      <c r="R95" s="15">
        <f t="shared" si="19"/>
        <v>4.129318553045826E-3</v>
      </c>
      <c r="S95" s="60">
        <f t="shared" si="20"/>
        <v>103.11779084681865</v>
      </c>
      <c r="T95" s="60">
        <f t="shared" si="21"/>
        <v>0.42580620689286725</v>
      </c>
      <c r="U95" s="1">
        <v>98.81</v>
      </c>
      <c r="V95" s="1">
        <v>99.51</v>
      </c>
      <c r="W95" s="66">
        <v>362</v>
      </c>
      <c r="X95" s="57">
        <v>4492296</v>
      </c>
    </row>
    <row r="96" spans="1:26" ht="15.75" x14ac:dyDescent="0.3">
      <c r="A96" s="34">
        <v>82</v>
      </c>
      <c r="B96" s="1" t="s">
        <v>75</v>
      </c>
      <c r="C96" s="90" t="s">
        <v>110</v>
      </c>
      <c r="D96" s="28">
        <v>155237133.19</v>
      </c>
      <c r="E96" s="28"/>
      <c r="F96" s="28">
        <v>21797938.969999999</v>
      </c>
      <c r="G96" s="28">
        <v>81576244.329999998</v>
      </c>
      <c r="H96" s="1"/>
      <c r="I96" s="1"/>
      <c r="J96" s="28">
        <v>258611316.49000001</v>
      </c>
      <c r="K96" s="28">
        <v>527252.78</v>
      </c>
      <c r="L96" s="76">
        <v>605808.91</v>
      </c>
      <c r="M96" s="28">
        <v>302945239.64999998</v>
      </c>
      <c r="N96" s="28">
        <v>7321479.5999999996</v>
      </c>
      <c r="O96" s="3">
        <v>295623760.05000001</v>
      </c>
      <c r="P96" s="10">
        <f t="shared" si="22"/>
        <v>1.1823802780760343E-2</v>
      </c>
      <c r="Q96" s="15">
        <f t="shared" si="23"/>
        <v>1.7835263982530487E-3</v>
      </c>
      <c r="R96" s="15">
        <f t="shared" si="19"/>
        <v>2.0492564937863492E-3</v>
      </c>
      <c r="S96" s="60">
        <f t="shared" si="20"/>
        <v>108.40681560404623</v>
      </c>
      <c r="T96" s="60">
        <f t="shared" si="21"/>
        <v>0.22215337084729106</v>
      </c>
      <c r="U96" s="1">
        <v>100.68</v>
      </c>
      <c r="V96" s="1" t="s">
        <v>159</v>
      </c>
      <c r="W96" s="66">
        <v>103</v>
      </c>
      <c r="X96" s="57">
        <v>2726985</v>
      </c>
    </row>
    <row r="97" spans="1:25" ht="15.75" x14ac:dyDescent="0.3">
      <c r="A97" s="34">
        <v>83</v>
      </c>
      <c r="B97" s="1" t="s">
        <v>88</v>
      </c>
      <c r="C97" s="90" t="s">
        <v>114</v>
      </c>
      <c r="D97" s="28">
        <v>36985622.850000001</v>
      </c>
      <c r="E97" s="28"/>
      <c r="F97" s="28">
        <v>197034676.21000001</v>
      </c>
      <c r="G97" s="28"/>
      <c r="H97" s="1"/>
      <c r="I97" s="1"/>
      <c r="J97" s="28">
        <v>234020299.06</v>
      </c>
      <c r="K97" s="28">
        <v>307313.33</v>
      </c>
      <c r="L97" s="76">
        <v>1671357.28</v>
      </c>
      <c r="M97" s="28">
        <v>234438708.30000001</v>
      </c>
      <c r="N97" s="28">
        <v>2148500.19</v>
      </c>
      <c r="O97" s="3">
        <v>234438708.30000001</v>
      </c>
      <c r="P97" s="10">
        <f t="shared" si="22"/>
        <v>9.376638233160187E-3</v>
      </c>
      <c r="Q97" s="15">
        <f t="shared" si="23"/>
        <v>1.3108472241143124E-3</v>
      </c>
      <c r="R97" s="15">
        <f t="shared" si="19"/>
        <v>7.1291865243569078E-3</v>
      </c>
      <c r="S97" s="60">
        <f t="shared" si="20"/>
        <v>116.5285409141124</v>
      </c>
      <c r="T97" s="60">
        <f t="shared" si="21"/>
        <v>0.83075370358786271</v>
      </c>
      <c r="U97" s="1">
        <v>116</v>
      </c>
      <c r="V97" s="1">
        <v>116.52</v>
      </c>
      <c r="W97" s="66">
        <v>41</v>
      </c>
      <c r="X97" s="57">
        <v>2011856.55</v>
      </c>
    </row>
    <row r="98" spans="1:25" ht="15.75" x14ac:dyDescent="0.3">
      <c r="A98" s="34">
        <v>84</v>
      </c>
      <c r="B98" s="1" t="s">
        <v>27</v>
      </c>
      <c r="C98" s="90" t="s">
        <v>46</v>
      </c>
      <c r="D98" s="1">
        <v>45236187.899999999</v>
      </c>
      <c r="E98" s="1"/>
      <c r="F98" s="1">
        <v>709216312.88</v>
      </c>
      <c r="G98" s="1">
        <v>158556027.40000001</v>
      </c>
      <c r="H98" s="1">
        <v>312000000</v>
      </c>
      <c r="I98" s="1"/>
      <c r="J98" s="1">
        <v>1633881171.3399999</v>
      </c>
      <c r="K98" s="1">
        <v>3069245.54</v>
      </c>
      <c r="L98" s="75">
        <v>66451667.509999998</v>
      </c>
      <c r="M98" s="1">
        <v>1638517020.4400001</v>
      </c>
      <c r="N98" s="1">
        <v>312000000</v>
      </c>
      <c r="O98" s="3">
        <v>1566332732.6900001</v>
      </c>
      <c r="P98" s="10">
        <f t="shared" si="22"/>
        <v>6.2647228751990733E-2</v>
      </c>
      <c r="Q98" s="15">
        <f t="shared" si="23"/>
        <v>1.9595105662696052E-3</v>
      </c>
      <c r="R98" s="15">
        <f t="shared" si="19"/>
        <v>4.2425000846325125E-2</v>
      </c>
      <c r="S98" s="60">
        <f t="shared" si="20"/>
        <v>2.2021610227522759</v>
      </c>
      <c r="T98" s="60">
        <f t="shared" si="21"/>
        <v>9.3426683254009504E-2</v>
      </c>
      <c r="U98" s="1">
        <v>2.1800000000000002</v>
      </c>
      <c r="V98" s="1">
        <v>2.2000000000000002</v>
      </c>
      <c r="W98" s="66">
        <v>2026</v>
      </c>
      <c r="X98" s="52">
        <v>711270754.73000002</v>
      </c>
    </row>
    <row r="99" spans="1:25" ht="15.75" x14ac:dyDescent="0.3">
      <c r="A99" s="34">
        <v>85</v>
      </c>
      <c r="B99" s="1" t="s">
        <v>65</v>
      </c>
      <c r="C99" s="94" t="s">
        <v>47</v>
      </c>
      <c r="D99" s="1">
        <v>28629988.399999999</v>
      </c>
      <c r="E99" s="1"/>
      <c r="F99" s="1">
        <v>60016668.850000001</v>
      </c>
      <c r="G99" s="1">
        <v>38890472.079999998</v>
      </c>
      <c r="H99" s="1">
        <v>171000</v>
      </c>
      <c r="I99" s="1"/>
      <c r="J99" s="1">
        <v>127708129.3</v>
      </c>
      <c r="K99" s="1">
        <v>138693.99</v>
      </c>
      <c r="L99" s="75">
        <v>599663.55000000005</v>
      </c>
      <c r="M99" s="1">
        <v>128812767.11</v>
      </c>
      <c r="N99" s="1">
        <v>872218.99</v>
      </c>
      <c r="O99" s="3">
        <v>126769024.76000001</v>
      </c>
      <c r="P99" s="10">
        <f t="shared" si="22"/>
        <v>5.0702688688421095E-3</v>
      </c>
      <c r="Q99" s="15">
        <f t="shared" ref="Q99:Q100" si="28">(K99/O99)</f>
        <v>1.0940684466302112E-3</v>
      </c>
      <c r="R99" s="15">
        <f t="shared" ref="R99:R100" si="29">L99/O99</f>
        <v>4.730363360728595E-3</v>
      </c>
      <c r="S99" s="60">
        <f t="shared" ref="S99:S100" si="30">O99/X99</f>
        <v>1.2956546998572409</v>
      </c>
      <c r="T99" s="60">
        <f t="shared" ref="T99:T100" si="31">L99/X99</f>
        <v>6.1289175203604962E-3</v>
      </c>
      <c r="U99" s="1">
        <v>1.2957000000000001</v>
      </c>
      <c r="V99" s="1">
        <v>1.3165</v>
      </c>
      <c r="W99" s="66">
        <v>92</v>
      </c>
      <c r="X99" s="52">
        <v>97841674</v>
      </c>
    </row>
    <row r="100" spans="1:25" ht="15.75" x14ac:dyDescent="0.3">
      <c r="A100" s="34">
        <v>86</v>
      </c>
      <c r="B100" s="1" t="s">
        <v>91</v>
      </c>
      <c r="C100" s="4" t="s">
        <v>157</v>
      </c>
      <c r="D100" s="1">
        <v>38721942.219999999</v>
      </c>
      <c r="E100" s="1"/>
      <c r="F100" s="1">
        <v>119323430.17</v>
      </c>
      <c r="G100" s="1"/>
      <c r="H100" s="1"/>
      <c r="I100" s="1"/>
      <c r="J100" s="1">
        <v>159411365.87</v>
      </c>
      <c r="K100" s="1">
        <v>304170.31</v>
      </c>
      <c r="L100" s="75">
        <v>810697.68</v>
      </c>
      <c r="M100" s="1">
        <v>159411365.87</v>
      </c>
      <c r="N100" s="1">
        <v>-2013054.48</v>
      </c>
      <c r="O100" s="3">
        <v>157398311.38999999</v>
      </c>
      <c r="P100" s="10">
        <f t="shared" si="22"/>
        <v>6.2953214301357174E-3</v>
      </c>
      <c r="Q100" s="15">
        <f t="shared" si="28"/>
        <v>1.9324877586922124E-3</v>
      </c>
      <c r="R100" s="15">
        <f t="shared" si="29"/>
        <v>5.1506123086115033E-3</v>
      </c>
      <c r="S100" s="60">
        <f t="shared" si="30"/>
        <v>103.70436451023052</v>
      </c>
      <c r="T100" s="60">
        <f t="shared" si="31"/>
        <v>0.53414097630312718</v>
      </c>
      <c r="U100" s="1">
        <v>103.70440000000001</v>
      </c>
      <c r="V100" s="1">
        <v>105.0307</v>
      </c>
      <c r="W100" s="66">
        <v>98</v>
      </c>
      <c r="X100" s="101">
        <v>1517759.76</v>
      </c>
    </row>
    <row r="101" spans="1:25" ht="15.75" x14ac:dyDescent="0.3">
      <c r="A101" s="34"/>
      <c r="B101" s="1"/>
      <c r="C101" s="91" t="s">
        <v>61</v>
      </c>
      <c r="D101" s="1"/>
      <c r="E101" s="1"/>
      <c r="F101" s="1"/>
      <c r="G101" s="1"/>
      <c r="H101" s="1"/>
      <c r="I101" s="1"/>
      <c r="J101" s="1"/>
      <c r="K101" s="1"/>
      <c r="L101" s="75"/>
      <c r="M101" s="1"/>
      <c r="N101" s="1"/>
      <c r="O101" s="7">
        <f>SUM(O80:O100)</f>
        <v>25002426506.21999</v>
      </c>
      <c r="P101" s="65">
        <f>(O101/$O$109)</f>
        <v>2.7117770904328996E-2</v>
      </c>
      <c r="Q101" s="15">
        <f t="shared" si="23"/>
        <v>0</v>
      </c>
      <c r="R101" s="15">
        <f t="shared" si="19"/>
        <v>0</v>
      </c>
      <c r="S101" s="60" t="e">
        <f t="shared" si="20"/>
        <v>#DIV/0!</v>
      </c>
      <c r="T101" s="60" t="e">
        <f t="shared" si="21"/>
        <v>#DIV/0!</v>
      </c>
      <c r="U101" s="1"/>
      <c r="V101" s="1"/>
      <c r="W101" s="66"/>
      <c r="X101" s="57"/>
    </row>
    <row r="102" spans="1:25" ht="15.75" x14ac:dyDescent="0.3">
      <c r="A102" s="89"/>
      <c r="B102" s="2"/>
      <c r="C102" s="92" t="s">
        <v>70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3"/>
      <c r="P102" s="10"/>
      <c r="Q102" s="15"/>
      <c r="R102" s="15"/>
      <c r="S102" s="60"/>
      <c r="T102" s="60"/>
      <c r="U102" s="2"/>
      <c r="V102" s="2"/>
      <c r="W102" s="2"/>
      <c r="X102" s="53"/>
      <c r="Y102" s="27"/>
    </row>
    <row r="103" spans="1:25" ht="15.75" x14ac:dyDescent="0.3">
      <c r="A103" s="34">
        <v>87</v>
      </c>
      <c r="B103" s="6" t="s">
        <v>29</v>
      </c>
      <c r="C103" s="4" t="s">
        <v>48</v>
      </c>
      <c r="D103" s="1">
        <v>0.22</v>
      </c>
      <c r="E103" s="46"/>
      <c r="F103" s="1">
        <v>336611080.79000002</v>
      </c>
      <c r="G103" s="1">
        <v>156276418.71000001</v>
      </c>
      <c r="H103" s="41"/>
      <c r="I103" s="1"/>
      <c r="J103" s="1">
        <v>492887499.27999997</v>
      </c>
      <c r="K103" s="1">
        <v>1541686.61</v>
      </c>
      <c r="L103" s="78">
        <v>20889557.620000001</v>
      </c>
      <c r="M103" s="1">
        <v>492887499.27999997</v>
      </c>
      <c r="N103" s="1">
        <v>-3121390.95</v>
      </c>
      <c r="O103" s="3">
        <v>489766108.32999998</v>
      </c>
      <c r="P103" s="10">
        <f>(O103/$O$108)</f>
        <v>0.1104206138248926</v>
      </c>
      <c r="Q103" s="15">
        <f>(L103/O103)</f>
        <v>4.2652109373653935E-2</v>
      </c>
      <c r="R103" s="15" t="e">
        <f>#REF!/O103</f>
        <v>#REF!</v>
      </c>
      <c r="S103" s="60">
        <f t="shared" si="20"/>
        <v>10.962203903865952</v>
      </c>
      <c r="T103" s="60" t="e">
        <f>#REF!/X103</f>
        <v>#REF!</v>
      </c>
      <c r="U103" s="1">
        <v>11.588699999999999</v>
      </c>
      <c r="V103" s="1">
        <v>11.7354</v>
      </c>
      <c r="W103" s="66">
        <v>1633</v>
      </c>
      <c r="X103" s="52">
        <v>44677704.649999999</v>
      </c>
      <c r="Y103" s="27"/>
    </row>
    <row r="104" spans="1:25" ht="15.75" x14ac:dyDescent="0.3">
      <c r="A104" s="34">
        <v>88</v>
      </c>
      <c r="B104" s="6" t="s">
        <v>49</v>
      </c>
      <c r="C104" s="4" t="s">
        <v>50</v>
      </c>
      <c r="D104" s="40">
        <v>805237578.28999996</v>
      </c>
      <c r="E104" s="1"/>
      <c r="F104" s="48"/>
      <c r="G104" s="40">
        <v>381757878.10000002</v>
      </c>
      <c r="H104" s="1"/>
      <c r="I104" s="40">
        <v>3999844.17</v>
      </c>
      <c r="J104" s="1">
        <v>2198114714.0599999</v>
      </c>
      <c r="K104" s="49">
        <v>1423233.05</v>
      </c>
      <c r="L104" s="78">
        <v>22699891.219999999</v>
      </c>
      <c r="M104" s="40">
        <v>2425733902.5900002</v>
      </c>
      <c r="N104" s="48">
        <v>-89153936.989999995</v>
      </c>
      <c r="O104" s="3">
        <v>2336579965.5999999</v>
      </c>
      <c r="P104" s="10">
        <f>(O104/$O$108)</f>
        <v>0.52679552477048075</v>
      </c>
      <c r="Q104" s="15">
        <f t="shared" ref="Q104:Q109" si="32">(K104/O104)</f>
        <v>6.091094980498707E-4</v>
      </c>
      <c r="R104" s="15">
        <f t="shared" si="19"/>
        <v>9.7150072131903242E-3</v>
      </c>
      <c r="S104" s="60">
        <f t="shared" si="20"/>
        <v>1.1778777890371053</v>
      </c>
      <c r="T104" s="60">
        <f t="shared" si="21"/>
        <v>1.1443091216752148E-2</v>
      </c>
      <c r="U104" s="1">
        <v>1.17</v>
      </c>
      <c r="V104" s="1">
        <v>1.19</v>
      </c>
      <c r="W104" s="66">
        <v>15353</v>
      </c>
      <c r="X104" s="56">
        <v>1983720202</v>
      </c>
    </row>
    <row r="105" spans="1:25" ht="15.75" x14ac:dyDescent="0.3">
      <c r="A105" s="34">
        <v>89</v>
      </c>
      <c r="B105" s="6" t="s">
        <v>1</v>
      </c>
      <c r="C105" s="4" t="s">
        <v>51</v>
      </c>
      <c r="D105" s="49">
        <v>727105609.70000005</v>
      </c>
      <c r="E105" s="1"/>
      <c r="F105" s="40">
        <v>186984877.31</v>
      </c>
      <c r="G105" s="1">
        <v>262855013.91</v>
      </c>
      <c r="H105" s="1">
        <v>0</v>
      </c>
      <c r="I105" s="1">
        <v>0</v>
      </c>
      <c r="J105" s="40">
        <v>1178756423.6700001</v>
      </c>
      <c r="K105" s="49">
        <v>4997861.04</v>
      </c>
      <c r="L105" s="78">
        <v>2238857.0099999998</v>
      </c>
      <c r="M105" s="47">
        <v>1199489856.8199999</v>
      </c>
      <c r="N105" s="48">
        <v>-15823842.369999999</v>
      </c>
      <c r="O105" s="3">
        <v>1183666014.45</v>
      </c>
      <c r="P105" s="10">
        <f>(O105/$O$108)</f>
        <v>0.26686437802913054</v>
      </c>
      <c r="Q105" s="15">
        <f t="shared" si="32"/>
        <v>4.2223574716068E-3</v>
      </c>
      <c r="R105" s="15">
        <f t="shared" si="19"/>
        <v>1.8914600762955105E-3</v>
      </c>
      <c r="S105" s="60">
        <f t="shared" si="20"/>
        <v>0.85722868288070109</v>
      </c>
      <c r="T105" s="60">
        <f t="shared" si="21"/>
        <v>1.6214138299242308E-3</v>
      </c>
      <c r="U105" s="1">
        <v>0.85</v>
      </c>
      <c r="V105" s="1">
        <v>0.86</v>
      </c>
      <c r="W105" s="66">
        <v>9505</v>
      </c>
      <c r="X105" s="52">
        <v>1380805423.4400001</v>
      </c>
    </row>
    <row r="106" spans="1:25" ht="15.75" x14ac:dyDescent="0.3">
      <c r="A106" s="34">
        <v>90</v>
      </c>
      <c r="B106" s="31" t="s">
        <v>63</v>
      </c>
      <c r="C106" s="4" t="s">
        <v>52</v>
      </c>
      <c r="D106" s="1">
        <v>73845599.400000006</v>
      </c>
      <c r="E106" s="1">
        <v>0</v>
      </c>
      <c r="F106">
        <v>0</v>
      </c>
      <c r="G106" s="1">
        <v>140197786.05000001</v>
      </c>
      <c r="H106" s="1">
        <v>37640000</v>
      </c>
      <c r="I106" s="1"/>
      <c r="J106" s="1">
        <v>286455278.80000001</v>
      </c>
      <c r="K106" s="1">
        <v>687036.54</v>
      </c>
      <c r="L106" s="75">
        <v>7470845.2199999997</v>
      </c>
      <c r="M106" s="1">
        <v>268239449</v>
      </c>
      <c r="N106" s="1">
        <v>-1348374</v>
      </c>
      <c r="O106" s="3">
        <v>266891074</v>
      </c>
      <c r="P106" s="10">
        <f>(O106/$O$108)</f>
        <v>6.0172142813132407E-2</v>
      </c>
      <c r="Q106" s="15">
        <f t="shared" si="32"/>
        <v>2.5742207474499504E-3</v>
      </c>
      <c r="R106" s="15">
        <f t="shared" si="19"/>
        <v>2.7992113441755642E-2</v>
      </c>
      <c r="S106" s="60">
        <f t="shared" si="20"/>
        <v>29.379713295485917</v>
      </c>
      <c r="T106" s="60">
        <f t="shared" si="21"/>
        <v>0.82240026745349837</v>
      </c>
      <c r="U106" s="1">
        <v>28.92</v>
      </c>
      <c r="V106" s="1">
        <v>29.79</v>
      </c>
      <c r="W106" s="66">
        <v>1825</v>
      </c>
      <c r="X106" s="52">
        <v>9084196</v>
      </c>
    </row>
    <row r="107" spans="1:25" ht="15.75" x14ac:dyDescent="0.3">
      <c r="A107" s="34">
        <v>91</v>
      </c>
      <c r="B107" s="6" t="s">
        <v>1</v>
      </c>
      <c r="C107" s="39" t="s">
        <v>83</v>
      </c>
      <c r="D107" s="1">
        <v>101453330.40000001</v>
      </c>
      <c r="E107" s="1"/>
      <c r="F107" s="1">
        <v>0</v>
      </c>
      <c r="G107" s="1">
        <v>49030517.039999999</v>
      </c>
      <c r="H107" s="1">
        <v>0</v>
      </c>
      <c r="I107" s="1">
        <v>0</v>
      </c>
      <c r="J107" s="1">
        <v>151834065.24000001</v>
      </c>
      <c r="K107" s="1">
        <v>282815.06</v>
      </c>
      <c r="L107" s="75">
        <v>-252889.17</v>
      </c>
      <c r="M107" s="1">
        <v>160875105.99000001</v>
      </c>
      <c r="N107" s="1">
        <v>-2319241.61</v>
      </c>
      <c r="O107" s="3">
        <v>158555864.38</v>
      </c>
      <c r="P107" s="10">
        <f>(O107/$O$108)</f>
        <v>3.5747340562363707E-2</v>
      </c>
      <c r="Q107" s="15">
        <f t="shared" si="32"/>
        <v>1.7836934704742076E-3</v>
      </c>
      <c r="R107" s="15">
        <f t="shared" si="19"/>
        <v>-1.5949531162967132E-3</v>
      </c>
      <c r="S107" s="60">
        <f t="shared" si="20"/>
        <v>148.18033095168235</v>
      </c>
      <c r="T107" s="60">
        <f t="shared" si="21"/>
        <v>-0.23634068062526406</v>
      </c>
      <c r="U107" s="1">
        <v>147.21</v>
      </c>
      <c r="V107" s="1">
        <v>148.87</v>
      </c>
      <c r="W107" s="66">
        <v>272</v>
      </c>
      <c r="X107" s="52">
        <v>1070019.6399999999</v>
      </c>
    </row>
    <row r="108" spans="1:25" ht="15.75" x14ac:dyDescent="0.3">
      <c r="A108" s="9"/>
      <c r="B108" s="8"/>
      <c r="C108" s="96" t="s">
        <v>61</v>
      </c>
      <c r="D108" s="1"/>
      <c r="E108" s="1"/>
      <c r="F108" s="1"/>
      <c r="G108" s="1"/>
      <c r="H108" s="1"/>
      <c r="I108" s="1"/>
      <c r="J108" s="1"/>
      <c r="K108" s="1"/>
      <c r="L108" s="75"/>
      <c r="M108" s="1"/>
      <c r="N108" s="1"/>
      <c r="O108" s="7">
        <f>SUM(O103:O107)</f>
        <v>4435459026.7600002</v>
      </c>
      <c r="P108" s="65">
        <f>(O108/$O$109)</f>
        <v>4.8107235397049598E-3</v>
      </c>
      <c r="Q108" s="15">
        <f t="shared" si="32"/>
        <v>0</v>
      </c>
      <c r="R108" s="15">
        <f t="shared" si="19"/>
        <v>0</v>
      </c>
      <c r="S108" s="60" t="e">
        <f t="shared" si="20"/>
        <v>#DIV/0!</v>
      </c>
      <c r="T108" s="60" t="e">
        <f t="shared" si="21"/>
        <v>#DIV/0!</v>
      </c>
      <c r="U108" s="1"/>
      <c r="V108" s="1"/>
      <c r="W108" s="66"/>
      <c r="X108" s="52"/>
    </row>
    <row r="109" spans="1:25" ht="16.5" thickBot="1" x14ac:dyDescent="0.35">
      <c r="A109" s="18"/>
      <c r="B109" s="19"/>
      <c r="C109" s="97" t="s">
        <v>62</v>
      </c>
      <c r="D109" s="20">
        <f t="shared" ref="D109:N109" si="33">SUM(D4:D108)</f>
        <v>16730796773.149998</v>
      </c>
      <c r="E109" s="20">
        <f t="shared" si="33"/>
        <v>0</v>
      </c>
      <c r="F109" s="20">
        <f t="shared" si="33"/>
        <v>723493204034.11243</v>
      </c>
      <c r="G109" s="20">
        <f t="shared" si="33"/>
        <v>48200040370.071991</v>
      </c>
      <c r="H109" s="20">
        <f t="shared" si="33"/>
        <v>41485511752.43</v>
      </c>
      <c r="I109" s="20">
        <f t="shared" si="33"/>
        <v>3999844.17</v>
      </c>
      <c r="J109" s="20">
        <f t="shared" si="33"/>
        <v>845740414360.69055</v>
      </c>
      <c r="K109" s="20">
        <f t="shared" si="33"/>
        <v>1143118620.6984997</v>
      </c>
      <c r="L109" s="20">
        <f t="shared" si="33"/>
        <v>9242015624.6355</v>
      </c>
      <c r="M109" s="20">
        <f t="shared" si="33"/>
        <v>929929681022.71497</v>
      </c>
      <c r="N109" s="20">
        <f t="shared" si="33"/>
        <v>-2577312353.4824982</v>
      </c>
      <c r="O109" s="21">
        <f>(O17+O41+O52+O73+O78+O101+O108)</f>
        <v>921994163695.38989</v>
      </c>
      <c r="P109" s="22"/>
      <c r="Q109" s="23">
        <f t="shared" si="32"/>
        <v>1.2398328164213469E-3</v>
      </c>
      <c r="R109" s="15">
        <f t="shared" si="19"/>
        <v>1.0023941569861057E-2</v>
      </c>
      <c r="S109" s="60">
        <f t="shared" si="20"/>
        <v>4.1633486896676262</v>
      </c>
      <c r="T109" s="60">
        <f t="shared" si="21"/>
        <v>4.1733164000185882E-2</v>
      </c>
      <c r="U109" s="20">
        <f>SUM(U4:U108)</f>
        <v>1111648.4729269997</v>
      </c>
      <c r="V109" s="20">
        <f>SUM(V4:V108)</f>
        <v>1111820.7868960002</v>
      </c>
      <c r="W109" s="20">
        <f>SUM(W4:W108)</f>
        <v>424025</v>
      </c>
      <c r="X109" s="58">
        <f>SUM(X4:X108)</f>
        <v>221454947067.86035</v>
      </c>
      <c r="Y109" s="50"/>
    </row>
    <row r="110" spans="1:25" x14ac:dyDescent="0.25">
      <c r="A110" s="16"/>
      <c r="B110" s="16"/>
      <c r="C110" s="16"/>
    </row>
    <row r="111" spans="1:25" x14ac:dyDescent="0.25">
      <c r="A111" s="16"/>
      <c r="B111" s="38"/>
      <c r="C111" s="12"/>
      <c r="O111" s="35"/>
      <c r="X111" s="42"/>
    </row>
    <row r="112" spans="1:25" x14ac:dyDescent="0.25">
      <c r="A112" s="16"/>
      <c r="B112" s="13"/>
      <c r="C112" s="14"/>
      <c r="O112" s="36"/>
      <c r="P112" s="42"/>
    </row>
    <row r="113" spans="1:16" x14ac:dyDescent="0.25">
      <c r="A113" s="16"/>
      <c r="B113" s="13"/>
      <c r="C113" s="14"/>
      <c r="O113" s="36"/>
      <c r="P113" s="42"/>
    </row>
    <row r="114" spans="1:16" x14ac:dyDescent="0.25">
      <c r="A114" s="16"/>
      <c r="B114" s="13"/>
      <c r="C114" s="14"/>
      <c r="O114" s="36"/>
      <c r="P114" s="42"/>
    </row>
    <row r="115" spans="1:16" x14ac:dyDescent="0.25">
      <c r="A115" s="16"/>
      <c r="B115" s="13"/>
      <c r="C115" s="14"/>
      <c r="O115" s="36"/>
      <c r="P115" s="42"/>
    </row>
  </sheetData>
  <mergeCells count="1">
    <mergeCell ref="A1:X1"/>
  </mergeCells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November 2019</vt:lpstr>
      <vt:lpstr>'November 2019'!Print_Area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USER</dc:creator>
  <cp:lastModifiedBy>Isaac, Tunde</cp:lastModifiedBy>
  <cp:lastPrinted>2018-01-18T12:57:29Z</cp:lastPrinted>
  <dcterms:created xsi:type="dcterms:W3CDTF">2016-02-10T12:36:33Z</dcterms:created>
  <dcterms:modified xsi:type="dcterms:W3CDTF">2020-01-13T12:37:19Z</dcterms:modified>
</cp:coreProperties>
</file>