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Data!$A$1:$AO$192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74" i="11" l="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L182" i="11"/>
  <c r="AM182" i="11"/>
  <c r="AN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L185" i="11"/>
  <c r="AN185" i="11"/>
  <c r="AO173" i="11"/>
  <c r="AN173" i="11"/>
  <c r="AM173" i="11"/>
  <c r="AL173" i="11"/>
  <c r="AK173" i="11"/>
  <c r="AJ17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L20" i="11"/>
  <c r="AM20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L86" i="11"/>
  <c r="AM86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L141" i="11"/>
  <c r="AM141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L148" i="11"/>
  <c r="AN148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L163" i="11"/>
  <c r="AN163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O5" i="11"/>
  <c r="AN5" i="11"/>
  <c r="AM5" i="11"/>
  <c r="AL5" i="11"/>
  <c r="AK5" i="11"/>
  <c r="AJ5" i="11"/>
  <c r="AF186" i="11"/>
  <c r="AF164" i="11"/>
  <c r="AF185" i="11"/>
  <c r="AF170" i="11"/>
  <c r="AF163" i="11"/>
  <c r="AF148" i="11"/>
  <c r="AF142" i="11"/>
  <c r="AF116" i="11"/>
  <c r="AG107" i="11"/>
  <c r="AF109" i="11"/>
  <c r="AG98" i="11"/>
  <c r="AG96" i="11"/>
  <c r="AG95" i="11"/>
  <c r="AF98" i="11"/>
  <c r="AH98" i="11" s="1"/>
  <c r="AF96" i="11"/>
  <c r="AF87" i="11"/>
  <c r="AF53" i="11"/>
  <c r="AH53" i="11" s="1"/>
  <c r="AF21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9" i="11"/>
  <c r="AH169" i="11"/>
  <c r="AI168" i="11"/>
  <c r="AH168" i="11"/>
  <c r="AI167" i="11"/>
  <c r="AH167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6" i="11"/>
  <c r="AH156" i="11"/>
  <c r="AI153" i="11"/>
  <c r="AH153" i="11"/>
  <c r="AI152" i="11"/>
  <c r="AH152" i="11"/>
  <c r="AH148" i="11"/>
  <c r="AI147" i="11"/>
  <c r="AH147" i="11"/>
  <c r="AI146" i="11"/>
  <c r="AH146" i="11"/>
  <c r="AI145" i="11"/>
  <c r="AH145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6" i="11"/>
  <c r="AI115" i="11"/>
  <c r="AH115" i="11"/>
  <c r="AI114" i="11"/>
  <c r="AH114" i="11"/>
  <c r="AI113" i="11"/>
  <c r="AH113" i="11"/>
  <c r="AI112" i="11"/>
  <c r="AH112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AE140" i="11"/>
  <c r="AD140" i="11"/>
  <c r="AA140" i="11"/>
  <c r="Z140" i="11"/>
  <c r="W140" i="11"/>
  <c r="V140" i="11"/>
  <c r="S140" i="11"/>
  <c r="R140" i="11"/>
  <c r="O140" i="11"/>
  <c r="N140" i="11"/>
  <c r="K140" i="11"/>
  <c r="J140" i="11"/>
  <c r="G140" i="11"/>
  <c r="F140" i="11"/>
  <c r="AE85" i="11"/>
  <c r="AD85" i="11"/>
  <c r="AA85" i="11"/>
  <c r="Z85" i="11"/>
  <c r="W85" i="11"/>
  <c r="V85" i="11"/>
  <c r="S85" i="11"/>
  <c r="R85" i="11"/>
  <c r="O85" i="11"/>
  <c r="N85" i="11"/>
  <c r="K85" i="11"/>
  <c r="J85" i="11"/>
  <c r="G85" i="11"/>
  <c r="F85" i="11"/>
  <c r="AE19" i="11"/>
  <c r="AD19" i="11"/>
  <c r="AA19" i="11"/>
  <c r="Z19" i="11"/>
  <c r="W19" i="11"/>
  <c r="V19" i="11"/>
  <c r="S19" i="11"/>
  <c r="R19" i="11"/>
  <c r="O19" i="11"/>
  <c r="N19" i="11"/>
  <c r="K19" i="11"/>
  <c r="J19" i="11"/>
  <c r="G19" i="11"/>
  <c r="F19" i="11"/>
  <c r="L96" i="9"/>
  <c r="K96" i="9"/>
  <c r="L99" i="9"/>
  <c r="K99" i="9"/>
  <c r="I99" i="9"/>
  <c r="AH185" i="11" l="1"/>
  <c r="AH163" i="11"/>
  <c r="P142" i="9"/>
  <c r="O142" i="9"/>
  <c r="N142" i="9"/>
  <c r="P86" i="9"/>
  <c r="O86" i="9"/>
  <c r="N86" i="9"/>
  <c r="P20" i="9"/>
  <c r="O20" i="9"/>
  <c r="N20" i="9"/>
  <c r="L108" i="9" l="1"/>
  <c r="K108" i="9"/>
  <c r="L97" i="9" l="1"/>
  <c r="K97" i="9"/>
  <c r="I97" i="9"/>
  <c r="D191" i="9" l="1"/>
  <c r="D174" i="9"/>
  <c r="D165" i="9"/>
  <c r="D150" i="9"/>
  <c r="D144" i="9"/>
  <c r="E142" i="9" s="1"/>
  <c r="D117" i="9"/>
  <c r="G108" i="9"/>
  <c r="F108" i="9"/>
  <c r="D110" i="9"/>
  <c r="G99" i="9"/>
  <c r="F99" i="9"/>
  <c r="G97" i="9"/>
  <c r="F97" i="9"/>
  <c r="G96" i="9"/>
  <c r="F96" i="9"/>
  <c r="D99" i="9"/>
  <c r="D97" i="9"/>
  <c r="D88" i="9"/>
  <c r="E86" i="9" s="1"/>
  <c r="D54" i="9"/>
  <c r="D22" i="9"/>
  <c r="E20" i="9" s="1"/>
  <c r="D166" i="9" l="1"/>
  <c r="D192" i="9" s="1"/>
  <c r="AB142" i="11"/>
  <c r="AH142" i="11" s="1"/>
  <c r="AB53" i="11"/>
  <c r="AB185" i="11" l="1"/>
  <c r="AB170" i="11"/>
  <c r="AB163" i="11"/>
  <c r="AB148" i="11"/>
  <c r="AB116" i="11"/>
  <c r="AC107" i="11"/>
  <c r="AC98" i="11"/>
  <c r="AC96" i="11"/>
  <c r="AC95" i="11"/>
  <c r="AB98" i="11"/>
  <c r="AB96" i="11"/>
  <c r="AB87" i="11"/>
  <c r="AH87" i="11" s="1"/>
  <c r="AB21" i="11"/>
  <c r="AH21" i="11" s="1"/>
  <c r="AB109" i="11" l="1"/>
  <c r="AB164" i="11"/>
  <c r="AB186" i="11" l="1"/>
  <c r="AH186" i="11" s="1"/>
  <c r="AH164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7" i="11"/>
  <c r="AD167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6" i="11"/>
  <c r="AD156" i="11"/>
  <c r="AE153" i="11"/>
  <c r="AD153" i="11"/>
  <c r="AE152" i="11"/>
  <c r="AD152" i="11"/>
  <c r="AE147" i="11"/>
  <c r="AD147" i="11"/>
  <c r="AE146" i="11"/>
  <c r="AD146" i="11"/>
  <c r="AE145" i="11"/>
  <c r="AD145" i="11"/>
  <c r="AE141" i="11"/>
  <c r="AD141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08" i="11"/>
  <c r="AD108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7" i="11"/>
  <c r="AD97" i="11"/>
  <c r="AD95" i="11"/>
  <c r="AE93" i="11"/>
  <c r="AD93" i="11"/>
  <c r="AE92" i="11"/>
  <c r="AD92" i="11"/>
  <c r="AE91" i="11"/>
  <c r="AD91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X185" i="11" l="1"/>
  <c r="X170" i="11"/>
  <c r="X163" i="11"/>
  <c r="X148" i="11"/>
  <c r="AD148" i="11" s="1"/>
  <c r="X142" i="11"/>
  <c r="AD142" i="11" s="1"/>
  <c r="X116" i="11"/>
  <c r="AD116" i="11" s="1"/>
  <c r="Y107" i="11"/>
  <c r="AE107" i="11" s="1"/>
  <c r="Y98" i="11"/>
  <c r="Y96" i="11"/>
  <c r="AE96" i="11" s="1"/>
  <c r="Y95" i="11"/>
  <c r="Y94" i="11"/>
  <c r="AE94" i="11" s="1"/>
  <c r="X98" i="11"/>
  <c r="AD98" i="11" s="1"/>
  <c r="X96" i="11"/>
  <c r="AD96" i="11" s="1"/>
  <c r="X94" i="11"/>
  <c r="AD94" i="11" s="1"/>
  <c r="X87" i="11"/>
  <c r="AD87" i="11" s="1"/>
  <c r="X53" i="11"/>
  <c r="X21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7" i="11"/>
  <c r="Z167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3" i="11"/>
  <c r="Z153" i="11"/>
  <c r="AA152" i="11"/>
  <c r="Z152" i="11"/>
  <c r="AA147" i="11"/>
  <c r="Z147" i="11"/>
  <c r="AA146" i="11"/>
  <c r="Z146" i="11"/>
  <c r="AA145" i="11"/>
  <c r="Z145" i="11"/>
  <c r="AA141" i="11"/>
  <c r="Z141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08" i="11"/>
  <c r="Z108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7" i="11"/>
  <c r="Z97" i="11"/>
  <c r="Z95" i="11"/>
  <c r="AA94" i="11"/>
  <c r="Z94" i="11"/>
  <c r="AA93" i="11"/>
  <c r="Z93" i="11"/>
  <c r="AA92" i="11"/>
  <c r="Z92" i="11"/>
  <c r="AA91" i="11"/>
  <c r="Z91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D53" i="11" l="1"/>
  <c r="AE98" i="11"/>
  <c r="AE95" i="11"/>
  <c r="AD163" i="11"/>
  <c r="AD21" i="11"/>
  <c r="X109" i="11"/>
  <c r="X164" i="11" s="1"/>
  <c r="AD185" i="11"/>
  <c r="AD164" i="11" l="1"/>
  <c r="X186" i="11"/>
  <c r="AD186" i="11" l="1"/>
  <c r="T185" i="11" l="1"/>
  <c r="Z185" i="11" s="1"/>
  <c r="F168" i="11"/>
  <c r="G168" i="11"/>
  <c r="J168" i="11"/>
  <c r="K168" i="11"/>
  <c r="N168" i="11"/>
  <c r="O168" i="11"/>
  <c r="R168" i="11"/>
  <c r="S168" i="11"/>
  <c r="V168" i="11"/>
  <c r="W168" i="11"/>
  <c r="T170" i="11"/>
  <c r="T163" i="11"/>
  <c r="Z163" i="11" s="1"/>
  <c r="T148" i="11"/>
  <c r="Z148" i="11" s="1"/>
  <c r="T142" i="11"/>
  <c r="Z142" i="11" s="1"/>
  <c r="T116" i="11"/>
  <c r="Z116" i="11" s="1"/>
  <c r="U107" i="11"/>
  <c r="AA107" i="11" s="1"/>
  <c r="U98" i="11"/>
  <c r="AA98" i="11" s="1"/>
  <c r="U96" i="11"/>
  <c r="AA96" i="11" s="1"/>
  <c r="U95" i="11"/>
  <c r="AA95" i="11" s="1"/>
  <c r="T98" i="11"/>
  <c r="Z98" i="11" s="1"/>
  <c r="T96" i="11"/>
  <c r="Z96" i="11" s="1"/>
  <c r="T87" i="11"/>
  <c r="Z87" i="11" s="1"/>
  <c r="T53" i="11"/>
  <c r="Z53" i="11" s="1"/>
  <c r="T21" i="11"/>
  <c r="Z21" i="11" s="1"/>
  <c r="T109" i="11" l="1"/>
  <c r="T164" i="11" s="1"/>
  <c r="Z164" i="11" s="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7" i="11"/>
  <c r="V167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6" i="11"/>
  <c r="V156" i="11"/>
  <c r="W153" i="11"/>
  <c r="V153" i="11"/>
  <c r="W152" i="11"/>
  <c r="V152" i="11"/>
  <c r="W147" i="11"/>
  <c r="V147" i="11"/>
  <c r="W146" i="11"/>
  <c r="V146" i="11"/>
  <c r="W145" i="11"/>
  <c r="V145" i="11"/>
  <c r="W141" i="11"/>
  <c r="V141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08" i="11"/>
  <c r="V108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7" i="11"/>
  <c r="V97" i="11"/>
  <c r="W95" i="11"/>
  <c r="V95" i="11"/>
  <c r="W94" i="11"/>
  <c r="V94" i="11"/>
  <c r="W93" i="11"/>
  <c r="V93" i="11"/>
  <c r="W92" i="11"/>
  <c r="V92" i="11"/>
  <c r="W91" i="11"/>
  <c r="V91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AK182" i="11" l="1"/>
  <c r="AO182" i="11"/>
  <c r="T186" i="11"/>
  <c r="Z186" i="11" s="1"/>
  <c r="P172" i="9"/>
  <c r="O172" i="9"/>
  <c r="N172" i="9"/>
  <c r="E172" i="9" l="1"/>
  <c r="P53" i="11" l="1"/>
  <c r="V53" i="11" s="1"/>
  <c r="P185" i="11"/>
  <c r="V185" i="11" s="1"/>
  <c r="P170" i="11"/>
  <c r="P163" i="11"/>
  <c r="V163" i="11" s="1"/>
  <c r="P148" i="11"/>
  <c r="V148" i="11" s="1"/>
  <c r="P142" i="11"/>
  <c r="V142" i="11" s="1"/>
  <c r="P116" i="11"/>
  <c r="V116" i="11" s="1"/>
  <c r="Q107" i="11"/>
  <c r="W107" i="11" s="1"/>
  <c r="Q98" i="11"/>
  <c r="W98" i="11" s="1"/>
  <c r="Q96" i="11"/>
  <c r="W96" i="11" s="1"/>
  <c r="P98" i="11"/>
  <c r="V98" i="11" s="1"/>
  <c r="P96" i="11"/>
  <c r="V96" i="11" s="1"/>
  <c r="P87" i="11"/>
  <c r="V87" i="11" s="1"/>
  <c r="P21" i="11"/>
  <c r="V21" i="11" s="1"/>
  <c r="P109" i="11" l="1"/>
  <c r="P164" i="11" s="1"/>
  <c r="P186" i="11" l="1"/>
  <c r="V186" i="11" s="1"/>
  <c r="V164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7" i="11"/>
  <c r="R167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6" i="11"/>
  <c r="R156" i="11"/>
  <c r="S153" i="11"/>
  <c r="R153" i="11"/>
  <c r="S152" i="11"/>
  <c r="R152" i="11"/>
  <c r="S147" i="11"/>
  <c r="R147" i="11"/>
  <c r="S146" i="11"/>
  <c r="R146" i="11"/>
  <c r="S145" i="11"/>
  <c r="R145" i="11"/>
  <c r="S141" i="11"/>
  <c r="R141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08" i="11"/>
  <c r="R108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7" i="11"/>
  <c r="R97" i="11"/>
  <c r="S95" i="11"/>
  <c r="R95" i="11"/>
  <c r="S94" i="11"/>
  <c r="R94" i="11"/>
  <c r="S93" i="11"/>
  <c r="R93" i="11"/>
  <c r="S92" i="11"/>
  <c r="R92" i="11"/>
  <c r="S91" i="11"/>
  <c r="R91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L185" i="11" l="1"/>
  <c r="R185" i="11" s="1"/>
  <c r="L170" i="11"/>
  <c r="L163" i="11"/>
  <c r="R163" i="11" s="1"/>
  <c r="L148" i="11"/>
  <c r="R148" i="11" s="1"/>
  <c r="L142" i="11"/>
  <c r="R142" i="11" s="1"/>
  <c r="L116" i="11"/>
  <c r="R116" i="11" s="1"/>
  <c r="M107" i="11"/>
  <c r="S107" i="11" s="1"/>
  <c r="M98" i="11"/>
  <c r="S98" i="11" s="1"/>
  <c r="M96" i="11"/>
  <c r="S96" i="11" s="1"/>
  <c r="L98" i="11"/>
  <c r="R98" i="11" s="1"/>
  <c r="L96" i="11"/>
  <c r="R96" i="11" s="1"/>
  <c r="L87" i="11"/>
  <c r="R87" i="11" s="1"/>
  <c r="L53" i="11"/>
  <c r="R53" i="11" s="1"/>
  <c r="L109" i="11" l="1"/>
  <c r="L21" i="11"/>
  <c r="R21" i="11" s="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7" i="11"/>
  <c r="N167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6" i="11"/>
  <c r="N156" i="11"/>
  <c r="O153" i="11"/>
  <c r="N153" i="11"/>
  <c r="O152" i="11"/>
  <c r="N152" i="11"/>
  <c r="O147" i="11"/>
  <c r="N147" i="11"/>
  <c r="O146" i="11"/>
  <c r="N146" i="11"/>
  <c r="O145" i="11"/>
  <c r="N145" i="11"/>
  <c r="O141" i="11"/>
  <c r="N141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08" i="11"/>
  <c r="N108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7" i="11"/>
  <c r="N97" i="11"/>
  <c r="N95" i="11"/>
  <c r="O94" i="11"/>
  <c r="N94" i="11"/>
  <c r="O93" i="11"/>
  <c r="N93" i="11"/>
  <c r="O92" i="11"/>
  <c r="N92" i="11"/>
  <c r="O91" i="11"/>
  <c r="N91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64" i="11" l="1"/>
  <c r="R164" i="11" s="1"/>
  <c r="L186" i="11" l="1"/>
  <c r="R186" i="11" s="1"/>
  <c r="H185" i="11"/>
  <c r="N185" i="11" s="1"/>
  <c r="H170" i="11"/>
  <c r="H163" i="11"/>
  <c r="N163" i="11" s="1"/>
  <c r="H148" i="11"/>
  <c r="N148" i="11" s="1"/>
  <c r="H142" i="11"/>
  <c r="N142" i="11" s="1"/>
  <c r="H116" i="11"/>
  <c r="N116" i="11" s="1"/>
  <c r="I107" i="11"/>
  <c r="O107" i="11" s="1"/>
  <c r="I98" i="11"/>
  <c r="O98" i="11" s="1"/>
  <c r="I96" i="11"/>
  <c r="O96" i="11" s="1"/>
  <c r="I95" i="11"/>
  <c r="O95" i="11" s="1"/>
  <c r="H98" i="11"/>
  <c r="N98" i="11" s="1"/>
  <c r="H96" i="11"/>
  <c r="H87" i="11"/>
  <c r="N87" i="11" s="1"/>
  <c r="H53" i="11"/>
  <c r="N53" i="11" s="1"/>
  <c r="H21" i="11"/>
  <c r="N21" i="11" s="1"/>
  <c r="H109" i="11" l="1"/>
  <c r="H164" i="11" s="1"/>
  <c r="N96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7" i="11"/>
  <c r="J167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6" i="11"/>
  <c r="J156" i="11"/>
  <c r="K153" i="11"/>
  <c r="J153" i="11"/>
  <c r="K152" i="11"/>
  <c r="J152" i="11"/>
  <c r="K147" i="11"/>
  <c r="J147" i="11"/>
  <c r="K146" i="11"/>
  <c r="J146" i="11"/>
  <c r="K145" i="11"/>
  <c r="J145" i="11"/>
  <c r="K141" i="11"/>
  <c r="J141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08" i="11"/>
  <c r="J108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7" i="11"/>
  <c r="J97" i="11"/>
  <c r="J96" i="11"/>
  <c r="J95" i="11"/>
  <c r="K94" i="11"/>
  <c r="J94" i="11"/>
  <c r="K93" i="11"/>
  <c r="J93" i="11"/>
  <c r="K92" i="11"/>
  <c r="J92" i="11"/>
  <c r="K91" i="11"/>
  <c r="J91" i="11"/>
  <c r="K86" i="11"/>
  <c r="J86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86" i="11" l="1"/>
  <c r="N186" i="11" s="1"/>
  <c r="N164" i="11"/>
  <c r="D185" i="11"/>
  <c r="J185" i="11" s="1"/>
  <c r="D170" i="11"/>
  <c r="D163" i="11"/>
  <c r="J163" i="11" s="1"/>
  <c r="D148" i="11"/>
  <c r="J148" i="11" s="1"/>
  <c r="D142" i="11"/>
  <c r="D116" i="11"/>
  <c r="J116" i="11" s="1"/>
  <c r="E107" i="11"/>
  <c r="K107" i="11" s="1"/>
  <c r="E98" i="11"/>
  <c r="K98" i="11" s="1"/>
  <c r="E96" i="11"/>
  <c r="K96" i="11" s="1"/>
  <c r="E95" i="11"/>
  <c r="K95" i="11" s="1"/>
  <c r="D98" i="11"/>
  <c r="J98" i="11" s="1"/>
  <c r="D87" i="11"/>
  <c r="D53" i="11"/>
  <c r="J53" i="11" s="1"/>
  <c r="D21" i="11"/>
  <c r="J142" i="11" l="1"/>
  <c r="AL142" i="11"/>
  <c r="J87" i="11"/>
  <c r="AL87" i="11"/>
  <c r="J21" i="11"/>
  <c r="AL21" i="11"/>
  <c r="D109" i="11"/>
  <c r="D164" i="11" s="1"/>
  <c r="J164" i="11" l="1"/>
  <c r="AL164" i="11"/>
  <c r="D186" i="11"/>
  <c r="J186" i="11" l="1"/>
  <c r="AL186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9" i="11"/>
  <c r="F169" i="11"/>
  <c r="G167" i="11"/>
  <c r="F167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6" i="11"/>
  <c r="F156" i="11"/>
  <c r="G153" i="11"/>
  <c r="F153" i="11"/>
  <c r="G152" i="11"/>
  <c r="F152" i="11"/>
  <c r="G147" i="11"/>
  <c r="F147" i="11"/>
  <c r="G146" i="11"/>
  <c r="F146" i="11"/>
  <c r="G145" i="11"/>
  <c r="F145" i="11"/>
  <c r="G141" i="11"/>
  <c r="F141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08" i="11"/>
  <c r="F108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7" i="11"/>
  <c r="F97" i="11"/>
  <c r="F95" i="11"/>
  <c r="G94" i="11"/>
  <c r="F94" i="11"/>
  <c r="G93" i="11"/>
  <c r="F93" i="11"/>
  <c r="G92" i="11"/>
  <c r="F92" i="11"/>
  <c r="G91" i="11"/>
  <c r="F91" i="11"/>
  <c r="G86" i="11"/>
  <c r="F86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AO141" i="11" l="1"/>
  <c r="AK141" i="11"/>
  <c r="AN141" i="11"/>
  <c r="AJ141" i="11"/>
  <c r="AO86" i="11"/>
  <c r="AK86" i="11"/>
  <c r="AN86" i="11"/>
  <c r="AJ86" i="11"/>
  <c r="AO20" i="11"/>
  <c r="AK20" i="11"/>
  <c r="AJ20" i="11"/>
  <c r="AN20" i="11"/>
  <c r="B185" i="11"/>
  <c r="B170" i="11"/>
  <c r="B163" i="11"/>
  <c r="B148" i="11"/>
  <c r="B142" i="11"/>
  <c r="B116" i="11"/>
  <c r="C107" i="11"/>
  <c r="C98" i="11"/>
  <c r="C96" i="11"/>
  <c r="C95" i="11"/>
  <c r="B98" i="11"/>
  <c r="B96" i="11"/>
  <c r="B87" i="11"/>
  <c r="B53" i="11"/>
  <c r="B21" i="11"/>
  <c r="G107" i="11" l="1"/>
  <c r="F53" i="11"/>
  <c r="F87" i="11"/>
  <c r="F163" i="11"/>
  <c r="F142" i="11"/>
  <c r="F96" i="11"/>
  <c r="F148" i="11"/>
  <c r="G98" i="11"/>
  <c r="F116" i="11"/>
  <c r="F98" i="11"/>
  <c r="G95" i="11"/>
  <c r="G96" i="11"/>
  <c r="F185" i="11"/>
  <c r="F21" i="11"/>
  <c r="B109" i="11"/>
  <c r="AJ142" i="11" l="1"/>
  <c r="AN142" i="11"/>
  <c r="AJ87" i="11"/>
  <c r="AN87" i="11"/>
  <c r="AN21" i="11"/>
  <c r="AJ21" i="11"/>
  <c r="B164" i="11"/>
  <c r="F164" i="11" s="1"/>
  <c r="AN164" i="11" l="1"/>
  <c r="AJ164" i="11"/>
  <c r="B186" i="11"/>
  <c r="F186" i="11" s="1"/>
  <c r="AN186" i="11" l="1"/>
  <c r="AJ186" i="11"/>
  <c r="I150" i="9"/>
  <c r="P85" i="9" l="1"/>
  <c r="O85" i="9"/>
  <c r="N85" i="9"/>
  <c r="E85" i="9" l="1"/>
  <c r="I144" i="9" l="1"/>
  <c r="J142" i="9" s="1"/>
  <c r="I117" i="9"/>
  <c r="I110" i="9"/>
  <c r="I88" i="9"/>
  <c r="J86" i="9" s="1"/>
  <c r="I54" i="9"/>
  <c r="I22" i="9"/>
  <c r="J42" i="9" l="1"/>
  <c r="J50" i="9"/>
  <c r="J47" i="9"/>
  <c r="J43" i="9"/>
  <c r="J51" i="9"/>
  <c r="J49" i="9"/>
  <c r="J44" i="9"/>
  <c r="J52" i="9"/>
  <c r="J46" i="9"/>
  <c r="J48" i="9"/>
  <c r="J45" i="9"/>
  <c r="J53" i="9"/>
  <c r="J129" i="9"/>
  <c r="J138" i="9"/>
  <c r="J85" i="9"/>
  <c r="J72" i="9"/>
  <c r="P98" i="9"/>
  <c r="O98" i="9"/>
  <c r="N98" i="9"/>
  <c r="J98" i="9"/>
  <c r="P163" i="9"/>
  <c r="O163" i="9"/>
  <c r="N163" i="9"/>
  <c r="P141" i="9"/>
  <c r="O141" i="9"/>
  <c r="N141" i="9"/>
  <c r="E141" i="9"/>
  <c r="E98" i="9"/>
  <c r="E163" i="9" l="1"/>
  <c r="I191" i="9" l="1"/>
  <c r="J179" i="9" s="1"/>
  <c r="I174" i="9"/>
  <c r="J172" i="9" s="1"/>
  <c r="I165" i="9"/>
  <c r="J141" i="9"/>
  <c r="J163" i="9" l="1"/>
  <c r="I166" i="9"/>
  <c r="I192" i="9" s="1"/>
  <c r="P191" i="9" l="1"/>
  <c r="J189" i="9"/>
  <c r="P190" i="9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4" i="9"/>
  <c r="N174" i="9"/>
  <c r="P173" i="9"/>
  <c r="O173" i="9"/>
  <c r="N173" i="9"/>
  <c r="J173" i="9"/>
  <c r="E173" i="9"/>
  <c r="P171" i="9"/>
  <c r="O171" i="9"/>
  <c r="N171" i="9"/>
  <c r="J171" i="9"/>
  <c r="E171" i="9"/>
  <c r="P165" i="9"/>
  <c r="J158" i="9"/>
  <c r="E155" i="9"/>
  <c r="P164" i="9"/>
  <c r="O164" i="9"/>
  <c r="N164" i="9"/>
  <c r="P162" i="9"/>
  <c r="O162" i="9"/>
  <c r="N162" i="9"/>
  <c r="P161" i="9"/>
  <c r="O161" i="9"/>
  <c r="N161" i="9"/>
  <c r="P160" i="9"/>
  <c r="O160" i="9"/>
  <c r="N160" i="9"/>
  <c r="P159" i="9"/>
  <c r="O159" i="9"/>
  <c r="N159" i="9"/>
  <c r="E159" i="9"/>
  <c r="P158" i="9"/>
  <c r="O158" i="9"/>
  <c r="N158" i="9"/>
  <c r="P155" i="9"/>
  <c r="O155" i="9"/>
  <c r="N155" i="9"/>
  <c r="J155" i="9"/>
  <c r="P154" i="9"/>
  <c r="O154" i="9"/>
  <c r="N154" i="9"/>
  <c r="P150" i="9"/>
  <c r="N150" i="9"/>
  <c r="P149" i="9"/>
  <c r="O149" i="9"/>
  <c r="N149" i="9"/>
  <c r="J149" i="9"/>
  <c r="E149" i="9"/>
  <c r="P148" i="9"/>
  <c r="O148" i="9"/>
  <c r="N148" i="9"/>
  <c r="J148" i="9"/>
  <c r="E148" i="9"/>
  <c r="P147" i="9"/>
  <c r="O147" i="9"/>
  <c r="N147" i="9"/>
  <c r="J147" i="9"/>
  <c r="E147" i="9"/>
  <c r="P144" i="9"/>
  <c r="E137" i="9"/>
  <c r="P143" i="9"/>
  <c r="O143" i="9"/>
  <c r="N143" i="9"/>
  <c r="E143" i="9"/>
  <c r="P140" i="9"/>
  <c r="O140" i="9"/>
  <c r="N140" i="9"/>
  <c r="P139" i="9"/>
  <c r="O139" i="9"/>
  <c r="N139" i="9"/>
  <c r="E139" i="9"/>
  <c r="P138" i="9"/>
  <c r="O138" i="9"/>
  <c r="N138" i="9"/>
  <c r="P137" i="9"/>
  <c r="O137" i="9"/>
  <c r="N137" i="9"/>
  <c r="P136" i="9"/>
  <c r="O136" i="9"/>
  <c r="N136" i="9"/>
  <c r="E136" i="9"/>
  <c r="P135" i="9"/>
  <c r="O135" i="9"/>
  <c r="N135" i="9"/>
  <c r="P134" i="9"/>
  <c r="O134" i="9"/>
  <c r="N134" i="9"/>
  <c r="E134" i="9"/>
  <c r="P133" i="9"/>
  <c r="O133" i="9"/>
  <c r="N133" i="9"/>
  <c r="E133" i="9"/>
  <c r="P132" i="9"/>
  <c r="O132" i="9"/>
  <c r="N132" i="9"/>
  <c r="P131" i="9"/>
  <c r="O131" i="9"/>
  <c r="N131" i="9"/>
  <c r="E131" i="9"/>
  <c r="P130" i="9"/>
  <c r="O130" i="9"/>
  <c r="N130" i="9"/>
  <c r="P129" i="9"/>
  <c r="O129" i="9"/>
  <c r="N129" i="9"/>
  <c r="P128" i="9"/>
  <c r="O128" i="9"/>
  <c r="N128" i="9"/>
  <c r="E128" i="9"/>
  <c r="P127" i="9"/>
  <c r="O127" i="9"/>
  <c r="N127" i="9"/>
  <c r="P126" i="9"/>
  <c r="O126" i="9"/>
  <c r="N126" i="9"/>
  <c r="E126" i="9"/>
  <c r="P125" i="9"/>
  <c r="O125" i="9"/>
  <c r="N125" i="9"/>
  <c r="E125" i="9"/>
  <c r="P124" i="9"/>
  <c r="O124" i="9"/>
  <c r="N124" i="9"/>
  <c r="P123" i="9"/>
  <c r="O123" i="9"/>
  <c r="N123" i="9"/>
  <c r="E123" i="9"/>
  <c r="P122" i="9"/>
  <c r="O122" i="9"/>
  <c r="N122" i="9"/>
  <c r="P121" i="9"/>
  <c r="O121" i="9"/>
  <c r="N121" i="9"/>
  <c r="P120" i="9"/>
  <c r="O120" i="9"/>
  <c r="N120" i="9"/>
  <c r="E120" i="9"/>
  <c r="P117" i="9"/>
  <c r="N117" i="9"/>
  <c r="E116" i="9"/>
  <c r="P116" i="9"/>
  <c r="O116" i="9"/>
  <c r="N116" i="9"/>
  <c r="P115" i="9"/>
  <c r="O115" i="9"/>
  <c r="N115" i="9"/>
  <c r="E115" i="9"/>
  <c r="P114" i="9"/>
  <c r="O114" i="9"/>
  <c r="N114" i="9"/>
  <c r="P113" i="9"/>
  <c r="O113" i="9"/>
  <c r="N113" i="9"/>
  <c r="E113" i="9"/>
  <c r="P110" i="9"/>
  <c r="P109" i="9"/>
  <c r="O109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9" i="9"/>
  <c r="O99" i="9"/>
  <c r="N99" i="9"/>
  <c r="P97" i="9"/>
  <c r="O97" i="9"/>
  <c r="P96" i="9"/>
  <c r="N96" i="9"/>
  <c r="O96" i="9"/>
  <c r="P95" i="9"/>
  <c r="O95" i="9"/>
  <c r="N95" i="9"/>
  <c r="P94" i="9"/>
  <c r="O94" i="9"/>
  <c r="N94" i="9"/>
  <c r="P93" i="9"/>
  <c r="O93" i="9"/>
  <c r="N93" i="9"/>
  <c r="P92" i="9"/>
  <c r="O92" i="9"/>
  <c r="N92" i="9"/>
  <c r="P88" i="9"/>
  <c r="N88" i="9"/>
  <c r="E87" i="9"/>
  <c r="P87" i="9"/>
  <c r="O87" i="9"/>
  <c r="N87" i="9"/>
  <c r="P84" i="9"/>
  <c r="O84" i="9"/>
  <c r="N84" i="9"/>
  <c r="E84" i="9"/>
  <c r="P83" i="9"/>
  <c r="O83" i="9"/>
  <c r="N83" i="9"/>
  <c r="P82" i="9"/>
  <c r="O82" i="9"/>
  <c r="N82" i="9"/>
  <c r="P81" i="9"/>
  <c r="O81" i="9"/>
  <c r="N81" i="9"/>
  <c r="E81" i="9"/>
  <c r="P80" i="9"/>
  <c r="O80" i="9"/>
  <c r="N80" i="9"/>
  <c r="E80" i="9"/>
  <c r="P79" i="9"/>
  <c r="O79" i="9"/>
  <c r="N79" i="9"/>
  <c r="E79" i="9"/>
  <c r="P78" i="9"/>
  <c r="O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88" i="9" l="1"/>
  <c r="J181" i="9"/>
  <c r="J183" i="9"/>
  <c r="J185" i="9"/>
  <c r="J180" i="9"/>
  <c r="J182" i="9"/>
  <c r="J187" i="9"/>
  <c r="N191" i="9"/>
  <c r="J186" i="9"/>
  <c r="J190" i="9"/>
  <c r="J184" i="9"/>
  <c r="J160" i="9"/>
  <c r="J154" i="9"/>
  <c r="J159" i="9"/>
  <c r="J161" i="9"/>
  <c r="J162" i="9"/>
  <c r="J164" i="9"/>
  <c r="J123" i="9"/>
  <c r="J74" i="9"/>
  <c r="J58" i="9"/>
  <c r="J63" i="9"/>
  <c r="J69" i="9"/>
  <c r="J84" i="9"/>
  <c r="J62" i="9"/>
  <c r="J71" i="9"/>
  <c r="J61" i="9"/>
  <c r="J77" i="9"/>
  <c r="J79" i="9"/>
  <c r="J82" i="9"/>
  <c r="J66" i="9"/>
  <c r="J70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6" i="9"/>
  <c r="J139" i="9"/>
  <c r="J131" i="9"/>
  <c r="J134" i="9"/>
  <c r="J114" i="9"/>
  <c r="J115" i="9"/>
  <c r="J113" i="9"/>
  <c r="J19" i="9"/>
  <c r="J10" i="9"/>
  <c r="J12" i="9"/>
  <c r="J16" i="9"/>
  <c r="E154" i="9"/>
  <c r="E162" i="9"/>
  <c r="N165" i="9"/>
  <c r="E19" i="9"/>
  <c r="J60" i="9"/>
  <c r="J68" i="9"/>
  <c r="J76" i="9"/>
  <c r="J81" i="9"/>
  <c r="E122" i="9"/>
  <c r="J125" i="9"/>
  <c r="E130" i="9"/>
  <c r="J133" i="9"/>
  <c r="E138" i="9"/>
  <c r="J143" i="9"/>
  <c r="N144" i="9"/>
  <c r="E161" i="9"/>
  <c r="E8" i="9"/>
  <c r="E16" i="9"/>
  <c r="E13" i="9"/>
  <c r="J26" i="9"/>
  <c r="J28" i="9"/>
  <c r="J30" i="9"/>
  <c r="J32" i="9"/>
  <c r="J34" i="9"/>
  <c r="J36" i="9"/>
  <c r="J38" i="9"/>
  <c r="J40" i="9"/>
  <c r="J57" i="9"/>
  <c r="J65" i="9"/>
  <c r="J73" i="9"/>
  <c r="E83" i="9"/>
  <c r="E114" i="9"/>
  <c r="J122" i="9"/>
  <c r="E127" i="9"/>
  <c r="J130" i="9"/>
  <c r="E135" i="9"/>
  <c r="E158" i="9"/>
  <c r="N97" i="9"/>
  <c r="J128" i="9"/>
  <c r="J136" i="9"/>
  <c r="J78" i="9"/>
  <c r="J83" i="9"/>
  <c r="E124" i="9"/>
  <c r="J127" i="9"/>
  <c r="E132" i="9"/>
  <c r="J135" i="9"/>
  <c r="E140" i="9"/>
  <c r="E164" i="9"/>
  <c r="J120" i="9"/>
  <c r="E7" i="9"/>
  <c r="E15" i="9"/>
  <c r="E21" i="9"/>
  <c r="J59" i="9"/>
  <c r="J67" i="9"/>
  <c r="J75" i="9"/>
  <c r="J80" i="9"/>
  <c r="E121" i="9"/>
  <c r="J124" i="9"/>
  <c r="E129" i="9"/>
  <c r="J132" i="9"/>
  <c r="J140" i="9"/>
  <c r="E160" i="9"/>
  <c r="E97" i="9"/>
  <c r="E10" i="9"/>
  <c r="E18" i="9"/>
  <c r="J64" i="9"/>
  <c r="E82" i="9"/>
  <c r="J87" i="9"/>
  <c r="J116" i="9"/>
  <c r="J121" i="9"/>
  <c r="E102" i="9" l="1"/>
  <c r="E105" i="9"/>
  <c r="E108" i="9"/>
  <c r="E103" i="9"/>
  <c r="E94" i="9"/>
  <c r="E106" i="9"/>
  <c r="E95" i="9"/>
  <c r="E107" i="9"/>
  <c r="E92" i="9"/>
  <c r="E99" i="9"/>
  <c r="E96" i="9"/>
  <c r="E104" i="9"/>
  <c r="E93" i="9"/>
  <c r="E144" i="9" l="1"/>
  <c r="E117" i="9"/>
  <c r="E150" i="9"/>
  <c r="E165" i="9"/>
  <c r="E54" i="9"/>
  <c r="E22" i="9"/>
  <c r="E88" i="9"/>
  <c r="E110" i="9"/>
  <c r="K10" i="1" l="1"/>
  <c r="K12" i="1" s="1"/>
  <c r="AT138" i="11" l="1"/>
  <c r="AT133" i="11"/>
  <c r="AQ133" i="11"/>
  <c r="AS133" i="11" s="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Q122" i="11"/>
  <c r="AQ138" i="11" s="1"/>
  <c r="AS138" i="11" s="1"/>
  <c r="AT121" i="11"/>
  <c r="AQ121" i="11"/>
  <c r="AS121" i="11" s="1"/>
  <c r="AT117" i="11"/>
  <c r="AS117" i="11"/>
  <c r="AT116" i="11"/>
  <c r="AS116" i="11"/>
  <c r="AT115" i="11"/>
  <c r="AS115" i="11"/>
  <c r="AT114" i="11"/>
  <c r="AS114" i="11"/>
  <c r="AT113" i="11"/>
  <c r="AS113" i="11"/>
  <c r="AT112" i="11"/>
  <c r="AS112" i="11"/>
  <c r="AT111" i="11"/>
  <c r="AQ111" i="11"/>
  <c r="AS111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6" i="11"/>
  <c r="AS96" i="11"/>
  <c r="AT95" i="11"/>
  <c r="AS95" i="11"/>
  <c r="AT94" i="11"/>
  <c r="AS94" i="11"/>
  <c r="AT93" i="11"/>
  <c r="AS93" i="11"/>
  <c r="AT92" i="11"/>
  <c r="AQ92" i="11"/>
  <c r="AS92" i="11" s="1"/>
  <c r="AT91" i="11"/>
  <c r="AS91" i="11"/>
  <c r="AT87" i="11"/>
  <c r="AS87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2" i="11" l="1"/>
  <c r="R174" i="9"/>
  <c r="R192" i="9"/>
  <c r="N109" i="9"/>
  <c r="J106" i="9"/>
  <c r="N166" i="9" l="1"/>
  <c r="J95" i="9"/>
  <c r="J97" i="9"/>
  <c r="J108" i="9"/>
  <c r="J102" i="9"/>
  <c r="J99" i="9"/>
  <c r="J104" i="9"/>
  <c r="J107" i="9"/>
  <c r="J94" i="9"/>
  <c r="J109" i="9"/>
  <c r="N110" i="9"/>
  <c r="J93" i="9"/>
  <c r="E109" i="9"/>
  <c r="J92" i="9"/>
  <c r="J96" i="9"/>
  <c r="J103" i="9"/>
  <c r="J54" i="9" l="1"/>
  <c r="J88" i="9"/>
  <c r="R166" i="9"/>
  <c r="J150" i="9"/>
  <c r="J22" i="9"/>
  <c r="J110" i="9"/>
  <c r="J165" i="9"/>
  <c r="J144" i="9"/>
  <c r="J117" i="9"/>
</calcChain>
</file>

<file path=xl/sharedStrings.xml><?xml version="1.0" encoding="utf-8"?>
<sst xmlns="http://schemas.openxmlformats.org/spreadsheetml/2006/main" count="716" uniqueCount="286">
  <si>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</si>
  <si>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</si>
  <si>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</si>
  <si>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</si>
  <si>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</si>
  <si>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</si>
  <si>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</si>
  <si>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</si>
  <si>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</si>
  <si>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</si>
  <si>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</si>
  <si>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</si>
  <si>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</si>
  <si>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</si>
  <si>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</si>
  <si>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</si>
  <si>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</si>
  <si>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</si>
  <si>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</si>
  <si>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</si>
  <si>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</si>
  <si>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</si>
  <si>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</si>
  <si>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</si>
  <si>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</si>
  <si>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</si>
  <si>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</si>
  <si>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</si>
  <si>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</si>
  <si>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</si>
  <si>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</si>
  <si>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</si>
  <si>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</si>
  <si>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</si>
  <si>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</si>
  <si>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</si>
  <si>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</si>
  <si>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</si>
  <si>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</si>
  <si>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</si>
  <si>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</si>
  <si>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</si>
  <si>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</si>
  <si>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</si>
  <si>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</si>
  <si>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</si>
  <si>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</si>
  <si>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</si>
  <si>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</si>
  <si>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</si>
  <si>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</si>
  <si>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</si>
  <si>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</si>
  <si>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</si>
  <si>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</si>
  <si>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</si>
  <si>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</si>
  <si>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</si>
  <si>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</si>
  <si>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</si>
  <si>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</si>
  <si>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</si>
  <si>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</si>
  <si>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</si>
  <si>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</si>
  <si>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</si>
  <si>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</si>
  <si>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</si>
  <si>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</si>
  <si>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</si>
  <si>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</si>
  <si>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</si>
  <si>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</si>
  <si>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</si>
  <si>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</si>
  <si>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</si>
  <si>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</si>
  <si>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</si>
  <si>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</si>
  <si>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</si>
  <si>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</si>
  <si>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</si>
  <si>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</si>
  <si>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</si>
  <si>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</si>
  <si>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</si>
  <si>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</si>
  <si>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</si>
  <si>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</si>
  <si>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</si>
  <si>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</si>
  <si>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</si>
  <si>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</si>
  <si>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</si>
  <si>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</si>
  <si>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</si>
  <si>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</si>
  <si>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</si>
  <si>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</si>
  <si>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</si>
  <si>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</si>
  <si>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</si>
  <si>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</si>
  <si>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</si>
  <si>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</si>
  <si>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</si>
  <si>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</si>
  <si>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</si>
  <si>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</si>
  <si>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</si>
  <si>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</si>
  <si>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</si>
  <si>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</si>
  <si>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</si>
  <si>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</si>
  <si>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</si>
  <si>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</si>
  <si>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</si>
  <si>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</si>
  <si>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</si>
  <si>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</si>
  <si>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</si>
  <si>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</si>
  <si>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</si>
  <si>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</si>
  <si>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</si>
  <si>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</si>
  <si>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</si>
  <si>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</si>
  <si>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</si>
  <si>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</si>
  <si>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</si>
  <si>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</si>
  <si>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</si>
  <si>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</si>
  <si>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</si>
  <si>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</si>
  <si>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</si>
  <si>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</si>
  <si>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</si>
  <si>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</si>
  <si>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</si>
  <si>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</si>
  <si>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</si>
  <si>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</si>
  <si>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</si>
  <si>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</si>
  <si>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</si>
  <si>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</si>
  <si>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</si>
  <si>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</si>
  <si>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</si>
  <si>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</si>
  <si>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</si>
  <si>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</si>
  <si>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</si>
  <si>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</si>
  <si>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</si>
  <si>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</si>
  <si>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</si>
  <si>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</si>
  <si>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</si>
  <si>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</si>
  <si>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</si>
  <si>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</si>
  <si>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</si>
  <si>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</si>
  <si>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</si>
  <si>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</si>
  <si>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</si>
  <si>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</si>
  <si>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</si>
  <si>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</si>
  <si>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</si>
  <si>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</si>
  <si>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</si>
  <si>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</si>
  <si>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</si>
  <si>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</si>
  <si>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</si>
  <si>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</si>
  <si>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</si>
  <si>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</si>
  <si>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</si>
  <si>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</si>
  <si>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</si>
  <si>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</si>
  <si>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</si>
  <si>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</si>
  <si>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</si>
  <si>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</si>
  <si>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</si>
  <si>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</si>
  <si>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</si>
  <si>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</si>
  <si>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</si>
  <si>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</si>
  <si>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</si>
  <si>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</si>
  <si>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</si>
  <si>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</si>
  <si>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</si>
  <si>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</si>
  <si>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</si>
  <si>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</si>
  <si>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</si>
  <si>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</si>
  <si>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</si>
  <si>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</si>
  <si>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</si>
  <si>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</si>
  <si>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</si>
  <si>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</si>
  <si>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</si>
  <si>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</si>
  <si>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</si>
  <si>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</si>
  <si>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</si>
  <si>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</si>
  <si>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</si>
  <si>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</si>
  <si>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</si>
  <si>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</si>
  <si>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</si>
  <si>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</si>
  <si>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</si>
  <si>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</si>
  <si>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</si>
  <si>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</si>
  <si>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</si>
  <si>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</si>
  <si>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</si>
  <si>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</si>
  <si>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</si>
  <si>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</si>
  <si>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</si>
  <si>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</si>
  <si>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</si>
  <si>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</si>
  <si>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</si>
  <si>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</si>
  <si>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</si>
  <si>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</si>
  <si>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</si>
  <si>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</si>
  <si>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</si>
  <si>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</si>
  <si>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</si>
  <si>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</si>
  <si>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</si>
  <si>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</si>
  <si>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</si>
  <si>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</si>
  <si>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</si>
  <si>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</si>
  <si>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</si>
  <si>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</si>
  <si>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</si>
  <si>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</si>
  <si>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</si>
  <si>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</si>
  <si>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</si>
  <si>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</si>
  <si>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</si>
  <si>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</si>
  <si>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</si>
  <si>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</si>
  <si>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</si>
  <si>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NAV and Unit Price as at Week Ended October 28, 2022</t>
  </si>
  <si>
    <t>NAV and Unit Price as at Week Ended November 4, 2022</t>
  </si>
  <si>
    <t>NAV and Unit Price as at Week Ended November 11, 2022</t>
  </si>
  <si>
    <t>Guaranty Trust Fund Managers</t>
  </si>
  <si>
    <t>NAV and Unit Price as at Week Ended November 18, 2022</t>
  </si>
  <si>
    <t>NAV and Unit Price as at Week Ended November 25, 2022</t>
  </si>
  <si>
    <t>United Capital Infrastructure Fund</t>
  </si>
  <si>
    <t>NAV and Unit Price as at Week Ended December 2, 2022</t>
  </si>
  <si>
    <t>NAV and Unit Price as at Week Ended December 9, 2022</t>
  </si>
  <si>
    <t>NAV, Unit Price and Yield as at Week Ended December 16, 2022</t>
  </si>
  <si>
    <t>NAV and Unit Price as at Week Ended December 16, 2022</t>
  </si>
  <si>
    <t>NAV, Unit Price and Yield as at Week Ended December 23, 2022</t>
  </si>
  <si>
    <t>NET ASSET VALUES AND UNIT PRICES OF COLLECTIVE INVESTMENT SCHEMES AS AT WEEK ENDED DECEMBER 23, 2022</t>
  </si>
  <si>
    <t>UBA Nom-Cowry Equity Fund</t>
  </si>
  <si>
    <t>Cowry Treasurers Limited</t>
  </si>
  <si>
    <t>UBA Nom-Cowry Fixed Income Fund</t>
  </si>
  <si>
    <t>UBA Nom-Cowry Balanced Fund</t>
  </si>
  <si>
    <t>The chart above shows that Money Market Fund category has 43.34% share of the Total NAV, followed by Bond/Fixed Income Fund with 24.43%, Dollar Fund (Eurobonds and Fixed Income) at 23.76%, Real Estate Investment Trust at 3.30%.  Next is Balanced Fund at 2.18%, Shari'ah Compliant Fund at 1.65%, Equity Fund at 1.14%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</si>
</sst>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5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5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6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0" fontId="37" fillId="6" borderId="0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7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12" xfId="19778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2 7" xfId="19780"/>
    <cellStyle name="Comma 2 3" xfId="2323"/>
    <cellStyle name="Comma 2 3 2" xfId="13179"/>
    <cellStyle name="Comma 2 3 2 2" xfId="19690"/>
    <cellStyle name="Comma 2 3 3" xfId="13974"/>
    <cellStyle name="Comma 2 3 4" xfId="19782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23RD DECEMBER,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15526960302.890003</c:v>
                </c:pt>
                <c:pt idx="1">
                  <c:v>590991900611.65771</c:v>
                </c:pt>
                <c:pt idx="2">
                  <c:v>337768215375.69989</c:v>
                </c:pt>
                <c:pt idx="3">
                  <c:v>324899490879.42987</c:v>
                </c:pt>
                <c:pt idx="4">
                  <c:v>45641120931.690002</c:v>
                </c:pt>
                <c:pt idx="5">
                  <c:v>29870422741.332851</c:v>
                </c:pt>
                <c:pt idx="6">
                  <c:v>2873228056.0900002</c:v>
                </c:pt>
                <c:pt idx="7">
                  <c:v>22933528265.999996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23,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44869</c:v>
                </c:pt>
                <c:pt idx="1">
                  <c:v>44876</c:v>
                </c:pt>
                <c:pt idx="2">
                  <c:v>44883</c:v>
                </c:pt>
                <c:pt idx="3">
                  <c:v>44890</c:v>
                </c:pt>
                <c:pt idx="4">
                  <c:v>44897</c:v>
                </c:pt>
                <c:pt idx="5">
                  <c:v>44904</c:v>
                </c:pt>
                <c:pt idx="6">
                  <c:v>44911</c:v>
                </c:pt>
                <c:pt idx="7">
                  <c:v>45283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1374458022985.5962</c:v>
                </c:pt>
                <c:pt idx="1">
                  <c:v>1366619804891.1321</c:v>
                </c:pt>
                <c:pt idx="2">
                  <c:v>1376487936718.6252</c:v>
                </c:pt>
                <c:pt idx="3">
                  <c:v>1379080530789.1563</c:v>
                </c:pt>
                <c:pt idx="4">
                  <c:v>1373683133199.6379</c:v>
                </c:pt>
                <c:pt idx="5">
                  <c:v>1375005958206.6445</c:v>
                </c:pt>
                <c:pt idx="6">
                  <c:v>1370504867164.7903</c:v>
                </c:pt>
                <c:pt idx="7">
                  <c:v>1383214658043.2046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23,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44862</c:v>
                </c:pt>
                <c:pt idx="1">
                  <c:v>44869</c:v>
                </c:pt>
                <c:pt idx="2">
                  <c:v>44876</c:v>
                </c:pt>
                <c:pt idx="3">
                  <c:v>44883</c:v>
                </c:pt>
                <c:pt idx="4">
                  <c:v>44890</c:v>
                </c:pt>
                <c:pt idx="5">
                  <c:v>44897</c:v>
                </c:pt>
                <c:pt idx="6">
                  <c:v>44904</c:v>
                </c:pt>
                <c:pt idx="7">
                  <c:v>44911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19488439479.509998</c:v>
                </c:pt>
                <c:pt idx="1">
                  <c:v>19804591061.689999</c:v>
                </c:pt>
                <c:pt idx="2">
                  <c:v>19799411572.150002</c:v>
                </c:pt>
                <c:pt idx="3">
                  <c:v>19838947131.609997</c:v>
                </c:pt>
                <c:pt idx="4">
                  <c:v>19844639157.199997</c:v>
                </c:pt>
                <c:pt idx="5">
                  <c:v>23180540646.950005</c:v>
                </c:pt>
                <c:pt idx="6">
                  <c:v>22922161098.549999</c:v>
                </c:pt>
                <c:pt idx="7">
                  <c:v>22933528265.999996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44862</c:v>
                </c:pt>
                <c:pt idx="1">
                  <c:v>44869</c:v>
                </c:pt>
                <c:pt idx="2">
                  <c:v>44876</c:v>
                </c:pt>
                <c:pt idx="3">
                  <c:v>44883</c:v>
                </c:pt>
                <c:pt idx="4">
                  <c:v>44890</c:v>
                </c:pt>
                <c:pt idx="5">
                  <c:v>44897</c:v>
                </c:pt>
                <c:pt idx="6">
                  <c:v>44904</c:v>
                </c:pt>
                <c:pt idx="7">
                  <c:v>44911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2797748732.5599999</c:v>
                </c:pt>
                <c:pt idx="1">
                  <c:v>2807498589.54</c:v>
                </c:pt>
                <c:pt idx="2">
                  <c:v>2782426925.4700003</c:v>
                </c:pt>
                <c:pt idx="3">
                  <c:v>2806026075.8699999</c:v>
                </c:pt>
                <c:pt idx="4">
                  <c:v>2820100312.9700003</c:v>
                </c:pt>
                <c:pt idx="5">
                  <c:v>2863001721.3400002</c:v>
                </c:pt>
                <c:pt idx="6">
                  <c:v>2869997501.9300003</c:v>
                </c:pt>
                <c:pt idx="7">
                  <c:v>2873228056.0900002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44862</c:v>
                </c:pt>
                <c:pt idx="1">
                  <c:v>44869</c:v>
                </c:pt>
                <c:pt idx="2">
                  <c:v>44876</c:v>
                </c:pt>
                <c:pt idx="3">
                  <c:v>44883</c:v>
                </c:pt>
                <c:pt idx="4">
                  <c:v>44890</c:v>
                </c:pt>
                <c:pt idx="5">
                  <c:v>44897</c:v>
                </c:pt>
                <c:pt idx="6">
                  <c:v>44904</c:v>
                </c:pt>
                <c:pt idx="7">
                  <c:v>44911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29225566515.922413</c:v>
                </c:pt>
                <c:pt idx="1">
                  <c:v>29123241376.55814</c:v>
                </c:pt>
                <c:pt idx="2">
                  <c:v>28963635112.849403</c:v>
                </c:pt>
                <c:pt idx="3">
                  <c:v>29133230721.822796</c:v>
                </c:pt>
                <c:pt idx="4">
                  <c:v>29384603401.979706</c:v>
                </c:pt>
                <c:pt idx="5">
                  <c:v>29609717519.464787</c:v>
                </c:pt>
                <c:pt idx="6">
                  <c:v>29903381585.981205</c:v>
                </c:pt>
                <c:pt idx="7">
                  <c:v>29870422741.332851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44862</c:v>
                </c:pt>
                <c:pt idx="1">
                  <c:v>44869</c:v>
                </c:pt>
                <c:pt idx="2">
                  <c:v>44876</c:v>
                </c:pt>
                <c:pt idx="3">
                  <c:v>44883</c:v>
                </c:pt>
                <c:pt idx="4">
                  <c:v>44890</c:v>
                </c:pt>
                <c:pt idx="5">
                  <c:v>44897</c:v>
                </c:pt>
                <c:pt idx="6">
                  <c:v>44904</c:v>
                </c:pt>
                <c:pt idx="7">
                  <c:v>44911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15117578327.809998</c:v>
                </c:pt>
                <c:pt idx="1">
                  <c:v>15091571938.020002</c:v>
                </c:pt>
                <c:pt idx="2">
                  <c:v>14878650973.370001</c:v>
                </c:pt>
                <c:pt idx="3">
                  <c:v>14950754480.85</c:v>
                </c:pt>
                <c:pt idx="4">
                  <c:v>15213332672.289999</c:v>
                </c:pt>
                <c:pt idx="5">
                  <c:v>15301360595.649994</c:v>
                </c:pt>
                <c:pt idx="6">
                  <c:v>15444795301.529999</c:v>
                </c:pt>
                <c:pt idx="7">
                  <c:v>15526960302.890003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44862</c:v>
                </c:pt>
                <c:pt idx="1">
                  <c:v>44869</c:v>
                </c:pt>
                <c:pt idx="2">
                  <c:v>44876</c:v>
                </c:pt>
                <c:pt idx="3">
                  <c:v>44883</c:v>
                </c:pt>
                <c:pt idx="4">
                  <c:v>44890</c:v>
                </c:pt>
                <c:pt idx="5">
                  <c:v>44897</c:v>
                </c:pt>
                <c:pt idx="6">
                  <c:v>44904</c:v>
                </c:pt>
                <c:pt idx="7">
                  <c:v>44911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45441254320.619995</c:v>
                </c:pt>
                <c:pt idx="1">
                  <c:v>45471708137.050003</c:v>
                </c:pt>
                <c:pt idx="2">
                  <c:v>45709841753.909996</c:v>
                </c:pt>
                <c:pt idx="3">
                  <c:v>45713006421.229996</c:v>
                </c:pt>
                <c:pt idx="4">
                  <c:v>45722431990.459999</c:v>
                </c:pt>
                <c:pt idx="5">
                  <c:v>45581977419.720001</c:v>
                </c:pt>
                <c:pt idx="6">
                  <c:v>45612800548.009995</c:v>
                </c:pt>
                <c:pt idx="7">
                  <c:v>45641120931.690002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44862</c:v>
                </c:pt>
                <c:pt idx="1">
                  <c:v>44869</c:v>
                </c:pt>
                <c:pt idx="2">
                  <c:v>44876</c:v>
                </c:pt>
                <c:pt idx="3">
                  <c:v>44883</c:v>
                </c:pt>
                <c:pt idx="4">
                  <c:v>44890</c:v>
                </c:pt>
                <c:pt idx="5">
                  <c:v>44897</c:v>
                </c:pt>
                <c:pt idx="6">
                  <c:v>44904</c:v>
                </c:pt>
                <c:pt idx="7">
                  <c:v>44911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582479188277.02686</c:v>
                </c:pt>
                <c:pt idx="1">
                  <c:v>577843844867.68115</c:v>
                </c:pt>
                <c:pt idx="2">
                  <c:v>574228446553.54651</c:v>
                </c:pt>
                <c:pt idx="3">
                  <c:v>578013629503.56995</c:v>
                </c:pt>
                <c:pt idx="4">
                  <c:v>584870498552.73987</c:v>
                </c:pt>
                <c:pt idx="5">
                  <c:v>587902088881.4845</c:v>
                </c:pt>
                <c:pt idx="6">
                  <c:v>588565606910.96375</c:v>
                </c:pt>
                <c:pt idx="7">
                  <c:v>590991900611.65771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44862</c:v>
                </c:pt>
                <c:pt idx="1">
                  <c:v>44869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363697756606.80829</c:v>
                </c:pt>
                <c:pt idx="1">
                  <c:v>358756134715.60413</c:v>
                </c:pt>
                <c:pt idx="2">
                  <c:v>354067957931.39105</c:v>
                </c:pt>
                <c:pt idx="3">
                  <c:v>350413185415.0213</c:v>
                </c:pt>
                <c:pt idx="4">
                  <c:v>343631563073.46741</c:v>
                </c:pt>
                <c:pt idx="5">
                  <c:v>342322079001.19733</c:v>
                </c:pt>
                <c:pt idx="6">
                  <c:v>341163967419.0567</c:v>
                </c:pt>
                <c:pt idx="7">
                  <c:v>337768215375.69989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325873301139.4115</c:v>
                </c:pt>
                <c:pt idx="1">
                  <c:v>325559432299.45282</c:v>
                </c:pt>
                <c:pt idx="2">
                  <c:v>326189434068.44525</c:v>
                </c:pt>
                <c:pt idx="3">
                  <c:v>335619156968.651</c:v>
                </c:pt>
                <c:pt idx="4">
                  <c:v>337593361628.04932</c:v>
                </c:pt>
                <c:pt idx="5">
                  <c:v>326922367413.83118</c:v>
                </c:pt>
                <c:pt idx="6">
                  <c:v>328523247840.62286</c:v>
                </c:pt>
                <c:pt idx="7">
                  <c:v>324899490879.42987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96</xdr:row>
      <xdr:rowOff>0</xdr:rowOff>
    </xdr:from>
    <xdr:to>
      <xdr:col>18</xdr:col>
      <xdr:colOff>304800</xdr:colOff>
      <xdr:row>97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9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0" customWidth="1"/>
    <col min="9" max="9" width="17.140625" style="246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28" customWidth="1"/>
    <col min="17" max="17" width="6.7109375" style="128" customWidth="1"/>
    <col min="18" max="18" width="22.28515625" style="129" customWidth="1"/>
    <col min="19" max="19" width="18.42578125" style="128" customWidth="1"/>
    <col min="20" max="20" width="18.140625" style="128" customWidth="1"/>
    <col min="21" max="21" width="9.42578125" style="128" customWidth="1"/>
    <col min="22" max="22" width="18.42578125" style="128" customWidth="1"/>
    <col min="23" max="23" width="8.85546875" style="128" customWidth="1"/>
    <col min="24" max="24" width="25.140625" style="128" customWidth="1"/>
    <col min="25" max="30" width="8.85546875" style="128"/>
    <col min="31" max="31" width="9" style="128" bestFit="1" customWidth="1"/>
    <col min="32" max="40" width="8.85546875" style="128"/>
    <col min="41" max="41" width="9.28515625" style="128" bestFit="1" customWidth="1"/>
    <col min="42" max="49" width="8.85546875" style="128"/>
    <col min="50" max="50" width="8.85546875" style="128" customWidth="1"/>
    <col min="51" max="101" width="8.85546875" style="128"/>
    <col min="102" max="16384" width="8.85546875" style="4"/>
  </cols>
  <sheetData>
    <row r="1" spans="1:24" s="135" customFormat="1" ht="22.5" customHeight="1">
      <c r="A1" s="445" t="s">
        <v>280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7"/>
      <c r="Q1" s="133"/>
      <c r="R1" s="332"/>
      <c r="S1" s="136"/>
    </row>
    <row r="2" spans="1:24" s="135" customFormat="1" ht="25.5" customHeight="1">
      <c r="A2" s="279"/>
      <c r="B2" s="280"/>
      <c r="C2" s="280"/>
      <c r="D2" s="454" t="s">
        <v>277</v>
      </c>
      <c r="E2" s="454"/>
      <c r="F2" s="454"/>
      <c r="G2" s="454"/>
      <c r="H2" s="454"/>
      <c r="I2" s="454" t="s">
        <v>279</v>
      </c>
      <c r="J2" s="454"/>
      <c r="K2" s="454"/>
      <c r="L2" s="454"/>
      <c r="M2" s="454"/>
      <c r="N2" s="455" t="s">
        <v>68</v>
      </c>
      <c r="O2" s="456"/>
      <c r="P2" s="351" t="s">
        <v>239</v>
      </c>
      <c r="Q2" s="133"/>
      <c r="R2" s="332"/>
      <c r="S2" s="136"/>
    </row>
    <row r="3" spans="1:24" s="135" customFormat="1" ht="12.95" customHeight="1">
      <c r="A3" s="338" t="s">
        <v>2</v>
      </c>
      <c r="B3" s="339" t="s">
        <v>213</v>
      </c>
      <c r="C3" s="339" t="s">
        <v>3</v>
      </c>
      <c r="D3" s="340" t="s">
        <v>223</v>
      </c>
      <c r="E3" s="341" t="s">
        <v>67</v>
      </c>
      <c r="F3" s="341" t="s">
        <v>236</v>
      </c>
      <c r="G3" s="341" t="s">
        <v>237</v>
      </c>
      <c r="H3" s="342" t="s">
        <v>238</v>
      </c>
      <c r="I3" s="343" t="s">
        <v>223</v>
      </c>
      <c r="J3" s="341" t="s">
        <v>67</v>
      </c>
      <c r="K3" s="341" t="s">
        <v>236</v>
      </c>
      <c r="L3" s="341" t="s">
        <v>237</v>
      </c>
      <c r="M3" s="341" t="s">
        <v>238</v>
      </c>
      <c r="N3" s="344" t="s">
        <v>224</v>
      </c>
      <c r="O3" s="345" t="s">
        <v>129</v>
      </c>
      <c r="P3" s="346" t="s">
        <v>238</v>
      </c>
      <c r="Q3" s="133"/>
      <c r="R3" s="332"/>
      <c r="S3" s="136"/>
    </row>
    <row r="4" spans="1:24" s="135" customFormat="1" ht="5.25" customHeight="1">
      <c r="A4" s="457"/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9"/>
      <c r="Q4" s="133"/>
      <c r="R4" s="332"/>
      <c r="S4" s="136"/>
    </row>
    <row r="5" spans="1:24" s="135" customFormat="1" ht="12.95" customHeight="1">
      <c r="A5" s="460" t="s">
        <v>0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2"/>
      <c r="Q5" s="133"/>
      <c r="R5" s="332"/>
      <c r="S5" s="136"/>
    </row>
    <row r="6" spans="1:24" s="135" customFormat="1" ht="12.95" customHeight="1">
      <c r="A6" s="438">
        <v>1</v>
      </c>
      <c r="B6" s="439" t="s">
        <v>6</v>
      </c>
      <c r="C6" s="440" t="s">
        <v>249</v>
      </c>
      <c r="D6" s="415">
        <v>6961278920.3400002</v>
      </c>
      <c r="E6" s="217">
        <f t="shared" ref="E6:E21" si="0">(D6/$D$22)</f>
        <v>0.44833494673418534</v>
      </c>
      <c r="F6" s="414">
        <v>11761</v>
      </c>
      <c r="G6" s="414">
        <v>11895.07</v>
      </c>
      <c r="H6" s="423">
        <v>6.3299999999999995E-2</v>
      </c>
      <c r="I6" s="415">
        <v>7078686974.9300003</v>
      </c>
      <c r="J6" s="217">
        <f t="shared" ref="J6:J19" si="1">(I6/$I$22)</f>
        <v>0.44946517527125707</v>
      </c>
      <c r="K6" s="414">
        <v>11928.49</v>
      </c>
      <c r="L6" s="414">
        <v>12064.98</v>
      </c>
      <c r="M6" s="423">
        <v>7.85E-2</v>
      </c>
      <c r="N6" s="84">
        <f>((I6-D6)/D6)</f>
        <v>1.6865874206957614E-2</v>
      </c>
      <c r="O6" s="84" t="e">
        <f>((#REF!-G6)/G6)</f>
        <v>#REF!</v>
      </c>
      <c r="P6" s="254">
        <f>M6-H6</f>
        <v>1.5200000000000005E-2</v>
      </c>
      <c r="Q6" s="133"/>
      <c r="S6" s="136"/>
    </row>
    <row r="7" spans="1:24" s="135" customFormat="1" ht="12.95" customHeight="1">
      <c r="A7" s="438">
        <v>2</v>
      </c>
      <c r="B7" s="439" t="s">
        <v>144</v>
      </c>
      <c r="C7" s="440" t="s">
        <v>50</v>
      </c>
      <c r="D7" s="415">
        <v>969982955.41999996</v>
      </c>
      <c r="E7" s="217">
        <f t="shared" si="0"/>
        <v>6.2470885253661589E-2</v>
      </c>
      <c r="F7" s="414">
        <v>1.94</v>
      </c>
      <c r="G7" s="414">
        <v>1.98</v>
      </c>
      <c r="H7" s="423">
        <v>0.12640000000000001</v>
      </c>
      <c r="I7" s="415">
        <v>977230662.92999995</v>
      </c>
      <c r="J7" s="217">
        <f t="shared" si="1"/>
        <v>6.2049805670157158E-2</v>
      </c>
      <c r="K7" s="414">
        <v>1.95</v>
      </c>
      <c r="L7" s="359">
        <v>1.99</v>
      </c>
      <c r="M7" s="361">
        <v>0.13500000000000001</v>
      </c>
      <c r="N7" s="84">
        <f>((I7-D7)/D7)</f>
        <v>7.4719947082593358E-3</v>
      </c>
      <c r="O7" s="84">
        <f t="shared" ref="O7:O21" si="2">((L7-G7)/G7)</f>
        <v>5.0505050505050553E-3</v>
      </c>
      <c r="P7" s="254">
        <f>M7-H7</f>
        <v>8.5999999999999965E-3</v>
      </c>
      <c r="Q7" s="133"/>
      <c r="R7" s="332"/>
      <c r="S7" s="136"/>
    </row>
    <row r="8" spans="1:24" s="135" customFormat="1" ht="12.95" customHeight="1">
      <c r="A8" s="438">
        <v>3</v>
      </c>
      <c r="B8" s="439" t="s">
        <v>62</v>
      </c>
      <c r="C8" s="440" t="s">
        <v>12</v>
      </c>
      <c r="D8" s="415">
        <v>250023807.15000001</v>
      </c>
      <c r="E8" s="217">
        <f t="shared" si="0"/>
        <v>1.6102559823216882E-2</v>
      </c>
      <c r="F8" s="414">
        <v>125.62</v>
      </c>
      <c r="G8" s="414">
        <v>128.22999999999999</v>
      </c>
      <c r="H8" s="423">
        <v>9.7000000000000003E-3</v>
      </c>
      <c r="I8" s="415">
        <v>250023807.15000001</v>
      </c>
      <c r="J8" s="217">
        <f t="shared" si="1"/>
        <v>1.5875401003132082E-2</v>
      </c>
      <c r="K8" s="414">
        <v>121.6</v>
      </c>
      <c r="L8" s="359">
        <v>124.01</v>
      </c>
      <c r="M8" s="423">
        <v>-3.2000000000000001E-2</v>
      </c>
      <c r="N8" s="84">
        <f>((I8-D8)/D8)</f>
        <v>0</v>
      </c>
      <c r="O8" s="84">
        <f t="shared" si="2"/>
        <v>-3.290961553458617E-2</v>
      </c>
      <c r="P8" s="254">
        <f>M8-H8</f>
        <v>-4.1700000000000001E-2</v>
      </c>
      <c r="Q8" s="133"/>
      <c r="R8" s="332"/>
      <c r="S8" s="136"/>
      <c r="T8" s="169"/>
      <c r="U8" s="137"/>
      <c r="V8" s="137"/>
      <c r="W8" s="138"/>
    </row>
    <row r="9" spans="1:24" s="135" customFormat="1" ht="12.95" customHeight="1">
      <c r="A9" s="438">
        <v>4</v>
      </c>
      <c r="B9" s="439" t="s">
        <v>13</v>
      </c>
      <c r="C9" s="440" t="s">
        <v>14</v>
      </c>
      <c r="D9" s="415">
        <v>688828025.17999995</v>
      </c>
      <c r="E9" s="217">
        <f t="shared" si="0"/>
        <v>4.4363353273453643E-2</v>
      </c>
      <c r="F9" s="414">
        <v>18.010000000000002</v>
      </c>
      <c r="G9" s="414">
        <v>18.34</v>
      </c>
      <c r="H9" s="423">
        <v>8.5300000000000001E-2</v>
      </c>
      <c r="I9" s="357">
        <v>695315443.92999995</v>
      </c>
      <c r="J9" s="217">
        <f t="shared" si="1"/>
        <v>4.4149441694714832E-2</v>
      </c>
      <c r="K9" s="359">
        <v>18.010000000000002</v>
      </c>
      <c r="L9" s="359">
        <v>18.34</v>
      </c>
      <c r="M9" s="361">
        <v>9.11E-2</v>
      </c>
      <c r="N9" s="84">
        <f>((I9-D9)/D9)</f>
        <v>9.4180528562332385E-3</v>
      </c>
      <c r="O9" s="84">
        <f t="shared" si="2"/>
        <v>0</v>
      </c>
      <c r="P9" s="254">
        <f>M9-H9</f>
        <v>5.7999999999999996E-3</v>
      </c>
      <c r="Q9" s="133"/>
      <c r="R9" s="332"/>
      <c r="S9" s="136"/>
      <c r="T9" s="169"/>
      <c r="U9" s="137"/>
      <c r="V9" s="137"/>
      <c r="W9" s="138"/>
    </row>
    <row r="10" spans="1:24" s="135" customFormat="1" ht="12.95" customHeight="1">
      <c r="A10" s="438">
        <v>5</v>
      </c>
      <c r="B10" s="439" t="s">
        <v>63</v>
      </c>
      <c r="C10" s="440" t="s">
        <v>18</v>
      </c>
      <c r="D10" s="415">
        <v>390046997.77999997</v>
      </c>
      <c r="E10" s="217">
        <f t="shared" si="0"/>
        <v>2.5120628260214026E-2</v>
      </c>
      <c r="F10" s="414">
        <v>182.15119999999999</v>
      </c>
      <c r="G10" s="414">
        <v>187.46289999999999</v>
      </c>
      <c r="H10" s="423">
        <v>8.72E-2</v>
      </c>
      <c r="I10" s="415">
        <v>395708886.68000001</v>
      </c>
      <c r="J10" s="217">
        <f t="shared" si="1"/>
        <v>2.5125756335592025E-2</v>
      </c>
      <c r="K10" s="414">
        <v>184.79519999999999</v>
      </c>
      <c r="L10" s="414">
        <v>190.19450000000001</v>
      </c>
      <c r="M10" s="423">
        <v>0.10299999999999999</v>
      </c>
      <c r="N10" s="132">
        <f>((I10-D10)/D10)</f>
        <v>1.4515914574975237E-2</v>
      </c>
      <c r="O10" s="132">
        <f t="shared" si="2"/>
        <v>1.4571416530951002E-2</v>
      </c>
      <c r="P10" s="254">
        <f t="shared" ref="P10:P22" si="3">M10-H10</f>
        <v>1.5799999999999995E-2</v>
      </c>
      <c r="Q10" s="133"/>
      <c r="R10" s="332"/>
      <c r="S10" s="136"/>
      <c r="T10" s="169"/>
      <c r="U10" s="137"/>
      <c r="V10" s="137"/>
      <c r="W10" s="138"/>
    </row>
    <row r="11" spans="1:24" s="135" customFormat="1" ht="12.95" customHeight="1">
      <c r="A11" s="438">
        <v>6</v>
      </c>
      <c r="B11" s="439" t="s">
        <v>46</v>
      </c>
      <c r="C11" s="439" t="s">
        <v>82</v>
      </c>
      <c r="D11" s="414">
        <v>1779637640.5999999</v>
      </c>
      <c r="E11" s="217">
        <f t="shared" si="0"/>
        <v>0.1146159715671302</v>
      </c>
      <c r="F11" s="414">
        <v>0.93200000000000005</v>
      </c>
      <c r="G11" s="360">
        <v>0.95569999999999999</v>
      </c>
      <c r="H11" s="423">
        <v>5.0900000000000001E-2</v>
      </c>
      <c r="I11" s="414">
        <v>1790470935.05</v>
      </c>
      <c r="J11" s="217">
        <f t="shared" si="1"/>
        <v>0.11368695006439351</v>
      </c>
      <c r="K11" s="414">
        <v>0.93779999999999997</v>
      </c>
      <c r="L11" s="360">
        <v>0.9617</v>
      </c>
      <c r="M11" s="361">
        <v>5.9200000000000003E-2</v>
      </c>
      <c r="N11" s="84">
        <f t="shared" ref="N11:N22" si="4">((I11-D11)/D11)</f>
        <v>6.0873596977571416E-3</v>
      </c>
      <c r="O11" s="84">
        <f t="shared" si="2"/>
        <v>6.2781207491890813E-3</v>
      </c>
      <c r="P11" s="254">
        <f t="shared" si="3"/>
        <v>8.3000000000000018E-3</v>
      </c>
      <c r="Q11" s="133"/>
      <c r="R11" s="332"/>
      <c r="S11" s="136"/>
      <c r="T11" s="171"/>
      <c r="U11" s="138"/>
      <c r="V11" s="138"/>
      <c r="W11" s="139"/>
      <c r="X11" s="140"/>
    </row>
    <row r="12" spans="1:24" s="135" customFormat="1" ht="12.95" customHeight="1">
      <c r="A12" s="438">
        <v>7</v>
      </c>
      <c r="B12" s="439" t="s">
        <v>8</v>
      </c>
      <c r="C12" s="440" t="s">
        <v>15</v>
      </c>
      <c r="D12" s="414">
        <v>2257527479.2800002</v>
      </c>
      <c r="E12" s="217">
        <f t="shared" si="0"/>
        <v>0.14539403947982085</v>
      </c>
      <c r="F12" s="414">
        <v>21.532800000000002</v>
      </c>
      <c r="G12" s="414">
        <v>22.181999999999999</v>
      </c>
      <c r="H12" s="396">
        <v>0.45579999999999998</v>
      </c>
      <c r="I12" s="414">
        <v>2244369906.6999998</v>
      </c>
      <c r="J12" s="217">
        <f t="shared" si="1"/>
        <v>0.14250751828144312</v>
      </c>
      <c r="K12" s="414">
        <v>21.392600000000002</v>
      </c>
      <c r="L12" s="414">
        <v>22.037600000000001</v>
      </c>
      <c r="M12" s="396">
        <v>-0.33939999999999998</v>
      </c>
      <c r="N12" s="84">
        <f t="shared" si="4"/>
        <v>-5.8283111504790113E-3</v>
      </c>
      <c r="O12" s="84">
        <f t="shared" si="2"/>
        <v>-6.5097827066990096E-3</v>
      </c>
      <c r="P12" s="254">
        <f t="shared" si="3"/>
        <v>-0.79519999999999991</v>
      </c>
      <c r="Q12" s="133"/>
      <c r="R12" s="167"/>
      <c r="S12" s="136"/>
    </row>
    <row r="13" spans="1:24" s="135" customFormat="1" ht="12.95" customHeight="1">
      <c r="A13" s="438">
        <v>8</v>
      </c>
      <c r="B13" s="439" t="s">
        <v>203</v>
      </c>
      <c r="C13" s="440" t="s">
        <v>58</v>
      </c>
      <c r="D13" s="414">
        <v>355582772.64999998</v>
      </c>
      <c r="E13" s="217">
        <f t="shared" si="0"/>
        <v>2.2900990645530021E-2</v>
      </c>
      <c r="F13" s="414">
        <v>156.87</v>
      </c>
      <c r="G13" s="414">
        <v>159.05000000000001</v>
      </c>
      <c r="H13" s="423">
        <v>6.1000000000000004E-3</v>
      </c>
      <c r="I13" s="414">
        <v>353455738.45999998</v>
      </c>
      <c r="J13" s="217">
        <f t="shared" si="1"/>
        <v>2.2442869136634833E-2</v>
      </c>
      <c r="K13" s="414">
        <v>161.03</v>
      </c>
      <c r="L13" s="414">
        <v>163.36000000000001</v>
      </c>
      <c r="M13" s="423">
        <v>2.6800000000000001E-2</v>
      </c>
      <c r="N13" s="84">
        <f>((I13-D13)/D13)</f>
        <v>-5.9818257621092252E-3</v>
      </c>
      <c r="O13" s="84">
        <f t="shared" si="2"/>
        <v>2.7098396730587879E-2</v>
      </c>
      <c r="P13" s="254">
        <f t="shared" si="3"/>
        <v>2.07E-2</v>
      </c>
      <c r="Q13" s="133"/>
      <c r="R13" s="167"/>
      <c r="S13" s="136"/>
    </row>
    <row r="14" spans="1:24" s="135" customFormat="1" ht="12.95" customHeight="1">
      <c r="A14" s="438">
        <v>9</v>
      </c>
      <c r="B14" s="439" t="s">
        <v>60</v>
      </c>
      <c r="C14" s="440" t="s">
        <v>59</v>
      </c>
      <c r="D14" s="414">
        <v>271264932.87</v>
      </c>
      <c r="E14" s="217">
        <f t="shared" si="0"/>
        <v>1.7470575539470529E-2</v>
      </c>
      <c r="F14" s="414">
        <v>11.797700000000001</v>
      </c>
      <c r="G14" s="414">
        <v>11.891500000000001</v>
      </c>
      <c r="H14" s="423">
        <v>8.4699999999999998E-2</v>
      </c>
      <c r="I14" s="356">
        <v>280672383.68000001</v>
      </c>
      <c r="J14" s="217">
        <f t="shared" si="1"/>
        <v>1.7821449454018302E-2</v>
      </c>
      <c r="K14" s="359">
        <v>11.8691</v>
      </c>
      <c r="L14" s="359">
        <v>11.968</v>
      </c>
      <c r="M14" s="361">
        <v>9.1899999999999996E-2</v>
      </c>
      <c r="N14" s="84">
        <f t="shared" si="4"/>
        <v>3.4679937102332331E-2</v>
      </c>
      <c r="O14" s="84">
        <f t="shared" si="2"/>
        <v>6.4331665475338973E-3</v>
      </c>
      <c r="P14" s="254">
        <f t="shared" si="3"/>
        <v>7.1999999999999981E-3</v>
      </c>
      <c r="Q14" s="133"/>
      <c r="R14" s="167"/>
      <c r="S14" s="172"/>
      <c r="T14" s="172"/>
    </row>
    <row r="15" spans="1:24" s="135" customFormat="1" ht="12.95" customHeight="1">
      <c r="A15" s="438">
        <v>10</v>
      </c>
      <c r="B15" s="439" t="s">
        <v>6</v>
      </c>
      <c r="C15" s="440" t="s">
        <v>73</v>
      </c>
      <c r="D15" s="415">
        <v>324663142.74000001</v>
      </c>
      <c r="E15" s="217">
        <f t="shared" si="0"/>
        <v>2.0909639517760027E-2</v>
      </c>
      <c r="F15" s="414">
        <v>3128.06</v>
      </c>
      <c r="G15" s="414">
        <v>3164.63</v>
      </c>
      <c r="H15" s="423">
        <v>0.1115</v>
      </c>
      <c r="I15" s="415">
        <v>329501009.56999999</v>
      </c>
      <c r="J15" s="217">
        <f t="shared" si="1"/>
        <v>2.0921850272931544E-2</v>
      </c>
      <c r="K15" s="414">
        <v>3183.25</v>
      </c>
      <c r="L15" s="414">
        <v>3220.74</v>
      </c>
      <c r="M15" s="361">
        <v>0.13120000000000001</v>
      </c>
      <c r="N15" s="84">
        <f t="shared" si="4"/>
        <v>1.4901188934385115E-2</v>
      </c>
      <c r="O15" s="84">
        <f t="shared" si="2"/>
        <v>1.7730350783503813E-2</v>
      </c>
      <c r="P15" s="254">
        <f t="shared" si="3"/>
        <v>1.9700000000000009E-2</v>
      </c>
      <c r="Q15" s="133"/>
      <c r="R15" s="167"/>
      <c r="S15" s="173"/>
      <c r="T15" s="173"/>
    </row>
    <row r="16" spans="1:24" s="135" customFormat="1" ht="12.95" customHeight="1">
      <c r="A16" s="438">
        <v>11</v>
      </c>
      <c r="B16" s="439" t="s">
        <v>87</v>
      </c>
      <c r="C16" s="440" t="s">
        <v>88</v>
      </c>
      <c r="D16" s="415">
        <v>248144549.81999999</v>
      </c>
      <c r="E16" s="217">
        <f t="shared" si="0"/>
        <v>1.5981527934596014E-2</v>
      </c>
      <c r="F16" s="414">
        <v>141.97999999999999</v>
      </c>
      <c r="G16" s="414">
        <v>142.97</v>
      </c>
      <c r="H16" s="423">
        <v>4.2700000000000002E-2</v>
      </c>
      <c r="I16" s="415">
        <v>259900593.13999999</v>
      </c>
      <c r="J16" s="217">
        <f t="shared" si="1"/>
        <v>1.650253303508013E-2</v>
      </c>
      <c r="K16" s="414">
        <v>141.97999999999999</v>
      </c>
      <c r="L16" s="414">
        <v>142.97</v>
      </c>
      <c r="M16" s="361">
        <v>8.77E-2</v>
      </c>
      <c r="N16" s="84">
        <f t="shared" si="4"/>
        <v>4.7375786929544229E-2</v>
      </c>
      <c r="O16" s="84">
        <f t="shared" si="2"/>
        <v>0</v>
      </c>
      <c r="P16" s="254">
        <f t="shared" si="3"/>
        <v>4.4999999999999998E-2</v>
      </c>
      <c r="Q16" s="133"/>
      <c r="R16" s="167"/>
      <c r="S16" s="174"/>
      <c r="T16" s="174"/>
    </row>
    <row r="17" spans="1:23" s="135" customFormat="1" ht="12.95" customHeight="1">
      <c r="A17" s="438">
        <v>12</v>
      </c>
      <c r="B17" s="439" t="s">
        <v>271</v>
      </c>
      <c r="C17" s="440" t="s">
        <v>134</v>
      </c>
      <c r="D17" s="415">
        <v>302992281.41000003</v>
      </c>
      <c r="E17" s="217">
        <f t="shared" si="0"/>
        <v>1.9513947063650613E-2</v>
      </c>
      <c r="F17" s="414">
        <v>1.17</v>
      </c>
      <c r="G17" s="414">
        <v>1.21</v>
      </c>
      <c r="H17" s="423">
        <v>6.3E-3</v>
      </c>
      <c r="I17" s="415">
        <v>302992281.41000003</v>
      </c>
      <c r="J17" s="217">
        <f t="shared" si="1"/>
        <v>1.923866380193064E-2</v>
      </c>
      <c r="K17" s="359">
        <v>1.17</v>
      </c>
      <c r="L17" s="359">
        <v>1.21</v>
      </c>
      <c r="M17" s="361">
        <v>2.3300000000000001E-2</v>
      </c>
      <c r="N17" s="84">
        <f t="shared" si="4"/>
        <v>0</v>
      </c>
      <c r="O17" s="84">
        <f t="shared" si="2"/>
        <v>0</v>
      </c>
      <c r="P17" s="254">
        <f t="shared" si="3"/>
        <v>1.7000000000000001E-2</v>
      </c>
      <c r="Q17" s="133"/>
      <c r="R17" s="167"/>
      <c r="S17" s="173"/>
      <c r="T17" s="173"/>
    </row>
    <row r="18" spans="1:23" s="135" customFormat="1" ht="12.95" customHeight="1">
      <c r="A18" s="438">
        <v>13</v>
      </c>
      <c r="B18" s="439" t="s">
        <v>97</v>
      </c>
      <c r="C18" s="440" t="s">
        <v>137</v>
      </c>
      <c r="D18" s="414">
        <v>277920493.36000001</v>
      </c>
      <c r="E18" s="217">
        <f t="shared" si="0"/>
        <v>1.7899220963955915E-2</v>
      </c>
      <c r="F18" s="414">
        <v>1.404271</v>
      </c>
      <c r="G18" s="414">
        <v>1.425962</v>
      </c>
      <c r="H18" s="423">
        <v>4.2099999999999999E-2</v>
      </c>
      <c r="I18" s="414">
        <v>277920493.36000001</v>
      </c>
      <c r="J18" s="217">
        <f t="shared" si="1"/>
        <v>1.7646716644192605E-2</v>
      </c>
      <c r="K18" s="414">
        <v>1.404271</v>
      </c>
      <c r="L18" s="414">
        <v>1.425962</v>
      </c>
      <c r="M18" s="361">
        <v>4.2099999999999999E-2</v>
      </c>
      <c r="N18" s="84">
        <f t="shared" si="4"/>
        <v>0</v>
      </c>
      <c r="O18" s="84">
        <f t="shared" si="2"/>
        <v>0</v>
      </c>
      <c r="P18" s="254">
        <f t="shared" si="3"/>
        <v>0</v>
      </c>
      <c r="Q18" s="133"/>
      <c r="R18" s="167"/>
      <c r="S18" s="175"/>
      <c r="T18" s="175"/>
    </row>
    <row r="19" spans="1:23" s="135" customFormat="1" ht="12.95" customHeight="1">
      <c r="A19" s="438">
        <v>14</v>
      </c>
      <c r="B19" s="439" t="s">
        <v>147</v>
      </c>
      <c r="C19" s="440" t="s">
        <v>148</v>
      </c>
      <c r="D19" s="414">
        <v>424462950.87</v>
      </c>
      <c r="E19" s="217">
        <f t="shared" si="0"/>
        <v>2.7337156957308349E-2</v>
      </c>
      <c r="F19" s="414">
        <v>139.9007</v>
      </c>
      <c r="G19" s="414">
        <v>141.44220000000001</v>
      </c>
      <c r="H19" s="423">
        <v>1.0652999999999999E-2</v>
      </c>
      <c r="I19" s="356">
        <v>433172336.24000001</v>
      </c>
      <c r="J19" s="217">
        <f t="shared" si="1"/>
        <v>2.7504518948261138E-2</v>
      </c>
      <c r="K19" s="359">
        <v>144.3546</v>
      </c>
      <c r="L19" s="359">
        <v>145.96250000000001</v>
      </c>
      <c r="M19" s="361">
        <v>2.0618000000000001E-2</v>
      </c>
      <c r="N19" s="84">
        <v>5.6480000000000002E-3</v>
      </c>
      <c r="O19" s="84">
        <f t="shared" si="2"/>
        <v>3.1958637521192344E-2</v>
      </c>
      <c r="P19" s="254">
        <f>M19-H19</f>
        <v>9.9650000000000016E-3</v>
      </c>
      <c r="Q19" s="133"/>
      <c r="R19" s="358"/>
      <c r="S19" s="358"/>
      <c r="T19" s="175"/>
    </row>
    <row r="20" spans="1:23" s="419" customFormat="1" ht="12.95" customHeight="1">
      <c r="A20" s="438">
        <v>15</v>
      </c>
      <c r="B20" s="439" t="s">
        <v>241</v>
      </c>
      <c r="C20" s="440" t="s">
        <v>240</v>
      </c>
      <c r="D20" s="78">
        <v>24603353.420000002</v>
      </c>
      <c r="E20" s="422">
        <f t="shared" ref="E20" si="5">(D20/$D$22)</f>
        <v>1.5845569860457895E-3</v>
      </c>
      <c r="F20" s="414">
        <v>96.04</v>
      </c>
      <c r="G20" s="414">
        <v>98.99</v>
      </c>
      <c r="H20" s="423">
        <v>1.9699999999999999E-2</v>
      </c>
      <c r="I20" s="78">
        <v>24949173.18</v>
      </c>
      <c r="J20" s="422">
        <v>0.96619999999999995</v>
      </c>
      <c r="K20" s="414">
        <v>97.38</v>
      </c>
      <c r="L20" s="414">
        <v>100.39</v>
      </c>
      <c r="M20" s="423">
        <v>1.37E-2</v>
      </c>
      <c r="N20" s="418">
        <f t="shared" ref="N20" si="6">((I20-D20)/D20)</f>
        <v>1.4055797764498312E-2</v>
      </c>
      <c r="O20" s="418">
        <f t="shared" ref="O20" si="7">((L20-G20)/G20)</f>
        <v>1.4142842711385047E-2</v>
      </c>
      <c r="P20" s="425">
        <f t="shared" ref="P20" si="8">M20-H20</f>
        <v>-5.9999999999999984E-3</v>
      </c>
      <c r="Q20" s="133"/>
      <c r="R20" s="358"/>
      <c r="S20" s="358"/>
      <c r="T20" s="175"/>
    </row>
    <row r="21" spans="1:23" s="135" customFormat="1" ht="12.95" customHeight="1">
      <c r="A21" s="438">
        <v>16</v>
      </c>
      <c r="B21" s="439" t="s">
        <v>282</v>
      </c>
      <c r="C21" s="440" t="s">
        <v>281</v>
      </c>
      <c r="D21" s="78">
        <v>0</v>
      </c>
      <c r="E21" s="217">
        <f t="shared" si="0"/>
        <v>0</v>
      </c>
      <c r="F21" s="414">
        <v>0</v>
      </c>
      <c r="G21" s="414">
        <v>0</v>
      </c>
      <c r="H21" s="423">
        <v>0</v>
      </c>
      <c r="I21" s="78">
        <v>54762708.909999996</v>
      </c>
      <c r="J21" s="217">
        <v>0.96619999999999995</v>
      </c>
      <c r="K21" s="414">
        <v>104.5168</v>
      </c>
      <c r="L21" s="414">
        <v>104.7247</v>
      </c>
      <c r="M21" s="423">
        <v>4.4797999999999998E-2</v>
      </c>
      <c r="N21" s="84" t="e">
        <f t="shared" si="4"/>
        <v>#DIV/0!</v>
      </c>
      <c r="O21" s="84" t="e">
        <f t="shared" si="2"/>
        <v>#DIV/0!</v>
      </c>
      <c r="P21" s="254">
        <f t="shared" si="3"/>
        <v>4.4797999999999998E-2</v>
      </c>
      <c r="Q21" s="133"/>
      <c r="R21" s="168"/>
      <c r="S21" s="142"/>
      <c r="T21" s="142"/>
    </row>
    <row r="22" spans="1:23" s="135" customFormat="1" ht="12.95" customHeight="1">
      <c r="A22" s="241"/>
      <c r="B22" s="322"/>
      <c r="C22" s="282" t="s">
        <v>47</v>
      </c>
      <c r="D22" s="73">
        <f>SUM(D6:D21)</f>
        <v>15526960302.890003</v>
      </c>
      <c r="E22" s="301">
        <f>(D22/$D$166)</f>
        <v>1.1329372609242279E-2</v>
      </c>
      <c r="F22" s="303"/>
      <c r="G22" s="74"/>
      <c r="H22" s="323"/>
      <c r="I22" s="73">
        <f>SUM(I6:I21)</f>
        <v>15749133335.319998</v>
      </c>
      <c r="J22" s="301">
        <f>(I22/$I$166)</f>
        <v>1.1385892452585674E-2</v>
      </c>
      <c r="K22" s="303"/>
      <c r="L22" s="74"/>
      <c r="M22" s="323"/>
      <c r="N22" s="305">
        <f t="shared" si="4"/>
        <v>1.4308855570954345E-2</v>
      </c>
      <c r="O22" s="305"/>
      <c r="P22" s="306">
        <f t="shared" si="3"/>
        <v>0</v>
      </c>
      <c r="Q22" s="133"/>
      <c r="R22" s="167"/>
      <c r="S22" s="176"/>
      <c r="V22" s="142"/>
      <c r="W22" s="142"/>
    </row>
    <row r="23" spans="1:23" s="135" customFormat="1" ht="5.25" customHeight="1">
      <c r="A23" s="451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3"/>
      <c r="Q23" s="133"/>
      <c r="R23" s="167"/>
      <c r="S23" s="176"/>
      <c r="V23" s="142"/>
      <c r="W23" s="142"/>
    </row>
    <row r="24" spans="1:23" s="135" customFormat="1" ht="12.95" customHeight="1">
      <c r="A24" s="448" t="s">
        <v>49</v>
      </c>
      <c r="B24" s="449"/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50"/>
      <c r="Q24" s="133"/>
      <c r="R24" s="177"/>
      <c r="T24" s="178"/>
    </row>
    <row r="25" spans="1:23" s="135" customFormat="1" ht="12.95" customHeight="1">
      <c r="A25" s="438">
        <v>17</v>
      </c>
      <c r="B25" s="439" t="s">
        <v>6</v>
      </c>
      <c r="C25" s="440" t="s">
        <v>39</v>
      </c>
      <c r="D25" s="408">
        <v>241237389053.85001</v>
      </c>
      <c r="E25" s="219">
        <v>3.6200000000000003E-2</v>
      </c>
      <c r="F25" s="360">
        <v>100</v>
      </c>
      <c r="G25" s="360">
        <v>100</v>
      </c>
      <c r="H25" s="423">
        <v>0.1263</v>
      </c>
      <c r="I25" s="408">
        <v>243588294739.32001</v>
      </c>
      <c r="J25" s="217">
        <f t="shared" ref="J25:J53" si="9">(I25/$I$54)</f>
        <v>0.40635889040018369</v>
      </c>
      <c r="K25" s="76">
        <v>100</v>
      </c>
      <c r="L25" s="76">
        <v>100</v>
      </c>
      <c r="M25" s="364">
        <v>0.1321</v>
      </c>
      <c r="N25" s="84">
        <f>((I25-D25)/D25)</f>
        <v>9.7451961932203731E-3</v>
      </c>
      <c r="O25" s="84">
        <f t="shared" ref="O25:O52" si="10">((L25-G25)/G25)</f>
        <v>0</v>
      </c>
      <c r="P25" s="254">
        <f t="shared" ref="P25:P54" si="11">M25-H25</f>
        <v>5.7999999999999996E-3</v>
      </c>
      <c r="Q25" s="133"/>
      <c r="R25" s="179"/>
      <c r="S25" s="134"/>
      <c r="T25" s="134"/>
    </row>
    <row r="26" spans="1:23" s="135" customFormat="1" ht="12.95" customHeight="1">
      <c r="A26" s="438">
        <v>18</v>
      </c>
      <c r="B26" s="439" t="s">
        <v>203</v>
      </c>
      <c r="C26" s="440" t="s">
        <v>19</v>
      </c>
      <c r="D26" s="408">
        <v>145769413741.92001</v>
      </c>
      <c r="E26" s="219">
        <v>6.2600000000000003E-2</v>
      </c>
      <c r="F26" s="360">
        <v>100</v>
      </c>
      <c r="G26" s="360">
        <v>100</v>
      </c>
      <c r="H26" s="423">
        <v>0.13189999999999999</v>
      </c>
      <c r="I26" s="408">
        <v>148640547362.32999</v>
      </c>
      <c r="J26" s="217">
        <f t="shared" si="9"/>
        <v>0.24796514938975997</v>
      </c>
      <c r="K26" s="76">
        <v>100</v>
      </c>
      <c r="L26" s="76">
        <v>100</v>
      </c>
      <c r="M26" s="364">
        <v>0.13869999999999999</v>
      </c>
      <c r="N26" s="84">
        <f t="shared" ref="N26:N54" si="12">((I26-D26)/D26)</f>
        <v>1.9696406445684288E-2</v>
      </c>
      <c r="O26" s="84">
        <f t="shared" si="10"/>
        <v>0</v>
      </c>
      <c r="P26" s="254">
        <f t="shared" si="11"/>
        <v>6.8000000000000005E-3</v>
      </c>
      <c r="Q26" s="133"/>
      <c r="R26" s="180"/>
      <c r="S26" s="143"/>
      <c r="T26" s="178"/>
      <c r="U26" s="181"/>
    </row>
    <row r="27" spans="1:23" s="135" customFormat="1" ht="12.95" customHeight="1">
      <c r="A27" s="438">
        <v>19</v>
      </c>
      <c r="B27" s="439" t="s">
        <v>46</v>
      </c>
      <c r="C27" s="440" t="s">
        <v>83</v>
      </c>
      <c r="D27" s="408">
        <v>27577035754.290001</v>
      </c>
      <c r="E27" s="219">
        <v>5.2600000000000001E-2</v>
      </c>
      <c r="F27" s="360">
        <v>1</v>
      </c>
      <c r="G27" s="360">
        <v>1</v>
      </c>
      <c r="H27" s="423">
        <v>0.15970000000000001</v>
      </c>
      <c r="I27" s="408">
        <v>28712741824.240002</v>
      </c>
      <c r="J27" s="217">
        <f t="shared" si="9"/>
        <v>4.7899173154159438E-2</v>
      </c>
      <c r="K27" s="76">
        <v>1</v>
      </c>
      <c r="L27" s="76">
        <v>1</v>
      </c>
      <c r="M27" s="364">
        <v>0.16350000000000001</v>
      </c>
      <c r="N27" s="84">
        <f t="shared" si="12"/>
        <v>4.1183036497072584E-2</v>
      </c>
      <c r="O27" s="84">
        <f t="shared" si="10"/>
        <v>0</v>
      </c>
      <c r="P27" s="254">
        <f t="shared" si="11"/>
        <v>3.7999999999999978E-3</v>
      </c>
      <c r="Q27" s="133"/>
      <c r="R27" s="167"/>
      <c r="S27" s="136"/>
    </row>
    <row r="28" spans="1:23" s="135" customFormat="1" ht="12.95" customHeight="1">
      <c r="A28" s="438">
        <v>20</v>
      </c>
      <c r="B28" s="439" t="s">
        <v>41</v>
      </c>
      <c r="C28" s="440" t="s">
        <v>42</v>
      </c>
      <c r="D28" s="408">
        <v>1231561818.3299999</v>
      </c>
      <c r="E28" s="219">
        <v>8.6400000000000005E-2</v>
      </c>
      <c r="F28" s="360">
        <v>100</v>
      </c>
      <c r="G28" s="360">
        <v>100</v>
      </c>
      <c r="H28" s="423">
        <v>0.12539500000000001</v>
      </c>
      <c r="I28" s="408">
        <v>1237371372.5699999</v>
      </c>
      <c r="J28" s="217">
        <f t="shared" si="9"/>
        <v>2.0642077999215649E-3</v>
      </c>
      <c r="K28" s="76">
        <v>100</v>
      </c>
      <c r="L28" s="76">
        <v>100</v>
      </c>
      <c r="M28" s="423">
        <v>0.119752</v>
      </c>
      <c r="N28" s="84">
        <f t="shared" si="12"/>
        <v>4.7172250337200088E-3</v>
      </c>
      <c r="O28" s="84">
        <f t="shared" si="10"/>
        <v>0</v>
      </c>
      <c r="P28" s="254">
        <f t="shared" si="11"/>
        <v>-5.6430000000000091E-3</v>
      </c>
      <c r="Q28" s="133"/>
      <c r="R28" s="167"/>
      <c r="S28" s="143"/>
    </row>
    <row r="29" spans="1:23" s="135" customFormat="1" ht="12.95" customHeight="1">
      <c r="A29" s="438">
        <v>21</v>
      </c>
      <c r="B29" s="439" t="s">
        <v>8</v>
      </c>
      <c r="C29" s="440" t="s">
        <v>20</v>
      </c>
      <c r="D29" s="408">
        <v>66504631789.529999</v>
      </c>
      <c r="E29" s="219">
        <v>6.54E-2</v>
      </c>
      <c r="F29" s="360">
        <v>1</v>
      </c>
      <c r="G29" s="360">
        <v>1</v>
      </c>
      <c r="H29" s="423">
        <v>0.1229</v>
      </c>
      <c r="I29" s="408">
        <v>67462316609.160004</v>
      </c>
      <c r="J29" s="217">
        <f t="shared" si="9"/>
        <v>0.11254199283451444</v>
      </c>
      <c r="K29" s="76">
        <v>1</v>
      </c>
      <c r="L29" s="76">
        <v>1</v>
      </c>
      <c r="M29" s="364">
        <v>0.1241</v>
      </c>
      <c r="N29" s="84">
        <f t="shared" si="12"/>
        <v>1.4400272490205347E-2</v>
      </c>
      <c r="O29" s="84">
        <f t="shared" si="10"/>
        <v>0</v>
      </c>
      <c r="P29" s="254">
        <f t="shared" si="11"/>
        <v>1.2000000000000066E-3</v>
      </c>
      <c r="Q29" s="133"/>
      <c r="R29" s="177"/>
      <c r="S29" s="136"/>
    </row>
    <row r="30" spans="1:23" s="135" customFormat="1" ht="12.95" customHeight="1">
      <c r="A30" s="438">
        <v>22</v>
      </c>
      <c r="B30" s="439" t="s">
        <v>60</v>
      </c>
      <c r="C30" s="440" t="s">
        <v>61</v>
      </c>
      <c r="D30" s="397">
        <v>1949066080.52</v>
      </c>
      <c r="E30" s="219">
        <v>6.4500000000000002E-2</v>
      </c>
      <c r="F30" s="360">
        <v>10</v>
      </c>
      <c r="G30" s="360">
        <v>10</v>
      </c>
      <c r="H30" s="423">
        <v>0.1166</v>
      </c>
      <c r="I30" s="363">
        <v>1971448177.95</v>
      </c>
      <c r="J30" s="217">
        <f t="shared" si="9"/>
        <v>3.2888094845877252E-3</v>
      </c>
      <c r="K30" s="76">
        <v>10</v>
      </c>
      <c r="L30" s="76">
        <v>10</v>
      </c>
      <c r="M30" s="364">
        <v>0.1048</v>
      </c>
      <c r="N30" s="84">
        <f t="shared" si="12"/>
        <v>1.1483498509208394E-2</v>
      </c>
      <c r="O30" s="84">
        <f t="shared" si="10"/>
        <v>0</v>
      </c>
      <c r="P30" s="254">
        <f t="shared" si="11"/>
        <v>-1.1799999999999991E-2</v>
      </c>
      <c r="Q30" s="133"/>
      <c r="R30" s="167"/>
      <c r="S30" s="172"/>
      <c r="T30" s="470"/>
      <c r="U30" s="470"/>
    </row>
    <row r="31" spans="1:23" s="135" customFormat="1" ht="12.95" customHeight="1">
      <c r="A31" s="438">
        <v>23</v>
      </c>
      <c r="B31" s="439" t="s">
        <v>87</v>
      </c>
      <c r="C31" s="440" t="s">
        <v>89</v>
      </c>
      <c r="D31" s="408">
        <v>31452566788.549999</v>
      </c>
      <c r="E31" s="219">
        <v>6.9800000000000001E-2</v>
      </c>
      <c r="F31" s="360">
        <v>1</v>
      </c>
      <c r="G31" s="360">
        <v>1</v>
      </c>
      <c r="H31" s="423">
        <v>0.1147</v>
      </c>
      <c r="I31" s="408">
        <v>31470627917.279999</v>
      </c>
      <c r="J31" s="217">
        <f t="shared" si="9"/>
        <v>5.2499934179302939E-2</v>
      </c>
      <c r="K31" s="76">
        <v>1</v>
      </c>
      <c r="L31" s="76">
        <v>1</v>
      </c>
      <c r="M31" s="364">
        <v>0.1193</v>
      </c>
      <c r="N31" s="84">
        <f t="shared" si="12"/>
        <v>5.7423385669669801E-4</v>
      </c>
      <c r="O31" s="84">
        <f t="shared" si="10"/>
        <v>0</v>
      </c>
      <c r="P31" s="254">
        <f t="shared" si="11"/>
        <v>4.6000000000000069E-3</v>
      </c>
      <c r="Q31" s="133"/>
      <c r="R31" s="167"/>
      <c r="S31" s="136"/>
      <c r="T31" s="468"/>
      <c r="U31" s="468"/>
    </row>
    <row r="32" spans="1:23" s="135" customFormat="1" ht="12.95" customHeight="1">
      <c r="A32" s="438">
        <v>24</v>
      </c>
      <c r="B32" s="439" t="s">
        <v>94</v>
      </c>
      <c r="C32" s="440" t="s">
        <v>93</v>
      </c>
      <c r="D32" s="408">
        <v>2071400012.5339437</v>
      </c>
      <c r="E32" s="219">
        <v>4.2599999999999999E-2</v>
      </c>
      <c r="F32" s="360">
        <v>100</v>
      </c>
      <c r="G32" s="360">
        <v>100</v>
      </c>
      <c r="H32" s="423">
        <v>0.10920000000000001</v>
      </c>
      <c r="I32" s="362">
        <v>2092745416.2638049</v>
      </c>
      <c r="J32" s="217">
        <f t="shared" si="9"/>
        <v>3.4911599761109453E-3</v>
      </c>
      <c r="K32" s="76">
        <v>100</v>
      </c>
      <c r="L32" s="76">
        <v>100</v>
      </c>
      <c r="M32" s="364">
        <v>0.1081</v>
      </c>
      <c r="N32" s="84">
        <f>((I32-D32)/D32)</f>
        <v>1.0304819735783156E-2</v>
      </c>
      <c r="O32" s="84">
        <f t="shared" si="10"/>
        <v>0</v>
      </c>
      <c r="P32" s="254">
        <f t="shared" si="11"/>
        <v>-1.1000000000000038E-3</v>
      </c>
      <c r="Q32" s="133"/>
      <c r="R32" s="167"/>
      <c r="S32" s="136"/>
      <c r="T32" s="469"/>
      <c r="U32" s="469"/>
    </row>
    <row r="33" spans="1:21" s="135" customFormat="1" ht="12.95" customHeight="1">
      <c r="A33" s="438">
        <v>25</v>
      </c>
      <c r="B33" s="439" t="s">
        <v>95</v>
      </c>
      <c r="C33" s="440" t="s">
        <v>96</v>
      </c>
      <c r="D33" s="408">
        <v>4524415952.7799997</v>
      </c>
      <c r="E33" s="219">
        <v>7.0599999999999996E-2</v>
      </c>
      <c r="F33" s="360">
        <v>100</v>
      </c>
      <c r="G33" s="360">
        <v>100</v>
      </c>
      <c r="H33" s="423">
        <v>0.1144</v>
      </c>
      <c r="I33" s="408">
        <v>4657449123.3800001</v>
      </c>
      <c r="J33" s="217">
        <f t="shared" si="9"/>
        <v>7.7696502613042121E-3</v>
      </c>
      <c r="K33" s="76">
        <v>100</v>
      </c>
      <c r="L33" s="76">
        <v>100</v>
      </c>
      <c r="M33" s="423">
        <v>0.1123</v>
      </c>
      <c r="N33" s="84">
        <f t="shared" si="12"/>
        <v>2.940339084390748E-2</v>
      </c>
      <c r="O33" s="84">
        <f t="shared" si="10"/>
        <v>0</v>
      </c>
      <c r="P33" s="254">
        <f t="shared" si="11"/>
        <v>-2.1000000000000046E-3</v>
      </c>
      <c r="Q33" s="133"/>
      <c r="R33" s="167"/>
      <c r="S33" s="136"/>
    </row>
    <row r="34" spans="1:21" s="135" customFormat="1" ht="12.95" customHeight="1">
      <c r="A34" s="438">
        <v>26</v>
      </c>
      <c r="B34" s="439" t="s">
        <v>97</v>
      </c>
      <c r="C34" s="440" t="s">
        <v>102</v>
      </c>
      <c r="D34" s="397">
        <v>613402936.33000004</v>
      </c>
      <c r="E34" s="219">
        <v>6.6600000000000006E-2</v>
      </c>
      <c r="F34" s="360">
        <v>10</v>
      </c>
      <c r="G34" s="360">
        <v>10</v>
      </c>
      <c r="H34" s="423">
        <v>7.5499999999999998E-2</v>
      </c>
      <c r="I34" s="397">
        <v>613402936.33000004</v>
      </c>
      <c r="J34" s="217">
        <f t="shared" si="9"/>
        <v>1.0232911102810785E-3</v>
      </c>
      <c r="K34" s="76">
        <v>10</v>
      </c>
      <c r="L34" s="76">
        <v>10</v>
      </c>
      <c r="M34" s="364">
        <v>7.5499999999999998E-2</v>
      </c>
      <c r="N34" s="84">
        <f t="shared" si="12"/>
        <v>0</v>
      </c>
      <c r="O34" s="84">
        <f t="shared" si="10"/>
        <v>0</v>
      </c>
      <c r="P34" s="254">
        <f t="shared" si="11"/>
        <v>0</v>
      </c>
      <c r="Q34" s="133"/>
      <c r="R34" s="170"/>
      <c r="S34" s="182"/>
    </row>
    <row r="35" spans="1:21" s="135" customFormat="1" ht="12.95" customHeight="1">
      <c r="A35" s="438">
        <v>27</v>
      </c>
      <c r="B35" s="439" t="s">
        <v>13</v>
      </c>
      <c r="C35" s="440" t="s">
        <v>104</v>
      </c>
      <c r="D35" s="408">
        <v>4073148387.6599998</v>
      </c>
      <c r="E35" s="219">
        <v>5.3699999999999998E-2</v>
      </c>
      <c r="F35" s="360">
        <v>100</v>
      </c>
      <c r="G35" s="360">
        <v>100</v>
      </c>
      <c r="H35" s="423">
        <v>0.12820000000000001</v>
      </c>
      <c r="I35" s="408">
        <v>4076092021.0500002</v>
      </c>
      <c r="J35" s="217">
        <f t="shared" si="9"/>
        <v>6.799818655553614E-3</v>
      </c>
      <c r="K35" s="76">
        <v>100</v>
      </c>
      <c r="L35" s="76">
        <v>100</v>
      </c>
      <c r="M35" s="364">
        <v>0.12529999999999999</v>
      </c>
      <c r="N35" s="84">
        <f t="shared" si="12"/>
        <v>7.2269240151386766E-4</v>
      </c>
      <c r="O35" s="84">
        <f t="shared" si="10"/>
        <v>0</v>
      </c>
      <c r="P35" s="254">
        <f t="shared" si="11"/>
        <v>-2.9000000000000137E-3</v>
      </c>
      <c r="Q35" s="133"/>
      <c r="R35" s="183"/>
      <c r="S35" s="136"/>
      <c r="T35" s="470"/>
      <c r="U35" s="470"/>
    </row>
    <row r="36" spans="1:21" s="135" customFormat="1" ht="12.95" customHeight="1">
      <c r="A36" s="438">
        <v>28</v>
      </c>
      <c r="B36" s="439" t="s">
        <v>271</v>
      </c>
      <c r="C36" s="440" t="s">
        <v>105</v>
      </c>
      <c r="D36" s="408">
        <v>13190793032.799999</v>
      </c>
      <c r="E36" s="219">
        <v>4.7199999999999999E-2</v>
      </c>
      <c r="F36" s="360">
        <v>100</v>
      </c>
      <c r="G36" s="360">
        <v>100</v>
      </c>
      <c r="H36" s="423">
        <v>0.1211</v>
      </c>
      <c r="I36" s="408">
        <v>13428577023.67</v>
      </c>
      <c r="J36" s="217">
        <f t="shared" si="9"/>
        <v>2.2401822159934449E-2</v>
      </c>
      <c r="K36" s="76">
        <v>100</v>
      </c>
      <c r="L36" s="76">
        <v>100</v>
      </c>
      <c r="M36" s="364">
        <v>0.1273</v>
      </c>
      <c r="N36" s="84">
        <f t="shared" si="12"/>
        <v>1.802651214970406E-2</v>
      </c>
      <c r="O36" s="84">
        <f t="shared" si="10"/>
        <v>0</v>
      </c>
      <c r="P36" s="254">
        <f t="shared" si="11"/>
        <v>6.1999999999999972E-3</v>
      </c>
      <c r="Q36" s="133"/>
      <c r="R36" s="167"/>
      <c r="S36" s="145"/>
    </row>
    <row r="37" spans="1:21" s="135" customFormat="1" ht="12.95" customHeight="1">
      <c r="A37" s="438">
        <v>29</v>
      </c>
      <c r="B37" s="439" t="s">
        <v>106</v>
      </c>
      <c r="C37" s="440" t="s">
        <v>108</v>
      </c>
      <c r="D37" s="408">
        <v>10705768792.129999</v>
      </c>
      <c r="E37" s="219">
        <v>4.5100000000000001E-2</v>
      </c>
      <c r="F37" s="72">
        <v>100</v>
      </c>
      <c r="G37" s="72">
        <v>100</v>
      </c>
      <c r="H37" s="423">
        <v>0.1111</v>
      </c>
      <c r="I37" s="408">
        <v>10799706195.469999</v>
      </c>
      <c r="J37" s="217">
        <f t="shared" si="9"/>
        <v>1.8016286993328905E-2</v>
      </c>
      <c r="K37" s="72">
        <v>100</v>
      </c>
      <c r="L37" s="72">
        <v>100</v>
      </c>
      <c r="M37" s="423">
        <v>0.1075</v>
      </c>
      <c r="N37" s="84">
        <f t="shared" si="12"/>
        <v>8.7744659130930616E-3</v>
      </c>
      <c r="O37" s="84">
        <f t="shared" si="10"/>
        <v>0</v>
      </c>
      <c r="P37" s="254">
        <f t="shared" si="11"/>
        <v>-3.600000000000006E-3</v>
      </c>
      <c r="Q37" s="133"/>
      <c r="R37" s="167"/>
      <c r="S37" s="146"/>
    </row>
    <row r="38" spans="1:21" s="135" customFormat="1" ht="12.95" customHeight="1">
      <c r="A38" s="438">
        <v>30</v>
      </c>
      <c r="B38" s="439" t="s">
        <v>106</v>
      </c>
      <c r="C38" s="440" t="s">
        <v>107</v>
      </c>
      <c r="D38" s="408">
        <v>429066925.85000002</v>
      </c>
      <c r="E38" s="219">
        <v>5.2900000000000003E-2</v>
      </c>
      <c r="F38" s="72">
        <v>1000000</v>
      </c>
      <c r="G38" s="72">
        <v>1000000</v>
      </c>
      <c r="H38" s="423">
        <v>0.11459999999999999</v>
      </c>
      <c r="I38" s="408">
        <v>430053365.62</v>
      </c>
      <c r="J38" s="217">
        <f t="shared" si="9"/>
        <v>7.1742367035011149E-4</v>
      </c>
      <c r="K38" s="72">
        <v>1000000</v>
      </c>
      <c r="L38" s="72">
        <v>1000000</v>
      </c>
      <c r="M38" s="423">
        <v>0.11849999999999999</v>
      </c>
      <c r="N38" s="84">
        <f t="shared" si="12"/>
        <v>2.2990347439290535E-3</v>
      </c>
      <c r="O38" s="84">
        <f t="shared" si="10"/>
        <v>0</v>
      </c>
      <c r="P38" s="254">
        <f t="shared" si="11"/>
        <v>3.9000000000000007E-3</v>
      </c>
      <c r="Q38" s="133"/>
      <c r="R38" s="167"/>
      <c r="S38" s="145"/>
    </row>
    <row r="39" spans="1:21" s="135" customFormat="1" ht="12.95" customHeight="1">
      <c r="A39" s="438">
        <v>31</v>
      </c>
      <c r="B39" s="439" t="s">
        <v>116</v>
      </c>
      <c r="C39" s="440" t="s">
        <v>117</v>
      </c>
      <c r="D39" s="408">
        <v>3963336768.5799999</v>
      </c>
      <c r="E39" s="219">
        <v>6.3E-2</v>
      </c>
      <c r="F39" s="360">
        <v>1</v>
      </c>
      <c r="G39" s="360">
        <v>1</v>
      </c>
      <c r="H39" s="423">
        <v>0.13109999999999999</v>
      </c>
      <c r="I39" s="362">
        <v>4018142642.6700001</v>
      </c>
      <c r="J39" s="217">
        <f t="shared" si="9"/>
        <v>6.7031463375217572E-3</v>
      </c>
      <c r="K39" s="76">
        <v>1</v>
      </c>
      <c r="L39" s="76">
        <v>1</v>
      </c>
      <c r="M39" s="364">
        <v>0.12970000000000001</v>
      </c>
      <c r="N39" s="84">
        <f t="shared" si="12"/>
        <v>1.3828215286796388E-2</v>
      </c>
      <c r="O39" s="84">
        <f t="shared" si="10"/>
        <v>0</v>
      </c>
      <c r="P39" s="254">
        <f t="shared" si="11"/>
        <v>-1.3999999999999846E-3</v>
      </c>
      <c r="Q39" s="133"/>
      <c r="R39" s="167"/>
      <c r="S39" s="145"/>
      <c r="T39" s="147"/>
    </row>
    <row r="40" spans="1:21" s="135" customFormat="1" ht="12.95" customHeight="1">
      <c r="A40" s="438">
        <v>32</v>
      </c>
      <c r="B40" s="439" t="s">
        <v>16</v>
      </c>
      <c r="C40" s="440" t="s">
        <v>122</v>
      </c>
      <c r="D40" s="408">
        <v>16713801813.1</v>
      </c>
      <c r="E40" s="219">
        <v>5.9200000000000003E-2</v>
      </c>
      <c r="F40" s="360">
        <v>1</v>
      </c>
      <c r="G40" s="360">
        <v>1</v>
      </c>
      <c r="H40" s="423">
        <v>0.1157</v>
      </c>
      <c r="I40" s="408">
        <v>16967584727.219999</v>
      </c>
      <c r="J40" s="217">
        <f t="shared" si="9"/>
        <v>2.830566595945402E-2</v>
      </c>
      <c r="K40" s="76">
        <v>1</v>
      </c>
      <c r="L40" s="76">
        <v>1</v>
      </c>
      <c r="M40" s="364">
        <v>0.1119</v>
      </c>
      <c r="N40" s="84">
        <f t="shared" si="12"/>
        <v>1.5184032750770569E-2</v>
      </c>
      <c r="O40" s="84">
        <f t="shared" si="10"/>
        <v>0</v>
      </c>
      <c r="P40" s="254">
        <f t="shared" si="11"/>
        <v>-3.7999999999999978E-3</v>
      </c>
      <c r="Q40" s="133"/>
      <c r="R40" s="177"/>
      <c r="S40" s="471"/>
      <c r="T40" s="210"/>
    </row>
    <row r="41" spans="1:21" s="135" customFormat="1" ht="12.95" customHeight="1">
      <c r="A41" s="438">
        <v>33</v>
      </c>
      <c r="B41" s="439" t="s">
        <v>63</v>
      </c>
      <c r="C41" s="440" t="s">
        <v>125</v>
      </c>
      <c r="D41" s="408">
        <v>632456158.00999999</v>
      </c>
      <c r="E41" s="219">
        <v>7.9600000000000004E-2</v>
      </c>
      <c r="F41" s="360">
        <v>100</v>
      </c>
      <c r="G41" s="360">
        <v>100</v>
      </c>
      <c r="H41" s="423">
        <v>0.12770000000000001</v>
      </c>
      <c r="I41" s="408">
        <v>636735588.23000002</v>
      </c>
      <c r="J41" s="217">
        <f t="shared" si="9"/>
        <v>1.0622151092619179E-3</v>
      </c>
      <c r="K41" s="76">
        <v>100</v>
      </c>
      <c r="L41" s="76">
        <v>100</v>
      </c>
      <c r="M41" s="364">
        <v>0.1275</v>
      </c>
      <c r="N41" s="132">
        <f t="shared" si="12"/>
        <v>6.7663665944294044E-3</v>
      </c>
      <c r="O41" s="132">
        <f t="shared" si="10"/>
        <v>0</v>
      </c>
      <c r="P41" s="254">
        <f t="shared" si="11"/>
        <v>-2.0000000000000573E-4</v>
      </c>
      <c r="Q41" s="133"/>
      <c r="R41" s="179"/>
      <c r="S41" s="471"/>
      <c r="T41" s="210"/>
    </row>
    <row r="42" spans="1:21" s="135" customFormat="1" ht="12.95" customHeight="1">
      <c r="A42" s="438">
        <v>34</v>
      </c>
      <c r="B42" s="439" t="s">
        <v>144</v>
      </c>
      <c r="C42" s="440" t="s">
        <v>132</v>
      </c>
      <c r="D42" s="408">
        <v>3417098546.5799999</v>
      </c>
      <c r="E42" s="219">
        <v>4.8399999999999999E-2</v>
      </c>
      <c r="F42" s="360">
        <v>1</v>
      </c>
      <c r="G42" s="360">
        <v>1</v>
      </c>
      <c r="H42" s="423">
        <v>0.1172</v>
      </c>
      <c r="I42" s="408">
        <v>3425870364.98</v>
      </c>
      <c r="J42" s="217">
        <f t="shared" si="9"/>
        <v>5.7151058167961601E-3</v>
      </c>
      <c r="K42" s="76">
        <v>1</v>
      </c>
      <c r="L42" s="76">
        <v>1</v>
      </c>
      <c r="M42" s="364">
        <v>0.1207</v>
      </c>
      <c r="N42" s="132">
        <f t="shared" si="12"/>
        <v>2.5670369994975303E-3</v>
      </c>
      <c r="O42" s="132">
        <f t="shared" si="10"/>
        <v>0</v>
      </c>
      <c r="P42" s="254">
        <f t="shared" si="11"/>
        <v>3.5000000000000031E-3</v>
      </c>
      <c r="Q42" s="133"/>
      <c r="R42" s="170"/>
      <c r="S42" s="145"/>
    </row>
    <row r="43" spans="1:21" s="135" customFormat="1" ht="12.95" customHeight="1">
      <c r="A43" s="438">
        <v>35</v>
      </c>
      <c r="B43" s="439" t="s">
        <v>193</v>
      </c>
      <c r="C43" s="440" t="s">
        <v>133</v>
      </c>
      <c r="D43" s="408">
        <v>561772700.15999997</v>
      </c>
      <c r="E43" s="219">
        <v>4.9799999999999997E-2</v>
      </c>
      <c r="F43" s="360">
        <v>10</v>
      </c>
      <c r="G43" s="360">
        <v>10</v>
      </c>
      <c r="H43" s="423">
        <v>8.8900000000000007E-2</v>
      </c>
      <c r="I43" s="408">
        <v>562082669.73000002</v>
      </c>
      <c r="J43" s="217">
        <f t="shared" si="9"/>
        <v>9.3767760979274282E-4</v>
      </c>
      <c r="K43" s="76">
        <v>10</v>
      </c>
      <c r="L43" s="76">
        <v>10</v>
      </c>
      <c r="M43" s="364">
        <v>8.6199999999999999E-2</v>
      </c>
      <c r="N43" s="132">
        <f t="shared" si="12"/>
        <v>5.517704400939547E-4</v>
      </c>
      <c r="O43" s="84">
        <f t="shared" si="10"/>
        <v>0</v>
      </c>
      <c r="P43" s="254">
        <f t="shared" si="11"/>
        <v>-2.7000000000000079E-3</v>
      </c>
      <c r="Q43" s="133"/>
      <c r="R43" s="167"/>
      <c r="S43" s="184"/>
      <c r="T43" s="210"/>
    </row>
    <row r="44" spans="1:21" s="135" customFormat="1" ht="12.95" customHeight="1">
      <c r="A44" s="438">
        <v>36</v>
      </c>
      <c r="B44" s="439" t="s">
        <v>43</v>
      </c>
      <c r="C44" s="440" t="s">
        <v>143</v>
      </c>
      <c r="D44" s="408">
        <v>610326821.45000005</v>
      </c>
      <c r="E44" s="219">
        <v>2.2200000000000001E-2</v>
      </c>
      <c r="F44" s="360">
        <v>1</v>
      </c>
      <c r="G44" s="360">
        <v>1</v>
      </c>
      <c r="H44" s="423">
        <v>0.1148</v>
      </c>
      <c r="I44" s="408">
        <v>591707454.80999994</v>
      </c>
      <c r="J44" s="217">
        <f t="shared" si="9"/>
        <v>9.8709827184194224E-4</v>
      </c>
      <c r="K44" s="76">
        <v>1</v>
      </c>
      <c r="L44" s="76">
        <v>1</v>
      </c>
      <c r="M44" s="364">
        <v>0.1201</v>
      </c>
      <c r="N44" s="84">
        <f t="shared" si="12"/>
        <v>-3.0507206935072348E-2</v>
      </c>
      <c r="O44" s="84">
        <f t="shared" si="10"/>
        <v>0</v>
      </c>
      <c r="P44" s="254">
        <f t="shared" si="11"/>
        <v>5.2999999999999992E-3</v>
      </c>
      <c r="Q44" s="133"/>
      <c r="R44" s="167"/>
      <c r="S44" s="184"/>
      <c r="T44" s="210"/>
    </row>
    <row r="45" spans="1:21" s="135" customFormat="1" ht="12.95" customHeight="1">
      <c r="A45" s="438">
        <v>37</v>
      </c>
      <c r="B45" s="439" t="s">
        <v>10</v>
      </c>
      <c r="C45" s="440" t="s">
        <v>254</v>
      </c>
      <c r="D45" s="408">
        <v>7412677086.3437996</v>
      </c>
      <c r="E45" s="219">
        <v>6.1269999999999998E-2</v>
      </c>
      <c r="F45" s="360">
        <v>100</v>
      </c>
      <c r="G45" s="360">
        <v>100</v>
      </c>
      <c r="H45" s="423">
        <v>0.14599999999999999</v>
      </c>
      <c r="I45" s="362">
        <v>7443397387.1399994</v>
      </c>
      <c r="J45" s="217">
        <f t="shared" si="9"/>
        <v>1.2417225163806656E-2</v>
      </c>
      <c r="K45" s="76">
        <v>100</v>
      </c>
      <c r="L45" s="76">
        <v>100</v>
      </c>
      <c r="M45" s="364">
        <v>0.1459</v>
      </c>
      <c r="N45" s="84">
        <f t="shared" si="12"/>
        <v>4.1442923303370502E-3</v>
      </c>
      <c r="O45" s="84">
        <f t="shared" si="10"/>
        <v>0</v>
      </c>
      <c r="P45" s="254">
        <f t="shared" si="11"/>
        <v>-9.9999999999988987E-5</v>
      </c>
      <c r="Q45" s="133"/>
      <c r="R45" s="167"/>
      <c r="S45" s="145"/>
    </row>
    <row r="46" spans="1:21" s="135" customFormat="1" ht="12.95" customHeight="1">
      <c r="A46" s="438">
        <v>38</v>
      </c>
      <c r="B46" s="439" t="s">
        <v>145</v>
      </c>
      <c r="C46" s="440" t="s">
        <v>146</v>
      </c>
      <c r="D46" s="397">
        <v>312402073.50999999</v>
      </c>
      <c r="E46" s="217">
        <f>(D46/$I$54)</f>
        <v>5.2115541958243524E-4</v>
      </c>
      <c r="F46" s="360">
        <v>1</v>
      </c>
      <c r="G46" s="360">
        <v>1</v>
      </c>
      <c r="H46" s="403">
        <v>7.6700000000000004E-2</v>
      </c>
      <c r="I46" s="397">
        <v>271099998</v>
      </c>
      <c r="J46" s="217">
        <f t="shared" si="9"/>
        <v>4.5225446687684938E-4</v>
      </c>
      <c r="K46" s="76">
        <v>1</v>
      </c>
      <c r="L46" s="76">
        <v>1</v>
      </c>
      <c r="M46" s="365">
        <v>7.3899999999999993E-2</v>
      </c>
      <c r="N46" s="84">
        <f t="shared" si="12"/>
        <v>-0.13220807098349144</v>
      </c>
      <c r="O46" s="84">
        <f t="shared" si="10"/>
        <v>0</v>
      </c>
      <c r="P46" s="254">
        <f t="shared" si="11"/>
        <v>-2.8000000000000108E-3</v>
      </c>
      <c r="Q46" s="133"/>
      <c r="R46" s="167"/>
      <c r="S46" s="145"/>
    </row>
    <row r="47" spans="1:21" s="135" customFormat="1" ht="12.95" customHeight="1">
      <c r="A47" s="438">
        <v>39</v>
      </c>
      <c r="B47" s="439" t="s">
        <v>147</v>
      </c>
      <c r="C47" s="440" t="s">
        <v>149</v>
      </c>
      <c r="D47" s="408">
        <v>433285633.01999998</v>
      </c>
      <c r="E47" s="219">
        <v>2.0000000000000001E-4</v>
      </c>
      <c r="F47" s="360">
        <v>100</v>
      </c>
      <c r="G47" s="360">
        <v>100</v>
      </c>
      <c r="H47" s="423">
        <v>1.2819999999999999E-3</v>
      </c>
      <c r="I47" s="362">
        <v>426340800.07999998</v>
      </c>
      <c r="J47" s="217">
        <f t="shared" si="9"/>
        <v>7.1123029387860719E-4</v>
      </c>
      <c r="K47" s="76">
        <v>100</v>
      </c>
      <c r="L47" s="76">
        <v>100</v>
      </c>
      <c r="M47" s="364">
        <v>1.302E-3</v>
      </c>
      <c r="N47" s="84">
        <f t="shared" si="12"/>
        <v>-1.6028301911592421E-2</v>
      </c>
      <c r="O47" s="84">
        <f t="shared" si="10"/>
        <v>0</v>
      </c>
      <c r="P47" s="254">
        <f t="shared" si="11"/>
        <v>2.0000000000000052E-5</v>
      </c>
      <c r="Q47" s="133"/>
      <c r="R47" s="177"/>
      <c r="S47" s="145"/>
    </row>
    <row r="48" spans="1:21" s="135" customFormat="1" ht="12.95" customHeight="1">
      <c r="A48" s="438">
        <v>40</v>
      </c>
      <c r="B48" s="439" t="s">
        <v>161</v>
      </c>
      <c r="C48" s="440" t="s">
        <v>162</v>
      </c>
      <c r="D48" s="408">
        <v>489788958.63</v>
      </c>
      <c r="E48" s="219">
        <v>5.3145060299999998E-2</v>
      </c>
      <c r="F48" s="360">
        <v>1</v>
      </c>
      <c r="G48" s="360">
        <v>1</v>
      </c>
      <c r="H48" s="423">
        <v>0.13813328135627098</v>
      </c>
      <c r="I48" s="362">
        <v>510068353.81999999</v>
      </c>
      <c r="J48" s="217">
        <f t="shared" si="9"/>
        <v>8.5090628229224949E-4</v>
      </c>
      <c r="K48" s="76">
        <v>1</v>
      </c>
      <c r="L48" s="76">
        <v>1</v>
      </c>
      <c r="M48" s="364">
        <v>0.1398559131084387</v>
      </c>
      <c r="N48" s="84">
        <f t="shared" si="12"/>
        <v>4.1404353513243668E-2</v>
      </c>
      <c r="O48" s="84">
        <f t="shared" si="10"/>
        <v>0</v>
      </c>
      <c r="P48" s="254">
        <f t="shared" si="11"/>
        <v>1.7226317521677192E-3</v>
      </c>
      <c r="Q48" s="133"/>
      <c r="R48" s="177"/>
      <c r="S48" s="145"/>
    </row>
    <row r="49" spans="1:21" s="135" customFormat="1" ht="12.95" customHeight="1">
      <c r="A49" s="438">
        <v>41</v>
      </c>
      <c r="B49" s="439" t="s">
        <v>115</v>
      </c>
      <c r="C49" s="440" t="s">
        <v>171</v>
      </c>
      <c r="D49" s="408">
        <v>1550014279.76</v>
      </c>
      <c r="E49" s="219">
        <v>6.4199999999999993E-2</v>
      </c>
      <c r="F49" s="360">
        <v>1</v>
      </c>
      <c r="G49" s="360">
        <v>1</v>
      </c>
      <c r="H49" s="423">
        <v>0.1052</v>
      </c>
      <c r="I49" s="408">
        <v>1593065799.0699999</v>
      </c>
      <c r="J49" s="217">
        <f t="shared" si="9"/>
        <v>2.6575843931143993E-3</v>
      </c>
      <c r="K49" s="76">
        <v>1</v>
      </c>
      <c r="L49" s="76">
        <v>1</v>
      </c>
      <c r="M49" s="364">
        <v>0.108</v>
      </c>
      <c r="N49" s="84">
        <f t="shared" si="12"/>
        <v>2.7774917865057296E-2</v>
      </c>
      <c r="O49" s="84">
        <f t="shared" si="10"/>
        <v>0</v>
      </c>
      <c r="P49" s="254">
        <f t="shared" si="11"/>
        <v>2.7999999999999969E-3</v>
      </c>
      <c r="Q49" s="133"/>
      <c r="R49" s="167"/>
      <c r="S49" s="145"/>
    </row>
    <row r="50" spans="1:21" s="135" customFormat="1" ht="12.95" customHeight="1">
      <c r="A50" s="438">
        <v>42</v>
      </c>
      <c r="B50" s="439" t="s">
        <v>173</v>
      </c>
      <c r="C50" s="440" t="s">
        <v>176</v>
      </c>
      <c r="D50" s="408">
        <v>135247314.12</v>
      </c>
      <c r="E50" s="219">
        <v>2.9985000000000001E-2</v>
      </c>
      <c r="F50" s="360">
        <v>1</v>
      </c>
      <c r="G50" s="360">
        <v>1</v>
      </c>
      <c r="H50" s="423">
        <v>7.2099999999999997E-2</v>
      </c>
      <c r="I50" s="408">
        <v>135352313.33000001</v>
      </c>
      <c r="J50" s="217">
        <f t="shared" si="9"/>
        <v>2.2579745022944421E-4</v>
      </c>
      <c r="K50" s="76">
        <v>1</v>
      </c>
      <c r="L50" s="76">
        <v>1</v>
      </c>
      <c r="M50" s="423">
        <v>6.0499999999999998E-2</v>
      </c>
      <c r="N50" s="84">
        <f t="shared" si="12"/>
        <v>7.7634968711353769E-4</v>
      </c>
      <c r="O50" s="84">
        <f t="shared" si="10"/>
        <v>0</v>
      </c>
      <c r="P50" s="254">
        <f t="shared" si="11"/>
        <v>-1.1599999999999999E-2</v>
      </c>
      <c r="Q50" s="133"/>
      <c r="R50" s="167"/>
      <c r="S50" s="145"/>
    </row>
    <row r="51" spans="1:21" s="135" customFormat="1" ht="12.95" customHeight="1">
      <c r="A51" s="438">
        <v>43</v>
      </c>
      <c r="B51" s="439" t="s">
        <v>186</v>
      </c>
      <c r="C51" s="440" t="s">
        <v>187</v>
      </c>
      <c r="D51" s="408">
        <v>1014735947.8</v>
      </c>
      <c r="E51" s="219">
        <v>9.0300000000000005E-2</v>
      </c>
      <c r="F51" s="360">
        <v>1</v>
      </c>
      <c r="G51" s="360">
        <v>1</v>
      </c>
      <c r="H51" s="423">
        <v>0.1217</v>
      </c>
      <c r="I51" s="362">
        <v>1025854810.76</v>
      </c>
      <c r="J51" s="217">
        <f t="shared" si="9"/>
        <v>1.7113516191664265E-3</v>
      </c>
      <c r="K51" s="76">
        <v>1</v>
      </c>
      <c r="L51" s="76">
        <v>1</v>
      </c>
      <c r="M51" s="364">
        <v>0.13020000000000001</v>
      </c>
      <c r="N51" s="84">
        <f t="shared" si="12"/>
        <v>1.0957395354038958E-2</v>
      </c>
      <c r="O51" s="84">
        <f t="shared" si="10"/>
        <v>0</v>
      </c>
      <c r="P51" s="254">
        <f t="shared" si="11"/>
        <v>8.5000000000000075E-3</v>
      </c>
      <c r="Q51" s="133"/>
      <c r="R51" s="109"/>
      <c r="S51" s="145"/>
    </row>
    <row r="52" spans="1:21" s="135" customFormat="1" ht="12.95" customHeight="1">
      <c r="A52" s="438">
        <v>44</v>
      </c>
      <c r="B52" s="439" t="s">
        <v>196</v>
      </c>
      <c r="C52" s="440" t="s">
        <v>197</v>
      </c>
      <c r="D52" s="408">
        <v>36236308.729999997</v>
      </c>
      <c r="E52" s="219">
        <v>3.7000000000000002E-3</v>
      </c>
      <c r="F52" s="360">
        <v>100</v>
      </c>
      <c r="G52" s="360">
        <v>100</v>
      </c>
      <c r="H52" s="423">
        <v>9.5200000000000007E-2</v>
      </c>
      <c r="I52" s="362">
        <v>36923152.729999997</v>
      </c>
      <c r="J52" s="217">
        <f t="shared" si="9"/>
        <v>6.1595945689821193E-5</v>
      </c>
      <c r="K52" s="76">
        <v>100</v>
      </c>
      <c r="L52" s="76">
        <v>100</v>
      </c>
      <c r="M52" s="364">
        <v>0.10059999999999999</v>
      </c>
      <c r="N52" s="84">
        <f t="shared" si="12"/>
        <v>1.8954579648764354E-2</v>
      </c>
      <c r="O52" s="84">
        <f t="shared" si="10"/>
        <v>0</v>
      </c>
      <c r="P52" s="254">
        <f t="shared" si="11"/>
        <v>5.3999999999999881E-3</v>
      </c>
      <c r="Q52" s="133"/>
      <c r="S52" s="145"/>
    </row>
    <row r="53" spans="1:21" s="135" customFormat="1" ht="12.95" customHeight="1">
      <c r="A53" s="438">
        <v>45</v>
      </c>
      <c r="B53" s="439" t="s">
        <v>190</v>
      </c>
      <c r="C53" s="440" t="s">
        <v>206</v>
      </c>
      <c r="D53" s="408">
        <v>2379059134.7900004</v>
      </c>
      <c r="E53" s="219">
        <v>7.8700000000000006E-2</v>
      </c>
      <c r="F53" s="360">
        <v>100</v>
      </c>
      <c r="G53" s="360">
        <v>100</v>
      </c>
      <c r="H53" s="423">
        <v>0.13009999999999999</v>
      </c>
      <c r="I53" s="408">
        <v>2615683146.5699997</v>
      </c>
      <c r="J53" s="217">
        <f t="shared" si="9"/>
        <v>4.3635352109843064E-3</v>
      </c>
      <c r="K53" s="76">
        <v>100</v>
      </c>
      <c r="L53" s="76">
        <v>100</v>
      </c>
      <c r="M53" s="364">
        <v>0.1173</v>
      </c>
      <c r="N53" s="84">
        <f>((I53-D53)/D53)</f>
        <v>9.9461172830782138E-2</v>
      </c>
      <c r="O53" s="84">
        <f>((L53-G53)/G53)</f>
        <v>0</v>
      </c>
      <c r="P53" s="254">
        <f t="shared" si="11"/>
        <v>-1.2799999999999992E-2</v>
      </c>
      <c r="Q53" s="133"/>
      <c r="R53" s="185"/>
      <c r="S53" s="145"/>
    </row>
    <row r="54" spans="1:21" s="135" customFormat="1" ht="12.95" customHeight="1">
      <c r="A54" s="241"/>
      <c r="B54" s="130"/>
      <c r="C54" s="282" t="s">
        <v>47</v>
      </c>
      <c r="D54" s="82">
        <f>SUM(D25:D53)</f>
        <v>590991900611.65771</v>
      </c>
      <c r="E54" s="301">
        <f>(D54/$D$166)</f>
        <v>0.43122203705431755</v>
      </c>
      <c r="F54" s="303"/>
      <c r="G54" s="77"/>
      <c r="H54" s="321"/>
      <c r="I54" s="82">
        <f>SUM(I25:I53)</f>
        <v>599441283293.77356</v>
      </c>
      <c r="J54" s="301">
        <f>(I54/$I$166)</f>
        <v>0.43336822654972912</v>
      </c>
      <c r="K54" s="303"/>
      <c r="L54" s="77"/>
      <c r="M54" s="321"/>
      <c r="N54" s="305">
        <f t="shared" si="12"/>
        <v>1.4296951740575469E-2</v>
      </c>
      <c r="O54" s="305"/>
      <c r="P54" s="306">
        <f t="shared" si="11"/>
        <v>0</v>
      </c>
      <c r="Q54" s="133"/>
    </row>
    <row r="55" spans="1:21" s="135" customFormat="1" ht="4.5" customHeight="1">
      <c r="A55" s="451"/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452"/>
      <c r="P55" s="453"/>
      <c r="Q55" s="133"/>
    </row>
    <row r="56" spans="1:21" s="135" customFormat="1" ht="12.95" customHeight="1">
      <c r="A56" s="448" t="s">
        <v>212</v>
      </c>
      <c r="B56" s="449"/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49"/>
      <c r="N56" s="449"/>
      <c r="O56" s="449"/>
      <c r="P56" s="450"/>
      <c r="Q56" s="133"/>
      <c r="T56" s="147"/>
      <c r="U56" s="148"/>
    </row>
    <row r="57" spans="1:21" s="135" customFormat="1" ht="12.95" customHeight="1">
      <c r="A57" s="438">
        <v>46</v>
      </c>
      <c r="B57" s="439" t="s">
        <v>6</v>
      </c>
      <c r="C57" s="440" t="s">
        <v>21</v>
      </c>
      <c r="D57" s="415">
        <v>47700981350.269997</v>
      </c>
      <c r="E57" s="217">
        <f>(D57/$D$88)</f>
        <v>0.141224008591845</v>
      </c>
      <c r="F57" s="416">
        <v>244.55</v>
      </c>
      <c r="G57" s="416">
        <v>244.55</v>
      </c>
      <c r="H57" s="423">
        <v>3.7900000000000003E-2</v>
      </c>
      <c r="I57" s="415">
        <v>47161071001.010002</v>
      </c>
      <c r="J57" s="217">
        <f>(I57/$I$88)</f>
        <v>0.13954532908117351</v>
      </c>
      <c r="K57" s="416">
        <v>244.74</v>
      </c>
      <c r="L57" s="416">
        <v>244.74</v>
      </c>
      <c r="M57" s="369">
        <v>3.8800000000000001E-2</v>
      </c>
      <c r="N57" s="84">
        <f>((I57-D57)/D57)</f>
        <v>-1.1318642383799479E-2</v>
      </c>
      <c r="O57" s="84">
        <f>((L57-G57)/G57)</f>
        <v>7.7693723164995996E-4</v>
      </c>
      <c r="P57" s="254">
        <f t="shared" ref="P57:P88" si="13">M57-H57</f>
        <v>8.9999999999999802E-4</v>
      </c>
      <c r="Q57" s="133"/>
      <c r="R57" s="167"/>
    </row>
    <row r="58" spans="1:21" s="135" customFormat="1" ht="12.95" customHeight="1">
      <c r="A58" s="438">
        <v>47</v>
      </c>
      <c r="B58" s="439" t="s">
        <v>63</v>
      </c>
      <c r="C58" s="440" t="s">
        <v>22</v>
      </c>
      <c r="D58" s="415">
        <v>1426222522.1600001</v>
      </c>
      <c r="E58" s="217">
        <f t="shared" ref="E58:E87" si="14">(D58/$D$88)</f>
        <v>4.2224888466003575E-3</v>
      </c>
      <c r="F58" s="416">
        <v>321.87270000000001</v>
      </c>
      <c r="G58" s="416">
        <v>321.87270000000001</v>
      </c>
      <c r="H58" s="423">
        <v>0.14199999999999999</v>
      </c>
      <c r="I58" s="415">
        <v>1429327958.95</v>
      </c>
      <c r="J58" s="217">
        <f t="shared" ref="J58:J63" si="15">(I58/$I$88)</f>
        <v>4.2292517146679783E-3</v>
      </c>
      <c r="K58" s="416">
        <v>322.5736</v>
      </c>
      <c r="L58" s="416">
        <v>322.5736</v>
      </c>
      <c r="M58" s="369">
        <v>0.14199999999999999</v>
      </c>
      <c r="N58" s="132">
        <f>((I58-D58)/D58)</f>
        <v>2.177385885967365E-3</v>
      </c>
      <c r="O58" s="132">
        <f>((L58-G58)/G58)</f>
        <v>2.1775689581626217E-3</v>
      </c>
      <c r="P58" s="254">
        <f t="shared" si="13"/>
        <v>0</v>
      </c>
      <c r="Q58" s="133"/>
      <c r="R58" s="167"/>
      <c r="S58" s="149"/>
    </row>
    <row r="59" spans="1:21" s="135" customFormat="1" ht="12.95" customHeight="1">
      <c r="A59" s="438">
        <v>48</v>
      </c>
      <c r="B59" s="439" t="s">
        <v>203</v>
      </c>
      <c r="C59" s="440" t="s">
        <v>210</v>
      </c>
      <c r="D59" s="415">
        <v>60279027430.220001</v>
      </c>
      <c r="E59" s="217">
        <f t="shared" si="14"/>
        <v>0.17846269923051103</v>
      </c>
      <c r="F59" s="372">
        <v>1462.37</v>
      </c>
      <c r="G59" s="415">
        <v>1462.37</v>
      </c>
      <c r="H59" s="423">
        <v>0.1152</v>
      </c>
      <c r="I59" s="415">
        <v>62369822864.970001</v>
      </c>
      <c r="J59" s="217">
        <f t="shared" si="15"/>
        <v>0.18454664560608358</v>
      </c>
      <c r="K59" s="372">
        <v>1464.97</v>
      </c>
      <c r="L59" s="415">
        <v>1464.97</v>
      </c>
      <c r="M59" s="423">
        <v>0.12</v>
      </c>
      <c r="N59" s="84">
        <f>((I59-D59)/D59)</f>
        <v>3.4685288132266887E-2</v>
      </c>
      <c r="O59" s="84">
        <f>((L59-G59)/G59)</f>
        <v>1.7779358165171172E-3</v>
      </c>
      <c r="P59" s="254">
        <f t="shared" si="13"/>
        <v>4.7999999999999987E-3</v>
      </c>
      <c r="Q59" s="133"/>
      <c r="R59" s="167"/>
      <c r="S59" s="150"/>
      <c r="T59" s="143"/>
    </row>
    <row r="60" spans="1:21" s="151" customFormat="1" ht="12.95" customHeight="1">
      <c r="A60" s="438">
        <v>49</v>
      </c>
      <c r="B60" s="439" t="s">
        <v>186</v>
      </c>
      <c r="C60" s="440" t="s">
        <v>188</v>
      </c>
      <c r="D60" s="415">
        <v>672170719.53999996</v>
      </c>
      <c r="E60" s="217">
        <f t="shared" si="14"/>
        <v>1.9900354412932071E-3</v>
      </c>
      <c r="F60" s="372">
        <v>1.0628</v>
      </c>
      <c r="G60" s="372">
        <v>1.0628</v>
      </c>
      <c r="H60" s="423">
        <v>8.8461020600516527E-2</v>
      </c>
      <c r="I60" s="366">
        <v>674057430.72000003</v>
      </c>
      <c r="J60" s="217">
        <f t="shared" si="15"/>
        <v>1.9944747647359044E-3</v>
      </c>
      <c r="K60" s="370">
        <v>1.0649</v>
      </c>
      <c r="L60" s="370">
        <v>1.0649</v>
      </c>
      <c r="M60" s="369">
        <v>0.10302973278132788</v>
      </c>
      <c r="N60" s="84">
        <f>(I60/D60)/D60</f>
        <v>1.4918931510827613E-9</v>
      </c>
      <c r="O60" s="84">
        <f>(L60-G60)/G60</f>
        <v>1.9759126834775977E-3</v>
      </c>
      <c r="P60" s="254">
        <f t="shared" si="13"/>
        <v>1.456871218081135E-2</v>
      </c>
      <c r="Q60" s="133"/>
      <c r="R60" s="177"/>
      <c r="S60" s="186"/>
    </row>
    <row r="61" spans="1:21" s="135" customFormat="1" ht="12.95" customHeight="1">
      <c r="A61" s="438">
        <v>50</v>
      </c>
      <c r="B61" s="439" t="s">
        <v>10</v>
      </c>
      <c r="C61" s="440" t="s">
        <v>23</v>
      </c>
      <c r="D61" s="415">
        <v>2768552004.5500002</v>
      </c>
      <c r="E61" s="217">
        <f t="shared" si="14"/>
        <v>8.1966031098294357E-3</v>
      </c>
      <c r="F61" s="415">
        <v>3699.4965999999999</v>
      </c>
      <c r="G61" s="415">
        <v>3699.4965999999999</v>
      </c>
      <c r="H61" s="423">
        <v>6.9494E-2</v>
      </c>
      <c r="I61" s="366">
        <v>2774218484.6220999</v>
      </c>
      <c r="J61" s="217">
        <f t="shared" si="15"/>
        <v>8.2086607272208612E-3</v>
      </c>
      <c r="K61" s="367">
        <v>3705.6041539685498</v>
      </c>
      <c r="L61" s="415">
        <v>3705.6041539685498</v>
      </c>
      <c r="M61" s="369">
        <v>6.9931357076242345E-2</v>
      </c>
      <c r="N61" s="84">
        <f t="shared" ref="N61:N88" si="16">((I61-D61)/D61)</f>
        <v>2.0467305879705569E-3</v>
      </c>
      <c r="O61" s="84">
        <f t="shared" ref="O61:O87" si="17">((L61-G61)/G61)</f>
        <v>1.6509148754319269E-3</v>
      </c>
      <c r="P61" s="254">
        <f t="shared" si="13"/>
        <v>4.373570762423451E-4</v>
      </c>
      <c r="Q61" s="133"/>
      <c r="R61" s="167"/>
      <c r="S61" s="154"/>
      <c r="T61" s="154"/>
    </row>
    <row r="62" spans="1:21" s="135" customFormat="1" ht="12.95" customHeight="1">
      <c r="A62" s="438">
        <v>51</v>
      </c>
      <c r="B62" s="439" t="s">
        <v>46</v>
      </c>
      <c r="C62" s="440" t="s">
        <v>169</v>
      </c>
      <c r="D62" s="415">
        <v>100204450229.63</v>
      </c>
      <c r="E62" s="217">
        <f t="shared" si="14"/>
        <v>0.29666631041103886</v>
      </c>
      <c r="F62" s="415">
        <v>1.9454</v>
      </c>
      <c r="G62" s="415">
        <v>1.9454</v>
      </c>
      <c r="H62" s="423">
        <v>0.15970000000000001</v>
      </c>
      <c r="I62" s="415">
        <v>100371778930.53</v>
      </c>
      <c r="J62" s="217">
        <f t="shared" si="15"/>
        <v>0.29699098481083358</v>
      </c>
      <c r="K62" s="415">
        <v>1.9489000000000001</v>
      </c>
      <c r="L62" s="415">
        <v>1.9489000000000001</v>
      </c>
      <c r="M62" s="369">
        <v>6.3299999999999995E-2</v>
      </c>
      <c r="N62" s="132">
        <f t="shared" si="16"/>
        <v>1.6698729499192997E-3</v>
      </c>
      <c r="O62" s="132">
        <f t="shared" si="17"/>
        <v>1.7991158630616113E-3</v>
      </c>
      <c r="P62" s="254">
        <f t="shared" si="13"/>
        <v>-9.6400000000000013E-2</v>
      </c>
      <c r="Q62" s="133"/>
      <c r="R62" s="167"/>
      <c r="S62" s="154"/>
      <c r="T62" s="154"/>
    </row>
    <row r="63" spans="1:21" s="135" customFormat="1" ht="12.95" customHeight="1">
      <c r="A63" s="438">
        <v>52</v>
      </c>
      <c r="B63" s="439" t="s">
        <v>271</v>
      </c>
      <c r="C63" s="440" t="s">
        <v>54</v>
      </c>
      <c r="D63" s="415">
        <v>9662204479.1299992</v>
      </c>
      <c r="E63" s="217">
        <f t="shared" si="14"/>
        <v>2.860602045809053E-2</v>
      </c>
      <c r="F63" s="416">
        <v>1</v>
      </c>
      <c r="G63" s="416">
        <v>1</v>
      </c>
      <c r="H63" s="423">
        <v>0.06</v>
      </c>
      <c r="I63" s="415">
        <v>9660295986.3099995</v>
      </c>
      <c r="J63" s="217">
        <f t="shared" si="15"/>
        <v>2.8583939122211594E-2</v>
      </c>
      <c r="K63" s="368">
        <v>1</v>
      </c>
      <c r="L63" s="368">
        <v>1</v>
      </c>
      <c r="M63" s="369">
        <v>0.06</v>
      </c>
      <c r="N63" s="84">
        <f t="shared" si="16"/>
        <v>-1.9752146874162807E-4</v>
      </c>
      <c r="O63" s="84">
        <f t="shared" si="17"/>
        <v>0</v>
      </c>
      <c r="P63" s="254">
        <f t="shared" si="13"/>
        <v>0</v>
      </c>
      <c r="Q63" s="133"/>
      <c r="R63" s="167"/>
      <c r="S63" s="188"/>
      <c r="T63" s="154"/>
    </row>
    <row r="64" spans="1:21" s="135" customFormat="1" ht="12" customHeight="1">
      <c r="A64" s="438">
        <v>53</v>
      </c>
      <c r="B64" s="439" t="s">
        <v>16</v>
      </c>
      <c r="C64" s="440" t="s">
        <v>24</v>
      </c>
      <c r="D64" s="415">
        <v>3609400726.27</v>
      </c>
      <c r="E64" s="217">
        <f t="shared" si="14"/>
        <v>1.0686028353068273E-2</v>
      </c>
      <c r="F64" s="416">
        <v>23.8018</v>
      </c>
      <c r="G64" s="416">
        <v>23.8018</v>
      </c>
      <c r="H64" s="423">
        <v>8.4199999999999997E-2</v>
      </c>
      <c r="I64" s="415">
        <v>3459149646.1300001</v>
      </c>
      <c r="J64" s="217">
        <f>(I64/$I$88)</f>
        <v>1.0235309874533978E-2</v>
      </c>
      <c r="K64" s="416">
        <v>23.517099999999999</v>
      </c>
      <c r="L64" s="416">
        <v>23.517099999999999</v>
      </c>
      <c r="M64" s="369">
        <v>7.1300000000000002E-2</v>
      </c>
      <c r="N64" s="84">
        <f t="shared" si="16"/>
        <v>-4.1627708180596287E-2</v>
      </c>
      <c r="O64" s="84">
        <f t="shared" si="17"/>
        <v>-1.1961280239309667E-2</v>
      </c>
      <c r="P64" s="254">
        <f t="shared" si="13"/>
        <v>-1.2899999999999995E-2</v>
      </c>
      <c r="Q64" s="133"/>
      <c r="R64" s="170"/>
      <c r="S64" s="208"/>
      <c r="T64" s="189"/>
    </row>
    <row r="65" spans="1:21" s="135" customFormat="1" ht="12.95" customHeight="1">
      <c r="A65" s="438">
        <v>54</v>
      </c>
      <c r="B65" s="439" t="s">
        <v>111</v>
      </c>
      <c r="C65" s="440" t="s">
        <v>114</v>
      </c>
      <c r="D65" s="415">
        <v>411064777.54000002</v>
      </c>
      <c r="E65" s="217">
        <f t="shared" si="14"/>
        <v>1.2170025444305714E-3</v>
      </c>
      <c r="F65" s="416">
        <v>2.0787</v>
      </c>
      <c r="G65" s="416">
        <v>2.0787</v>
      </c>
      <c r="H65" s="423">
        <v>0.35360000000000003</v>
      </c>
      <c r="I65" s="366">
        <v>411826531.14999998</v>
      </c>
      <c r="J65" s="217">
        <f>(I65/$I$88)</f>
        <v>1.2185573311609941E-3</v>
      </c>
      <c r="K65" s="368">
        <v>2.0825999999999998</v>
      </c>
      <c r="L65" s="416">
        <v>2.0825999999999998</v>
      </c>
      <c r="M65" s="423">
        <v>9.7829000268019453E-2</v>
      </c>
      <c r="N65" s="132">
        <f t="shared" si="16"/>
        <v>1.8531230395331785E-3</v>
      </c>
      <c r="O65" s="132">
        <f t="shared" si="17"/>
        <v>1.8761726078798252E-3</v>
      </c>
      <c r="P65" s="254">
        <f t="shared" si="13"/>
        <v>-0.25577099973198059</v>
      </c>
      <c r="Q65" s="133"/>
      <c r="R65" s="177"/>
      <c r="S65" s="210"/>
      <c r="T65" s="190"/>
      <c r="U65" s="208"/>
    </row>
    <row r="66" spans="1:21" s="135" customFormat="1" ht="12.95" customHeight="1">
      <c r="A66" s="438">
        <v>55</v>
      </c>
      <c r="B66" s="439" t="s">
        <v>6</v>
      </c>
      <c r="C66" s="440" t="s">
        <v>69</v>
      </c>
      <c r="D66" s="415">
        <v>15539477236.98</v>
      </c>
      <c r="E66" s="217">
        <f t="shared" si="14"/>
        <v>4.6006333721174519E-2</v>
      </c>
      <c r="F66" s="416">
        <v>331.68</v>
      </c>
      <c r="G66" s="416">
        <v>331.69</v>
      </c>
      <c r="H66" s="423">
        <v>5.91E-2</v>
      </c>
      <c r="I66" s="415">
        <v>15434207148.58</v>
      </c>
      <c r="J66" s="217">
        <f>(I66/$I$88)</f>
        <v>4.5668418251346994E-2</v>
      </c>
      <c r="K66" s="416">
        <v>332.02</v>
      </c>
      <c r="L66" s="416">
        <v>332.02</v>
      </c>
      <c r="M66" s="369">
        <v>6.0100000000000001E-2</v>
      </c>
      <c r="N66" s="84">
        <f t="shared" si="16"/>
        <v>-6.7743648511858308E-3</v>
      </c>
      <c r="O66" s="84">
        <f t="shared" si="17"/>
        <v>9.9490488106359579E-4</v>
      </c>
      <c r="P66" s="254">
        <f t="shared" si="13"/>
        <v>1.0000000000000009E-3</v>
      </c>
      <c r="Q66" s="133"/>
      <c r="R66" s="167"/>
      <c r="S66" s="154"/>
      <c r="T66" s="190"/>
      <c r="U66" s="208"/>
    </row>
    <row r="67" spans="1:21" s="135" customFormat="1" ht="12.95" customHeight="1">
      <c r="A67" s="438">
        <v>56</v>
      </c>
      <c r="B67" s="439" t="s">
        <v>25</v>
      </c>
      <c r="C67" s="440" t="s">
        <v>40</v>
      </c>
      <c r="D67" s="415">
        <v>6930044655.1499996</v>
      </c>
      <c r="E67" s="217">
        <f t="shared" si="14"/>
        <v>2.0517160406705839E-2</v>
      </c>
      <c r="F67" s="416">
        <v>1.0900000000000001</v>
      </c>
      <c r="G67" s="416">
        <v>1.0900000000000001</v>
      </c>
      <c r="H67" s="423">
        <v>0.11</v>
      </c>
      <c r="I67" s="415">
        <v>6559050836.9499998</v>
      </c>
      <c r="J67" s="217">
        <f>(I67/$I$117)</f>
        <v>0.1436516494136077</v>
      </c>
      <c r="K67" s="368">
        <v>1.1000000000000001</v>
      </c>
      <c r="L67" s="368">
        <v>1.1000000000000001</v>
      </c>
      <c r="M67" s="369">
        <v>0.1105</v>
      </c>
      <c r="N67" s="84">
        <f t="shared" si="16"/>
        <v>-5.3534116540547703E-2</v>
      </c>
      <c r="O67" s="84">
        <f t="shared" si="17"/>
        <v>9.174311926605512E-3</v>
      </c>
      <c r="P67" s="254">
        <f t="shared" si="13"/>
        <v>5.0000000000000044E-4</v>
      </c>
      <c r="Q67" s="133"/>
      <c r="R67" s="167"/>
      <c r="S67" s="191"/>
      <c r="T67" s="187"/>
    </row>
    <row r="68" spans="1:21" s="135" customFormat="1" ht="12.95" customHeight="1">
      <c r="A68" s="438">
        <v>57</v>
      </c>
      <c r="B68" s="439" t="s">
        <v>144</v>
      </c>
      <c r="C68" s="440" t="s">
        <v>121</v>
      </c>
      <c r="D68" s="415">
        <v>1665794587.76</v>
      </c>
      <c r="E68" s="217">
        <f t="shared" si="14"/>
        <v>4.9317683308571095E-3</v>
      </c>
      <c r="F68" s="416">
        <v>3.57</v>
      </c>
      <c r="G68" s="416">
        <v>3.57</v>
      </c>
      <c r="H68" s="403">
        <v>-0.1134</v>
      </c>
      <c r="I68" s="415">
        <v>1666467123.74</v>
      </c>
      <c r="J68" s="217">
        <f t="shared" ref="J68:J83" si="18">(I68/$I$88)</f>
        <v>4.9309249821802128E-3</v>
      </c>
      <c r="K68" s="416">
        <v>3.57</v>
      </c>
      <c r="L68" s="416">
        <v>3.57</v>
      </c>
      <c r="M68" s="403">
        <v>-0.1104</v>
      </c>
      <c r="N68" s="84">
        <f t="shared" si="16"/>
        <v>4.0373284013629833E-4</v>
      </c>
      <c r="O68" s="84">
        <f t="shared" si="17"/>
        <v>0</v>
      </c>
      <c r="P68" s="254">
        <f t="shared" si="13"/>
        <v>3.0000000000000027E-3</v>
      </c>
      <c r="Q68" s="133"/>
      <c r="R68" s="109"/>
      <c r="S68" s="190"/>
      <c r="T68" s="210"/>
    </row>
    <row r="69" spans="1:21" s="135" customFormat="1" ht="12" customHeight="1">
      <c r="A69" s="438">
        <v>58</v>
      </c>
      <c r="B69" s="439" t="s">
        <v>6</v>
      </c>
      <c r="C69" s="440" t="s">
        <v>74</v>
      </c>
      <c r="D69" s="415">
        <v>38757414936.410004</v>
      </c>
      <c r="E69" s="217">
        <f t="shared" si="14"/>
        <v>0.11474559526952557</v>
      </c>
      <c r="F69" s="415">
        <v>4560.3999999999996</v>
      </c>
      <c r="G69" s="415">
        <v>4560.3999999999996</v>
      </c>
      <c r="H69" s="423">
        <v>7.17E-2</v>
      </c>
      <c r="I69" s="415">
        <v>38213912030.050003</v>
      </c>
      <c r="J69" s="217">
        <f t="shared" si="18"/>
        <v>0.11307149766802667</v>
      </c>
      <c r="K69" s="415">
        <v>4562.5600000000004</v>
      </c>
      <c r="L69" s="415">
        <v>4562.5600000000004</v>
      </c>
      <c r="M69" s="369">
        <v>7.22E-2</v>
      </c>
      <c r="N69" s="84">
        <f t="shared" si="16"/>
        <v>-1.4023198070659142E-2</v>
      </c>
      <c r="O69" s="84">
        <f t="shared" si="17"/>
        <v>4.7364266292447245E-4</v>
      </c>
      <c r="P69" s="254">
        <f t="shared" si="13"/>
        <v>5.0000000000000044E-4</v>
      </c>
      <c r="Q69" s="133"/>
      <c r="S69" s="190"/>
      <c r="T69" s="210"/>
    </row>
    <row r="70" spans="1:21" s="135" customFormat="1" ht="12.95" customHeight="1">
      <c r="A70" s="438">
        <v>59</v>
      </c>
      <c r="B70" s="439" t="s">
        <v>6</v>
      </c>
      <c r="C70" s="440" t="s">
        <v>75</v>
      </c>
      <c r="D70" s="415">
        <v>235492171.16999999</v>
      </c>
      <c r="E70" s="217">
        <f t="shared" si="14"/>
        <v>6.97200507478366E-4</v>
      </c>
      <c r="F70" s="415">
        <v>4172.41</v>
      </c>
      <c r="G70" s="415">
        <v>4185.92</v>
      </c>
      <c r="H70" s="423">
        <v>9.0200000000000002E-2</v>
      </c>
      <c r="I70" s="415">
        <v>237358787.83000001</v>
      </c>
      <c r="J70" s="217">
        <f t="shared" si="18"/>
        <v>7.02323112156135E-4</v>
      </c>
      <c r="K70" s="415">
        <v>4205.34</v>
      </c>
      <c r="L70" s="415">
        <v>4219.2</v>
      </c>
      <c r="M70" s="369">
        <v>9.8799999999999999E-2</v>
      </c>
      <c r="N70" s="84">
        <f t="shared" si="16"/>
        <v>7.9264488952056501E-3</v>
      </c>
      <c r="O70" s="84">
        <f t="shared" si="17"/>
        <v>7.9504625028666929E-3</v>
      </c>
      <c r="P70" s="254">
        <f t="shared" si="13"/>
        <v>8.5999999999999965E-3</v>
      </c>
      <c r="Q70" s="133"/>
      <c r="S70" s="466"/>
      <c r="T70" s="466"/>
    </row>
    <row r="71" spans="1:21" s="151" customFormat="1" ht="12.95" customHeight="1">
      <c r="A71" s="438">
        <v>60</v>
      </c>
      <c r="B71" s="439" t="s">
        <v>97</v>
      </c>
      <c r="C71" s="440" t="s">
        <v>98</v>
      </c>
      <c r="D71" s="415">
        <v>54471334.799999997</v>
      </c>
      <c r="E71" s="217">
        <f t="shared" si="14"/>
        <v>1.6126838559812824E-4</v>
      </c>
      <c r="F71" s="372">
        <v>11.604512</v>
      </c>
      <c r="G71" s="415">
        <v>11.765102000000001</v>
      </c>
      <c r="H71" s="423">
        <v>3.5078311046057471E-2</v>
      </c>
      <c r="I71" s="415">
        <v>54471334.799999997</v>
      </c>
      <c r="J71" s="217">
        <f t="shared" si="18"/>
        <v>1.6117573623368285E-4</v>
      </c>
      <c r="K71" s="372">
        <v>11.604512</v>
      </c>
      <c r="L71" s="415">
        <v>11.765102000000001</v>
      </c>
      <c r="M71" s="369">
        <v>3.5078311046057471E-2</v>
      </c>
      <c r="N71" s="84">
        <f t="shared" si="16"/>
        <v>0</v>
      </c>
      <c r="O71" s="84">
        <f t="shared" si="17"/>
        <v>0</v>
      </c>
      <c r="P71" s="254">
        <f t="shared" si="13"/>
        <v>0</v>
      </c>
      <c r="Q71" s="133"/>
      <c r="R71" s="192"/>
      <c r="S71" s="193"/>
      <c r="T71" s="473"/>
      <c r="U71" s="152"/>
    </row>
    <row r="72" spans="1:21" s="135" customFormat="1" ht="12.95" customHeight="1">
      <c r="A72" s="438">
        <v>61</v>
      </c>
      <c r="B72" s="439" t="s">
        <v>28</v>
      </c>
      <c r="C72" s="440" t="s">
        <v>92</v>
      </c>
      <c r="D72" s="415">
        <v>15162122681.92</v>
      </c>
      <c r="E72" s="422">
        <f t="shared" si="14"/>
        <v>4.4889134002899463E-2</v>
      </c>
      <c r="F72" s="415">
        <v>1178.83</v>
      </c>
      <c r="G72" s="415">
        <v>1178.83</v>
      </c>
      <c r="H72" s="423">
        <v>9.1800000000000007E-2</v>
      </c>
      <c r="I72" s="415">
        <v>14991061991.209999</v>
      </c>
      <c r="J72" s="422">
        <f t="shared" si="18"/>
        <v>4.4357191947461724E-2</v>
      </c>
      <c r="K72" s="415">
        <v>1176.95</v>
      </c>
      <c r="L72" s="415">
        <v>1176.95</v>
      </c>
      <c r="M72" s="423">
        <v>9.0200000000000002E-2</v>
      </c>
      <c r="N72" s="84">
        <f t="shared" si="16"/>
        <v>-1.1282107017507613E-2</v>
      </c>
      <c r="O72" s="84">
        <f t="shared" si="17"/>
        <v>-1.5948016253402796E-3</v>
      </c>
      <c r="P72" s="254">
        <f t="shared" si="13"/>
        <v>-1.6000000000000042E-3</v>
      </c>
      <c r="Q72" s="133"/>
      <c r="S72" s="194"/>
      <c r="T72" s="473"/>
    </row>
    <row r="73" spans="1:21" s="135" customFormat="1" ht="12.95" customHeight="1">
      <c r="A73" s="438">
        <v>62</v>
      </c>
      <c r="B73" s="439" t="s">
        <v>193</v>
      </c>
      <c r="C73" s="440" t="s">
        <v>192</v>
      </c>
      <c r="D73" s="415">
        <v>23023250.620000001</v>
      </c>
      <c r="E73" s="217">
        <f t="shared" si="14"/>
        <v>6.8162869008829674E-5</v>
      </c>
      <c r="F73" s="415">
        <v>0.68130000000000002</v>
      </c>
      <c r="G73" s="415">
        <v>0.68130000000000002</v>
      </c>
      <c r="H73" s="423">
        <v>-1.8E-3</v>
      </c>
      <c r="I73" s="366">
        <v>23054719.539999999</v>
      </c>
      <c r="J73" s="217">
        <f t="shared" si="18"/>
        <v>6.821682283285216E-5</v>
      </c>
      <c r="K73" s="367">
        <v>0.68220000000000003</v>
      </c>
      <c r="L73" s="367">
        <v>0.68220000000000003</v>
      </c>
      <c r="M73" s="369">
        <v>-4.0000000000000002E-4</v>
      </c>
      <c r="N73" s="132">
        <f>((I73-D73)/D73)</f>
        <v>1.3668321871396134E-3</v>
      </c>
      <c r="O73" s="132">
        <f>((L73-G73)/G73)</f>
        <v>1.3210039630119064E-3</v>
      </c>
      <c r="P73" s="254">
        <f t="shared" si="13"/>
        <v>1.4E-3</v>
      </c>
      <c r="Q73" s="133"/>
      <c r="R73" s="195"/>
      <c r="S73" s="153"/>
      <c r="T73" s="473"/>
    </row>
    <row r="74" spans="1:21" s="135" customFormat="1" ht="12.95" customHeight="1">
      <c r="A74" s="438">
        <v>63</v>
      </c>
      <c r="B74" s="439" t="s">
        <v>106</v>
      </c>
      <c r="C74" s="440" t="s">
        <v>109</v>
      </c>
      <c r="D74" s="415">
        <v>396967577.81</v>
      </c>
      <c r="E74" s="217">
        <f t="shared" si="14"/>
        <v>1.1752662321066908E-3</v>
      </c>
      <c r="F74" s="415">
        <v>1155.24</v>
      </c>
      <c r="G74" s="415">
        <v>1168.03</v>
      </c>
      <c r="H74" s="423">
        <v>3.4799999999999998E-2</v>
      </c>
      <c r="I74" s="415">
        <v>399426631.81999999</v>
      </c>
      <c r="J74" s="217">
        <f t="shared" si="18"/>
        <v>1.1818671543721503E-3</v>
      </c>
      <c r="K74" s="415">
        <v>1162.24</v>
      </c>
      <c r="L74" s="415">
        <v>1175.57</v>
      </c>
      <c r="M74" s="423">
        <v>4.1000000000000002E-2</v>
      </c>
      <c r="N74" s="84">
        <f t="shared" si="16"/>
        <v>6.1945966055116063E-3</v>
      </c>
      <c r="O74" s="84">
        <f t="shared" si="17"/>
        <v>6.4553136477658651E-3</v>
      </c>
      <c r="P74" s="254">
        <f t="shared" si="13"/>
        <v>6.2000000000000041E-3</v>
      </c>
      <c r="Q74" s="133"/>
      <c r="R74" s="146"/>
      <c r="S74" s="153"/>
      <c r="T74" s="473"/>
    </row>
    <row r="75" spans="1:21" s="135" customFormat="1" ht="12.95" customHeight="1">
      <c r="A75" s="438">
        <v>64</v>
      </c>
      <c r="B75" s="439" t="s">
        <v>271</v>
      </c>
      <c r="C75" s="440" t="s">
        <v>110</v>
      </c>
      <c r="D75" s="415">
        <v>167103307.83000001</v>
      </c>
      <c r="E75" s="217">
        <f t="shared" si="14"/>
        <v>4.9472774590152255E-4</v>
      </c>
      <c r="F75" s="415">
        <v>144.86000000000001</v>
      </c>
      <c r="G75" s="415">
        <v>144.86000000000001</v>
      </c>
      <c r="H75" s="423">
        <v>1.1000000000000001E-3</v>
      </c>
      <c r="I75" s="415">
        <v>167278876.28999999</v>
      </c>
      <c r="J75" s="217">
        <f t="shared" si="18"/>
        <v>4.9496301387466472E-4</v>
      </c>
      <c r="K75" s="367">
        <v>145.01</v>
      </c>
      <c r="L75" s="415">
        <v>145.01</v>
      </c>
      <c r="M75" s="369">
        <v>1.1000000000000001E-3</v>
      </c>
      <c r="N75" s="84">
        <f t="shared" si="16"/>
        <v>1.0506581962972895E-3</v>
      </c>
      <c r="O75" s="84">
        <f t="shared" si="17"/>
        <v>1.0354825348610883E-3</v>
      </c>
      <c r="P75" s="254">
        <f t="shared" si="13"/>
        <v>0</v>
      </c>
      <c r="Q75" s="133"/>
      <c r="R75" s="167"/>
      <c r="S75" s="154"/>
      <c r="T75" s="473"/>
    </row>
    <row r="76" spans="1:21" s="135" customFormat="1" ht="12.95" customHeight="1">
      <c r="A76" s="438">
        <v>65</v>
      </c>
      <c r="B76" s="439" t="s">
        <v>112</v>
      </c>
      <c r="C76" s="440" t="s">
        <v>113</v>
      </c>
      <c r="D76" s="415">
        <v>729205714.49000001</v>
      </c>
      <c r="E76" s="217">
        <f>(D76/$D$88)</f>
        <v>2.1588938251010498E-3</v>
      </c>
      <c r="F76" s="416">
        <v>196.39286000000001</v>
      </c>
      <c r="G76" s="416">
        <v>198.45895400000001</v>
      </c>
      <c r="H76" s="423">
        <v>0.1055</v>
      </c>
      <c r="I76" s="415">
        <v>729710706.53999996</v>
      </c>
      <c r="J76" s="217">
        <f t="shared" si="18"/>
        <v>2.1591477571830204E-3</v>
      </c>
      <c r="K76" s="416">
        <v>196.77372</v>
      </c>
      <c r="L76" s="416">
        <v>198.92843500000001</v>
      </c>
      <c r="M76" s="423">
        <v>9.6600000000000005E-2</v>
      </c>
      <c r="N76" s="84">
        <f t="shared" si="16"/>
        <v>6.9252344018332231E-4</v>
      </c>
      <c r="O76" s="84">
        <f t="shared" si="17"/>
        <v>2.3656327443910734E-3</v>
      </c>
      <c r="P76" s="254">
        <f t="shared" si="13"/>
        <v>-8.8999999999999913E-3</v>
      </c>
      <c r="Q76" s="133"/>
      <c r="R76" s="167"/>
      <c r="S76" s="196"/>
      <c r="T76" s="473"/>
    </row>
    <row r="77" spans="1:21" s="135" customFormat="1" ht="12.95" customHeight="1">
      <c r="A77" s="438">
        <v>66</v>
      </c>
      <c r="B77" s="439" t="s">
        <v>116</v>
      </c>
      <c r="C77" s="440" t="s">
        <v>119</v>
      </c>
      <c r="D77" s="415">
        <v>325872548.5</v>
      </c>
      <c r="E77" s="217">
        <f t="shared" si="14"/>
        <v>9.647815681458709E-4</v>
      </c>
      <c r="F77" s="416">
        <v>1.3671</v>
      </c>
      <c r="G77" s="416">
        <v>1.3671</v>
      </c>
      <c r="H77" s="423">
        <v>2.3400000000000001E-2</v>
      </c>
      <c r="I77" s="415">
        <v>328035830.23000002</v>
      </c>
      <c r="J77" s="217">
        <f t="shared" si="18"/>
        <v>9.7062825139999432E-4</v>
      </c>
      <c r="K77" s="416">
        <v>1.3898999999999999</v>
      </c>
      <c r="L77" s="416">
        <v>1.3898999999999999</v>
      </c>
      <c r="M77" s="423">
        <v>3.9399999999999998E-2</v>
      </c>
      <c r="N77" s="84">
        <f t="shared" si="16"/>
        <v>6.6384288580233668E-3</v>
      </c>
      <c r="O77" s="84">
        <f t="shared" si="17"/>
        <v>1.6677638797454417E-2</v>
      </c>
      <c r="P77" s="254">
        <f t="shared" si="13"/>
        <v>1.5999999999999997E-2</v>
      </c>
      <c r="Q77" s="133"/>
      <c r="R77" s="177"/>
      <c r="S77" s="196"/>
      <c r="T77" s="473"/>
    </row>
    <row r="78" spans="1:21" s="135" customFormat="1" ht="12.95" customHeight="1">
      <c r="A78" s="438">
        <v>67</v>
      </c>
      <c r="B78" s="439" t="s">
        <v>147</v>
      </c>
      <c r="C78" s="440" t="s">
        <v>150</v>
      </c>
      <c r="D78" s="415">
        <v>427741047.83999997</v>
      </c>
      <c r="E78" s="217">
        <f t="shared" si="14"/>
        <v>1.2663744792097244E-3</v>
      </c>
      <c r="F78" s="416">
        <v>1.2157</v>
      </c>
      <c r="G78" s="416">
        <v>1.2157</v>
      </c>
      <c r="H78" s="423">
        <v>3.6817000000000003E-2</v>
      </c>
      <c r="I78" s="366">
        <v>430500523.10000002</v>
      </c>
      <c r="J78" s="217">
        <f t="shared" si="18"/>
        <v>1.2738119786194059E-3</v>
      </c>
      <c r="K78" s="368">
        <v>1.2295</v>
      </c>
      <c r="L78" s="368">
        <v>1.2295</v>
      </c>
      <c r="M78" s="369">
        <v>1.0716E-2</v>
      </c>
      <c r="N78" s="84">
        <v>-8.3999999999999995E-5</v>
      </c>
      <c r="O78" s="84">
        <f t="shared" si="17"/>
        <v>1.1351484741301337E-2</v>
      </c>
      <c r="P78" s="254">
        <f t="shared" si="13"/>
        <v>-2.6101000000000003E-2</v>
      </c>
      <c r="Q78" s="133"/>
      <c r="R78" s="167"/>
      <c r="S78" s="196"/>
      <c r="T78" s="473"/>
    </row>
    <row r="79" spans="1:21" s="135" customFormat="1" ht="12.95" customHeight="1">
      <c r="A79" s="438">
        <v>68</v>
      </c>
      <c r="B79" s="439" t="s">
        <v>8</v>
      </c>
      <c r="C79" s="440" t="s">
        <v>156</v>
      </c>
      <c r="D79" s="415">
        <v>947944881.15999997</v>
      </c>
      <c r="E79" s="217">
        <f t="shared" si="14"/>
        <v>2.8064952177504327E-3</v>
      </c>
      <c r="F79" s="416">
        <v>1.0629999999999999</v>
      </c>
      <c r="G79" s="416">
        <v>1.0629999999999999</v>
      </c>
      <c r="H79" s="423">
        <v>0.1229</v>
      </c>
      <c r="I79" s="415">
        <v>964410272.22000003</v>
      </c>
      <c r="J79" s="217">
        <f t="shared" si="18"/>
        <v>2.8536024723298139E-3</v>
      </c>
      <c r="K79" s="416">
        <v>1.0817000000000001</v>
      </c>
      <c r="L79" s="416">
        <v>1.0817000000000001</v>
      </c>
      <c r="M79" s="369">
        <v>0.9173</v>
      </c>
      <c r="N79" s="84">
        <f t="shared" si="16"/>
        <v>1.7369565875867556E-2</v>
      </c>
      <c r="O79" s="84">
        <f t="shared" si="17"/>
        <v>1.7591721542803539E-2</v>
      </c>
      <c r="P79" s="254">
        <f t="shared" si="13"/>
        <v>0.7944</v>
      </c>
      <c r="Q79" s="133"/>
      <c r="R79" s="167"/>
      <c r="S79" s="196"/>
      <c r="T79" s="473"/>
    </row>
    <row r="80" spans="1:21" s="135" customFormat="1" ht="12.95" customHeight="1">
      <c r="A80" s="438">
        <v>69</v>
      </c>
      <c r="B80" s="439" t="s">
        <v>6</v>
      </c>
      <c r="C80" s="440" t="s">
        <v>180</v>
      </c>
      <c r="D80" s="415">
        <v>24040733530.689999</v>
      </c>
      <c r="E80" s="217">
        <f t="shared" si="14"/>
        <v>7.1175239221220002E-2</v>
      </c>
      <c r="F80" s="416">
        <v>114.54</v>
      </c>
      <c r="G80" s="416">
        <v>114.54</v>
      </c>
      <c r="H80" s="423">
        <v>7.6499999999999999E-2</v>
      </c>
      <c r="I80" s="415">
        <v>24210812747.16</v>
      </c>
      <c r="J80" s="217">
        <f t="shared" si="18"/>
        <v>7.1637597713859344E-2</v>
      </c>
      <c r="K80" s="416">
        <v>114.75</v>
      </c>
      <c r="L80" s="416">
        <v>114.75</v>
      </c>
      <c r="M80" s="369">
        <v>7.85E-2</v>
      </c>
      <c r="N80" s="84">
        <f>((I80-D80)/D80)</f>
        <v>7.0746267476772678E-3</v>
      </c>
      <c r="O80" s="84">
        <f>((L80-G80)/G80)</f>
        <v>1.8334206390779966E-3</v>
      </c>
      <c r="P80" s="254">
        <f t="shared" si="13"/>
        <v>2.0000000000000018E-3</v>
      </c>
      <c r="Q80" s="133"/>
      <c r="R80" s="167"/>
      <c r="S80" s="196"/>
      <c r="T80" s="473"/>
    </row>
    <row r="81" spans="1:20" s="135" customFormat="1" ht="12.95" customHeight="1">
      <c r="A81" s="438">
        <v>70</v>
      </c>
      <c r="B81" s="439" t="s">
        <v>159</v>
      </c>
      <c r="C81" s="440" t="s">
        <v>185</v>
      </c>
      <c r="D81" s="415">
        <v>243633320.91999999</v>
      </c>
      <c r="E81" s="217">
        <f t="shared" si="14"/>
        <v>7.2130327789725985E-4</v>
      </c>
      <c r="F81" s="415">
        <v>1105.72</v>
      </c>
      <c r="G81" s="415">
        <v>1105.72</v>
      </c>
      <c r="H81" s="423">
        <v>3.78E-2</v>
      </c>
      <c r="I81" s="415">
        <v>246720067.06999999</v>
      </c>
      <c r="J81" s="217">
        <f t="shared" si="18"/>
        <v>7.3002228786269558E-4</v>
      </c>
      <c r="K81" s="415">
        <v>1123.29</v>
      </c>
      <c r="L81" s="415">
        <v>1123.29</v>
      </c>
      <c r="M81" s="369">
        <v>5.4300000000000001E-2</v>
      </c>
      <c r="N81" s="84">
        <f>((I81-D81)/D81)</f>
        <v>1.2669638694510005E-2</v>
      </c>
      <c r="O81" s="84">
        <f t="shared" si="17"/>
        <v>1.5890098759179482E-2</v>
      </c>
      <c r="P81" s="254">
        <f t="shared" si="13"/>
        <v>1.6500000000000001E-2</v>
      </c>
      <c r="Q81" s="133"/>
      <c r="R81" s="167"/>
      <c r="S81" s="196"/>
      <c r="T81" s="473"/>
    </row>
    <row r="82" spans="1:20" s="135" customFormat="1" ht="12.95" customHeight="1">
      <c r="A82" s="438">
        <v>71</v>
      </c>
      <c r="B82" s="439" t="s">
        <v>195</v>
      </c>
      <c r="C82" s="440" t="s">
        <v>194</v>
      </c>
      <c r="D82" s="415">
        <v>1280114718.01</v>
      </c>
      <c r="E82" s="217">
        <f>(D82/$I$88)</f>
        <v>3.787743276282539E-3</v>
      </c>
      <c r="F82" s="416">
        <v>1.0374000000000001</v>
      </c>
      <c r="G82" s="416">
        <v>1.0374000000000001</v>
      </c>
      <c r="H82" s="423">
        <v>8.5199999999999998E-2</v>
      </c>
      <c r="I82" s="415">
        <v>1281617986.0999999</v>
      </c>
      <c r="J82" s="217">
        <f t="shared" si="18"/>
        <v>3.7921913101346917E-3</v>
      </c>
      <c r="K82" s="416">
        <v>1.0392999999999999</v>
      </c>
      <c r="L82" s="416">
        <v>1.0392999999999999</v>
      </c>
      <c r="M82" s="369">
        <v>8.5199999999999998E-2</v>
      </c>
      <c r="N82" s="84">
        <f>((I82-D82)/D82)</f>
        <v>1.174322948443884E-3</v>
      </c>
      <c r="O82" s="84">
        <f>((L82-G82)/G82)</f>
        <v>1.8315018315016296E-3</v>
      </c>
      <c r="P82" s="254">
        <f>M82-H82</f>
        <v>0</v>
      </c>
      <c r="Q82" s="133"/>
      <c r="R82" s="167"/>
      <c r="S82" s="196"/>
      <c r="T82" s="473"/>
    </row>
    <row r="83" spans="1:20" s="135" customFormat="1" ht="12.95" customHeight="1">
      <c r="A83" s="438">
        <v>72</v>
      </c>
      <c r="B83" s="442" t="s">
        <v>13</v>
      </c>
      <c r="C83" s="439" t="s">
        <v>256</v>
      </c>
      <c r="D83" s="415">
        <v>2436059436.8899999</v>
      </c>
      <c r="E83" s="217">
        <f>(D83/$D$88)</f>
        <v>7.2122222458983268E-3</v>
      </c>
      <c r="F83" s="416">
        <v>109.07</v>
      </c>
      <c r="G83" s="416">
        <v>109.07</v>
      </c>
      <c r="H83" s="423">
        <v>9.5600000000000004E-2</v>
      </c>
      <c r="I83" s="415">
        <v>1987822943.95</v>
      </c>
      <c r="J83" s="217">
        <f t="shared" si="18"/>
        <v>5.8817876901622792E-3</v>
      </c>
      <c r="K83" s="368">
        <v>108.19</v>
      </c>
      <c r="L83" s="368">
        <v>108.19</v>
      </c>
      <c r="M83" s="369">
        <v>9.7600000000000006E-2</v>
      </c>
      <c r="N83" s="84">
        <f>((I83-D83)/D83)</f>
        <v>-0.18400063896316168</v>
      </c>
      <c r="O83" s="84">
        <f>((L83-G83)/G83)</f>
        <v>-8.0682130741725078E-3</v>
      </c>
      <c r="P83" s="254">
        <f>M83-H83</f>
        <v>2.0000000000000018E-3</v>
      </c>
      <c r="Q83" s="133"/>
      <c r="R83" s="167"/>
      <c r="S83" s="196"/>
      <c r="T83" s="473"/>
    </row>
    <row r="84" spans="1:20" s="135" customFormat="1" ht="12.95" customHeight="1">
      <c r="A84" s="438">
        <v>73</v>
      </c>
      <c r="B84" s="439" t="s">
        <v>95</v>
      </c>
      <c r="C84" s="440" t="s">
        <v>246</v>
      </c>
      <c r="D84" s="415">
        <v>367323796.73000002</v>
      </c>
      <c r="E84" s="217">
        <f t="shared" si="14"/>
        <v>1.0875025535526646E-3</v>
      </c>
      <c r="F84" s="416">
        <v>104.89</v>
      </c>
      <c r="G84" s="416">
        <v>104.89</v>
      </c>
      <c r="H84" s="423">
        <v>8.6860000000000007E-2</v>
      </c>
      <c r="I84" s="415">
        <v>368831698.93000001</v>
      </c>
      <c r="J84" s="217">
        <f>(I84/$I$88)</f>
        <v>1.0913395245339722E-3</v>
      </c>
      <c r="K84" s="416">
        <v>105.13</v>
      </c>
      <c r="L84" s="416">
        <v>105.13</v>
      </c>
      <c r="M84" s="423">
        <v>8.72E-2</v>
      </c>
      <c r="N84" s="84">
        <f t="shared" si="16"/>
        <v>4.1051034902276316E-3</v>
      </c>
      <c r="O84" s="84">
        <f t="shared" si="17"/>
        <v>2.2881113547525492E-3</v>
      </c>
      <c r="P84" s="254">
        <f t="shared" si="13"/>
        <v>3.3999999999999309E-4</v>
      </c>
      <c r="Q84" s="133"/>
      <c r="R84" s="167"/>
      <c r="S84" s="196"/>
      <c r="T84" s="473"/>
    </row>
    <row r="85" spans="1:20" s="419" customFormat="1" ht="12.95" customHeight="1">
      <c r="A85" s="438">
        <v>74</v>
      </c>
      <c r="B85" s="439" t="s">
        <v>8</v>
      </c>
      <c r="C85" s="440" t="s">
        <v>250</v>
      </c>
      <c r="D85" s="415">
        <v>889862484.91999996</v>
      </c>
      <c r="E85" s="422">
        <f>(D85/$D$88)</f>
        <v>2.6345358870733444E-3</v>
      </c>
      <c r="F85" s="416">
        <v>1.0290999999999999</v>
      </c>
      <c r="G85" s="416">
        <v>1.0290999999999999</v>
      </c>
      <c r="H85" s="423">
        <v>0.15240000000000001</v>
      </c>
      <c r="I85" s="415">
        <v>888628441.63</v>
      </c>
      <c r="J85" s="422">
        <f>(I85/$I$88)</f>
        <v>2.6293709130459117E-3</v>
      </c>
      <c r="K85" s="416">
        <v>1.0306999999999999</v>
      </c>
      <c r="L85" s="416">
        <v>1.0306999999999999</v>
      </c>
      <c r="M85" s="423">
        <v>8.1100000000000005E-2</v>
      </c>
      <c r="N85" s="418">
        <f>((I85-D85)/D85)</f>
        <v>-1.3867797675625175E-3</v>
      </c>
      <c r="O85" s="418">
        <f>((L85-G85)/G85)</f>
        <v>1.5547565834224525E-3</v>
      </c>
      <c r="P85" s="425">
        <f>M85-H85</f>
        <v>-7.1300000000000002E-2</v>
      </c>
      <c r="Q85" s="133"/>
      <c r="R85" s="167"/>
      <c r="S85" s="196"/>
      <c r="T85" s="428"/>
    </row>
    <row r="86" spans="1:20" s="419" customFormat="1" ht="12.95" customHeight="1">
      <c r="A86" s="438">
        <v>75</v>
      </c>
      <c r="B86" s="439" t="s">
        <v>262</v>
      </c>
      <c r="C86" s="440" t="s">
        <v>263</v>
      </c>
      <c r="D86" s="415">
        <v>413737915.79000002</v>
      </c>
      <c r="E86" s="422">
        <f t="shared" ref="E86" si="19">(D86/$D$88)</f>
        <v>1.2249166646121482E-3</v>
      </c>
      <c r="F86" s="78">
        <v>1000</v>
      </c>
      <c r="G86" s="78">
        <v>1000</v>
      </c>
      <c r="H86" s="423">
        <v>0.16869999999999999</v>
      </c>
      <c r="I86" s="415">
        <v>414865997.49000001</v>
      </c>
      <c r="J86" s="422">
        <f>(I86/$I$88)</f>
        <v>1.2275508362202276E-3</v>
      </c>
      <c r="K86" s="78">
        <v>1000</v>
      </c>
      <c r="L86" s="78">
        <v>1000</v>
      </c>
      <c r="M86" s="423">
        <v>0.16869999999999999</v>
      </c>
      <c r="N86" s="418">
        <f t="shared" ref="N86" si="20">((I86-D86)/D86)</f>
        <v>2.7265610835932328E-3</v>
      </c>
      <c r="O86" s="418">
        <f t="shared" ref="O86" si="21">((L86-G86)/G86)</f>
        <v>0</v>
      </c>
      <c r="P86" s="425">
        <f t="shared" ref="P86" si="22">M86-H86</f>
        <v>0</v>
      </c>
      <c r="Q86" s="133"/>
      <c r="R86" s="167"/>
      <c r="S86" s="196"/>
      <c r="T86" s="443"/>
    </row>
    <row r="87" spans="1:20" s="135" customFormat="1" ht="12.95" customHeight="1">
      <c r="A87" s="438">
        <v>76</v>
      </c>
      <c r="B87" s="439" t="s">
        <v>282</v>
      </c>
      <c r="C87" s="440" t="s">
        <v>283</v>
      </c>
      <c r="D87" s="415">
        <v>0</v>
      </c>
      <c r="E87" s="217">
        <f t="shared" si="14"/>
        <v>0</v>
      </c>
      <c r="F87" s="78">
        <v>0</v>
      </c>
      <c r="G87" s="78">
        <v>0</v>
      </c>
      <c r="H87" s="423">
        <v>0</v>
      </c>
      <c r="I87" s="415">
        <v>52580649.780000001</v>
      </c>
      <c r="J87" s="217">
        <f>(I87/$I$88)</f>
        <v>1.5558137084492623E-4</v>
      </c>
      <c r="K87" s="78">
        <v>101.70099999999999</v>
      </c>
      <c r="L87" s="78">
        <v>101.70099999999999</v>
      </c>
      <c r="M87" s="423">
        <v>1.6088000000000002E-2</v>
      </c>
      <c r="N87" s="84" t="e">
        <f t="shared" si="16"/>
        <v>#DIV/0!</v>
      </c>
      <c r="O87" s="84" t="e">
        <f t="shared" si="17"/>
        <v>#DIV/0!</v>
      </c>
      <c r="P87" s="254">
        <f t="shared" si="13"/>
        <v>1.6088000000000002E-2</v>
      </c>
      <c r="Q87" s="133"/>
      <c r="R87" s="167"/>
      <c r="S87" s="196"/>
      <c r="T87" s="335"/>
    </row>
    <row r="88" spans="1:20" s="135" customFormat="1" ht="12.95" customHeight="1">
      <c r="A88" s="241"/>
      <c r="B88" s="130"/>
      <c r="C88" s="282" t="s">
        <v>47</v>
      </c>
      <c r="D88" s="82">
        <f>SUM(D57:D87)</f>
        <v>337768215375.69989</v>
      </c>
      <c r="E88" s="301">
        <f>(D88/$D$166)</f>
        <v>0.24645531983731836</v>
      </c>
      <c r="F88" s="79"/>
      <c r="G88" s="79"/>
      <c r="H88" s="251"/>
      <c r="I88" s="82">
        <f>SUM(I57:I87)</f>
        <v>337962376179.40198</v>
      </c>
      <c r="J88" s="301">
        <f>(I88/$I$166)</f>
        <v>0.24433111246630945</v>
      </c>
      <c r="K88" s="303"/>
      <c r="L88" s="77"/>
      <c r="M88" s="320"/>
      <c r="N88" s="305">
        <f t="shared" si="16"/>
        <v>5.7483444227018866E-4</v>
      </c>
      <c r="O88" s="305"/>
      <c r="P88" s="306">
        <f t="shared" si="13"/>
        <v>0</v>
      </c>
      <c r="Q88" s="133"/>
      <c r="R88" s="109"/>
      <c r="S88" s="197"/>
      <c r="T88" s="209"/>
    </row>
    <row r="89" spans="1:20" s="135" customFormat="1" ht="5.25" customHeight="1">
      <c r="A89" s="451"/>
      <c r="B89" s="452"/>
      <c r="C89" s="452"/>
      <c r="D89" s="452"/>
      <c r="E89" s="452"/>
      <c r="F89" s="452"/>
      <c r="G89" s="452"/>
      <c r="H89" s="452"/>
      <c r="I89" s="452"/>
      <c r="J89" s="452"/>
      <c r="K89" s="452"/>
      <c r="L89" s="452"/>
      <c r="M89" s="452"/>
      <c r="N89" s="452"/>
      <c r="O89" s="452"/>
      <c r="P89" s="453"/>
      <c r="Q89" s="133"/>
      <c r="R89" s="109"/>
      <c r="S89" s="197"/>
      <c r="T89" s="209"/>
    </row>
    <row r="90" spans="1:20" s="135" customFormat="1" ht="12" customHeight="1">
      <c r="A90" s="448" t="s">
        <v>214</v>
      </c>
      <c r="B90" s="449"/>
      <c r="C90" s="449"/>
      <c r="D90" s="449"/>
      <c r="E90" s="449"/>
      <c r="F90" s="449"/>
      <c r="G90" s="449"/>
      <c r="H90" s="449"/>
      <c r="I90" s="449"/>
      <c r="J90" s="449"/>
      <c r="K90" s="449"/>
      <c r="L90" s="449"/>
      <c r="M90" s="449"/>
      <c r="N90" s="449"/>
      <c r="O90" s="449"/>
      <c r="P90" s="450"/>
      <c r="Q90" s="133"/>
      <c r="R90" s="109"/>
      <c r="S90" s="197"/>
      <c r="T90" s="209"/>
    </row>
    <row r="91" spans="1:20" s="135" customFormat="1" ht="12.95" customHeight="1">
      <c r="A91" s="463" t="s">
        <v>215</v>
      </c>
      <c r="B91" s="464"/>
      <c r="C91" s="464"/>
      <c r="D91" s="464"/>
      <c r="E91" s="464"/>
      <c r="F91" s="464"/>
      <c r="G91" s="464"/>
      <c r="H91" s="464"/>
      <c r="I91" s="464"/>
      <c r="J91" s="464"/>
      <c r="K91" s="464"/>
      <c r="L91" s="464"/>
      <c r="M91" s="464"/>
      <c r="N91" s="464"/>
      <c r="O91" s="464"/>
      <c r="P91" s="465"/>
      <c r="Q91" s="133"/>
      <c r="R91" s="109"/>
      <c r="S91" s="197"/>
      <c r="T91" s="209"/>
    </row>
    <row r="92" spans="1:20" s="135" customFormat="1" ht="12.95" customHeight="1">
      <c r="A92" s="438">
        <v>77</v>
      </c>
      <c r="B92" s="439" t="s">
        <v>203</v>
      </c>
      <c r="C92" s="440" t="s">
        <v>264</v>
      </c>
      <c r="D92" s="415">
        <v>12878418727.9</v>
      </c>
      <c r="E92" s="217">
        <f t="shared" ref="E92:E97" si="23">(D92/$D$110)</f>
        <v>3.9638162229928449E-2</v>
      </c>
      <c r="F92" s="415">
        <v>54125.82</v>
      </c>
      <c r="G92" s="415">
        <v>54125.82</v>
      </c>
      <c r="H92" s="423">
        <v>6.6500000000000004E-2</v>
      </c>
      <c r="I92" s="415">
        <v>13021036875.49</v>
      </c>
      <c r="J92" s="217">
        <f t="shared" ref="J92:J97" si="24">(I92/$I$110)</f>
        <v>3.9618623723765199E-2</v>
      </c>
      <c r="K92" s="415">
        <v>54793.7</v>
      </c>
      <c r="L92" s="415">
        <v>54793.7</v>
      </c>
      <c r="M92" s="374">
        <v>6.6600000000000006E-2</v>
      </c>
      <c r="N92" s="84">
        <f t="shared" ref="N92:N99" si="25">((I92-D92)/D92)</f>
        <v>1.1074197120259031E-2</v>
      </c>
      <c r="O92" s="84">
        <f>((L92-G92)/G92)</f>
        <v>1.23393973523172E-2</v>
      </c>
      <c r="P92" s="254">
        <f t="shared" ref="P92:P99" si="26">M92-H92</f>
        <v>1.0000000000000286E-4</v>
      </c>
      <c r="Q92" s="133"/>
      <c r="R92" s="109"/>
      <c r="S92" s="197"/>
      <c r="T92" s="209"/>
    </row>
    <row r="93" spans="1:20" s="135" customFormat="1" ht="12.95" customHeight="1">
      <c r="A93" s="438">
        <v>78</v>
      </c>
      <c r="B93" s="439" t="s">
        <v>46</v>
      </c>
      <c r="C93" s="440" t="s">
        <v>179</v>
      </c>
      <c r="D93" s="415">
        <v>76579811268.139999</v>
      </c>
      <c r="E93" s="217">
        <f t="shared" si="23"/>
        <v>0.23570308177724647</v>
      </c>
      <c r="F93" s="415">
        <v>56477.77</v>
      </c>
      <c r="G93" s="415">
        <v>56477.77</v>
      </c>
      <c r="H93" s="423">
        <v>5.7599999999999998E-2</v>
      </c>
      <c r="I93" s="415">
        <v>77171782276.050003</v>
      </c>
      <c r="J93" s="217">
        <f t="shared" si="24"/>
        <v>0.2348077064309905</v>
      </c>
      <c r="K93" s="415">
        <v>57162.11</v>
      </c>
      <c r="L93" s="415">
        <v>57162.11</v>
      </c>
      <c r="M93" s="374">
        <v>5.7500000000000002E-2</v>
      </c>
      <c r="N93" s="84">
        <f t="shared" si="25"/>
        <v>7.7301183968350312E-3</v>
      </c>
      <c r="O93" s="84">
        <f>((L93-G93)/G93)</f>
        <v>1.2116979831179663E-2</v>
      </c>
      <c r="P93" s="254">
        <f t="shared" si="26"/>
        <v>-9.9999999999995925E-5</v>
      </c>
      <c r="Q93" s="133"/>
      <c r="S93" s="188"/>
      <c r="T93" s="187"/>
    </row>
    <row r="94" spans="1:20" s="135" customFormat="1" ht="12.95" customHeight="1">
      <c r="A94" s="438">
        <v>79</v>
      </c>
      <c r="B94" s="439" t="s">
        <v>144</v>
      </c>
      <c r="C94" s="440" t="s">
        <v>131</v>
      </c>
      <c r="D94" s="415">
        <v>6081211190.8699999</v>
      </c>
      <c r="E94" s="217">
        <f t="shared" si="23"/>
        <v>1.871720751057359E-2</v>
      </c>
      <c r="F94" s="415">
        <v>445.96</v>
      </c>
      <c r="G94" s="415">
        <v>445.96</v>
      </c>
      <c r="H94" s="403">
        <v>4.36E-2</v>
      </c>
      <c r="I94" s="415">
        <v>6116811736.6400003</v>
      </c>
      <c r="J94" s="217">
        <f t="shared" si="24"/>
        <v>1.8611395152348907E-2</v>
      </c>
      <c r="K94" s="415">
        <v>446.63</v>
      </c>
      <c r="L94" s="415">
        <v>446.63</v>
      </c>
      <c r="M94" s="375">
        <v>4.3799999999999999E-2</v>
      </c>
      <c r="N94" s="84">
        <f t="shared" si="25"/>
        <v>5.854186715871533E-3</v>
      </c>
      <c r="O94" s="84">
        <f>((L94-G94)/G94)</f>
        <v>1.5023768947888061E-3</v>
      </c>
      <c r="P94" s="254">
        <f t="shared" si="26"/>
        <v>1.9999999999999879E-4</v>
      </c>
      <c r="Q94" s="133"/>
      <c r="R94">
        <v>446.32</v>
      </c>
      <c r="S94" s="198"/>
      <c r="T94" s="187"/>
    </row>
    <row r="95" spans="1:20" s="135" customFormat="1" ht="12.95" customHeight="1">
      <c r="A95" s="438">
        <v>80</v>
      </c>
      <c r="B95" s="439" t="s">
        <v>97</v>
      </c>
      <c r="C95" s="440" t="s">
        <v>139</v>
      </c>
      <c r="D95" s="415">
        <v>761779373.22479999</v>
      </c>
      <c r="E95" s="217">
        <f t="shared" si="23"/>
        <v>2.3446616403209326E-3</v>
      </c>
      <c r="F95" s="415">
        <v>52938.028589599999</v>
      </c>
      <c r="G95" s="415">
        <v>54444.433571360001</v>
      </c>
      <c r="H95" s="423">
        <v>4.3799999999999999E-2</v>
      </c>
      <c r="I95" s="415">
        <v>761779373.22479999</v>
      </c>
      <c r="J95" s="217">
        <f t="shared" si="24"/>
        <v>2.317837714224529E-3</v>
      </c>
      <c r="K95" s="415">
        <v>52938.028589599999</v>
      </c>
      <c r="L95" s="415">
        <v>54444.433571360001</v>
      </c>
      <c r="M95" s="374">
        <v>4.3799999999999999E-2</v>
      </c>
      <c r="N95" s="84">
        <f t="shared" si="25"/>
        <v>0</v>
      </c>
      <c r="O95" s="84" t="e">
        <f>((#REF!-G95)/G95)</f>
        <v>#REF!</v>
      </c>
      <c r="P95" s="254">
        <f t="shared" si="26"/>
        <v>0</v>
      </c>
      <c r="Q95" s="133"/>
      <c r="S95" s="198"/>
      <c r="T95" s="187"/>
    </row>
    <row r="96" spans="1:20" s="135" customFormat="1" ht="12.95" customHeight="1">
      <c r="A96" s="438">
        <v>81</v>
      </c>
      <c r="B96" s="439" t="s">
        <v>63</v>
      </c>
      <c r="C96" s="440" t="s">
        <v>157</v>
      </c>
      <c r="D96" s="415">
        <v>775249899.63999999</v>
      </c>
      <c r="E96" s="217">
        <f t="shared" si="23"/>
        <v>2.3861222359615672E-3</v>
      </c>
      <c r="F96" s="415">
        <f>107.0481*446.32</f>
        <v>47777.707992000003</v>
      </c>
      <c r="G96" s="415">
        <f>107.0481*446.32</f>
        <v>47777.707992000003</v>
      </c>
      <c r="H96" s="423">
        <v>8.48E-2</v>
      </c>
      <c r="I96" s="415">
        <v>773912498.41999996</v>
      </c>
      <c r="J96" s="217">
        <f t="shared" si="24"/>
        <v>2.3547547221631827E-3</v>
      </c>
      <c r="K96" s="415">
        <f>107.1676*446.13</f>
        <v>47810.681387999997</v>
      </c>
      <c r="L96" s="415">
        <f>107.1676*446.13</f>
        <v>47810.681387999997</v>
      </c>
      <c r="M96" s="374">
        <v>8.48E-2</v>
      </c>
      <c r="N96" s="84">
        <f t="shared" si="25"/>
        <v>-1.725122725744399E-3</v>
      </c>
      <c r="O96" s="84">
        <f>((L96-G96)/G96)</f>
        <v>6.9014185455516385E-4</v>
      </c>
      <c r="P96" s="254">
        <f t="shared" si="26"/>
        <v>0</v>
      </c>
      <c r="Q96" s="133"/>
      <c r="R96" s="147"/>
      <c r="S96" s="198"/>
      <c r="T96" s="154"/>
    </row>
    <row r="97" spans="1:41" s="135" customFormat="1" ht="12.95" customHeight="1">
      <c r="A97" s="438">
        <v>82</v>
      </c>
      <c r="B97" s="439" t="s">
        <v>8</v>
      </c>
      <c r="C97" s="440" t="s">
        <v>158</v>
      </c>
      <c r="D97" s="415">
        <f>10554877.28*445.96</f>
        <v>4707053071.7887993</v>
      </c>
      <c r="E97" s="217">
        <f t="shared" si="23"/>
        <v>1.4487720676470944E-2</v>
      </c>
      <c r="F97" s="415">
        <f>1.0931*445.96</f>
        <v>487.47887599999996</v>
      </c>
      <c r="G97" s="415">
        <f>1.0931*445.96</f>
        <v>487.47887599999996</v>
      </c>
      <c r="H97" s="423">
        <v>5.2499999999999998E-2</v>
      </c>
      <c r="I97" s="415">
        <f>10656709.8*447.28</f>
        <v>4766533159.3439999</v>
      </c>
      <c r="J97" s="217">
        <f t="shared" si="24"/>
        <v>1.4502952837985358E-2</v>
      </c>
      <c r="K97" s="415">
        <f>1.1036*447.28</f>
        <v>493.61820799999992</v>
      </c>
      <c r="L97" s="415">
        <f>1.1036*447.28</f>
        <v>493.61820799999992</v>
      </c>
      <c r="M97" s="374">
        <v>0.50090000000000001</v>
      </c>
      <c r="N97" s="84">
        <f t="shared" si="25"/>
        <v>1.2636374956485596E-2</v>
      </c>
      <c r="O97" s="84">
        <f>((L97-G97)/G97)</f>
        <v>1.2594047254675233E-2</v>
      </c>
      <c r="P97" s="254">
        <f t="shared" si="26"/>
        <v>0.44840000000000002</v>
      </c>
      <c r="Q97" s="133"/>
      <c r="S97" s="198"/>
      <c r="T97" s="154"/>
    </row>
    <row r="98" spans="1:41" s="419" customFormat="1" ht="12.95" customHeight="1">
      <c r="A98" s="438">
        <v>83</v>
      </c>
      <c r="B98" s="439" t="s">
        <v>186</v>
      </c>
      <c r="C98" s="440" t="s">
        <v>189</v>
      </c>
      <c r="D98" s="415">
        <v>934448994.86399996</v>
      </c>
      <c r="E98" s="422">
        <f>(D98/$D$110)</f>
        <v>2.8761171411338829E-3</v>
      </c>
      <c r="F98" s="415">
        <v>46774.721279999998</v>
      </c>
      <c r="G98" s="415">
        <v>46774.721279999998</v>
      </c>
      <c r="H98" s="423">
        <v>4.5100000000000001E-2</v>
      </c>
      <c r="I98" s="415">
        <v>940953768.01479995</v>
      </c>
      <c r="J98" s="422">
        <f>(I98/$I$110)</f>
        <v>2.8630049690289766E-3</v>
      </c>
      <c r="K98" s="415">
        <v>46885.336391999997</v>
      </c>
      <c r="L98" s="415">
        <v>46885.336391999997</v>
      </c>
      <c r="M98" s="423">
        <v>4.4999999999999998E-2</v>
      </c>
      <c r="N98" s="418">
        <f>((I98-D98)/D98)</f>
        <v>6.9610788673882592E-3</v>
      </c>
      <c r="O98" s="418">
        <f>((L98-G98)/G98)</f>
        <v>2.3648481267871599E-3</v>
      </c>
      <c r="P98" s="425">
        <f>M98-H98</f>
        <v>-1.0000000000000286E-4</v>
      </c>
      <c r="Q98" s="133"/>
      <c r="S98" s="421"/>
      <c r="T98" s="420"/>
    </row>
    <row r="99" spans="1:41" s="135" customFormat="1" ht="12.95" customHeight="1">
      <c r="A99" s="438">
        <v>84</v>
      </c>
      <c r="B99" s="439" t="s">
        <v>241</v>
      </c>
      <c r="C99" s="440" t="s">
        <v>261</v>
      </c>
      <c r="D99" s="415">
        <f>77581.17*446.32</f>
        <v>34626027.794399999</v>
      </c>
      <c r="E99" s="217">
        <f>(D99/$D$110)</f>
        <v>1.0657458311391971E-4</v>
      </c>
      <c r="F99" s="415">
        <f>98.17*446.32</f>
        <v>43815.234400000001</v>
      </c>
      <c r="G99" s="415">
        <f>98.17*446.32</f>
        <v>43815.234400000001</v>
      </c>
      <c r="H99" s="423">
        <v>1E-3</v>
      </c>
      <c r="I99" s="371">
        <f>77636.25*447.28</f>
        <v>34725141.899999999</v>
      </c>
      <c r="J99" s="217">
        <f>(I99/$I$110)</f>
        <v>1.0565689536446237E-4</v>
      </c>
      <c r="K99" s="373">
        <f>98.24*447.28</f>
        <v>43940.787199999992</v>
      </c>
      <c r="L99" s="415">
        <f>98.24*447.28</f>
        <v>43940.787199999992</v>
      </c>
      <c r="M99" s="374">
        <v>1E-3</v>
      </c>
      <c r="N99" s="84">
        <f t="shared" si="25"/>
        <v>2.8624162779661653E-3</v>
      </c>
      <c r="O99" s="84">
        <f>((L99-G99)/G99)</f>
        <v>2.8655056105323581E-3</v>
      </c>
      <c r="P99" s="254">
        <f t="shared" si="26"/>
        <v>0</v>
      </c>
      <c r="Q99" s="133"/>
      <c r="S99" s="187"/>
      <c r="T99" s="187"/>
    </row>
    <row r="100" spans="1:41" s="135" customFormat="1" ht="4.5" customHeight="1">
      <c r="A100" s="451"/>
      <c r="B100" s="452"/>
      <c r="C100" s="452"/>
      <c r="D100" s="452"/>
      <c r="E100" s="452"/>
      <c r="F100" s="452"/>
      <c r="G100" s="452"/>
      <c r="H100" s="452"/>
      <c r="I100" s="452"/>
      <c r="J100" s="452"/>
      <c r="K100" s="452"/>
      <c r="L100" s="452"/>
      <c r="M100" s="452"/>
      <c r="N100" s="452"/>
      <c r="O100" s="452"/>
      <c r="P100" s="453"/>
      <c r="Q100" s="133"/>
      <c r="S100" s="199"/>
      <c r="T100" s="154"/>
    </row>
    <row r="101" spans="1:41" s="135" customFormat="1" ht="12.95" customHeight="1">
      <c r="A101" s="463" t="s">
        <v>216</v>
      </c>
      <c r="B101" s="464"/>
      <c r="C101" s="464"/>
      <c r="D101" s="464"/>
      <c r="E101" s="464"/>
      <c r="F101" s="464"/>
      <c r="G101" s="464"/>
      <c r="H101" s="464"/>
      <c r="I101" s="464"/>
      <c r="J101" s="464"/>
      <c r="K101" s="464"/>
      <c r="L101" s="464"/>
      <c r="M101" s="464"/>
      <c r="N101" s="464"/>
      <c r="O101" s="464"/>
      <c r="P101" s="465"/>
      <c r="Q101" s="133"/>
      <c r="R101" s="200"/>
      <c r="S101" s="199"/>
      <c r="T101" s="154"/>
      <c r="AE101" s="135">
        <v>136.96</v>
      </c>
      <c r="AO101" s="144">
        <v>185280902</v>
      </c>
    </row>
    <row r="102" spans="1:41" s="135" customFormat="1" ht="12.95" customHeight="1">
      <c r="A102" s="438">
        <v>85</v>
      </c>
      <c r="B102" s="439" t="s">
        <v>6</v>
      </c>
      <c r="C102" s="440" t="s">
        <v>100</v>
      </c>
      <c r="D102" s="415">
        <v>192244531571.39999</v>
      </c>
      <c r="E102" s="217">
        <f t="shared" ref="E102:E108" si="27">(D102/$D$110)</f>
        <v>0.59170462548598424</v>
      </c>
      <c r="F102" s="414">
        <v>614.54</v>
      </c>
      <c r="G102" s="414">
        <v>614.54</v>
      </c>
      <c r="H102" s="423">
        <v>5.33E-2</v>
      </c>
      <c r="I102" s="415">
        <v>195512142813.51999</v>
      </c>
      <c r="J102" s="217">
        <f>(I102/$I$110)</f>
        <v>0.59487751195423932</v>
      </c>
      <c r="K102" s="414">
        <v>622.12</v>
      </c>
      <c r="L102" s="414">
        <v>622.12</v>
      </c>
      <c r="M102" s="377">
        <v>5.4600000000000003E-2</v>
      </c>
      <c r="N102" s="84">
        <f t="shared" ref="N102:N110" si="28">((I102-D102)/D102)</f>
        <v>1.6997160935661768E-2</v>
      </c>
      <c r="O102" s="84">
        <f t="shared" ref="O102:O107" si="29">((L102-G102)/G102)</f>
        <v>1.2334429003807794E-2</v>
      </c>
      <c r="P102" s="254">
        <f t="shared" ref="P102:P110" si="30">M102-H102</f>
        <v>1.3000000000000025E-3</v>
      </c>
      <c r="Q102" s="133"/>
      <c r="R102"/>
      <c r="S102" s="467"/>
      <c r="T102" s="154"/>
    </row>
    <row r="103" spans="1:41" s="135" customFormat="1" ht="12.95" customHeight="1">
      <c r="A103" s="438">
        <v>86</v>
      </c>
      <c r="B103" s="439" t="s">
        <v>271</v>
      </c>
      <c r="C103" s="440" t="s">
        <v>135</v>
      </c>
      <c r="D103" s="414">
        <v>15227771746.73</v>
      </c>
      <c r="E103" s="217">
        <f t="shared" si="27"/>
        <v>4.6869177004592547E-2</v>
      </c>
      <c r="F103" s="414">
        <v>445.82</v>
      </c>
      <c r="G103" s="414">
        <v>445.82</v>
      </c>
      <c r="H103" s="423">
        <v>-1.01E-2</v>
      </c>
      <c r="I103" s="414">
        <v>15110572204.91</v>
      </c>
      <c r="J103" s="217">
        <f t="shared" ref="J103:J109" si="31">(I103/$I$110)</f>
        <v>4.5976375012346006E-2</v>
      </c>
      <c r="K103" s="414">
        <v>446.8</v>
      </c>
      <c r="L103" s="414">
        <v>446.8</v>
      </c>
      <c r="M103" s="377">
        <v>-1.04E-2</v>
      </c>
      <c r="N103" s="84">
        <f t="shared" si="28"/>
        <v>-7.6964341053488037E-3</v>
      </c>
      <c r="O103" s="84">
        <f t="shared" si="29"/>
        <v>2.1981965815800505E-3</v>
      </c>
      <c r="P103" s="254">
        <f t="shared" si="30"/>
        <v>-2.9999999999999992E-4</v>
      </c>
      <c r="Q103" s="133"/>
      <c r="S103" s="467"/>
      <c r="T103" s="155"/>
    </row>
    <row r="104" spans="1:41" s="135" customFormat="1" ht="12.75" customHeight="1">
      <c r="A104" s="438">
        <v>87</v>
      </c>
      <c r="B104" s="439" t="s">
        <v>95</v>
      </c>
      <c r="C104" s="440" t="s">
        <v>154</v>
      </c>
      <c r="D104" s="414">
        <v>6011983098.9300003</v>
      </c>
      <c r="E104" s="217">
        <f t="shared" si="27"/>
        <v>1.8504132101459788E-2</v>
      </c>
      <c r="F104" s="414">
        <v>50000.959999999999</v>
      </c>
      <c r="G104" s="414">
        <v>50000.959999999999</v>
      </c>
      <c r="H104" s="423">
        <v>5.0340000000000003E-2</v>
      </c>
      <c r="I104" s="414">
        <v>5776809306.71</v>
      </c>
      <c r="J104" s="217">
        <f t="shared" si="31"/>
        <v>1.757688242764275E-2</v>
      </c>
      <c r="K104" s="414">
        <v>50200.74</v>
      </c>
      <c r="L104" s="414">
        <v>50200.74</v>
      </c>
      <c r="M104" s="377">
        <v>5.3190000000000001E-2</v>
      </c>
      <c r="N104" s="84">
        <f t="shared" si="28"/>
        <v>-3.9117507210200908E-2</v>
      </c>
      <c r="O104" s="84">
        <f t="shared" si="29"/>
        <v>3.9955232859528863E-3</v>
      </c>
      <c r="P104" s="254">
        <f t="shared" si="30"/>
        <v>2.8499999999999984E-3</v>
      </c>
      <c r="Q104" s="133"/>
      <c r="R104" s="201"/>
      <c r="S104" s="202"/>
      <c r="T104" s="203"/>
      <c r="U104" s="210"/>
      <c r="V104" s="208"/>
      <c r="W104" s="165"/>
    </row>
    <row r="105" spans="1:41" s="135" customFormat="1" ht="12.95" customHeight="1" thickBot="1">
      <c r="A105" s="438">
        <v>88</v>
      </c>
      <c r="B105" s="439" t="s">
        <v>159</v>
      </c>
      <c r="C105" s="440" t="s">
        <v>160</v>
      </c>
      <c r="D105" s="414">
        <v>347363243.26999998</v>
      </c>
      <c r="E105" s="217">
        <f t="shared" si="27"/>
        <v>1.0691406204723984E-3</v>
      </c>
      <c r="F105" s="415">
        <v>40871.94</v>
      </c>
      <c r="G105" s="415">
        <v>40871.94</v>
      </c>
      <c r="H105" s="423">
        <v>-8.0500000000000002E-2</v>
      </c>
      <c r="I105" s="414">
        <v>348798581.95999998</v>
      </c>
      <c r="J105" s="217">
        <f>(I105/$I$88)</f>
        <v>1.0320633494861149E-3</v>
      </c>
      <c r="K105" s="415">
        <v>41040.559999999998</v>
      </c>
      <c r="L105" s="415">
        <v>41040.559999999998</v>
      </c>
      <c r="M105" s="377">
        <v>4.9799999999999997E-2</v>
      </c>
      <c r="N105" s="84">
        <f t="shared" si="28"/>
        <v>4.1320972146852378E-3</v>
      </c>
      <c r="O105" s="84">
        <f t="shared" si="29"/>
        <v>4.1255687887581391E-3</v>
      </c>
      <c r="P105" s="254">
        <f t="shared" si="30"/>
        <v>0.1303</v>
      </c>
      <c r="Q105" s="133"/>
      <c r="R105" s="190"/>
      <c r="S105" s="184"/>
      <c r="T105" s="203"/>
      <c r="U105" s="210"/>
      <c r="V105" s="208"/>
      <c r="W105" s="166"/>
    </row>
    <row r="106" spans="1:41" s="135" customFormat="1" ht="12.75" customHeight="1">
      <c r="A106" s="438">
        <v>89</v>
      </c>
      <c r="B106" s="439" t="s">
        <v>10</v>
      </c>
      <c r="C106" s="440" t="s">
        <v>165</v>
      </c>
      <c r="D106" s="414">
        <v>1760305875.208472</v>
      </c>
      <c r="E106" s="217">
        <f t="shared" si="27"/>
        <v>5.418001334639583E-3</v>
      </c>
      <c r="F106" s="414">
        <v>502.26423131433694</v>
      </c>
      <c r="G106" s="414">
        <v>502.26423131433694</v>
      </c>
      <c r="H106" s="423">
        <v>4.2437999999999997E-2</v>
      </c>
      <c r="I106" s="414">
        <v>1802094119.86675</v>
      </c>
      <c r="J106" s="217">
        <f t="shared" si="31"/>
        <v>5.4831646306296054E-3</v>
      </c>
      <c r="K106" s="376">
        <v>513.6585995284621</v>
      </c>
      <c r="L106" s="414">
        <v>513.6585995284621</v>
      </c>
      <c r="M106" s="377">
        <v>4.250958509594599E-2</v>
      </c>
      <c r="N106" s="84">
        <f t="shared" si="28"/>
        <v>2.373919512898804E-2</v>
      </c>
      <c r="O106" s="84">
        <f t="shared" si="29"/>
        <v>2.2686003708263503E-2</v>
      </c>
      <c r="P106" s="254">
        <f t="shared" si="30"/>
        <v>7.1585095945993216E-5</v>
      </c>
      <c r="Q106" s="133"/>
      <c r="S106" s="208"/>
      <c r="T106" s="208"/>
      <c r="U106" s="208"/>
      <c r="V106" s="210"/>
    </row>
    <row r="107" spans="1:41" s="135" customFormat="1" ht="12.75" customHeight="1">
      <c r="A107" s="438">
        <v>90</v>
      </c>
      <c r="B107" s="439" t="s">
        <v>173</v>
      </c>
      <c r="C107" s="440" t="s">
        <v>175</v>
      </c>
      <c r="D107" s="414">
        <v>99940128.239999995</v>
      </c>
      <c r="E107" s="217">
        <f t="shared" si="27"/>
        <v>3.0760321590373851E-4</v>
      </c>
      <c r="F107" s="414">
        <v>391.2</v>
      </c>
      <c r="G107" s="414">
        <v>391.2</v>
      </c>
      <c r="H107" s="423">
        <v>-2.1419999999999998E-3</v>
      </c>
      <c r="I107" s="414">
        <v>100265826.59999999</v>
      </c>
      <c r="J107" s="217">
        <f t="shared" si="31"/>
        <v>3.0507509458751927E-4</v>
      </c>
      <c r="K107" s="414">
        <v>392.45</v>
      </c>
      <c r="L107" s="414">
        <v>392.45</v>
      </c>
      <c r="M107" s="423">
        <v>-6.7349999999999997E-3</v>
      </c>
      <c r="N107" s="84">
        <f t="shared" si="28"/>
        <v>3.2589347816109971E-3</v>
      </c>
      <c r="O107" s="84">
        <f t="shared" si="29"/>
        <v>3.1952965235173825E-3</v>
      </c>
      <c r="P107" s="254">
        <f t="shared" si="30"/>
        <v>-4.5929999999999999E-3</v>
      </c>
      <c r="Q107" s="133"/>
      <c r="S107" s="208"/>
      <c r="T107" s="208"/>
      <c r="U107" s="208"/>
      <c r="V107" s="210"/>
    </row>
    <row r="108" spans="1:41" s="135" customFormat="1" ht="12.75" customHeight="1">
      <c r="A108" s="438">
        <v>91</v>
      </c>
      <c r="B108" s="442" t="s">
        <v>13</v>
      </c>
      <c r="C108" s="439" t="s">
        <v>211</v>
      </c>
      <c r="D108" s="415">
        <v>3673811200.7800002</v>
      </c>
      <c r="E108" s="217">
        <f t="shared" si="27"/>
        <v>1.1307531417903485E-2</v>
      </c>
      <c r="F108" s="414">
        <f>1.0483*446.32</f>
        <v>467.87725599999999</v>
      </c>
      <c r="G108" s="414">
        <f>1.0483*446.32</f>
        <v>467.87725599999999</v>
      </c>
      <c r="H108" s="423">
        <v>7.3700000000000002E-2</v>
      </c>
      <c r="I108" s="415">
        <v>3642476081.23</v>
      </c>
      <c r="J108" s="217">
        <f t="shared" si="31"/>
        <v>1.1082826249936074E-2</v>
      </c>
      <c r="K108" s="414">
        <f>1.0483*446.13</f>
        <v>467.67807900000003</v>
      </c>
      <c r="L108" s="414">
        <f>1.0483*446.13</f>
        <v>467.67807900000003</v>
      </c>
      <c r="M108" s="377">
        <v>7.3700000000000002E-2</v>
      </c>
      <c r="N108" s="84">
        <f t="shared" si="28"/>
        <v>-8.5293222317323544E-3</v>
      </c>
      <c r="O108" s="84">
        <f>((L108-G108)/G108)</f>
        <v>-4.2570353109868477E-4</v>
      </c>
      <c r="P108" s="254">
        <f t="shared" si="30"/>
        <v>0</v>
      </c>
      <c r="Q108" s="133"/>
      <c r="R108"/>
      <c r="S108" s="336"/>
      <c r="T108" s="336"/>
      <c r="U108" s="336"/>
      <c r="V108" s="337"/>
    </row>
    <row r="109" spans="1:41" s="135" customFormat="1" ht="12.95" customHeight="1">
      <c r="A109" s="438">
        <v>92</v>
      </c>
      <c r="B109" s="439" t="s">
        <v>87</v>
      </c>
      <c r="C109" s="439" t="s">
        <v>251</v>
      </c>
      <c r="D109" s="415">
        <v>2781185460.6494122</v>
      </c>
      <c r="E109" s="217">
        <f>(D109/$I$110)</f>
        <v>8.462209371273989E-3</v>
      </c>
      <c r="F109" s="414">
        <v>55198.900486800005</v>
      </c>
      <c r="G109" s="414">
        <v>55586.649913200003</v>
      </c>
      <c r="H109" s="423">
        <v>4.5400000000000003E-2</v>
      </c>
      <c r="I109" s="415">
        <v>2778801484.5460501</v>
      </c>
      <c r="J109" s="217">
        <f t="shared" si="31"/>
        <v>8.4549557360137015E-3</v>
      </c>
      <c r="K109" s="376">
        <v>55348.089889899995</v>
      </c>
      <c r="L109" s="376">
        <v>55736.887310099992</v>
      </c>
      <c r="M109" s="377">
        <v>4.6327493261455466E-2</v>
      </c>
      <c r="N109" s="84">
        <f t="shared" si="28"/>
        <v>-8.5717983827134656E-4</v>
      </c>
      <c r="O109" s="84">
        <f>((L109-G109)/G109)</f>
        <v>2.7027604134192058E-3</v>
      </c>
      <c r="P109" s="254">
        <f t="shared" si="30"/>
        <v>9.274932614554629E-4</v>
      </c>
      <c r="Q109" s="133"/>
      <c r="S109" s="208"/>
      <c r="T109" s="208"/>
      <c r="U109" s="208"/>
      <c r="V109" s="210"/>
    </row>
    <row r="110" spans="1:41" s="135" customFormat="1" ht="13.5" customHeight="1">
      <c r="A110" s="241"/>
      <c r="B110" s="130"/>
      <c r="C110" s="328" t="s">
        <v>47</v>
      </c>
      <c r="D110" s="82">
        <f>SUM(D92:D109)</f>
        <v>324899490879.42987</v>
      </c>
      <c r="E110" s="301">
        <f>(D110/$D$166)</f>
        <v>0.23706555055988995</v>
      </c>
      <c r="F110" s="303"/>
      <c r="G110" s="77"/>
      <c r="H110" s="317"/>
      <c r="I110" s="82">
        <f>SUM(I92:I109)</f>
        <v>328659495248.42633</v>
      </c>
      <c r="J110" s="301">
        <f>(I110/$I$166)</f>
        <v>0.23760556131856772</v>
      </c>
      <c r="K110" s="303"/>
      <c r="L110" s="77"/>
      <c r="M110" s="319"/>
      <c r="N110" s="305">
        <f t="shared" si="28"/>
        <v>1.1572823210091754E-2</v>
      </c>
      <c r="O110" s="305"/>
      <c r="P110" s="306">
        <f t="shared" si="30"/>
        <v>0</v>
      </c>
      <c r="Q110" s="133"/>
      <c r="S110" s="208"/>
      <c r="T110" s="208"/>
      <c r="U110" s="208"/>
      <c r="V110" s="208"/>
    </row>
    <row r="111" spans="1:41" s="135" customFormat="1" ht="4.5" customHeight="1">
      <c r="A111" s="451"/>
      <c r="B111" s="452"/>
      <c r="C111" s="452"/>
      <c r="D111" s="452"/>
      <c r="E111" s="452"/>
      <c r="F111" s="452"/>
      <c r="G111" s="452"/>
      <c r="H111" s="452"/>
      <c r="I111" s="452"/>
      <c r="J111" s="452"/>
      <c r="K111" s="452"/>
      <c r="L111" s="452"/>
      <c r="M111" s="452"/>
      <c r="N111" s="452"/>
      <c r="O111" s="452"/>
      <c r="P111" s="453"/>
      <c r="Q111" s="133"/>
      <c r="R111" s="141"/>
      <c r="S111" s="156"/>
    </row>
    <row r="112" spans="1:41" s="135" customFormat="1" ht="12.95" customHeight="1">
      <c r="A112" s="482" t="s">
        <v>234</v>
      </c>
      <c r="B112" s="483"/>
      <c r="C112" s="483"/>
      <c r="D112" s="483"/>
      <c r="E112" s="483"/>
      <c r="F112" s="483"/>
      <c r="G112" s="483"/>
      <c r="H112" s="483"/>
      <c r="I112" s="483"/>
      <c r="J112" s="483"/>
      <c r="K112" s="483"/>
      <c r="L112" s="483"/>
      <c r="M112" s="483"/>
      <c r="N112" s="483"/>
      <c r="O112" s="483"/>
      <c r="P112" s="484"/>
      <c r="Q112" s="133"/>
    </row>
    <row r="113" spans="1:21" s="135" customFormat="1" ht="12.95" customHeight="1">
      <c r="A113" s="438">
        <v>93</v>
      </c>
      <c r="B113" s="439" t="s">
        <v>25</v>
      </c>
      <c r="C113" s="440" t="s">
        <v>152</v>
      </c>
      <c r="D113" s="415">
        <v>2282747522.1900001</v>
      </c>
      <c r="E113" s="217">
        <f>(D113/$D$117)</f>
        <v>5.0015150276579205E-2</v>
      </c>
      <c r="F113" s="416">
        <v>77</v>
      </c>
      <c r="G113" s="416">
        <v>77</v>
      </c>
      <c r="H113" s="423">
        <v>9.9500000000000005E-2</v>
      </c>
      <c r="I113" s="415">
        <v>2285687216.0500002</v>
      </c>
      <c r="J113" s="217">
        <f>(I113/$I$117)</f>
        <v>5.0059489824271747E-2</v>
      </c>
      <c r="K113" s="379">
        <v>77</v>
      </c>
      <c r="L113" s="379">
        <v>77</v>
      </c>
      <c r="M113" s="380">
        <v>9.9099999999999994E-2</v>
      </c>
      <c r="N113" s="84">
        <f>((I113-D113)/D113)</f>
        <v>1.2877875592566096E-3</v>
      </c>
      <c r="O113" s="84">
        <f>((L113-G113)/G113)</f>
        <v>0</v>
      </c>
      <c r="P113" s="254">
        <f>M113-H113</f>
        <v>-4.0000000000001146E-4</v>
      </c>
      <c r="Q113" s="133"/>
    </row>
    <row r="114" spans="1:21" s="135" customFormat="1" ht="12.95" customHeight="1">
      <c r="A114" s="438">
        <v>94</v>
      </c>
      <c r="B114" s="439" t="s">
        <v>25</v>
      </c>
      <c r="C114" s="440" t="s">
        <v>26</v>
      </c>
      <c r="D114" s="415">
        <v>9930183903.9500008</v>
      </c>
      <c r="E114" s="217">
        <f>(D114/$D$117)</f>
        <v>0.21757099083548528</v>
      </c>
      <c r="F114" s="416">
        <v>36.6</v>
      </c>
      <c r="G114" s="416">
        <v>36.6</v>
      </c>
      <c r="H114" s="423">
        <v>0.10589999999999999</v>
      </c>
      <c r="I114" s="415">
        <v>9934574413.0900002</v>
      </c>
      <c r="J114" s="217">
        <f>(I114/$I$117)</f>
        <v>0.21757995724366438</v>
      </c>
      <c r="K114" s="379">
        <v>36.6</v>
      </c>
      <c r="L114" s="379">
        <v>36.6</v>
      </c>
      <c r="M114" s="380">
        <v>0.10539999999999999</v>
      </c>
      <c r="N114" s="84">
        <f>((I114-D114)/D114)</f>
        <v>4.4213774714211944E-4</v>
      </c>
      <c r="O114" s="84">
        <f>((L114-G114)/G114)</f>
        <v>0</v>
      </c>
      <c r="P114" s="254">
        <f>M114-H114</f>
        <v>-5.0000000000000044E-4</v>
      </c>
      <c r="Q114" s="133"/>
      <c r="R114" s="157"/>
      <c r="S114" s="189"/>
    </row>
    <row r="115" spans="1:21" s="135" customFormat="1" ht="12.95" customHeight="1">
      <c r="A115" s="438">
        <v>95</v>
      </c>
      <c r="B115" s="439" t="s">
        <v>6</v>
      </c>
      <c r="C115" s="440" t="s">
        <v>200</v>
      </c>
      <c r="D115" s="415">
        <v>25916377320.380001</v>
      </c>
      <c r="E115" s="217">
        <f>(D115/$D$117)</f>
        <v>0.56782955351093234</v>
      </c>
      <c r="F115" s="416">
        <v>9.7100000000000009</v>
      </c>
      <c r="G115" s="416">
        <v>9.7100000000000009</v>
      </c>
      <c r="H115" s="423">
        <v>-0.3483</v>
      </c>
      <c r="I115" s="415">
        <v>25927345090.549999</v>
      </c>
      <c r="J115" s="217">
        <f>(I115/$I$117)</f>
        <v>0.56784220457501888</v>
      </c>
      <c r="K115" s="379">
        <v>9.7200000000000006</v>
      </c>
      <c r="L115" s="379">
        <v>9.7200000000000006</v>
      </c>
      <c r="M115" s="380">
        <v>-0.32579999999999998</v>
      </c>
      <c r="N115" s="84">
        <f>((I115-D115)/D115)</f>
        <v>4.2319842910194799E-4</v>
      </c>
      <c r="O115" s="84">
        <f>((L115-G115)/G115)</f>
        <v>1.0298661174047154E-3</v>
      </c>
      <c r="P115" s="254">
        <f>M115-H115</f>
        <v>2.250000000000002E-2</v>
      </c>
      <c r="Q115" s="133"/>
      <c r="R115" s="158"/>
      <c r="S115" s="136"/>
    </row>
    <row r="116" spans="1:21" s="159" customFormat="1" ht="12.95" customHeight="1">
      <c r="A116" s="438">
        <v>96</v>
      </c>
      <c r="B116" s="439" t="s">
        <v>13</v>
      </c>
      <c r="C116" s="440" t="s">
        <v>248</v>
      </c>
      <c r="D116" s="415">
        <v>7511812185.1700001</v>
      </c>
      <c r="E116" s="217">
        <f>(D116/$D$117)</f>
        <v>0.16458430537700319</v>
      </c>
      <c r="F116" s="416">
        <v>101.31</v>
      </c>
      <c r="G116" s="416">
        <v>101.31</v>
      </c>
      <c r="H116" s="423">
        <v>7.6999999999999999E-2</v>
      </c>
      <c r="I116" s="378">
        <v>7511812185.1700001</v>
      </c>
      <c r="J116" s="217">
        <f>(I116/$I$117)</f>
        <v>0.16451834835704493</v>
      </c>
      <c r="K116" s="379">
        <v>101.31</v>
      </c>
      <c r="L116" s="379">
        <v>101.31</v>
      </c>
      <c r="M116" s="380">
        <v>7.6999999999999999E-2</v>
      </c>
      <c r="N116" s="84">
        <f>((I116-D116)/D116)</f>
        <v>0</v>
      </c>
      <c r="O116" s="84">
        <f>((L116-G116)/G116)</f>
        <v>0</v>
      </c>
      <c r="P116" s="254">
        <f>M116-H116</f>
        <v>0</v>
      </c>
      <c r="Q116" s="133"/>
      <c r="R116" s="158"/>
      <c r="S116" s="184"/>
    </row>
    <row r="117" spans="1:21" s="135" customFormat="1" ht="12.75" customHeight="1">
      <c r="A117" s="241"/>
      <c r="B117" s="130"/>
      <c r="C117" s="282" t="s">
        <v>47</v>
      </c>
      <c r="D117" s="73">
        <f>SUM(D113:D116)</f>
        <v>45641120931.690002</v>
      </c>
      <c r="E117" s="301">
        <f>(D117/$D$166)</f>
        <v>3.3302414332981783E-2</v>
      </c>
      <c r="F117" s="75"/>
      <c r="G117" s="75"/>
      <c r="H117" s="284"/>
      <c r="I117" s="73">
        <f>SUM(I113:I116)</f>
        <v>45659418904.860001</v>
      </c>
      <c r="J117" s="301">
        <f>(I117/$I$166)</f>
        <v>3.3009640723048086E-2</v>
      </c>
      <c r="K117" s="303"/>
      <c r="L117" s="75"/>
      <c r="M117" s="304"/>
      <c r="N117" s="305">
        <f>((I117-D117)/D117)</f>
        <v>4.0090981107550615E-4</v>
      </c>
      <c r="O117" s="305"/>
      <c r="P117" s="306">
        <f>M117-H117</f>
        <v>0</v>
      </c>
      <c r="Q117" s="133"/>
      <c r="R117" s="184"/>
      <c r="S117" s="184"/>
      <c r="T117" s="204"/>
      <c r="U117" s="472"/>
    </row>
    <row r="118" spans="1:21" s="135" customFormat="1" ht="5.25" customHeight="1">
      <c r="A118" s="451"/>
      <c r="B118" s="452"/>
      <c r="C118" s="452"/>
      <c r="D118" s="452"/>
      <c r="E118" s="452"/>
      <c r="F118" s="452"/>
      <c r="G118" s="452"/>
      <c r="H118" s="452"/>
      <c r="I118" s="452"/>
      <c r="J118" s="452"/>
      <c r="K118" s="452"/>
      <c r="L118" s="452"/>
      <c r="M118" s="452"/>
      <c r="N118" s="452"/>
      <c r="O118" s="452"/>
      <c r="P118" s="453"/>
      <c r="Q118" s="133"/>
      <c r="R118" s="184"/>
      <c r="S118" s="184"/>
      <c r="T118" s="204"/>
      <c r="U118" s="472"/>
    </row>
    <row r="119" spans="1:21" s="135" customFormat="1" ht="12" customHeight="1">
      <c r="A119" s="448" t="s">
        <v>245</v>
      </c>
      <c r="B119" s="449"/>
      <c r="C119" s="449"/>
      <c r="D119" s="449"/>
      <c r="E119" s="449"/>
      <c r="F119" s="449"/>
      <c r="G119" s="449"/>
      <c r="H119" s="449"/>
      <c r="I119" s="449"/>
      <c r="J119" s="449"/>
      <c r="K119" s="449"/>
      <c r="L119" s="449"/>
      <c r="M119" s="449"/>
      <c r="N119" s="449"/>
      <c r="O119" s="449"/>
      <c r="P119" s="450"/>
      <c r="Q119" s="133"/>
      <c r="R119" s="208"/>
      <c r="S119" s="210"/>
      <c r="T119" s="204"/>
      <c r="U119" s="472"/>
    </row>
    <row r="120" spans="1:21" s="135" customFormat="1" ht="12" customHeight="1">
      <c r="A120" s="438">
        <v>97</v>
      </c>
      <c r="B120" s="439" t="s">
        <v>6</v>
      </c>
      <c r="C120" s="440" t="s">
        <v>27</v>
      </c>
      <c r="D120" s="415">
        <v>1509525251.3199999</v>
      </c>
      <c r="E120" s="217">
        <f>(D120/$D$144)</f>
        <v>5.0535784658688875E-2</v>
      </c>
      <c r="F120" s="414">
        <v>3582.34</v>
      </c>
      <c r="G120" s="414">
        <v>3610.44</v>
      </c>
      <c r="H120" s="423">
        <v>4.2900000000000001E-2</v>
      </c>
      <c r="I120" s="415">
        <v>1524578969.77</v>
      </c>
      <c r="J120" s="217">
        <f t="shared" ref="J120:J143" si="32">(I120/$I$144)</f>
        <v>5.065781421184818E-2</v>
      </c>
      <c r="K120" s="414">
        <v>3618.21</v>
      </c>
      <c r="L120" s="414">
        <v>3646.76</v>
      </c>
      <c r="M120" s="393">
        <v>5.3400000000000003E-2</v>
      </c>
      <c r="N120" s="84">
        <f>((I120-D120)/D120)</f>
        <v>9.9724853471887063E-3</v>
      </c>
      <c r="O120" s="84">
        <f t="shared" ref="O120:O143" si="33">((L120-G120)/G120)</f>
        <v>1.0059715713320306E-2</v>
      </c>
      <c r="P120" s="254">
        <f t="shared" ref="P120:P144" si="34">M120-H120</f>
        <v>1.0500000000000002E-2</v>
      </c>
      <c r="Q120" s="133"/>
      <c r="R120" s="474"/>
      <c r="S120" s="190"/>
      <c r="T120" s="208"/>
    </row>
    <row r="121" spans="1:21" s="135" customFormat="1" ht="12" customHeight="1">
      <c r="A121" s="438">
        <v>98</v>
      </c>
      <c r="B121" s="439" t="s">
        <v>13</v>
      </c>
      <c r="C121" s="440" t="s">
        <v>257</v>
      </c>
      <c r="D121" s="415">
        <v>189754188.46000001</v>
      </c>
      <c r="E121" s="217">
        <f t="shared" ref="E121:E143" si="35">(D121/$D$144)</f>
        <v>6.3525779364826283E-3</v>
      </c>
      <c r="F121" s="414">
        <v>145.71</v>
      </c>
      <c r="G121" s="414">
        <v>147.44</v>
      </c>
      <c r="H121" s="423">
        <v>2.7300000000000001E-2</v>
      </c>
      <c r="I121" s="382">
        <v>191758710.68000001</v>
      </c>
      <c r="J121" s="218">
        <f t="shared" si="32"/>
        <v>6.3716457669598225E-3</v>
      </c>
      <c r="K121" s="392">
        <v>145.71</v>
      </c>
      <c r="L121" s="392">
        <v>147.44</v>
      </c>
      <c r="M121" s="393">
        <v>3.8199999999999998E-2</v>
      </c>
      <c r="N121" s="84">
        <f>((I121-D121)/D121)</f>
        <v>1.0563783789270876E-2</v>
      </c>
      <c r="O121" s="84">
        <f t="shared" si="33"/>
        <v>0</v>
      </c>
      <c r="P121" s="254">
        <f t="shared" si="34"/>
        <v>1.0899999999999996E-2</v>
      </c>
      <c r="Q121" s="133"/>
      <c r="R121" s="474"/>
      <c r="U121" s="211"/>
    </row>
    <row r="122" spans="1:21" s="135" customFormat="1" ht="12" customHeight="1">
      <c r="A122" s="438">
        <v>99</v>
      </c>
      <c r="B122" s="439" t="s">
        <v>46</v>
      </c>
      <c r="C122" s="440" t="s">
        <v>81</v>
      </c>
      <c r="D122" s="414">
        <v>1038313429.66</v>
      </c>
      <c r="E122" s="217">
        <f t="shared" si="35"/>
        <v>3.4760587041282341E-2</v>
      </c>
      <c r="F122" s="414">
        <v>1.3265</v>
      </c>
      <c r="G122" s="414">
        <v>1.3514999999999999</v>
      </c>
      <c r="H122" s="423">
        <v>1.4999999999999999E-2</v>
      </c>
      <c r="I122" s="414">
        <v>1049974333.03</v>
      </c>
      <c r="J122" s="218">
        <f t="shared" si="32"/>
        <v>3.4887930205325587E-2</v>
      </c>
      <c r="K122" s="414">
        <v>1.3413999999999999</v>
      </c>
      <c r="L122" s="414">
        <v>1.3669</v>
      </c>
      <c r="M122" s="393">
        <v>2.8000000000000001E-2</v>
      </c>
      <c r="N122" s="84">
        <f t="shared" ref="N122:N127" si="36">((I122-D122)/D122)</f>
        <v>1.1230619807949914E-2</v>
      </c>
      <c r="O122" s="84">
        <f t="shared" si="33"/>
        <v>1.1394746577876494E-2</v>
      </c>
      <c r="P122" s="254">
        <f t="shared" si="34"/>
        <v>1.3000000000000001E-2</v>
      </c>
      <c r="Q122" s="133"/>
      <c r="R122" s="210"/>
      <c r="S122" s="136"/>
      <c r="U122" s="211"/>
    </row>
    <row r="123" spans="1:21" s="135" customFormat="1" ht="12" customHeight="1">
      <c r="A123" s="438">
        <v>100</v>
      </c>
      <c r="B123" s="439" t="s">
        <v>8</v>
      </c>
      <c r="C123" s="440" t="s">
        <v>167</v>
      </c>
      <c r="D123" s="414">
        <v>4568848372.5600004</v>
      </c>
      <c r="E123" s="217">
        <f t="shared" si="35"/>
        <v>0.15295559798817007</v>
      </c>
      <c r="F123" s="414">
        <v>499.88740000000001</v>
      </c>
      <c r="G123" s="414">
        <v>514.95939999999996</v>
      </c>
      <c r="H123" s="396">
        <v>0.21179999999999999</v>
      </c>
      <c r="I123" s="414">
        <v>4492268069.9899998</v>
      </c>
      <c r="J123" s="218">
        <f t="shared" si="32"/>
        <v>0.14926644391120159</v>
      </c>
      <c r="K123" s="414">
        <v>491.44380000000001</v>
      </c>
      <c r="L123" s="414">
        <v>506.26119999999997</v>
      </c>
      <c r="M123" s="396">
        <v>-0.88070000000000004</v>
      </c>
      <c r="N123" s="84">
        <f>((I123-D123)/D123)</f>
        <v>-1.67614016323968E-2</v>
      </c>
      <c r="O123" s="84">
        <f t="shared" si="33"/>
        <v>-1.6891040342209476E-2</v>
      </c>
      <c r="P123" s="254">
        <f t="shared" si="34"/>
        <v>-1.0925</v>
      </c>
      <c r="Q123" s="133"/>
      <c r="R123" s="210"/>
      <c r="S123" s="136"/>
      <c r="U123" s="211"/>
    </row>
    <row r="124" spans="1:21" s="135" customFormat="1" ht="12" customHeight="1">
      <c r="A124" s="438">
        <v>101</v>
      </c>
      <c r="B124" s="439" t="s">
        <v>16</v>
      </c>
      <c r="C124" s="440" t="s">
        <v>266</v>
      </c>
      <c r="D124" s="414">
        <v>2507940931.1100001</v>
      </c>
      <c r="E124" s="217">
        <f t="shared" si="35"/>
        <v>8.3960677517953775E-2</v>
      </c>
      <c r="F124" s="414">
        <v>13.604100000000001</v>
      </c>
      <c r="G124" s="414">
        <v>13.674099999999999</v>
      </c>
      <c r="H124" s="423">
        <v>2.9399999999999999E-2</v>
      </c>
      <c r="I124" s="414">
        <v>2510042259.3699999</v>
      </c>
      <c r="J124" s="218">
        <f t="shared" si="32"/>
        <v>8.3402209370784908E-2</v>
      </c>
      <c r="K124" s="414">
        <v>13.748100000000001</v>
      </c>
      <c r="L124" s="414">
        <v>13.8705</v>
      </c>
      <c r="M124" s="423">
        <v>4.2299999999999997E-2</v>
      </c>
      <c r="N124" s="84">
        <f>((I124-D124)/D124)</f>
        <v>8.3786991708361975E-4</v>
      </c>
      <c r="O124" s="84">
        <f t="shared" si="33"/>
        <v>1.4362919680271504E-2</v>
      </c>
      <c r="P124" s="254">
        <f t="shared" si="34"/>
        <v>1.2899999999999998E-2</v>
      </c>
      <c r="Q124" s="133"/>
      <c r="R124" s="210"/>
      <c r="S124" s="136"/>
      <c r="U124" s="211"/>
    </row>
    <row r="125" spans="1:21" s="135" customFormat="1" ht="12" customHeight="1">
      <c r="A125" s="438">
        <v>102</v>
      </c>
      <c r="B125" s="439" t="s">
        <v>203</v>
      </c>
      <c r="C125" s="440" t="s">
        <v>209</v>
      </c>
      <c r="D125" s="414">
        <v>4814244609.0100002</v>
      </c>
      <c r="E125" s="217">
        <f t="shared" si="35"/>
        <v>0.16117095665835171</v>
      </c>
      <c r="F125" s="414">
        <v>195.83</v>
      </c>
      <c r="G125" s="414">
        <v>197.13</v>
      </c>
      <c r="H125" s="423">
        <v>3.0999999999999999E-3</v>
      </c>
      <c r="I125" s="414">
        <v>4860065363.0200005</v>
      </c>
      <c r="J125" s="218">
        <f t="shared" si="32"/>
        <v>0.16148739625763547</v>
      </c>
      <c r="K125" s="414">
        <v>197.7</v>
      </c>
      <c r="L125" s="414">
        <v>199.02</v>
      </c>
      <c r="M125" s="423">
        <v>9.5999999999999992E-3</v>
      </c>
      <c r="N125" s="84">
        <f t="shared" si="36"/>
        <v>9.51774530198265E-3</v>
      </c>
      <c r="O125" s="84">
        <f t="shared" si="33"/>
        <v>9.5875817988130413E-3</v>
      </c>
      <c r="P125" s="254">
        <f t="shared" si="34"/>
        <v>6.4999999999999988E-3</v>
      </c>
      <c r="Q125" s="133"/>
      <c r="S125" s="136"/>
      <c r="U125" s="211"/>
    </row>
    <row r="126" spans="1:21" s="135" customFormat="1" ht="12" customHeight="1">
      <c r="A126" s="438">
        <v>103</v>
      </c>
      <c r="B126" s="439" t="s">
        <v>115</v>
      </c>
      <c r="C126" s="440" t="s">
        <v>170</v>
      </c>
      <c r="D126" s="414">
        <v>4783341375.6199999</v>
      </c>
      <c r="E126" s="217">
        <f t="shared" si="35"/>
        <v>0.16013638029304175</v>
      </c>
      <c r="F126" s="414">
        <v>190.6465</v>
      </c>
      <c r="G126" s="414">
        <v>194.339</v>
      </c>
      <c r="H126" s="423">
        <v>-3.0499999999999999E-2</v>
      </c>
      <c r="I126" s="414">
        <v>4869885766.9099998</v>
      </c>
      <c r="J126" s="218">
        <f t="shared" si="32"/>
        <v>0.16181370286792537</v>
      </c>
      <c r="K126" s="414">
        <v>194.0719</v>
      </c>
      <c r="L126" s="414">
        <v>197.87049999999999</v>
      </c>
      <c r="M126" s="423">
        <v>-3.0499999999999999E-2</v>
      </c>
      <c r="N126" s="84">
        <f>((I126-D126)/D126)</f>
        <v>1.8092873682632026E-2</v>
      </c>
      <c r="O126" s="84">
        <f t="shared" si="33"/>
        <v>1.8171854337009012E-2</v>
      </c>
      <c r="P126" s="254">
        <f t="shared" si="34"/>
        <v>0</v>
      </c>
      <c r="Q126" s="133"/>
      <c r="S126" s="136"/>
    </row>
    <row r="127" spans="1:21" s="135" customFormat="1" ht="12" customHeight="1">
      <c r="A127" s="438">
        <v>104</v>
      </c>
      <c r="B127" s="439" t="s">
        <v>10</v>
      </c>
      <c r="C127" s="440" t="s">
        <v>184</v>
      </c>
      <c r="D127" s="415">
        <v>2189093996.7656002</v>
      </c>
      <c r="E127" s="217">
        <f t="shared" si="35"/>
        <v>7.3286341332440094E-2</v>
      </c>
      <c r="F127" s="414">
        <v>4101.6577444968298</v>
      </c>
      <c r="G127" s="414">
        <v>4129.9164908289604</v>
      </c>
      <c r="H127" s="423">
        <v>5.5377000000000003E-2</v>
      </c>
      <c r="I127" s="382">
        <v>2214925494.7624998</v>
      </c>
      <c r="J127" s="218">
        <f t="shared" si="32"/>
        <v>7.3596242917932791E-2</v>
      </c>
      <c r="K127" s="392">
        <v>4150.5977552729601</v>
      </c>
      <c r="L127" s="392">
        <v>4179.5624774555499</v>
      </c>
      <c r="M127" s="393">
        <v>6.7137840363713702E-2</v>
      </c>
      <c r="N127" s="84">
        <f t="shared" si="36"/>
        <v>1.1800086261743808E-2</v>
      </c>
      <c r="O127" s="84">
        <f t="shared" si="33"/>
        <v>1.202106307399561E-2</v>
      </c>
      <c r="P127" s="254">
        <f t="shared" si="34"/>
        <v>1.17608403637137E-2</v>
      </c>
      <c r="Q127" s="133"/>
      <c r="S127" s="134"/>
    </row>
    <row r="128" spans="1:21" s="135" customFormat="1" ht="11.25" customHeight="1">
      <c r="A128" s="438">
        <v>105</v>
      </c>
      <c r="B128" s="439" t="s">
        <v>193</v>
      </c>
      <c r="C128" s="440" t="s">
        <v>199</v>
      </c>
      <c r="D128" s="414">
        <v>1873366835.0999999</v>
      </c>
      <c r="E128" s="217">
        <f t="shared" si="35"/>
        <v>6.2716448686471055E-2</v>
      </c>
      <c r="F128" s="414">
        <v>1.2806999999999999</v>
      </c>
      <c r="G128" s="414">
        <v>1.3032999999999999</v>
      </c>
      <c r="H128" s="423">
        <v>0.1148</v>
      </c>
      <c r="I128" s="381">
        <v>1876623077.8399999</v>
      </c>
      <c r="J128" s="218">
        <f t="shared" si="32"/>
        <v>6.2355328984517705E-2</v>
      </c>
      <c r="K128" s="392">
        <v>1.2827999999999999</v>
      </c>
      <c r="L128" s="392">
        <v>1.306</v>
      </c>
      <c r="M128" s="393">
        <v>0.1169</v>
      </c>
      <c r="N128" s="84">
        <f>((I128-D128)/D128)</f>
        <v>1.7381767836336186E-3</v>
      </c>
      <c r="O128" s="84">
        <f t="shared" si="33"/>
        <v>2.0716642369371188E-3</v>
      </c>
      <c r="P128" s="254">
        <f t="shared" si="34"/>
        <v>2.1000000000000046E-3</v>
      </c>
      <c r="Q128" s="133"/>
    </row>
    <row r="129" spans="1:20" s="135" customFormat="1" ht="12" customHeight="1">
      <c r="A129" s="438">
        <v>106</v>
      </c>
      <c r="B129" s="439" t="s">
        <v>62</v>
      </c>
      <c r="C129" s="440" t="s">
        <v>32</v>
      </c>
      <c r="D129" s="415">
        <v>1129719082.3</v>
      </c>
      <c r="E129" s="217">
        <f t="shared" si="35"/>
        <v>3.7820659321863709E-2</v>
      </c>
      <c r="F129" s="414">
        <v>552.20000000000005</v>
      </c>
      <c r="G129" s="414">
        <v>552.20000000000005</v>
      </c>
      <c r="H129" s="423">
        <v>8.5599999999999999E-3</v>
      </c>
      <c r="I129" s="415">
        <v>1129719082.3</v>
      </c>
      <c r="J129" s="388">
        <f t="shared" si="32"/>
        <v>3.7537641878509366E-2</v>
      </c>
      <c r="K129" s="392">
        <v>552.20000000000005</v>
      </c>
      <c r="L129" s="392">
        <v>552.20000000000005</v>
      </c>
      <c r="M129" s="393">
        <v>-1.2999999999999999E-3</v>
      </c>
      <c r="N129" s="84">
        <f>((I129-D129)/D129)</f>
        <v>0</v>
      </c>
      <c r="O129" s="84">
        <f t="shared" si="33"/>
        <v>0</v>
      </c>
      <c r="P129" s="254">
        <f t="shared" si="34"/>
        <v>-9.8600000000000007E-3</v>
      </c>
      <c r="Q129" s="133"/>
    </row>
    <row r="130" spans="1:20" s="135" customFormat="1" ht="13.5" customHeight="1">
      <c r="A130" s="438">
        <v>107</v>
      </c>
      <c r="B130" s="439" t="s">
        <v>271</v>
      </c>
      <c r="C130" s="440" t="s">
        <v>57</v>
      </c>
      <c r="D130" s="415">
        <v>2143978335.8199999</v>
      </c>
      <c r="E130" s="217">
        <f t="shared" si="35"/>
        <v>7.1775962274993013E-2</v>
      </c>
      <c r="F130" s="414">
        <v>3.01</v>
      </c>
      <c r="G130" s="414">
        <v>3.07</v>
      </c>
      <c r="H130" s="423">
        <v>5.4000000000000003E-3</v>
      </c>
      <c r="I130" s="415">
        <v>2166805695.2600002</v>
      </c>
      <c r="J130" s="218">
        <f t="shared" si="32"/>
        <v>7.1997346493776579E-2</v>
      </c>
      <c r="K130" s="392">
        <v>3.05</v>
      </c>
      <c r="L130" s="392">
        <v>3.09</v>
      </c>
      <c r="M130" s="393">
        <v>1.2800000000000001E-2</v>
      </c>
      <c r="N130" s="84">
        <f>((I130-D130)/D130)</f>
        <v>1.0647196876301269E-2</v>
      </c>
      <c r="O130" s="84">
        <f t="shared" si="33"/>
        <v>6.5146579804560324E-3</v>
      </c>
      <c r="P130" s="254">
        <f t="shared" si="34"/>
        <v>7.4000000000000003E-3</v>
      </c>
      <c r="Q130" s="133"/>
    </row>
    <row r="131" spans="1:20" s="135" customFormat="1" ht="12" customHeight="1">
      <c r="A131" s="438">
        <v>108</v>
      </c>
      <c r="B131" s="439" t="s">
        <v>97</v>
      </c>
      <c r="C131" s="440" t="s">
        <v>53</v>
      </c>
      <c r="D131" s="414">
        <v>153185347.52000001</v>
      </c>
      <c r="E131" s="217">
        <f t="shared" si="35"/>
        <v>5.1283287433368518E-3</v>
      </c>
      <c r="F131" s="414">
        <v>1.5512509999999999</v>
      </c>
      <c r="G131" s="414">
        <v>1.58941</v>
      </c>
      <c r="H131" s="423">
        <v>6.3500000000000001E-2</v>
      </c>
      <c r="I131" s="414">
        <v>153185347.52000001</v>
      </c>
      <c r="J131" s="218">
        <f t="shared" si="32"/>
        <v>5.0899527204000773E-3</v>
      </c>
      <c r="K131" s="414">
        <v>1.5512509999999999</v>
      </c>
      <c r="L131" s="414">
        <v>1.58941</v>
      </c>
      <c r="M131" s="393">
        <v>6.3500000000000001E-2</v>
      </c>
      <c r="N131" s="84">
        <f>((I131-D131)/D131)</f>
        <v>0</v>
      </c>
      <c r="O131" s="84">
        <f t="shared" si="33"/>
        <v>0</v>
      </c>
      <c r="P131" s="254">
        <f t="shared" si="34"/>
        <v>0</v>
      </c>
      <c r="Q131" s="133"/>
    </row>
    <row r="132" spans="1:20" s="135" customFormat="1" ht="12" customHeight="1">
      <c r="A132" s="438">
        <v>109</v>
      </c>
      <c r="B132" s="439" t="s">
        <v>46</v>
      </c>
      <c r="C132" s="440" t="s">
        <v>265</v>
      </c>
      <c r="D132" s="414">
        <v>636991918.25999999</v>
      </c>
      <c r="E132" s="217">
        <f t="shared" si="35"/>
        <v>2.1325172521866248E-2</v>
      </c>
      <c r="F132" s="414">
        <v>1.1503000000000001</v>
      </c>
      <c r="G132" s="414">
        <v>1.1633</v>
      </c>
      <c r="H132" s="423">
        <v>0.11219999999999999</v>
      </c>
      <c r="I132" s="414">
        <v>638597826.76999998</v>
      </c>
      <c r="J132" s="218">
        <f t="shared" si="32"/>
        <v>2.1218953367489402E-2</v>
      </c>
      <c r="K132" s="414">
        <v>1.1532</v>
      </c>
      <c r="L132" s="414">
        <v>1.1661999999999999</v>
      </c>
      <c r="M132" s="393">
        <v>0.11509999999999999</v>
      </c>
      <c r="N132" s="84">
        <f t="shared" ref="N132:N143" si="37">((I132-D132)/D132)</f>
        <v>2.5210814516872871E-3</v>
      </c>
      <c r="O132" s="84">
        <f t="shared" si="33"/>
        <v>2.4929081062493789E-3</v>
      </c>
      <c r="P132" s="254">
        <f t="shared" si="34"/>
        <v>2.8999999999999998E-3</v>
      </c>
      <c r="Q132" s="133"/>
    </row>
    <row r="133" spans="1:20" s="135" customFormat="1" ht="12" customHeight="1">
      <c r="A133" s="438">
        <v>110</v>
      </c>
      <c r="B133" s="439" t="s">
        <v>116</v>
      </c>
      <c r="C133" s="440" t="s">
        <v>118</v>
      </c>
      <c r="D133" s="414">
        <v>122646167.03</v>
      </c>
      <c r="E133" s="217">
        <f t="shared" si="35"/>
        <v>4.1059401164848528E-3</v>
      </c>
      <c r="F133" s="414">
        <v>1.2072000000000001</v>
      </c>
      <c r="G133" s="414">
        <v>1.1956</v>
      </c>
      <c r="H133" s="423">
        <v>0.1036</v>
      </c>
      <c r="I133" s="381">
        <v>122813955.59999999</v>
      </c>
      <c r="J133" s="218">
        <f t="shared" si="32"/>
        <v>4.0807899549772436E-3</v>
      </c>
      <c r="K133" s="392">
        <v>1.1972</v>
      </c>
      <c r="L133" s="392">
        <v>1.2089000000000001</v>
      </c>
      <c r="M133" s="393">
        <v>9.5600000000000004E-2</v>
      </c>
      <c r="N133" s="84">
        <f t="shared" si="37"/>
        <v>1.3680702305107564E-3</v>
      </c>
      <c r="O133" s="84">
        <f t="shared" si="33"/>
        <v>1.112412177985956E-2</v>
      </c>
      <c r="P133" s="254">
        <f t="shared" si="34"/>
        <v>-7.9999999999999932E-3</v>
      </c>
      <c r="Q133" s="133"/>
    </row>
    <row r="134" spans="1:20" s="135" customFormat="1" ht="12" customHeight="1">
      <c r="A134" s="438">
        <v>111</v>
      </c>
      <c r="B134" s="439" t="s">
        <v>94</v>
      </c>
      <c r="C134" s="440" t="s">
        <v>258</v>
      </c>
      <c r="D134" s="414">
        <v>163939410.14725342</v>
      </c>
      <c r="E134" s="217">
        <f t="shared" si="35"/>
        <v>5.4883525274118123E-3</v>
      </c>
      <c r="F134" s="414">
        <v>107.09181281664287</v>
      </c>
      <c r="G134" s="414">
        <v>110.51460673354813</v>
      </c>
      <c r="H134" s="423">
        <v>0.10514606733548137</v>
      </c>
      <c r="I134" s="70">
        <v>166601005.91</v>
      </c>
      <c r="J134" s="218">
        <f t="shared" si="32"/>
        <v>5.5357203347551204E-3</v>
      </c>
      <c r="K134" s="392">
        <v>108.83</v>
      </c>
      <c r="L134" s="392">
        <v>112.29</v>
      </c>
      <c r="M134" s="393">
        <v>0.12290000000000001</v>
      </c>
      <c r="N134" s="84">
        <f t="shared" si="37"/>
        <v>1.6235240570622266E-2</v>
      </c>
      <c r="O134" s="84">
        <f t="shared" si="33"/>
        <v>1.6064783822941731E-2</v>
      </c>
      <c r="P134" s="254">
        <f t="shared" si="34"/>
        <v>1.7753932664518635E-2</v>
      </c>
      <c r="Q134" s="133"/>
      <c r="R134" s="253"/>
      <c r="S134" s="253"/>
      <c r="T134" s="134"/>
    </row>
    <row r="135" spans="1:20" s="135" customFormat="1" ht="12" customHeight="1">
      <c r="A135" s="438">
        <v>112</v>
      </c>
      <c r="B135" s="439" t="s">
        <v>41</v>
      </c>
      <c r="C135" s="440" t="s">
        <v>126</v>
      </c>
      <c r="D135" s="414">
        <v>162985612.05000001</v>
      </c>
      <c r="E135" s="217">
        <f t="shared" si="35"/>
        <v>5.4564213389745753E-3</v>
      </c>
      <c r="F135" s="414">
        <v>3.6760000000000002</v>
      </c>
      <c r="G135" s="414">
        <v>3.7338</v>
      </c>
      <c r="H135" s="423">
        <v>8.3024000000000001E-2</v>
      </c>
      <c r="I135" s="414">
        <v>164546313.91</v>
      </c>
      <c r="J135" s="218">
        <f t="shared" si="32"/>
        <v>5.4674482362528868E-3</v>
      </c>
      <c r="K135" s="414">
        <v>3.7109000000000001</v>
      </c>
      <c r="L135" s="414">
        <v>3.7696999999999998</v>
      </c>
      <c r="M135" s="423">
        <v>9.3306E-2</v>
      </c>
      <c r="N135" s="84">
        <f t="shared" si="37"/>
        <v>9.5757032806135008E-3</v>
      </c>
      <c r="O135" s="84">
        <f t="shared" si="33"/>
        <v>9.6148695698751469E-3</v>
      </c>
      <c r="P135" s="254">
        <f t="shared" si="34"/>
        <v>1.0281999999999999E-2</v>
      </c>
      <c r="Q135" s="133"/>
      <c r="S135" s="247"/>
      <c r="T135" s="134"/>
    </row>
    <row r="136" spans="1:20" s="135" customFormat="1" ht="12" customHeight="1">
      <c r="A136" s="438">
        <v>113</v>
      </c>
      <c r="B136" s="439" t="s">
        <v>95</v>
      </c>
      <c r="C136" s="440" t="s">
        <v>168</v>
      </c>
      <c r="D136" s="414">
        <v>337803586.26999998</v>
      </c>
      <c r="E136" s="217">
        <f t="shared" si="35"/>
        <v>1.1308965701465222E-2</v>
      </c>
      <c r="F136" s="414">
        <v>135.19</v>
      </c>
      <c r="G136" s="414">
        <v>136.16</v>
      </c>
      <c r="H136" s="423">
        <v>8.4750000000000006E-2</v>
      </c>
      <c r="I136" s="414">
        <v>343008605</v>
      </c>
      <c r="J136" s="218">
        <f t="shared" si="32"/>
        <v>1.1397288385643018E-2</v>
      </c>
      <c r="K136" s="414">
        <v>136.94999999999999</v>
      </c>
      <c r="L136" s="414">
        <v>137.94</v>
      </c>
      <c r="M136" s="423">
        <v>9.8100000000000007E-2</v>
      </c>
      <c r="N136" s="84">
        <f t="shared" ref="N136:N142" si="38">((I136-D136)/D136)</f>
        <v>1.5408417617685523E-2</v>
      </c>
      <c r="O136" s="84">
        <f t="shared" si="33"/>
        <v>1.3072855464159821E-2</v>
      </c>
      <c r="P136" s="254">
        <f t="shared" si="34"/>
        <v>1.3350000000000001E-2</v>
      </c>
      <c r="Q136" s="133"/>
    </row>
    <row r="137" spans="1:20" s="135" customFormat="1" ht="12" customHeight="1">
      <c r="A137" s="438">
        <v>114</v>
      </c>
      <c r="B137" s="439" t="s">
        <v>112</v>
      </c>
      <c r="C137" s="440" t="s">
        <v>141</v>
      </c>
      <c r="D137" s="415">
        <v>152722136.65000001</v>
      </c>
      <c r="E137" s="217">
        <f t="shared" si="35"/>
        <v>5.1128214010400502E-3</v>
      </c>
      <c r="F137" s="414">
        <v>140.52377999999999</v>
      </c>
      <c r="G137" s="414">
        <v>146.068544</v>
      </c>
      <c r="H137" s="423">
        <v>9.1999999999999998E-3</v>
      </c>
      <c r="I137" s="415">
        <v>154452128.09</v>
      </c>
      <c r="J137" s="218">
        <v>1.4052378000000001</v>
      </c>
      <c r="K137" s="414">
        <v>142.07112000000001</v>
      </c>
      <c r="L137" s="414">
        <v>147.69995700000001</v>
      </c>
      <c r="M137" s="423">
        <v>2.01E-2</v>
      </c>
      <c r="N137" s="84">
        <f t="shared" si="38"/>
        <v>1.1327705845058302E-2</v>
      </c>
      <c r="O137" s="84">
        <f>((L137-G137)/G137)</f>
        <v>1.116881811322778E-2</v>
      </c>
      <c r="P137" s="254">
        <f t="shared" si="34"/>
        <v>1.09E-2</v>
      </c>
      <c r="Q137" s="133"/>
      <c r="R137" s="134"/>
      <c r="T137" s="162"/>
    </row>
    <row r="138" spans="1:20" s="135" customFormat="1" ht="12" customHeight="1">
      <c r="A138" s="438">
        <v>115</v>
      </c>
      <c r="B138" s="439" t="s">
        <v>111</v>
      </c>
      <c r="C138" s="440" t="s">
        <v>155</v>
      </c>
      <c r="D138" s="415">
        <v>999690945.16999996</v>
      </c>
      <c r="E138" s="217">
        <f>(D138/$D$144)</f>
        <v>3.3467586107734898E-2</v>
      </c>
      <c r="F138" s="414">
        <v>2.2721</v>
      </c>
      <c r="G138" s="414">
        <v>2.3170000000000002</v>
      </c>
      <c r="H138" s="423">
        <v>0.26918571862392643</v>
      </c>
      <c r="I138" s="383">
        <v>1013780046.33</v>
      </c>
      <c r="J138" s="218">
        <f>(I138/$I$144)</f>
        <v>3.3685287713506637E-2</v>
      </c>
      <c r="K138" s="392">
        <v>2.3052999999999999</v>
      </c>
      <c r="L138" s="392">
        <v>2.3515999999999999</v>
      </c>
      <c r="M138" s="423">
        <v>0.77865466428262564</v>
      </c>
      <c r="N138" s="84">
        <f t="shared" si="38"/>
        <v>1.409345681089889E-2</v>
      </c>
      <c r="O138" s="84">
        <f>((L138-G138)/G138)</f>
        <v>1.4933103150625697E-2</v>
      </c>
      <c r="P138" s="254">
        <f t="shared" si="34"/>
        <v>0.50946894565869916</v>
      </c>
      <c r="Q138" s="133"/>
      <c r="R138" s="141"/>
      <c r="T138" s="162"/>
    </row>
    <row r="139" spans="1:20" s="135" customFormat="1" ht="12" customHeight="1">
      <c r="A139" s="438">
        <v>116</v>
      </c>
      <c r="B139" s="439" t="s">
        <v>173</v>
      </c>
      <c r="C139" s="440" t="s">
        <v>205</v>
      </c>
      <c r="D139" s="415">
        <v>18943783.559999999</v>
      </c>
      <c r="E139" s="217">
        <f>(D139/$D$144)</f>
        <v>6.3419870967499758E-4</v>
      </c>
      <c r="F139" s="414">
        <v>1.2</v>
      </c>
      <c r="G139" s="414">
        <v>1.2</v>
      </c>
      <c r="H139" s="423">
        <v>4.6969999999999998E-3</v>
      </c>
      <c r="I139" s="415">
        <v>19183986.309999999</v>
      </c>
      <c r="J139" s="218">
        <f>(I139/$I$144)</f>
        <v>6.3743422518889182E-4</v>
      </c>
      <c r="K139" s="414">
        <v>1.2</v>
      </c>
      <c r="L139" s="414">
        <v>1.2</v>
      </c>
      <c r="M139" s="423">
        <v>6.9569999999999996E-3</v>
      </c>
      <c r="N139" s="84">
        <f t="shared" si="38"/>
        <v>1.2679766385591032E-2</v>
      </c>
      <c r="O139" s="84">
        <f>((L139-G139)/G139)</f>
        <v>0</v>
      </c>
      <c r="P139" s="254">
        <f t="shared" si="34"/>
        <v>2.2599999999999999E-3</v>
      </c>
      <c r="Q139" s="133"/>
      <c r="R139" s="134"/>
      <c r="T139" s="162"/>
    </row>
    <row r="140" spans="1:20" s="135" customFormat="1" ht="12" customHeight="1">
      <c r="A140" s="438">
        <v>117</v>
      </c>
      <c r="B140" s="439" t="s">
        <v>186</v>
      </c>
      <c r="C140" s="440" t="s">
        <v>232</v>
      </c>
      <c r="D140" s="415">
        <v>207311163.88999999</v>
      </c>
      <c r="E140" s="217">
        <f>(D140/$D$144)</f>
        <v>6.9403491770183611E-3</v>
      </c>
      <c r="F140" s="414">
        <v>1.0353000000000001</v>
      </c>
      <c r="G140" s="414">
        <v>1.0353000000000001</v>
      </c>
      <c r="H140" s="423">
        <v>-0.2954695131990463</v>
      </c>
      <c r="I140" s="391">
        <v>210978508.15000001</v>
      </c>
      <c r="J140" s="218">
        <f>(I140/$I$144)</f>
        <v>7.0102699043316594E-3</v>
      </c>
      <c r="K140" s="392">
        <v>1.0537000000000001</v>
      </c>
      <c r="L140" s="392">
        <v>1.0537000000000001</v>
      </c>
      <c r="M140" s="393">
        <v>0.92671551379172112</v>
      </c>
      <c r="N140" s="84">
        <f t="shared" si="38"/>
        <v>1.7690047131016667E-2</v>
      </c>
      <c r="O140" s="84">
        <f>((L140-G140)/G140)</f>
        <v>1.7772626291896038E-2</v>
      </c>
      <c r="P140" s="254">
        <f>M140-H140</f>
        <v>1.2221850269907675</v>
      </c>
      <c r="Q140" s="133"/>
      <c r="R140" s="134"/>
      <c r="S140" s="163"/>
      <c r="T140" s="162"/>
    </row>
    <row r="141" spans="1:20" s="385" customFormat="1" ht="12" customHeight="1">
      <c r="A141" s="438">
        <v>118</v>
      </c>
      <c r="B141" s="439" t="s">
        <v>196</v>
      </c>
      <c r="C141" s="440" t="s">
        <v>198</v>
      </c>
      <c r="D141" s="414">
        <v>3686174.23</v>
      </c>
      <c r="E141" s="387">
        <f>(D141/$D$144)</f>
        <v>1.2340549251414843E-4</v>
      </c>
      <c r="F141" s="414">
        <v>101.798</v>
      </c>
      <c r="G141" s="414">
        <v>102.041</v>
      </c>
      <c r="H141" s="423">
        <v>1.9854E-2</v>
      </c>
      <c r="I141" s="390">
        <v>3734808.11</v>
      </c>
      <c r="J141" s="388">
        <f>(I141/$I$144)</f>
        <v>1.240980094208084E-4</v>
      </c>
      <c r="K141" s="392">
        <v>102.747</v>
      </c>
      <c r="L141" s="392">
        <v>102.99</v>
      </c>
      <c r="M141" s="393">
        <v>1.9754000000000001E-2</v>
      </c>
      <c r="N141" s="384">
        <f t="shared" si="38"/>
        <v>1.3193592316986028E-2</v>
      </c>
      <c r="O141" s="384">
        <f>((L141-G141)/G141)</f>
        <v>9.3001832596701136E-3</v>
      </c>
      <c r="P141" s="389">
        <f>M141-H141</f>
        <v>-9.9999999999999395E-5</v>
      </c>
      <c r="Q141" s="133"/>
      <c r="R141" s="134"/>
      <c r="S141" s="386"/>
      <c r="T141" s="162"/>
    </row>
    <row r="142" spans="1:20" s="419" customFormat="1" ht="12" customHeight="1">
      <c r="A142" s="438">
        <v>119</v>
      </c>
      <c r="B142" s="439" t="s">
        <v>106</v>
      </c>
      <c r="C142" s="440" t="s">
        <v>259</v>
      </c>
      <c r="D142" s="408">
        <v>162390088.83000001</v>
      </c>
      <c r="E142" s="422">
        <f t="shared" ref="E142" si="39">(D142/$D$144)</f>
        <v>5.4364844527390842E-3</v>
      </c>
      <c r="F142" s="414">
        <v>102.72</v>
      </c>
      <c r="G142" s="414">
        <v>104.01</v>
      </c>
      <c r="H142" s="423">
        <v>3.3599999999999998E-2</v>
      </c>
      <c r="I142" s="408">
        <v>162789541.87</v>
      </c>
      <c r="J142" s="388">
        <f t="shared" ref="J142" si="40">(I142/$I$144)</f>
        <v>5.4090752471329367E-3</v>
      </c>
      <c r="K142" s="414">
        <v>102.97</v>
      </c>
      <c r="L142" s="414">
        <v>104.33</v>
      </c>
      <c r="M142" s="423">
        <v>3.6499999999999998E-2</v>
      </c>
      <c r="N142" s="418">
        <f t="shared" si="38"/>
        <v>2.4598363291626979E-3</v>
      </c>
      <c r="O142" s="418">
        <f t="shared" ref="O142" si="41">((L142-G142)/G142)</f>
        <v>3.0766272473799938E-3</v>
      </c>
      <c r="P142" s="425">
        <f t="shared" ref="P142" si="42">M142-H142</f>
        <v>2.8999999999999998E-3</v>
      </c>
      <c r="Q142" s="133"/>
      <c r="R142" s="134"/>
      <c r="S142" s="386"/>
      <c r="T142" s="162"/>
    </row>
    <row r="143" spans="1:20" s="135" customFormat="1" ht="12" customHeight="1">
      <c r="A143" s="438">
        <v>120</v>
      </c>
      <c r="B143" s="439" t="s">
        <v>282</v>
      </c>
      <c r="C143" s="440" t="s">
        <v>284</v>
      </c>
      <c r="D143" s="408">
        <v>0</v>
      </c>
      <c r="E143" s="217">
        <f t="shared" si="35"/>
        <v>0</v>
      </c>
      <c r="F143" s="414">
        <v>0</v>
      </c>
      <c r="G143" s="414">
        <v>0</v>
      </c>
      <c r="H143" s="423">
        <v>0</v>
      </c>
      <c r="I143" s="408">
        <v>55313800.840000004</v>
      </c>
      <c r="J143" s="218">
        <f t="shared" si="32"/>
        <v>1.837934473624949E-3</v>
      </c>
      <c r="K143" s="414">
        <v>103.2679</v>
      </c>
      <c r="L143" s="414">
        <v>103.3537</v>
      </c>
      <c r="M143" s="423">
        <v>3.1951E-2</v>
      </c>
      <c r="N143" s="84" t="e">
        <f t="shared" si="37"/>
        <v>#DIV/0!</v>
      </c>
      <c r="O143" s="84" t="e">
        <f t="shared" si="33"/>
        <v>#DIV/0!</v>
      </c>
      <c r="P143" s="254">
        <f t="shared" si="34"/>
        <v>3.1951E-2</v>
      </c>
      <c r="Q143" s="133"/>
      <c r="R143" s="134"/>
      <c r="S143" s="163"/>
      <c r="T143" s="162"/>
    </row>
    <row r="144" spans="1:20" s="135" customFormat="1" ht="12" customHeight="1">
      <c r="A144" s="333"/>
      <c r="B144" s="334"/>
      <c r="C144" s="282" t="s">
        <v>47</v>
      </c>
      <c r="D144" s="244">
        <f>SUM(D120:D143)</f>
        <v>29870422741.332851</v>
      </c>
      <c r="E144" s="301">
        <f>(D144/$D$166)</f>
        <v>2.1795196395855788E-2</v>
      </c>
      <c r="F144" s="303"/>
      <c r="G144" s="207"/>
      <c r="H144" s="318"/>
      <c r="I144" s="244">
        <f>SUM(I120:I143)</f>
        <v>30095632697.342506</v>
      </c>
      <c r="J144" s="301">
        <f>(I144/$I$166)</f>
        <v>2.1757745641531854E-2</v>
      </c>
      <c r="K144" s="303"/>
      <c r="L144" s="207"/>
      <c r="M144" s="318"/>
      <c r="N144" s="305">
        <f>((I144-D144)/D144)</f>
        <v>7.5395637336602983E-3</v>
      </c>
      <c r="O144" s="305"/>
      <c r="P144" s="306">
        <f t="shared" si="34"/>
        <v>0</v>
      </c>
      <c r="Q144" s="133"/>
      <c r="R144" s="134"/>
      <c r="S144" s="163"/>
      <c r="T144" s="162"/>
    </row>
    <row r="145" spans="1:23" s="135" customFormat="1" ht="5.25" customHeight="1">
      <c r="A145" s="451"/>
      <c r="B145" s="452"/>
      <c r="C145" s="452"/>
      <c r="D145" s="452"/>
      <c r="E145" s="452"/>
      <c r="F145" s="452"/>
      <c r="G145" s="452"/>
      <c r="H145" s="452"/>
      <c r="I145" s="452"/>
      <c r="J145" s="452"/>
      <c r="K145" s="452"/>
      <c r="L145" s="452"/>
      <c r="M145" s="452"/>
      <c r="N145" s="452"/>
      <c r="O145" s="452"/>
      <c r="P145" s="453"/>
      <c r="R145" s="134"/>
      <c r="S145" s="163"/>
      <c r="T145" s="162"/>
    </row>
    <row r="146" spans="1:23" s="135" customFormat="1" ht="12" customHeight="1">
      <c r="A146" s="448" t="s">
        <v>72</v>
      </c>
      <c r="B146" s="449"/>
      <c r="C146" s="449"/>
      <c r="D146" s="449"/>
      <c r="E146" s="449"/>
      <c r="F146" s="449"/>
      <c r="G146" s="449"/>
      <c r="H146" s="449"/>
      <c r="I146" s="449"/>
      <c r="J146" s="449"/>
      <c r="K146" s="449"/>
      <c r="L146" s="449"/>
      <c r="M146" s="449"/>
      <c r="N146" s="449"/>
      <c r="O146" s="449"/>
      <c r="P146" s="450"/>
      <c r="S146" s="164"/>
      <c r="T146" s="162"/>
    </row>
    <row r="147" spans="1:23" s="135" customFormat="1" ht="12" customHeight="1">
      <c r="A147" s="438">
        <v>121</v>
      </c>
      <c r="B147" s="439" t="s">
        <v>208</v>
      </c>
      <c r="C147" s="440" t="s">
        <v>267</v>
      </c>
      <c r="D147" s="408">
        <v>579606198.36000001</v>
      </c>
      <c r="E147" s="217">
        <f>(D147/$D$150)</f>
        <v>0.2017264856966316</v>
      </c>
      <c r="F147" s="409">
        <v>15.472899999999999</v>
      </c>
      <c r="G147" s="409">
        <v>15.615</v>
      </c>
      <c r="H147" s="423">
        <v>5.8099999999999999E-2</v>
      </c>
      <c r="I147" s="408">
        <v>574921326.77999997</v>
      </c>
      <c r="J147" s="217">
        <f>(I147/$I$150)</f>
        <v>0.19906853809803704</v>
      </c>
      <c r="K147" s="409">
        <v>15.5893</v>
      </c>
      <c r="L147" s="409">
        <v>15.7354</v>
      </c>
      <c r="M147" s="395">
        <v>6.6100000000000006E-2</v>
      </c>
      <c r="N147" s="84">
        <f>((I147-D147)/D147)</f>
        <v>-8.0828527942867438E-3</v>
      </c>
      <c r="O147" s="132">
        <f>((L147-G147)/G147)</f>
        <v>7.7105347422350345E-3</v>
      </c>
      <c r="P147" s="254">
        <f>M147-H147</f>
        <v>8.0000000000000071E-3</v>
      </c>
      <c r="Q147" s="133"/>
      <c r="S147" s="136"/>
      <c r="T147" s="162"/>
    </row>
    <row r="148" spans="1:23" s="135" customFormat="1" ht="11.25" customHeight="1">
      <c r="A148" s="438">
        <v>122</v>
      </c>
      <c r="B148" s="439" t="s">
        <v>6</v>
      </c>
      <c r="C148" s="440" t="s">
        <v>30</v>
      </c>
      <c r="D148" s="408">
        <v>1736961296.45</v>
      </c>
      <c r="E148" s="217">
        <f>(D148/$D$150)</f>
        <v>0.60453304177104694</v>
      </c>
      <c r="F148" s="409">
        <v>1.38</v>
      </c>
      <c r="G148" s="409">
        <v>1.4</v>
      </c>
      <c r="H148" s="423">
        <v>7.6899999999999996E-2</v>
      </c>
      <c r="I148" s="408">
        <v>1761117722.8800001</v>
      </c>
      <c r="J148" s="217">
        <f>(I148/$I$150)</f>
        <v>0.60979322592849317</v>
      </c>
      <c r="K148" s="394">
        <v>1.4</v>
      </c>
      <c r="L148" s="394">
        <v>1.41</v>
      </c>
      <c r="M148" s="395">
        <v>8.4599999999999995E-2</v>
      </c>
      <c r="N148" s="84">
        <f>((I148-D148)/D148)</f>
        <v>1.3907291129267503E-2</v>
      </c>
      <c r="O148" s="84">
        <f>((L148-G148)/G148)</f>
        <v>7.1428571428571496E-3</v>
      </c>
      <c r="P148" s="254">
        <f>M148-H148</f>
        <v>7.6999999999999985E-3</v>
      </c>
      <c r="Q148" s="133"/>
    </row>
    <row r="149" spans="1:23" s="135" customFormat="1" ht="12" customHeight="1">
      <c r="A149" s="438">
        <v>123</v>
      </c>
      <c r="B149" s="439" t="s">
        <v>8</v>
      </c>
      <c r="C149" s="440" t="s">
        <v>31</v>
      </c>
      <c r="D149" s="409">
        <v>556660561.27999997</v>
      </c>
      <c r="E149" s="217">
        <f>(D149/$D$150)</f>
        <v>0.19374047253232143</v>
      </c>
      <c r="F149" s="409">
        <v>42.990600000000001</v>
      </c>
      <c r="G149" s="409">
        <v>44.286799999999999</v>
      </c>
      <c r="H149" s="396">
        <v>0.62339999999999995</v>
      </c>
      <c r="I149" s="409">
        <v>552018160.54999995</v>
      </c>
      <c r="J149" s="217">
        <f>(I149/$I$150)</f>
        <v>0.19113823597346982</v>
      </c>
      <c r="K149" s="409">
        <v>42.627099999999999</v>
      </c>
      <c r="L149" s="409">
        <v>43.912300000000002</v>
      </c>
      <c r="M149" s="396">
        <v>-0.44090000000000001</v>
      </c>
      <c r="N149" s="84">
        <f>((I149-D149)/D149)</f>
        <v>-8.3397334981396218E-3</v>
      </c>
      <c r="O149" s="84">
        <f>((L149-G149)/G149)</f>
        <v>-8.4562442985268212E-3</v>
      </c>
      <c r="P149" s="254">
        <f>M149-H149</f>
        <v>-1.0643</v>
      </c>
      <c r="Q149" s="133"/>
      <c r="U149" s="205"/>
      <c r="V149" s="206"/>
      <c r="W149" s="133"/>
    </row>
    <row r="150" spans="1:23" s="135" customFormat="1" ht="12.75" customHeight="1">
      <c r="A150" s="241"/>
      <c r="B150" s="13"/>
      <c r="C150" s="328" t="s">
        <v>47</v>
      </c>
      <c r="D150" s="244">
        <f>SUM(D147:D149)</f>
        <v>2873228056.0900002</v>
      </c>
      <c r="E150" s="301">
        <f>(D150/$D$166)</f>
        <v>2.0964741716196487E-3</v>
      </c>
      <c r="F150" s="13"/>
      <c r="G150" s="13"/>
      <c r="H150" s="317"/>
      <c r="I150" s="244">
        <f>SUM(I147:I149)</f>
        <v>2888057210.21</v>
      </c>
      <c r="J150" s="301">
        <f>(I150/$I$166)</f>
        <v>2.0879313224569603E-3</v>
      </c>
      <c r="K150" s="303"/>
      <c r="L150" s="207"/>
      <c r="M150" s="318"/>
      <c r="N150" s="305">
        <f>((I150-D150)/D150)</f>
        <v>5.1611476118536767E-3</v>
      </c>
      <c r="O150" s="305"/>
      <c r="P150" s="306">
        <f>M150-H150</f>
        <v>0</v>
      </c>
      <c r="Q150" s="133"/>
      <c r="T150" s="134"/>
    </row>
    <row r="151" spans="1:23" s="135" customFormat="1" ht="4.5" customHeight="1">
      <c r="A151" s="451"/>
      <c r="B151" s="452"/>
      <c r="C151" s="452"/>
      <c r="D151" s="452"/>
      <c r="E151" s="452"/>
      <c r="F151" s="452"/>
      <c r="G151" s="452"/>
      <c r="H151" s="452"/>
      <c r="I151" s="452"/>
      <c r="J151" s="452"/>
      <c r="K151" s="452"/>
      <c r="L151" s="452"/>
      <c r="M151" s="452"/>
      <c r="N151" s="452"/>
      <c r="O151" s="452"/>
      <c r="P151" s="453"/>
      <c r="T151" s="134"/>
    </row>
    <row r="152" spans="1:23" s="135" customFormat="1" ht="12.75" customHeight="1">
      <c r="A152" s="448" t="s">
        <v>217</v>
      </c>
      <c r="B152" s="449"/>
      <c r="C152" s="449"/>
      <c r="D152" s="449"/>
      <c r="E152" s="449"/>
      <c r="F152" s="449"/>
      <c r="G152" s="449"/>
      <c r="H152" s="449"/>
      <c r="I152" s="449"/>
      <c r="J152" s="449"/>
      <c r="K152" s="449"/>
      <c r="L152" s="449"/>
      <c r="M152" s="449"/>
      <c r="N152" s="449"/>
      <c r="O152" s="449"/>
      <c r="P152" s="450"/>
      <c r="T152" s="134"/>
    </row>
    <row r="153" spans="1:23" s="135" customFormat="1" ht="12.75" customHeight="1">
      <c r="A153" s="463" t="s">
        <v>218</v>
      </c>
      <c r="B153" s="464"/>
      <c r="C153" s="464"/>
      <c r="D153" s="464"/>
      <c r="E153" s="464"/>
      <c r="F153" s="464"/>
      <c r="G153" s="464"/>
      <c r="H153" s="464"/>
      <c r="I153" s="464"/>
      <c r="J153" s="464"/>
      <c r="K153" s="464"/>
      <c r="L153" s="464"/>
      <c r="M153" s="464"/>
      <c r="N153" s="464"/>
      <c r="O153" s="464"/>
      <c r="P153" s="465"/>
      <c r="T153" s="134"/>
    </row>
    <row r="154" spans="1:23" s="135" customFormat="1" ht="12" customHeight="1">
      <c r="A154" s="438">
        <v>124</v>
      </c>
      <c r="B154" s="439" t="s">
        <v>28</v>
      </c>
      <c r="C154" s="440" t="s">
        <v>140</v>
      </c>
      <c r="D154" s="397">
        <v>3463289246.5599999</v>
      </c>
      <c r="E154" s="217">
        <f>(D154/$D$165)</f>
        <v>0.15101423585547821</v>
      </c>
      <c r="F154" s="399">
        <v>1.71</v>
      </c>
      <c r="G154" s="399">
        <v>1.73</v>
      </c>
      <c r="H154" s="403">
        <v>0.19320000000000001</v>
      </c>
      <c r="I154" s="397">
        <v>3454548650.4899998</v>
      </c>
      <c r="J154" s="217">
        <f>(I154/$I$165)</f>
        <v>0.15178650238682534</v>
      </c>
      <c r="K154" s="399">
        <v>1.71</v>
      </c>
      <c r="L154" s="399">
        <v>1.72</v>
      </c>
      <c r="M154" s="403">
        <v>0.19009999999999999</v>
      </c>
      <c r="N154" s="132">
        <f>((I154-D154)/D154)</f>
        <v>-2.5237846012088048E-3</v>
      </c>
      <c r="O154" s="132">
        <f>((L154-G154)/G154)</f>
        <v>-5.7803468208092535E-3</v>
      </c>
      <c r="P154" s="254">
        <f>M154-H154</f>
        <v>-3.1000000000000194E-3</v>
      </c>
      <c r="Q154" s="133"/>
      <c r="T154" s="134"/>
    </row>
    <row r="155" spans="1:23" s="135" customFormat="1" ht="12.75" customHeight="1">
      <c r="A155" s="438">
        <v>125</v>
      </c>
      <c r="B155" s="439" t="s">
        <v>6</v>
      </c>
      <c r="C155" s="440" t="s">
        <v>71</v>
      </c>
      <c r="D155" s="397">
        <v>287042549.93000001</v>
      </c>
      <c r="E155" s="217">
        <f>(D155/$D$165)</f>
        <v>1.2516283870526529E-2</v>
      </c>
      <c r="F155" s="399">
        <v>255.38</v>
      </c>
      <c r="G155" s="399">
        <v>258.49</v>
      </c>
      <c r="H155" s="403">
        <v>5.9799999999999999E-2</v>
      </c>
      <c r="I155" s="397">
        <v>289562971.23000002</v>
      </c>
      <c r="J155" s="217">
        <f>(I155/$I$165)</f>
        <v>1.272286341010263E-2</v>
      </c>
      <c r="K155" s="399">
        <v>255.86</v>
      </c>
      <c r="L155" s="399">
        <v>258.95999999999998</v>
      </c>
      <c r="M155" s="403">
        <v>6.1699999999999998E-2</v>
      </c>
      <c r="N155" s="84">
        <f>((I155-D155)/D155)</f>
        <v>8.7806539504845446E-3</v>
      </c>
      <c r="O155" s="84">
        <f>((L155-G155)/G155)</f>
        <v>1.8182521567564332E-3</v>
      </c>
      <c r="P155" s="254">
        <f>M155-H155</f>
        <v>1.8999999999999989E-3</v>
      </c>
      <c r="Q155" s="133"/>
      <c r="R155" s="212"/>
    </row>
    <row r="156" spans="1:23" s="135" customFormat="1" ht="6" customHeight="1">
      <c r="A156" s="451"/>
      <c r="B156" s="452"/>
      <c r="C156" s="452"/>
      <c r="D156" s="452"/>
      <c r="E156" s="452"/>
      <c r="F156" s="452"/>
      <c r="G156" s="452"/>
      <c r="H156" s="452"/>
      <c r="I156" s="452"/>
      <c r="J156" s="452"/>
      <c r="K156" s="452"/>
      <c r="L156" s="452"/>
      <c r="M156" s="452"/>
      <c r="N156" s="452"/>
      <c r="O156" s="452"/>
      <c r="P156" s="453"/>
      <c r="R156" s="212"/>
    </row>
    <row r="157" spans="1:23" s="135" customFormat="1" ht="12" customHeight="1">
      <c r="A157" s="463" t="s">
        <v>219</v>
      </c>
      <c r="B157" s="464"/>
      <c r="C157" s="464"/>
      <c r="D157" s="464"/>
      <c r="E157" s="464"/>
      <c r="F157" s="464"/>
      <c r="G157" s="464"/>
      <c r="H157" s="464"/>
      <c r="I157" s="464"/>
      <c r="J157" s="464"/>
      <c r="K157" s="464"/>
      <c r="L157" s="464"/>
      <c r="M157" s="464"/>
      <c r="N157" s="464"/>
      <c r="O157" s="464"/>
      <c r="P157" s="465"/>
      <c r="R157" s="212"/>
    </row>
    <row r="158" spans="1:23" s="135" customFormat="1" ht="12" customHeight="1">
      <c r="A158" s="438">
        <v>126</v>
      </c>
      <c r="B158" s="439" t="s">
        <v>6</v>
      </c>
      <c r="C158" s="440" t="s">
        <v>142</v>
      </c>
      <c r="D158" s="415">
        <v>9027716586.2600002</v>
      </c>
      <c r="E158" s="217">
        <f t="shared" ref="E158:E164" si="43">(D158/$D$165)</f>
        <v>0.39364708655161457</v>
      </c>
      <c r="F158" s="416">
        <v>120.68</v>
      </c>
      <c r="G158" s="416">
        <v>120.68</v>
      </c>
      <c r="H158" s="423">
        <v>3.2000000000000001E-2</v>
      </c>
      <c r="I158" s="415">
        <v>8841100329.3799992</v>
      </c>
      <c r="J158" s="217">
        <f t="shared" ref="J158:J164" si="44">(I158/$I$165)</f>
        <v>0.38846165795269766</v>
      </c>
      <c r="K158" s="416">
        <v>120.84</v>
      </c>
      <c r="L158" s="416">
        <v>120.84</v>
      </c>
      <c r="M158" s="407">
        <v>3.3399999999999999E-2</v>
      </c>
      <c r="N158" s="84">
        <f t="shared" ref="N158:N166" si="45">((I158-D158)/D158)</f>
        <v>-2.0671479337757145E-2</v>
      </c>
      <c r="O158" s="84">
        <f t="shared" ref="O158:O164" si="46">((L158-G158)/G158)</f>
        <v>1.3258203513423648E-3</v>
      </c>
      <c r="P158" s="254">
        <f t="shared" ref="P158:P165" si="47">M158-H158</f>
        <v>1.3999999999999985E-3</v>
      </c>
      <c r="Q158" s="133"/>
      <c r="R158" s="212"/>
    </row>
    <row r="159" spans="1:23" s="135" customFormat="1" ht="12" customHeight="1">
      <c r="A159" s="438">
        <v>127</v>
      </c>
      <c r="B159" s="439" t="s">
        <v>203</v>
      </c>
      <c r="C159" s="440" t="s">
        <v>204</v>
      </c>
      <c r="D159" s="415">
        <v>7063174979.1899996</v>
      </c>
      <c r="E159" s="217">
        <f t="shared" si="43"/>
        <v>0.3079846632086472</v>
      </c>
      <c r="F159" s="415">
        <v>122.29</v>
      </c>
      <c r="G159" s="415">
        <v>122.29</v>
      </c>
      <c r="H159" s="423">
        <v>0.12529999999999999</v>
      </c>
      <c r="I159" s="415">
        <v>7077799426.8599997</v>
      </c>
      <c r="J159" s="217">
        <f t="shared" si="44"/>
        <v>0.31098546533602112</v>
      </c>
      <c r="K159" s="415">
        <v>122.57</v>
      </c>
      <c r="L159" s="415">
        <v>122.57</v>
      </c>
      <c r="M159" s="423">
        <v>0.12540000000000001</v>
      </c>
      <c r="N159" s="84">
        <f t="shared" si="45"/>
        <v>2.0705203698177669E-3</v>
      </c>
      <c r="O159" s="84">
        <f t="shared" si="46"/>
        <v>2.28963938179726E-3</v>
      </c>
      <c r="P159" s="254">
        <f t="shared" si="47"/>
        <v>1.0000000000001674E-4</v>
      </c>
      <c r="Q159" s="133"/>
      <c r="R159" s="212"/>
    </row>
    <row r="160" spans="1:23" s="135" customFormat="1" ht="12" customHeight="1">
      <c r="A160" s="438">
        <v>128</v>
      </c>
      <c r="B160" s="439" t="s">
        <v>46</v>
      </c>
      <c r="C160" s="440" t="s">
        <v>178</v>
      </c>
      <c r="D160" s="415">
        <v>2197559000.52</v>
      </c>
      <c r="E160" s="217">
        <f t="shared" si="43"/>
        <v>9.5822979134788502E-2</v>
      </c>
      <c r="F160" s="416">
        <v>1.1001000000000001</v>
      </c>
      <c r="G160" s="416">
        <v>1.1001000000000001</v>
      </c>
      <c r="H160" s="423">
        <v>7.2099999999999997E-2</v>
      </c>
      <c r="I160" s="415">
        <v>2199242850.0300002</v>
      </c>
      <c r="J160" s="217">
        <f t="shared" si="44"/>
        <v>9.6630678528130773E-2</v>
      </c>
      <c r="K160" s="416">
        <v>1.1015999999999999</v>
      </c>
      <c r="L160" s="416">
        <v>1.1015999999999999</v>
      </c>
      <c r="M160" s="407">
        <v>7.2099999999999997E-2</v>
      </c>
      <c r="N160" s="84">
        <f t="shared" si="45"/>
        <v>7.6623631474822108E-4</v>
      </c>
      <c r="O160" s="84">
        <f t="shared" si="46"/>
        <v>1.3635124079627622E-3</v>
      </c>
      <c r="P160" s="254">
        <f t="shared" si="47"/>
        <v>0</v>
      </c>
      <c r="Q160" s="133"/>
      <c r="R160" s="212"/>
    </row>
    <row r="161" spans="1:18" s="135" customFormat="1" ht="12" customHeight="1">
      <c r="A161" s="438">
        <v>129</v>
      </c>
      <c r="B161" s="439" t="s">
        <v>190</v>
      </c>
      <c r="C161" s="440" t="s">
        <v>191</v>
      </c>
      <c r="D161" s="415">
        <v>318956090.85000002</v>
      </c>
      <c r="E161" s="217">
        <f t="shared" si="43"/>
        <v>1.3907850861433608E-2</v>
      </c>
      <c r="F161" s="416">
        <v>102.31</v>
      </c>
      <c r="G161" s="416">
        <v>102.31</v>
      </c>
      <c r="H161" s="423">
        <v>8.9599999999999999E-2</v>
      </c>
      <c r="I161" s="405">
        <v>320822861.08000004</v>
      </c>
      <c r="J161" s="217">
        <f t="shared" si="44"/>
        <v>1.4096365370961079E-2</v>
      </c>
      <c r="K161" s="406">
        <v>102.72</v>
      </c>
      <c r="L161" s="416">
        <v>102.72</v>
      </c>
      <c r="M161" s="407">
        <v>9.1999999999999998E-2</v>
      </c>
      <c r="N161" s="84">
        <f t="shared" si="45"/>
        <v>5.852749903678533E-3</v>
      </c>
      <c r="O161" s="84">
        <f t="shared" si="46"/>
        <v>4.0074284038705563E-3</v>
      </c>
      <c r="P161" s="254">
        <f t="shared" si="47"/>
        <v>2.3999999999999994E-3</v>
      </c>
      <c r="Q161" s="133"/>
      <c r="R161" s="212"/>
    </row>
    <row r="162" spans="1:18" s="135" customFormat="1" ht="12" customHeight="1">
      <c r="A162" s="438">
        <v>130</v>
      </c>
      <c r="B162" s="439" t="s">
        <v>253</v>
      </c>
      <c r="C162" s="440" t="s">
        <v>252</v>
      </c>
      <c r="D162" s="415">
        <v>475332960.52999997</v>
      </c>
      <c r="E162" s="217">
        <f t="shared" si="43"/>
        <v>2.0726551754999809E-2</v>
      </c>
      <c r="F162" s="415">
        <v>1019.25</v>
      </c>
      <c r="G162" s="415">
        <v>1019.25</v>
      </c>
      <c r="H162" s="423">
        <v>1.9300000000000001E-2</v>
      </c>
      <c r="I162" s="415">
        <v>474407970.60000002</v>
      </c>
      <c r="J162" s="217">
        <f t="shared" si="44"/>
        <v>2.0844612088931506E-2</v>
      </c>
      <c r="K162" s="415">
        <v>1017.22</v>
      </c>
      <c r="L162" s="415">
        <v>1017.22</v>
      </c>
      <c r="M162" s="407">
        <v>1.72E-2</v>
      </c>
      <c r="N162" s="84">
        <f t="shared" si="45"/>
        <v>-1.9459831461478634E-3</v>
      </c>
      <c r="O162" s="84">
        <f t="shared" si="46"/>
        <v>-1.9916605347068657E-3</v>
      </c>
      <c r="P162" s="254">
        <f t="shared" si="47"/>
        <v>-2.1000000000000012E-3</v>
      </c>
      <c r="Q162" s="133"/>
      <c r="R162" s="212"/>
    </row>
    <row r="163" spans="1:18" s="400" customFormat="1" ht="12" customHeight="1">
      <c r="A163" s="438">
        <v>131</v>
      </c>
      <c r="B163" s="439" t="s">
        <v>95</v>
      </c>
      <c r="C163" s="440" t="s">
        <v>255</v>
      </c>
      <c r="D163" s="415">
        <v>49511866.82</v>
      </c>
      <c r="E163" s="402">
        <f>(D163/$D$165)</f>
        <v>2.1589293302681036E-3</v>
      </c>
      <c r="F163" s="415">
        <v>101.72</v>
      </c>
      <c r="G163" s="415">
        <v>101.72</v>
      </c>
      <c r="H163" s="423">
        <v>3.0040000000000001E-2</v>
      </c>
      <c r="I163" s="415">
        <v>50786895.060000002</v>
      </c>
      <c r="J163" s="402">
        <f>(I163/$I$165)</f>
        <v>2.2314825895274949E-3</v>
      </c>
      <c r="K163" s="415">
        <v>101.92</v>
      </c>
      <c r="L163" s="415">
        <v>101.92</v>
      </c>
      <c r="M163" s="423">
        <v>3.2149999999999998E-2</v>
      </c>
      <c r="N163" s="398">
        <f>((I163-D163)/D163)</f>
        <v>2.5751972645979136E-2</v>
      </c>
      <c r="O163" s="398">
        <f>((L163-G163)/G163)</f>
        <v>1.9661816751868153E-3</v>
      </c>
      <c r="P163" s="404">
        <f>M163-H163</f>
        <v>2.1099999999999973E-3</v>
      </c>
      <c r="Q163" s="133"/>
      <c r="R163" s="401"/>
    </row>
    <row r="164" spans="1:18" s="135" customFormat="1" ht="12" customHeight="1">
      <c r="A164" s="438">
        <v>132</v>
      </c>
      <c r="B164" s="439" t="s">
        <v>106</v>
      </c>
      <c r="C164" s="441" t="s">
        <v>260</v>
      </c>
      <c r="D164" s="408">
        <v>50944985.340000004</v>
      </c>
      <c r="E164" s="217">
        <f t="shared" si="43"/>
        <v>2.2214194322435887E-3</v>
      </c>
      <c r="F164" s="409">
        <v>97.93</v>
      </c>
      <c r="G164" s="409">
        <v>99.72</v>
      </c>
      <c r="H164" s="423">
        <v>-1.18E-2</v>
      </c>
      <c r="I164" s="408">
        <v>50989219.140000001</v>
      </c>
      <c r="J164" s="217">
        <f t="shared" si="44"/>
        <v>2.2403723368024323E-3</v>
      </c>
      <c r="K164" s="409">
        <v>98.01</v>
      </c>
      <c r="L164" s="409">
        <v>99.92</v>
      </c>
      <c r="M164" s="423">
        <v>-1.03E-2</v>
      </c>
      <c r="N164" s="84">
        <f t="shared" si="45"/>
        <v>8.6826602667144893E-4</v>
      </c>
      <c r="O164" s="84">
        <f t="shared" si="46"/>
        <v>2.0056157240273048E-3</v>
      </c>
      <c r="P164" s="254">
        <f t="shared" si="47"/>
        <v>1.4999999999999996E-3</v>
      </c>
      <c r="Q164" s="133"/>
      <c r="R164" s="212"/>
    </row>
    <row r="165" spans="1:18" s="135" customFormat="1" ht="12" customHeight="1">
      <c r="A165" s="300"/>
      <c r="B165" s="13"/>
      <c r="C165" s="328" t="s">
        <v>47</v>
      </c>
      <c r="D165" s="82">
        <f>SUM(D154:D164)</f>
        <v>22933528265.999996</v>
      </c>
      <c r="E165" s="301">
        <f>(D165/$D$166)</f>
        <v>1.6733635038774695E-2</v>
      </c>
      <c r="F165" s="302"/>
      <c r="G165" s="75"/>
      <c r="H165" s="284"/>
      <c r="I165" s="82">
        <f>SUM(I154:I164)</f>
        <v>22759261173.869999</v>
      </c>
      <c r="J165" s="301">
        <f>(I165/$I$166)</f>
        <v>1.6453889525770999E-2</v>
      </c>
      <c r="K165" s="303"/>
      <c r="L165" s="75"/>
      <c r="M165" s="304"/>
      <c r="N165" s="305">
        <f t="shared" si="45"/>
        <v>-7.5987911719783731E-3</v>
      </c>
      <c r="O165" s="305"/>
      <c r="P165" s="306">
        <f t="shared" si="47"/>
        <v>0</v>
      </c>
      <c r="Q165" s="133"/>
      <c r="R165" s="160" t="s">
        <v>183</v>
      </c>
    </row>
    <row r="166" spans="1:18" s="135" customFormat="1" ht="12" customHeight="1">
      <c r="A166" s="307"/>
      <c r="B166" s="308"/>
      <c r="C166" s="309" t="s">
        <v>33</v>
      </c>
      <c r="D166" s="310">
        <f>SUM(D22,D54,D88,D110,D117,D144,D150,D165)</f>
        <v>1370504867164.7903</v>
      </c>
      <c r="E166" s="311"/>
      <c r="F166" s="311"/>
      <c r="G166" s="312"/>
      <c r="H166" s="313"/>
      <c r="I166" s="310">
        <f>SUM(I22,I54,I88,I110,I117,I144,I150,I165)</f>
        <v>1383214658043.2046</v>
      </c>
      <c r="J166" s="311"/>
      <c r="K166" s="311"/>
      <c r="L166" s="312"/>
      <c r="M166" s="314"/>
      <c r="N166" s="315">
        <f t="shared" si="45"/>
        <v>9.273802073178683E-3</v>
      </c>
      <c r="O166" s="315"/>
      <c r="P166" s="316"/>
      <c r="R166" s="161">
        <f>((I166-D166)/D166)</f>
        <v>9.273802073178683E-3</v>
      </c>
    </row>
    <row r="167" spans="1:18" s="135" customFormat="1" ht="6.75" customHeight="1">
      <c r="A167" s="451"/>
      <c r="B167" s="452"/>
      <c r="C167" s="452"/>
      <c r="D167" s="452"/>
      <c r="E167" s="452"/>
      <c r="F167" s="452"/>
      <c r="G167" s="452"/>
      <c r="H167" s="452"/>
      <c r="I167" s="452"/>
      <c r="J167" s="452"/>
      <c r="K167" s="452"/>
      <c r="L167" s="452"/>
      <c r="M167" s="452"/>
      <c r="N167" s="452"/>
      <c r="O167" s="452"/>
      <c r="P167" s="453"/>
      <c r="R167" s="212"/>
    </row>
    <row r="168" spans="1:18" s="135" customFormat="1" ht="12" customHeight="1">
      <c r="A168" s="476" t="s">
        <v>220</v>
      </c>
      <c r="B168" s="477"/>
      <c r="C168" s="477"/>
      <c r="D168" s="477"/>
      <c r="E168" s="477"/>
      <c r="F168" s="477"/>
      <c r="G168" s="477"/>
      <c r="H168" s="477"/>
      <c r="I168" s="477"/>
      <c r="J168" s="477"/>
      <c r="K168" s="477"/>
      <c r="L168" s="477"/>
      <c r="M168" s="477"/>
      <c r="N168" s="477"/>
      <c r="O168" s="477"/>
      <c r="P168" s="478"/>
      <c r="R168" s="212"/>
    </row>
    <row r="169" spans="1:18" s="135" customFormat="1" ht="25.5" customHeight="1">
      <c r="A169" s="279"/>
      <c r="B169" s="280"/>
      <c r="C169" s="280"/>
      <c r="D169" s="296" t="s">
        <v>225</v>
      </c>
      <c r="E169" s="297"/>
      <c r="F169" s="297"/>
      <c r="G169" s="350" t="s">
        <v>226</v>
      </c>
      <c r="H169" s="298"/>
      <c r="I169" s="299" t="s">
        <v>225</v>
      </c>
      <c r="J169" s="297"/>
      <c r="K169" s="295" t="s">
        <v>236</v>
      </c>
      <c r="L169" s="295" t="s">
        <v>237</v>
      </c>
      <c r="M169" s="350"/>
      <c r="N169" s="454" t="s">
        <v>68</v>
      </c>
      <c r="O169" s="454"/>
      <c r="P169" s="475"/>
      <c r="R169" s="212"/>
    </row>
    <row r="170" spans="1:18" s="135" customFormat="1" ht="12" customHeight="1">
      <c r="A170" s="324" t="s">
        <v>2</v>
      </c>
      <c r="B170" s="325" t="s">
        <v>213</v>
      </c>
      <c r="C170" s="326" t="s">
        <v>3</v>
      </c>
      <c r="D170" s="225"/>
      <c r="E170" s="225"/>
      <c r="F170" s="225"/>
      <c r="G170" s="225"/>
      <c r="H170" s="225"/>
      <c r="I170" s="260"/>
      <c r="J170" s="261"/>
      <c r="K170" s="261"/>
      <c r="L170" s="262"/>
      <c r="M170" s="262"/>
      <c r="N170" s="256" t="s">
        <v>224</v>
      </c>
      <c r="O170" s="255" t="s">
        <v>227</v>
      </c>
      <c r="P170" s="258" t="s">
        <v>238</v>
      </c>
      <c r="R170" s="212"/>
    </row>
    <row r="171" spans="1:18" s="135" customFormat="1" ht="12" customHeight="1">
      <c r="A171" s="438">
        <v>1</v>
      </c>
      <c r="B171" s="439" t="s">
        <v>127</v>
      </c>
      <c r="C171" s="440" t="s">
        <v>242</v>
      </c>
      <c r="D171" s="415">
        <v>90849121065</v>
      </c>
      <c r="E171" s="217">
        <f>(D171/$D$174)</f>
        <v>0.90804341874784356</v>
      </c>
      <c r="F171" s="416">
        <v>107.59</v>
      </c>
      <c r="G171" s="416">
        <v>107.59</v>
      </c>
      <c r="H171" s="412">
        <v>0.12230000000000001</v>
      </c>
      <c r="I171" s="410">
        <v>90849121065</v>
      </c>
      <c r="J171" s="217">
        <f>(I171/$I$174)</f>
        <v>0.90798262380641359</v>
      </c>
      <c r="K171" s="411">
        <v>107.59</v>
      </c>
      <c r="L171" s="411">
        <v>107.59</v>
      </c>
      <c r="M171" s="412">
        <v>0.12230000000000001</v>
      </c>
      <c r="N171" s="84">
        <f>((I171-D171)/D171)</f>
        <v>0</v>
      </c>
      <c r="O171" s="84">
        <f>((L171-G171)/G171)</f>
        <v>0</v>
      </c>
      <c r="P171" s="254">
        <f>M171-H171</f>
        <v>0</v>
      </c>
      <c r="R171" s="212"/>
    </row>
    <row r="172" spans="1:18" s="419" customFormat="1" ht="12" customHeight="1">
      <c r="A172" s="438">
        <v>2</v>
      </c>
      <c r="B172" s="439" t="s">
        <v>44</v>
      </c>
      <c r="C172" s="440" t="s">
        <v>221</v>
      </c>
      <c r="D172" s="415">
        <v>7095735367.2700005</v>
      </c>
      <c r="E172" s="422">
        <f>(D172/$D$174)</f>
        <v>7.0922379059846732E-2</v>
      </c>
      <c r="F172" s="417">
        <v>105.2</v>
      </c>
      <c r="G172" s="417">
        <v>105.2</v>
      </c>
      <c r="H172" s="412"/>
      <c r="I172" s="415">
        <v>7112935899.8199997</v>
      </c>
      <c r="J172" s="422">
        <f>(I172/$I$174)</f>
        <v>7.1089539728893772E-2</v>
      </c>
      <c r="K172" s="417">
        <v>105.45</v>
      </c>
      <c r="L172" s="417">
        <v>105.45</v>
      </c>
      <c r="M172" s="412"/>
      <c r="N172" s="418">
        <f>((I172-D172)/D172)</f>
        <v>2.4240662397499945E-3</v>
      </c>
      <c r="O172" s="418">
        <f>((L172-G172)/G172)</f>
        <v>2.3764258555133079E-3</v>
      </c>
      <c r="P172" s="425">
        <f>M172-H172</f>
        <v>0</v>
      </c>
      <c r="R172" s="401"/>
    </row>
    <row r="173" spans="1:18" s="135" customFormat="1" ht="12" customHeight="1">
      <c r="A173" s="438">
        <v>3</v>
      </c>
      <c r="B173" s="439" t="s">
        <v>46</v>
      </c>
      <c r="C173" s="440" t="s">
        <v>274</v>
      </c>
      <c r="D173" s="415">
        <v>2104457498.4200001</v>
      </c>
      <c r="E173" s="217">
        <f>(D173/$D$174)</f>
        <v>2.1034202192309691E-2</v>
      </c>
      <c r="F173" s="417">
        <v>1000000</v>
      </c>
      <c r="G173" s="417">
        <v>1000000</v>
      </c>
      <c r="H173" s="412">
        <v>5.2200000000000003E-2</v>
      </c>
      <c r="I173" s="415">
        <v>2093955874</v>
      </c>
      <c r="J173" s="217">
        <f>(I173/$I$174)</f>
        <v>2.0927836464692515E-2</v>
      </c>
      <c r="K173" s="417">
        <v>1000000</v>
      </c>
      <c r="L173" s="417">
        <v>1000000</v>
      </c>
      <c r="M173" s="412">
        <v>4.7E-2</v>
      </c>
      <c r="N173" s="84">
        <f>((I173-D173)/D173)</f>
        <v>-4.9901812832449993E-3</v>
      </c>
      <c r="O173" s="84">
        <f>((L173-G173)/G173)</f>
        <v>0</v>
      </c>
      <c r="P173" s="254">
        <f>M173-H173</f>
        <v>-5.2000000000000032E-3</v>
      </c>
      <c r="R173" s="160" t="s">
        <v>229</v>
      </c>
    </row>
    <row r="174" spans="1:18" s="135" customFormat="1" ht="12" customHeight="1">
      <c r="A174" s="281"/>
      <c r="B174" s="282"/>
      <c r="C174" s="282" t="s">
        <v>222</v>
      </c>
      <c r="D174" s="83">
        <f>SUM(D171:D173)</f>
        <v>100049313930.69</v>
      </c>
      <c r="E174" s="283"/>
      <c r="F174" s="80"/>
      <c r="G174" s="80"/>
      <c r="H174" s="259"/>
      <c r="I174" s="83">
        <f>SUM(I171:I173)</f>
        <v>100056012838.82001</v>
      </c>
      <c r="J174" s="264"/>
      <c r="K174" s="80"/>
      <c r="L174" s="80"/>
      <c r="M174" s="259"/>
      <c r="N174" s="84">
        <f>((I174-D174)/D174)</f>
        <v>6.6956062633728879E-5</v>
      </c>
      <c r="O174" s="242"/>
      <c r="P174" s="254">
        <f>M174-H174</f>
        <v>0</v>
      </c>
      <c r="R174" s="161">
        <f>((I174-D174)/D174)</f>
        <v>6.6956062633728879E-5</v>
      </c>
    </row>
    <row r="175" spans="1:18" s="135" customFormat="1" ht="7.5" customHeight="1">
      <c r="A175" s="479"/>
      <c r="B175" s="480"/>
      <c r="C175" s="480"/>
      <c r="D175" s="480"/>
      <c r="E175" s="480"/>
      <c r="F175" s="480"/>
      <c r="G175" s="480"/>
      <c r="H175" s="480"/>
      <c r="I175" s="480"/>
      <c r="J175" s="480"/>
      <c r="K175" s="480"/>
      <c r="L175" s="480"/>
      <c r="M175" s="480"/>
      <c r="N175" s="480"/>
      <c r="O175" s="480"/>
      <c r="P175" s="481"/>
      <c r="R175" s="212"/>
    </row>
    <row r="176" spans="1:18" s="135" customFormat="1" ht="12" customHeight="1">
      <c r="A176" s="476" t="s">
        <v>243</v>
      </c>
      <c r="B176" s="477"/>
      <c r="C176" s="477"/>
      <c r="D176" s="477"/>
      <c r="E176" s="477"/>
      <c r="F176" s="477"/>
      <c r="G176" s="477"/>
      <c r="H176" s="477"/>
      <c r="I176" s="477"/>
      <c r="J176" s="477"/>
      <c r="K176" s="477"/>
      <c r="L176" s="477"/>
      <c r="M176" s="477"/>
      <c r="N176" s="477"/>
      <c r="O176" s="477"/>
      <c r="P176" s="478"/>
      <c r="R176" s="212"/>
    </row>
    <row r="177" spans="1:18" s="135" customFormat="1" ht="25.5" customHeight="1">
      <c r="A177" s="290"/>
      <c r="B177" s="291" t="s">
        <v>213</v>
      </c>
      <c r="C177" s="292" t="s">
        <v>51</v>
      </c>
      <c r="D177" s="292" t="s">
        <v>79</v>
      </c>
      <c r="E177" s="293" t="s">
        <v>67</v>
      </c>
      <c r="F177" s="293"/>
      <c r="G177" s="293" t="s">
        <v>80</v>
      </c>
      <c r="H177" s="294"/>
      <c r="I177" s="295" t="s">
        <v>79</v>
      </c>
      <c r="J177" s="293" t="s">
        <v>67</v>
      </c>
      <c r="K177" s="295" t="s">
        <v>236</v>
      </c>
      <c r="L177" s="295" t="s">
        <v>237</v>
      </c>
      <c r="M177" s="293"/>
      <c r="N177" s="454" t="s">
        <v>68</v>
      </c>
      <c r="O177" s="454"/>
      <c r="P177" s="475"/>
      <c r="R177" s="212"/>
    </row>
    <row r="178" spans="1:18" s="135" customFormat="1" ht="12" customHeight="1">
      <c r="A178" s="213"/>
      <c r="B178" s="71"/>
      <c r="C178" s="71"/>
      <c r="D178" s="225"/>
      <c r="E178" s="225"/>
      <c r="F178" s="225"/>
      <c r="G178" s="225"/>
      <c r="H178" s="249"/>
      <c r="I178" s="245"/>
      <c r="J178" s="225"/>
      <c r="K178" s="225"/>
      <c r="L178" s="225"/>
      <c r="M178" s="248"/>
      <c r="N178" s="255" t="s">
        <v>130</v>
      </c>
      <c r="O178" s="257" t="s">
        <v>129</v>
      </c>
      <c r="P178" s="258" t="s">
        <v>238</v>
      </c>
      <c r="R178" s="212"/>
    </row>
    <row r="179" spans="1:18" s="135" customFormat="1" ht="12" customHeight="1">
      <c r="A179" s="438">
        <v>1</v>
      </c>
      <c r="B179" s="439" t="s">
        <v>34</v>
      </c>
      <c r="C179" s="440" t="s">
        <v>35</v>
      </c>
      <c r="D179" s="413">
        <v>2712934000</v>
      </c>
      <c r="E179" s="219">
        <f t="shared" ref="E179:E190" si="48">(D179/$D$191)</f>
        <v>0.38060689925622981</v>
      </c>
      <c r="F179" s="417">
        <v>18.100000000000001</v>
      </c>
      <c r="G179" s="417">
        <v>18.3</v>
      </c>
      <c r="H179" s="424"/>
      <c r="I179" s="413">
        <v>2731162000</v>
      </c>
      <c r="J179" s="219">
        <f t="shared" ref="J179:J189" si="49">(I179/$I$191)</f>
        <v>0.38436919457644969</v>
      </c>
      <c r="K179" s="417">
        <v>18.21</v>
      </c>
      <c r="L179" s="417">
        <v>18.41</v>
      </c>
      <c r="M179" s="424"/>
      <c r="N179" s="84">
        <f>((I179-D179)/D179)</f>
        <v>6.7189249720044789E-3</v>
      </c>
      <c r="O179" s="84">
        <f t="shared" ref="O179:O190" si="50">((L179-G179)/G179)</f>
        <v>6.0109289617486022E-3</v>
      </c>
      <c r="P179" s="254">
        <f t="shared" ref="P179:P190" si="51">M179-H179</f>
        <v>0</v>
      </c>
      <c r="R179" s="212"/>
    </row>
    <row r="180" spans="1:18" s="135" customFormat="1" ht="12" customHeight="1">
      <c r="A180" s="438">
        <v>2</v>
      </c>
      <c r="B180" s="439" t="s">
        <v>34</v>
      </c>
      <c r="C180" s="440" t="s">
        <v>65</v>
      </c>
      <c r="D180" s="81">
        <v>355301484.81</v>
      </c>
      <c r="E180" s="219">
        <f t="shared" si="48"/>
        <v>4.9846474862517316E-2</v>
      </c>
      <c r="F180" s="417">
        <v>4.0999999999999996</v>
      </c>
      <c r="G180" s="417">
        <v>4.2</v>
      </c>
      <c r="H180" s="424"/>
      <c r="I180" s="81">
        <v>360413736.38999999</v>
      </c>
      <c r="J180" s="219">
        <f t="shared" si="49"/>
        <v>5.0722709810151562E-2</v>
      </c>
      <c r="K180" s="417">
        <v>4.18</v>
      </c>
      <c r="L180" s="417">
        <v>4.28</v>
      </c>
      <c r="M180" s="424"/>
      <c r="N180" s="84">
        <f t="shared" ref="N180:N190" si="52">((I180-D180)/D180)</f>
        <v>1.4388489208633046E-2</v>
      </c>
      <c r="O180" s="84">
        <f t="shared" si="50"/>
        <v>1.9047619047619063E-2</v>
      </c>
      <c r="P180" s="254">
        <f t="shared" si="51"/>
        <v>0</v>
      </c>
      <c r="R180" s="212"/>
    </row>
    <row r="181" spans="1:18" s="135" customFormat="1" ht="12" customHeight="1">
      <c r="A181" s="438">
        <v>3</v>
      </c>
      <c r="B181" s="439" t="s">
        <v>34</v>
      </c>
      <c r="C181" s="440" t="s">
        <v>55</v>
      </c>
      <c r="D181" s="413">
        <v>143301185.28</v>
      </c>
      <c r="E181" s="219">
        <f t="shared" si="48"/>
        <v>2.0104219191901935E-2</v>
      </c>
      <c r="F181" s="417">
        <v>5.51</v>
      </c>
      <c r="G181" s="417">
        <v>5.61</v>
      </c>
      <c r="H181" s="424"/>
      <c r="I181" s="413">
        <v>144328433.91999999</v>
      </c>
      <c r="J181" s="219">
        <f t="shared" si="49"/>
        <v>2.0312015142386553E-2</v>
      </c>
      <c r="K181" s="417">
        <v>5.57</v>
      </c>
      <c r="L181" s="417">
        <v>5.67</v>
      </c>
      <c r="M181" s="424"/>
      <c r="N181" s="84">
        <f t="shared" si="52"/>
        <v>7.1684587813619074E-3</v>
      </c>
      <c r="O181" s="84">
        <f t="shared" si="50"/>
        <v>1.0695187165775331E-2</v>
      </c>
      <c r="P181" s="254">
        <f t="shared" si="51"/>
        <v>0</v>
      </c>
      <c r="R181" s="212"/>
    </row>
    <row r="182" spans="1:18" s="135" customFormat="1" ht="12" customHeight="1">
      <c r="A182" s="438">
        <v>4</v>
      </c>
      <c r="B182" s="439" t="s">
        <v>34</v>
      </c>
      <c r="C182" s="440" t="s">
        <v>56</v>
      </c>
      <c r="D182" s="81">
        <v>252531286.77000001</v>
      </c>
      <c r="E182" s="219">
        <f t="shared" si="48"/>
        <v>3.5428488132300852E-2</v>
      </c>
      <c r="F182" s="417">
        <v>23.89</v>
      </c>
      <c r="G182" s="417">
        <v>24.09</v>
      </c>
      <c r="H182" s="424"/>
      <c r="I182" s="81">
        <v>252531286.77000001</v>
      </c>
      <c r="J182" s="219">
        <f t="shared" si="49"/>
        <v>3.5539908398381115E-2</v>
      </c>
      <c r="K182" s="417">
        <v>23.9</v>
      </c>
      <c r="L182" s="417">
        <v>24.1</v>
      </c>
      <c r="M182" s="424"/>
      <c r="N182" s="84">
        <f t="shared" si="52"/>
        <v>0</v>
      </c>
      <c r="O182" s="84">
        <f t="shared" si="50"/>
        <v>4.1511000415116493E-4</v>
      </c>
      <c r="P182" s="254">
        <f t="shared" si="51"/>
        <v>0</v>
      </c>
      <c r="R182" s="212"/>
    </row>
    <row r="183" spans="1:18" s="135" customFormat="1" ht="12" customHeight="1">
      <c r="A183" s="438">
        <v>5</v>
      </c>
      <c r="B183" s="439" t="s">
        <v>34</v>
      </c>
      <c r="C183" s="440" t="s">
        <v>99</v>
      </c>
      <c r="D183" s="413">
        <v>584133168.87</v>
      </c>
      <c r="E183" s="219">
        <f t="shared" si="48"/>
        <v>8.1950063715640106E-2</v>
      </c>
      <c r="F183" s="417">
        <v>141.34</v>
      </c>
      <c r="G183" s="417">
        <v>143.34</v>
      </c>
      <c r="H183" s="424"/>
      <c r="I183" s="413">
        <v>584133168.87</v>
      </c>
      <c r="J183" s="219">
        <f t="shared" si="49"/>
        <v>8.2207791278566117E-2</v>
      </c>
      <c r="K183" s="417">
        <v>143.02000000000001</v>
      </c>
      <c r="L183" s="417">
        <v>145.02000000000001</v>
      </c>
      <c r="M183" s="424"/>
      <c r="N183" s="84">
        <f t="shared" si="52"/>
        <v>0</v>
      </c>
      <c r="O183" s="84">
        <f t="shared" si="50"/>
        <v>1.1720385098367566E-2</v>
      </c>
      <c r="P183" s="254">
        <f t="shared" si="51"/>
        <v>0</v>
      </c>
      <c r="R183" s="212"/>
    </row>
    <row r="184" spans="1:18" s="135" customFormat="1" ht="12" customHeight="1">
      <c r="A184" s="438">
        <v>6</v>
      </c>
      <c r="B184" s="439" t="s">
        <v>36</v>
      </c>
      <c r="C184" s="440" t="s">
        <v>37</v>
      </c>
      <c r="D184" s="413">
        <v>611407100</v>
      </c>
      <c r="E184" s="219">
        <f t="shared" si="48"/>
        <v>8.5776417898203061E-2</v>
      </c>
      <c r="F184" s="417">
        <v>11450</v>
      </c>
      <c r="G184" s="417">
        <v>11450</v>
      </c>
      <c r="H184" s="424"/>
      <c r="I184" s="413">
        <v>539330479.60000002</v>
      </c>
      <c r="J184" s="219">
        <f t="shared" si="49"/>
        <v>7.5902499395635398E-2</v>
      </c>
      <c r="K184" s="417">
        <v>10100.200000000001</v>
      </c>
      <c r="L184" s="417">
        <v>10100.200000000001</v>
      </c>
      <c r="M184" s="424"/>
      <c r="N184" s="84">
        <f t="shared" si="52"/>
        <v>-0.11788646288209603</v>
      </c>
      <c r="O184" s="84">
        <f t="shared" si="50"/>
        <v>-0.117886462882096</v>
      </c>
      <c r="P184" s="254">
        <f t="shared" si="51"/>
        <v>0</v>
      </c>
      <c r="R184" s="212"/>
    </row>
    <row r="185" spans="1:18" s="135" customFormat="1" ht="12" customHeight="1">
      <c r="A185" s="438">
        <v>7</v>
      </c>
      <c r="B185" s="439" t="s">
        <v>28</v>
      </c>
      <c r="C185" s="440" t="s">
        <v>103</v>
      </c>
      <c r="D185" s="413">
        <v>511286749.37</v>
      </c>
      <c r="E185" s="219">
        <f t="shared" si="48"/>
        <v>7.1730187431213885E-2</v>
      </c>
      <c r="F185" s="417">
        <v>15.31</v>
      </c>
      <c r="G185" s="417">
        <v>15.31</v>
      </c>
      <c r="H185" s="424">
        <v>9.0499999999999997E-2</v>
      </c>
      <c r="I185" s="413">
        <v>505948331.72000003</v>
      </c>
      <c r="J185" s="219">
        <f t="shared" si="49"/>
        <v>7.1204473685747977E-2</v>
      </c>
      <c r="K185" s="417">
        <v>15.15</v>
      </c>
      <c r="L185" s="417">
        <v>15.15</v>
      </c>
      <c r="M185" s="424">
        <v>7.9100000000000004E-2</v>
      </c>
      <c r="N185" s="84">
        <f t="shared" si="52"/>
        <v>-1.0441142189931375E-2</v>
      </c>
      <c r="O185" s="84">
        <f t="shared" si="50"/>
        <v>-1.0450685826257357E-2</v>
      </c>
      <c r="P185" s="254">
        <f t="shared" si="51"/>
        <v>-1.1399999999999993E-2</v>
      </c>
      <c r="R185" s="212"/>
    </row>
    <row r="186" spans="1:18" s="135" customFormat="1" ht="12" customHeight="1">
      <c r="A186" s="438">
        <v>8</v>
      </c>
      <c r="B186" s="439" t="s">
        <v>44</v>
      </c>
      <c r="C186" s="440" t="s">
        <v>45</v>
      </c>
      <c r="D186" s="413">
        <v>434714270.49000001</v>
      </c>
      <c r="E186" s="219">
        <f t="shared" si="48"/>
        <v>6.0987569381943267E-2</v>
      </c>
      <c r="F186" s="417">
        <v>100.17</v>
      </c>
      <c r="G186" s="417">
        <v>101.89</v>
      </c>
      <c r="H186" s="424">
        <v>2.3999999999999998E-3</v>
      </c>
      <c r="I186" s="413">
        <v>437443348.13</v>
      </c>
      <c r="J186" s="219">
        <f t="shared" si="49"/>
        <v>6.156344713113085E-2</v>
      </c>
      <c r="K186" s="417">
        <v>100.8</v>
      </c>
      <c r="L186" s="417">
        <v>102.53</v>
      </c>
      <c r="M186" s="424">
        <v>8.5000000000000006E-3</v>
      </c>
      <c r="N186" s="84">
        <f t="shared" si="52"/>
        <v>6.2778653135169256E-3</v>
      </c>
      <c r="O186" s="84">
        <f t="shared" si="50"/>
        <v>6.2812837373638292E-3</v>
      </c>
      <c r="P186" s="254">
        <f t="shared" si="51"/>
        <v>6.1000000000000013E-3</v>
      </c>
      <c r="R186" s="212"/>
    </row>
    <row r="187" spans="1:18" s="135" customFormat="1" ht="12" customHeight="1">
      <c r="A187" s="438">
        <v>9</v>
      </c>
      <c r="B187" s="439" t="s">
        <v>44</v>
      </c>
      <c r="C187" s="440" t="s">
        <v>101</v>
      </c>
      <c r="D187" s="413">
        <v>594912643.71000004</v>
      </c>
      <c r="E187" s="219">
        <f t="shared" si="48"/>
        <v>8.3462353544461215E-2</v>
      </c>
      <c r="F187" s="417">
        <v>127.84</v>
      </c>
      <c r="G187" s="417">
        <v>130.09</v>
      </c>
      <c r="H187" s="424">
        <v>1.44E-2</v>
      </c>
      <c r="I187" s="413">
        <v>611428907.62</v>
      </c>
      <c r="J187" s="219">
        <f t="shared" si="49"/>
        <v>8.6049248181784124E-2</v>
      </c>
      <c r="K187" s="417">
        <v>131.38999999999999</v>
      </c>
      <c r="L187" s="417">
        <v>133.71</v>
      </c>
      <c r="M187" s="424">
        <v>4.1599999999999998E-2</v>
      </c>
      <c r="N187" s="84">
        <f>((I187-D187)/D187)</f>
        <v>2.7762502755028166E-2</v>
      </c>
      <c r="O187" s="84">
        <f t="shared" si="50"/>
        <v>2.7826889076793024E-2</v>
      </c>
      <c r="P187" s="254">
        <f t="shared" si="51"/>
        <v>2.7199999999999998E-2</v>
      </c>
      <c r="R187" s="212"/>
    </row>
    <row r="188" spans="1:18" s="135" customFormat="1" ht="12" customHeight="1">
      <c r="A188" s="438">
        <v>10</v>
      </c>
      <c r="B188" s="439" t="s">
        <v>94</v>
      </c>
      <c r="C188" s="440" t="s">
        <v>247</v>
      </c>
      <c r="D188" s="413">
        <v>516852013.23148328</v>
      </c>
      <c r="E188" s="219">
        <f t="shared" si="48"/>
        <v>7.2510957557528025E-2</v>
      </c>
      <c r="F188" s="417">
        <v>118.99436243386285</v>
      </c>
      <c r="G188" s="417">
        <v>121.84337630252101</v>
      </c>
      <c r="H188" s="424"/>
      <c r="I188" s="413">
        <v>519860990.44</v>
      </c>
      <c r="J188" s="219">
        <f t="shared" si="49"/>
        <v>7.3162467179588117E-2</v>
      </c>
      <c r="K188" s="417">
        <v>119.69</v>
      </c>
      <c r="L188" s="417">
        <v>122.59</v>
      </c>
      <c r="M188" s="424"/>
      <c r="N188" s="84">
        <f>((I188-D188)/D188)</f>
        <v>5.821738392202183E-3</v>
      </c>
      <c r="O188" s="84">
        <f t="shared" si="50"/>
        <v>6.1277331615074999E-3</v>
      </c>
      <c r="P188" s="254">
        <f t="shared" si="51"/>
        <v>0</v>
      </c>
      <c r="R188" s="212"/>
    </row>
    <row r="189" spans="1:18" s="135" customFormat="1" ht="12" customHeight="1">
      <c r="A189" s="438">
        <v>11</v>
      </c>
      <c r="B189" s="439" t="s">
        <v>60</v>
      </c>
      <c r="C189" s="440" t="s">
        <v>201</v>
      </c>
      <c r="D189" s="413">
        <v>226369634.77000001</v>
      </c>
      <c r="E189" s="219">
        <f t="shared" si="48"/>
        <v>3.1758179438045653E-2</v>
      </c>
      <c r="F189" s="417">
        <v>16.986937999999999</v>
      </c>
      <c r="G189" s="417">
        <v>17.34094</v>
      </c>
      <c r="H189" s="424"/>
      <c r="I189" s="413">
        <v>229986231.66</v>
      </c>
      <c r="J189" s="219">
        <f t="shared" si="49"/>
        <v>3.2367037410020706E-2</v>
      </c>
      <c r="K189" s="417">
        <v>17.260000000000002</v>
      </c>
      <c r="L189" s="417">
        <v>17.62</v>
      </c>
      <c r="M189" s="424"/>
      <c r="N189" s="84">
        <f>((I189-D189)/D189)</f>
        <v>1.5976510690908625E-2</v>
      </c>
      <c r="O189" s="84">
        <f t="shared" si="50"/>
        <v>1.6092553229525113E-2</v>
      </c>
      <c r="P189" s="254">
        <f t="shared" si="51"/>
        <v>0</v>
      </c>
      <c r="R189" s="212"/>
    </row>
    <row r="190" spans="1:18" s="135" customFormat="1" ht="12" customHeight="1">
      <c r="A190" s="438">
        <v>12</v>
      </c>
      <c r="B190" s="439" t="s">
        <v>60</v>
      </c>
      <c r="C190" s="440" t="s">
        <v>202</v>
      </c>
      <c r="D190" s="413">
        <v>184172444.52000001</v>
      </c>
      <c r="E190" s="219">
        <f t="shared" si="48"/>
        <v>2.5838189590014805E-2</v>
      </c>
      <c r="F190" s="417">
        <v>13.741649000000001</v>
      </c>
      <c r="G190" s="417">
        <v>14.0844</v>
      </c>
      <c r="H190" s="424"/>
      <c r="I190" s="413">
        <v>189002517.96000001</v>
      </c>
      <c r="J190" s="219">
        <f>(I190/$I$191)</f>
        <v>2.6599207810157791E-2</v>
      </c>
      <c r="K190" s="417">
        <v>14.1</v>
      </c>
      <c r="L190" s="417">
        <v>14.45</v>
      </c>
      <c r="M190" s="424"/>
      <c r="N190" s="84">
        <f t="shared" si="52"/>
        <v>2.6225820331528916E-2</v>
      </c>
      <c r="O190" s="84">
        <f t="shared" si="50"/>
        <v>2.5957797279259238E-2</v>
      </c>
      <c r="P190" s="254">
        <f t="shared" si="51"/>
        <v>0</v>
      </c>
      <c r="R190" s="214"/>
    </row>
    <row r="191" spans="1:18" s="135" customFormat="1" ht="12" customHeight="1">
      <c r="A191" s="281"/>
      <c r="B191" s="282"/>
      <c r="C191" s="282" t="s">
        <v>38</v>
      </c>
      <c r="D191" s="83">
        <f>SUM(D179:D190)</f>
        <v>7127915981.8214836</v>
      </c>
      <c r="E191" s="283"/>
      <c r="F191" s="263"/>
      <c r="G191" s="80"/>
      <c r="H191" s="259"/>
      <c r="I191" s="83">
        <f>SUM(I179:I190)</f>
        <v>7105569433.0799999</v>
      </c>
      <c r="J191" s="264"/>
      <c r="K191" s="263"/>
      <c r="L191" s="80"/>
      <c r="M191" s="259"/>
      <c r="N191" s="84">
        <f>((I191-D191)/D191)</f>
        <v>-3.1350746555479461E-3</v>
      </c>
      <c r="O191" s="242"/>
      <c r="P191" s="254" t="e">
        <f>((M191-H191)/H191)</f>
        <v>#DIV/0!</v>
      </c>
      <c r="R191" s="160" t="s">
        <v>182</v>
      </c>
    </row>
    <row r="192" spans="1:18" s="135" customFormat="1" ht="12" customHeight="1" thickBot="1">
      <c r="A192" s="285"/>
      <c r="B192" s="286"/>
      <c r="C192" s="286" t="s">
        <v>48</v>
      </c>
      <c r="D192" s="287">
        <f>SUM(D166,D174,D191)</f>
        <v>1477682097077.3018</v>
      </c>
      <c r="E192" s="287"/>
      <c r="F192" s="287"/>
      <c r="G192" s="288"/>
      <c r="H192" s="289"/>
      <c r="I192" s="287">
        <f>SUM(I166,I174,I191)</f>
        <v>1490376240315.1047</v>
      </c>
      <c r="J192" s="265"/>
      <c r="K192" s="265"/>
      <c r="L192" s="266"/>
      <c r="M192" s="267"/>
      <c r="N192" s="238"/>
      <c r="O192" s="243"/>
      <c r="P192" s="239"/>
      <c r="R192" s="161">
        <f>((I191-D191)/D191)</f>
        <v>-3.1350746555479461E-3</v>
      </c>
    </row>
    <row r="193" spans="1:13" ht="12" customHeight="1">
      <c r="A193" s="268"/>
      <c r="B193" s="269"/>
      <c r="C193" s="113"/>
      <c r="D193" s="68"/>
      <c r="E193" s="68"/>
      <c r="F193" s="68"/>
      <c r="G193" s="270"/>
      <c r="H193" s="271"/>
      <c r="I193" s="8"/>
      <c r="J193" s="68"/>
      <c r="K193" s="68"/>
      <c r="L193" s="272"/>
      <c r="M193" s="273"/>
    </row>
    <row r="194" spans="1:13" ht="12" customHeight="1">
      <c r="A194" s="273"/>
      <c r="B194" s="275"/>
      <c r="C194" s="272"/>
      <c r="D194" s="272"/>
      <c r="E194" s="272"/>
      <c r="F194" s="272"/>
      <c r="G194" s="272"/>
      <c r="H194" s="274"/>
      <c r="I194" s="276"/>
      <c r="J194" s="272"/>
      <c r="K194" s="272"/>
      <c r="L194" s="272"/>
      <c r="M194" s="273"/>
    </row>
    <row r="195" spans="1:13" ht="12" customHeight="1">
      <c r="A195" s="273"/>
      <c r="B195" s="272"/>
      <c r="C195" s="275"/>
      <c r="D195" s="272"/>
      <c r="E195" s="272"/>
      <c r="F195" s="272"/>
      <c r="G195" s="272"/>
      <c r="H195" s="274"/>
      <c r="I195" s="276"/>
      <c r="J195" s="272"/>
      <c r="K195" s="272"/>
      <c r="L195" s="272"/>
      <c r="M195" s="273"/>
    </row>
    <row r="196" spans="1:13" ht="12" customHeight="1">
      <c r="A196" s="273"/>
      <c r="B196" s="277"/>
      <c r="C196" s="278"/>
      <c r="D196" s="272"/>
      <c r="E196" s="272"/>
      <c r="F196" s="272"/>
      <c r="G196" s="272"/>
      <c r="H196" s="274"/>
      <c r="I196" s="276"/>
      <c r="J196" s="272"/>
      <c r="K196" s="272"/>
      <c r="L196" s="272"/>
      <c r="M196" s="273"/>
    </row>
    <row r="197" spans="1:13" ht="12" customHeight="1">
      <c r="A197" s="273"/>
      <c r="B197" s="277"/>
      <c r="C197" s="277"/>
      <c r="D197" s="272"/>
      <c r="E197" s="272"/>
      <c r="F197" s="272"/>
      <c r="G197" s="272"/>
      <c r="H197" s="274"/>
      <c r="I197" s="276"/>
      <c r="J197" s="272"/>
      <c r="K197" s="272"/>
      <c r="L197" s="272"/>
      <c r="M197" s="273"/>
    </row>
    <row r="198" spans="1:13" ht="12" customHeight="1">
      <c r="A198" s="273"/>
      <c r="B198" s="277"/>
      <c r="C198" s="277"/>
      <c r="D198" s="272"/>
      <c r="E198" s="272"/>
      <c r="F198" s="272"/>
      <c r="G198" s="272"/>
      <c r="H198" s="274"/>
      <c r="I198" s="276"/>
      <c r="J198" s="272"/>
      <c r="K198" s="272"/>
      <c r="L198" s="272"/>
      <c r="M198" s="273"/>
    </row>
    <row r="199" spans="1:13" ht="12" customHeight="1">
      <c r="A199" s="273"/>
      <c r="B199" s="277"/>
      <c r="C199" s="277"/>
      <c r="D199" s="272"/>
      <c r="E199" s="272"/>
      <c r="F199" s="272"/>
      <c r="G199" s="272"/>
      <c r="H199" s="274"/>
      <c r="I199" s="276"/>
      <c r="J199" s="272"/>
      <c r="K199" s="272"/>
      <c r="L199" s="272"/>
      <c r="M199" s="273"/>
    </row>
    <row r="200" spans="1:13" ht="12" customHeight="1">
      <c r="A200" s="273"/>
      <c r="B200" s="277"/>
      <c r="C200" s="278"/>
      <c r="D200" s="272"/>
      <c r="E200" s="272"/>
      <c r="F200" s="272"/>
      <c r="G200" s="272"/>
      <c r="H200" s="274"/>
      <c r="I200" s="276"/>
      <c r="J200" s="272"/>
      <c r="K200" s="272"/>
      <c r="L200" s="272"/>
      <c r="M200" s="273"/>
    </row>
    <row r="201" spans="1:13" ht="12" customHeight="1">
      <c r="B201" s="277"/>
      <c r="C201" s="277"/>
      <c r="D201" s="272"/>
      <c r="E201" s="272"/>
      <c r="F201" s="272"/>
      <c r="G201" s="272"/>
      <c r="H201" s="274"/>
      <c r="I201" s="276"/>
      <c r="J201" s="272"/>
      <c r="K201" s="272"/>
      <c r="L201" s="272"/>
      <c r="M201" s="273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7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5"/>
      <c r="C233" s="5"/>
    </row>
    <row r="234" spans="2:3" ht="12" customHeight="1">
      <c r="B234" s="5"/>
      <c r="C234" s="5"/>
    </row>
    <row r="235" spans="2:3" ht="12" customHeight="1">
      <c r="B235" s="5"/>
      <c r="C235" s="5"/>
    </row>
    <row r="236" spans="2:3" ht="12" customHeight="1">
      <c r="B236" s="5"/>
      <c r="C236" s="5"/>
    </row>
    <row r="237" spans="2:3" ht="12" customHeight="1">
      <c r="B237" s="6"/>
      <c r="C237" s="6"/>
    </row>
    <row r="238" spans="2:3" ht="12" customHeight="1">
      <c r="B238" s="6"/>
      <c r="C238" s="6"/>
    </row>
    <row r="239" spans="2:3" ht="12" customHeight="1">
      <c r="B239" s="6"/>
      <c r="C239" s="6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47 H47" name="Yield_1_1_2_1_1_1_1"/>
    <protectedRange password="CADF" sqref="M52 H52" name="Yield_1_1_1_1_1"/>
    <protectedRange password="CADF" sqref="I78 D78" name="Yield_2_1_2_1_1"/>
    <protectedRange password="CADF" sqref="M78 H78" name="Yield_1_1_2_1_2_1"/>
    <protectedRange password="CADF" sqref="K78:L78 F78:G78" name="Fund Name_2_2_1_1"/>
    <protectedRange password="CADF" sqref="K77 F77" name="BidOffer Prices_2_1_1_1_1_1_1_1_2"/>
    <protectedRange password="CADF" sqref="L77 G77" name="BidOffer Prices_2_1_1_1_1_1_1_1_1_1"/>
    <protectedRange password="CADF" sqref="I141:I143 D141:D143" name="Fund Name_1_1_1_2"/>
    <protectedRange password="CADF" sqref="M141:M143 H141:H143" name="Yield_1_1_2_2"/>
    <protectedRange password="CADF" sqref="K141:L143 F141:G143" name="Fund Name_1_1_1_1_2"/>
  </protectedRanges>
  <mergeCells count="42">
    <mergeCell ref="A153:P153"/>
    <mergeCell ref="A146:P146"/>
    <mergeCell ref="A119:P119"/>
    <mergeCell ref="A112:P112"/>
    <mergeCell ref="A151:P151"/>
    <mergeCell ref="A145:P145"/>
    <mergeCell ref="U117:U119"/>
    <mergeCell ref="T71:T84"/>
    <mergeCell ref="R120:R121"/>
    <mergeCell ref="N177:P177"/>
    <mergeCell ref="A176:P176"/>
    <mergeCell ref="N169:P169"/>
    <mergeCell ref="A168:P168"/>
    <mergeCell ref="A157:P157"/>
    <mergeCell ref="A156:P156"/>
    <mergeCell ref="A167:P167"/>
    <mergeCell ref="A175:P175"/>
    <mergeCell ref="A89:P89"/>
    <mergeCell ref="A100:P100"/>
    <mergeCell ref="A111:P111"/>
    <mergeCell ref="A118:P118"/>
    <mergeCell ref="A152:P152"/>
    <mergeCell ref="T31:U31"/>
    <mergeCell ref="T32:U32"/>
    <mergeCell ref="T30:U30"/>
    <mergeCell ref="T35:U35"/>
    <mergeCell ref="S40:S41"/>
    <mergeCell ref="A101:P101"/>
    <mergeCell ref="A91:P91"/>
    <mergeCell ref="A90:P90"/>
    <mergeCell ref="S70:T70"/>
    <mergeCell ref="S102:S103"/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90" max="16383" man="1"/>
    <brk id="99" max="16383" man="1"/>
    <brk id="137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3"/>
      <c r="F3" s="123"/>
      <c r="G3" s="123"/>
    </row>
    <row r="4" spans="1:7">
      <c r="E4" s="123"/>
      <c r="F4" s="123"/>
      <c r="G4" s="123"/>
    </row>
    <row r="5" spans="1:7">
      <c r="E5" s="123"/>
      <c r="F5" s="123"/>
      <c r="G5" s="123"/>
    </row>
    <row r="6" spans="1:7">
      <c r="E6" s="120" t="s">
        <v>70</v>
      </c>
      <c r="F6" s="121" t="s">
        <v>164</v>
      </c>
      <c r="G6" s="123"/>
    </row>
    <row r="7" spans="1:7">
      <c r="E7" s="220" t="s">
        <v>0</v>
      </c>
      <c r="F7" s="122">
        <f>'NAV Trend'!J2</f>
        <v>15526960302.890003</v>
      </c>
      <c r="G7" s="123"/>
    </row>
    <row r="8" spans="1:7">
      <c r="E8" s="220" t="s">
        <v>49</v>
      </c>
      <c r="F8" s="122">
        <f>'NAV Trend'!J3</f>
        <v>590991900611.65771</v>
      </c>
      <c r="G8" s="123"/>
    </row>
    <row r="9" spans="1:7">
      <c r="A9" s="123"/>
      <c r="B9" s="123"/>
      <c r="E9" s="220" t="s">
        <v>212</v>
      </c>
      <c r="F9" s="122">
        <f>'NAV Trend'!J4</f>
        <v>337768215375.69989</v>
      </c>
      <c r="G9" s="123"/>
    </row>
    <row r="10" spans="1:7">
      <c r="A10" s="485"/>
      <c r="B10" s="485"/>
      <c r="E10" s="220" t="s">
        <v>214</v>
      </c>
      <c r="F10" s="122">
        <f>'NAV Trend'!J5</f>
        <v>324899490879.42987</v>
      </c>
      <c r="G10" s="123"/>
    </row>
    <row r="11" spans="1:7">
      <c r="A11" s="116"/>
      <c r="B11" s="116"/>
      <c r="E11" s="220" t="s">
        <v>234</v>
      </c>
      <c r="F11" s="122">
        <f>'NAV Trend'!J6</f>
        <v>45641120931.690002</v>
      </c>
      <c r="G11" s="123"/>
    </row>
    <row r="12" spans="1:7">
      <c r="A12" s="117"/>
      <c r="B12" s="118"/>
      <c r="E12" s="220" t="s">
        <v>66</v>
      </c>
      <c r="F12" s="122">
        <f>'NAV Trend'!J7</f>
        <v>29870422741.332851</v>
      </c>
      <c r="G12" s="123"/>
    </row>
    <row r="13" spans="1:7">
      <c r="A13" s="117"/>
      <c r="B13" s="118"/>
      <c r="E13" s="220" t="s">
        <v>72</v>
      </c>
      <c r="F13" s="122">
        <f>'NAV Trend'!J8</f>
        <v>2873228056.0900002</v>
      </c>
      <c r="G13" s="123"/>
    </row>
    <row r="14" spans="1:7">
      <c r="A14" s="117"/>
      <c r="B14" s="118"/>
      <c r="E14" s="220" t="s">
        <v>228</v>
      </c>
      <c r="F14" s="221">
        <f>'NAV Trend'!J9</f>
        <v>22933528265.999996</v>
      </c>
      <c r="G14" s="123"/>
    </row>
    <row r="15" spans="1:7">
      <c r="A15" s="117"/>
      <c r="B15" s="118"/>
      <c r="E15" s="123"/>
      <c r="F15" s="123"/>
      <c r="G15" s="123"/>
    </row>
    <row r="16" spans="1:7">
      <c r="A16" s="117"/>
      <c r="B16" s="118"/>
      <c r="E16" s="123"/>
      <c r="F16" s="123"/>
      <c r="G16" s="123"/>
    </row>
    <row r="17" spans="1:13">
      <c r="A17" s="117"/>
      <c r="B17" s="118"/>
      <c r="E17" s="123"/>
      <c r="F17" s="123"/>
      <c r="G17" s="123"/>
    </row>
    <row r="18" spans="1:13">
      <c r="A18" s="117"/>
      <c r="B18" s="118"/>
      <c r="E18" s="123"/>
      <c r="F18" s="123"/>
      <c r="G18" s="123"/>
    </row>
    <row r="19" spans="1:13">
      <c r="A19" s="117"/>
      <c r="B19" s="118"/>
      <c r="E19" s="123"/>
      <c r="F19" s="123"/>
      <c r="G19" s="123"/>
    </row>
    <row r="24" spans="1:13" s="114" customFormat="1" ht="21.75" customHeight="1"/>
    <row r="25" spans="1:13" ht="30.75" customHeight="1">
      <c r="B25" s="124" t="s">
        <v>166</v>
      </c>
      <c r="M25" s="115"/>
    </row>
    <row r="26" spans="1:13" ht="68.25" customHeight="1">
      <c r="B26" s="486" t="s">
        <v>285</v>
      </c>
      <c r="C26" s="486"/>
      <c r="D26" s="486"/>
      <c r="E26" s="486"/>
      <c r="F26" s="486"/>
      <c r="G26" s="486"/>
      <c r="H26" s="486"/>
      <c r="I26" s="486"/>
      <c r="J26" s="486"/>
      <c r="K26" s="486"/>
      <c r="L26" s="486"/>
      <c r="M26" s="119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H1" activePane="topRight" state="frozen"/>
      <selection activeCell="B1" sqref="B1"/>
      <selection pane="topRight" activeCell="K9" sqref="K9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1" t="s">
        <v>70</v>
      </c>
      <c r="C1" s="102">
        <v>44862</v>
      </c>
      <c r="D1" s="102">
        <v>44869</v>
      </c>
      <c r="E1" s="102">
        <v>44876</v>
      </c>
      <c r="F1" s="102">
        <v>44883</v>
      </c>
      <c r="G1" s="102">
        <v>44890</v>
      </c>
      <c r="H1" s="102">
        <v>44897</v>
      </c>
      <c r="I1" s="102">
        <v>44904</v>
      </c>
      <c r="J1" s="102">
        <v>44911</v>
      </c>
      <c r="K1" s="102">
        <v>45283</v>
      </c>
      <c r="L1" s="349"/>
    </row>
    <row r="2" spans="2:24" s="131" customFormat="1">
      <c r="B2" s="103" t="s">
        <v>0</v>
      </c>
      <c r="C2" s="104">
        <v>15117578327.809998</v>
      </c>
      <c r="D2" s="104">
        <v>15091571938.020002</v>
      </c>
      <c r="E2" s="104">
        <v>14878650973.370001</v>
      </c>
      <c r="F2" s="104">
        <v>14950754480.85</v>
      </c>
      <c r="G2" s="104">
        <v>15213332672.289999</v>
      </c>
      <c r="H2" s="104">
        <v>15301360595.649994</v>
      </c>
      <c r="I2" s="104">
        <v>15444795301.529999</v>
      </c>
      <c r="J2" s="104">
        <v>15526960302.890003</v>
      </c>
      <c r="K2" s="104">
        <v>15749133335.319998</v>
      </c>
    </row>
    <row r="3" spans="2:24" s="131" customFormat="1">
      <c r="B3" s="103" t="s">
        <v>49</v>
      </c>
      <c r="C3" s="106">
        <v>582479188277.02686</v>
      </c>
      <c r="D3" s="106">
        <v>577843844867.68115</v>
      </c>
      <c r="E3" s="106">
        <v>574228446553.54651</v>
      </c>
      <c r="F3" s="106">
        <v>578013629503.56995</v>
      </c>
      <c r="G3" s="106">
        <v>584870498552.73987</v>
      </c>
      <c r="H3" s="106">
        <v>587902088881.4845</v>
      </c>
      <c r="I3" s="106">
        <v>588565606910.96375</v>
      </c>
      <c r="J3" s="437">
        <v>590991900611.65771</v>
      </c>
      <c r="K3" s="437">
        <v>599441283293.77356</v>
      </c>
    </row>
    <row r="4" spans="2:24" s="131" customFormat="1">
      <c r="B4" s="103" t="s">
        <v>212</v>
      </c>
      <c r="C4" s="104">
        <v>363697756606.80829</v>
      </c>
      <c r="D4" s="104">
        <v>358756134715.60413</v>
      </c>
      <c r="E4" s="104">
        <v>354067957931.39105</v>
      </c>
      <c r="F4" s="104">
        <v>350413185415.0213</v>
      </c>
      <c r="G4" s="104">
        <v>343631563073.46741</v>
      </c>
      <c r="H4" s="104">
        <v>342322079001.19733</v>
      </c>
      <c r="I4" s="104">
        <v>341163967419.0567</v>
      </c>
      <c r="J4" s="104">
        <v>337768215375.69989</v>
      </c>
      <c r="K4" s="104">
        <v>337962376179.40198</v>
      </c>
    </row>
    <row r="5" spans="2:24" s="131" customFormat="1">
      <c r="B5" s="103" t="s">
        <v>214</v>
      </c>
      <c r="C5" s="106">
        <v>325873301139.4115</v>
      </c>
      <c r="D5" s="106">
        <v>325559432299.45282</v>
      </c>
      <c r="E5" s="106">
        <v>326189434068.44525</v>
      </c>
      <c r="F5" s="106">
        <v>335619156968.651</v>
      </c>
      <c r="G5" s="106">
        <v>337593361628.04932</v>
      </c>
      <c r="H5" s="106">
        <v>326922367413.83118</v>
      </c>
      <c r="I5" s="106">
        <v>328523247840.62286</v>
      </c>
      <c r="J5" s="437">
        <v>324899490879.42987</v>
      </c>
      <c r="K5" s="437">
        <v>328659495248.42633</v>
      </c>
    </row>
    <row r="6" spans="2:24" s="131" customFormat="1">
      <c r="B6" s="103" t="s">
        <v>235</v>
      </c>
      <c r="C6" s="104">
        <v>45441254320.619995</v>
      </c>
      <c r="D6" s="104">
        <v>45471708137.050003</v>
      </c>
      <c r="E6" s="104">
        <v>45709841753.909996</v>
      </c>
      <c r="F6" s="104">
        <v>45713006421.229996</v>
      </c>
      <c r="G6" s="104">
        <v>45722431990.459999</v>
      </c>
      <c r="H6" s="104">
        <v>45581977419.720001</v>
      </c>
      <c r="I6" s="104">
        <v>45612800548.009995</v>
      </c>
      <c r="J6" s="104">
        <v>45641120931.690002</v>
      </c>
      <c r="K6" s="104">
        <v>45659418904.860001</v>
      </c>
    </row>
    <row r="7" spans="2:24" s="131" customFormat="1">
      <c r="B7" s="103" t="s">
        <v>245</v>
      </c>
      <c r="C7" s="105">
        <v>29225566515.922413</v>
      </c>
      <c r="D7" s="105">
        <v>29123241376.55814</v>
      </c>
      <c r="E7" s="105">
        <v>28963635112.849403</v>
      </c>
      <c r="F7" s="105">
        <v>29133230721.822796</v>
      </c>
      <c r="G7" s="105">
        <v>29384603401.979706</v>
      </c>
      <c r="H7" s="105">
        <v>29609717519.464787</v>
      </c>
      <c r="I7" s="105">
        <v>29903381585.981205</v>
      </c>
      <c r="J7" s="105">
        <v>29870422741.332851</v>
      </c>
      <c r="K7" s="105">
        <v>30095632697.342506</v>
      </c>
    </row>
    <row r="8" spans="2:24" s="327" customFormat="1">
      <c r="B8" s="103" t="s">
        <v>72</v>
      </c>
      <c r="C8" s="104">
        <v>2797748732.5599999</v>
      </c>
      <c r="D8" s="104">
        <v>2807498589.54</v>
      </c>
      <c r="E8" s="104">
        <v>2782426925.4700003</v>
      </c>
      <c r="F8" s="104">
        <v>2806026075.8699999</v>
      </c>
      <c r="G8" s="104">
        <v>2820100312.9700003</v>
      </c>
      <c r="H8" s="104">
        <v>2863001721.3400002</v>
      </c>
      <c r="I8" s="104">
        <v>2869997501.9300003</v>
      </c>
      <c r="J8" s="104">
        <v>2873228056.0900002</v>
      </c>
      <c r="K8" s="104">
        <v>2888057210.21</v>
      </c>
    </row>
    <row r="9" spans="2:24">
      <c r="B9" s="103" t="s">
        <v>228</v>
      </c>
      <c r="C9" s="330">
        <v>19488439479.509998</v>
      </c>
      <c r="D9" s="330">
        <v>19804591061.689999</v>
      </c>
      <c r="E9" s="330">
        <v>19799411572.150002</v>
      </c>
      <c r="F9" s="330">
        <v>19838947131.609997</v>
      </c>
      <c r="G9" s="330">
        <v>19844639157.199997</v>
      </c>
      <c r="H9" s="330">
        <v>23180540646.950005</v>
      </c>
      <c r="I9" s="330">
        <v>22922161098.549999</v>
      </c>
      <c r="J9" s="330">
        <v>22933528265.999996</v>
      </c>
      <c r="K9" s="330">
        <v>22759261173.869999</v>
      </c>
    </row>
    <row r="10" spans="2:24" s="2" customFormat="1">
      <c r="B10" s="107" t="s">
        <v>1</v>
      </c>
      <c r="C10" s="108">
        <f t="shared" ref="C10:H10" si="0">SUM(C2:C9)</f>
        <v>1384120833399.6692</v>
      </c>
      <c r="D10" s="108">
        <f t="shared" si="0"/>
        <v>1374458022985.5962</v>
      </c>
      <c r="E10" s="108">
        <f t="shared" si="0"/>
        <v>1366619804891.1321</v>
      </c>
      <c r="F10" s="108">
        <f t="shared" si="0"/>
        <v>1376487936718.6252</v>
      </c>
      <c r="G10" s="108">
        <f t="shared" si="0"/>
        <v>1379080530789.1563</v>
      </c>
      <c r="H10" s="108">
        <f t="shared" si="0"/>
        <v>1373683133199.6379</v>
      </c>
      <c r="I10" s="108">
        <f>SUM(I2:I9)</f>
        <v>1375005958206.6445</v>
      </c>
      <c r="J10" s="108">
        <f>SUM(J2:J9)</f>
        <v>1370504867164.7903</v>
      </c>
      <c r="K10" s="108">
        <f>SUM(K2:K9)</f>
        <v>1383214658043.2046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3" t="s">
        <v>124</v>
      </c>
      <c r="C12" s="94" t="s">
        <v>123</v>
      </c>
      <c r="D12" s="95">
        <f>(C10+D10)/2</f>
        <v>1379289428192.6328</v>
      </c>
      <c r="E12" s="96">
        <f t="shared" ref="E12:K12" si="1">(D10+E10)/2</f>
        <v>1370538913938.3643</v>
      </c>
      <c r="F12" s="96">
        <f t="shared" si="1"/>
        <v>1371553870804.8787</v>
      </c>
      <c r="G12" s="96">
        <f t="shared" si="1"/>
        <v>1377784233753.8906</v>
      </c>
      <c r="H12" s="96">
        <f>(G10+H10)/2</f>
        <v>1376381831994.397</v>
      </c>
      <c r="I12" s="96">
        <f t="shared" si="1"/>
        <v>1374344545703.1411</v>
      </c>
      <c r="J12" s="96">
        <f t="shared" si="1"/>
        <v>1372755412685.7173</v>
      </c>
      <c r="K12" s="96">
        <f t="shared" si="1"/>
        <v>1376859762603.9976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29"/>
      <c r="I14" s="111"/>
      <c r="J14" s="110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1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2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6"/>
  <sheetViews>
    <sheetView zoomScaleNormal="100" workbookViewId="0">
      <pane xSplit="1" ySplit="8" topLeftCell="AC9" activePane="bottomRight" state="frozen"/>
      <selection pane="topRight" activeCell="E1" sqref="E1"/>
      <selection pane="bottomLeft" activeCell="A8" sqref="A8"/>
      <selection pane="bottomRight" activeCell="AP141" sqref="AP141"/>
    </sheetView>
  </sheetViews>
  <sheetFormatPr defaultColWidth="8.85546875" defaultRowHeight="15"/>
  <cols>
    <col min="1" max="1" width="37.140625" customWidth="1"/>
    <col min="2" max="2" width="20.140625" style="347" customWidth="1"/>
    <col min="3" max="3" width="9.28515625" style="347" customWidth="1"/>
    <col min="4" max="4" width="21.42578125" style="347" customWidth="1"/>
    <col min="5" max="7" width="9.28515625" style="347" customWidth="1"/>
    <col min="8" max="8" width="21.28515625" style="347" customWidth="1"/>
    <col min="9" max="11" width="9.28515625" style="347" customWidth="1"/>
    <col min="12" max="12" width="19.5703125" style="347" customWidth="1"/>
    <col min="13" max="15" width="9.28515625" style="347" customWidth="1"/>
    <col min="16" max="16" width="20.140625" style="347" customWidth="1"/>
    <col min="17" max="17" width="10.140625" style="347" customWidth="1"/>
    <col min="18" max="19" width="9.28515625" style="347" customWidth="1"/>
    <col min="20" max="20" width="21.140625" style="347" customWidth="1"/>
    <col min="21" max="23" width="9.28515625" style="347" customWidth="1"/>
    <col min="24" max="24" width="21" style="347" customWidth="1"/>
    <col min="25" max="25" width="11" style="347" customWidth="1"/>
    <col min="26" max="27" width="9.28515625" style="347" customWidth="1"/>
    <col min="28" max="28" width="19" style="347" customWidth="1"/>
    <col min="29" max="29" width="10.5703125" style="347" customWidth="1"/>
    <col min="30" max="31" width="9.28515625" style="347" customWidth="1"/>
    <col min="32" max="32" width="21.140625" style="347" customWidth="1"/>
    <col min="33" max="35" width="9.28515625" style="34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1" customFormat="1" ht="51" customHeight="1" thickBot="1">
      <c r="A1" s="487" t="s">
        <v>77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9"/>
    </row>
    <row r="2" spans="1:49" ht="30.75" customHeight="1">
      <c r="A2" s="226"/>
      <c r="B2" s="490" t="s">
        <v>268</v>
      </c>
      <c r="C2" s="490"/>
      <c r="D2" s="490" t="s">
        <v>269</v>
      </c>
      <c r="E2" s="490"/>
      <c r="F2" s="490" t="s">
        <v>68</v>
      </c>
      <c r="G2" s="490"/>
      <c r="H2" s="490" t="s">
        <v>270</v>
      </c>
      <c r="I2" s="490"/>
      <c r="J2" s="490" t="s">
        <v>68</v>
      </c>
      <c r="K2" s="490"/>
      <c r="L2" s="490" t="s">
        <v>272</v>
      </c>
      <c r="M2" s="490"/>
      <c r="N2" s="490" t="s">
        <v>68</v>
      </c>
      <c r="O2" s="490"/>
      <c r="P2" s="490" t="s">
        <v>273</v>
      </c>
      <c r="Q2" s="490"/>
      <c r="R2" s="490" t="s">
        <v>68</v>
      </c>
      <c r="S2" s="490"/>
      <c r="T2" s="490" t="s">
        <v>275</v>
      </c>
      <c r="U2" s="490"/>
      <c r="V2" s="490" t="s">
        <v>68</v>
      </c>
      <c r="W2" s="490"/>
      <c r="X2" s="490" t="s">
        <v>276</v>
      </c>
      <c r="Y2" s="490"/>
      <c r="Z2" s="490" t="s">
        <v>68</v>
      </c>
      <c r="AA2" s="490"/>
      <c r="AB2" s="490" t="s">
        <v>278</v>
      </c>
      <c r="AC2" s="490"/>
      <c r="AD2" s="490" t="s">
        <v>68</v>
      </c>
      <c r="AE2" s="490"/>
      <c r="AF2" s="490" t="s">
        <v>278</v>
      </c>
      <c r="AG2" s="490"/>
      <c r="AH2" s="490" t="s">
        <v>68</v>
      </c>
      <c r="AI2" s="490"/>
      <c r="AJ2" s="490" t="s">
        <v>85</v>
      </c>
      <c r="AK2" s="490"/>
      <c r="AL2" s="490" t="s">
        <v>86</v>
      </c>
      <c r="AM2" s="490"/>
      <c r="AN2" s="490" t="s">
        <v>76</v>
      </c>
      <c r="AO2" s="491"/>
      <c r="AP2" s="16"/>
      <c r="AQ2" s="492" t="s">
        <v>90</v>
      </c>
      <c r="AR2" s="493"/>
      <c r="AS2" s="16"/>
      <c r="AT2" s="16"/>
    </row>
    <row r="3" spans="1:49" ht="14.25" customHeight="1">
      <c r="A3" s="227" t="s">
        <v>3</v>
      </c>
      <c r="B3" s="215" t="s">
        <v>64</v>
      </c>
      <c r="C3" s="216" t="s">
        <v>4</v>
      </c>
      <c r="D3" s="215" t="s">
        <v>64</v>
      </c>
      <c r="E3" s="216" t="s">
        <v>4</v>
      </c>
      <c r="F3" s="222" t="s">
        <v>64</v>
      </c>
      <c r="G3" s="223" t="s">
        <v>4</v>
      </c>
      <c r="H3" s="215" t="s">
        <v>64</v>
      </c>
      <c r="I3" s="216" t="s">
        <v>4</v>
      </c>
      <c r="J3" s="222" t="s">
        <v>64</v>
      </c>
      <c r="K3" s="223" t="s">
        <v>4</v>
      </c>
      <c r="L3" s="215" t="s">
        <v>64</v>
      </c>
      <c r="M3" s="216" t="s">
        <v>4</v>
      </c>
      <c r="N3" s="222" t="s">
        <v>64</v>
      </c>
      <c r="O3" s="223" t="s">
        <v>4</v>
      </c>
      <c r="P3" s="215" t="s">
        <v>64</v>
      </c>
      <c r="Q3" s="216" t="s">
        <v>4</v>
      </c>
      <c r="R3" s="222" t="s">
        <v>64</v>
      </c>
      <c r="S3" s="223" t="s">
        <v>4</v>
      </c>
      <c r="T3" s="215" t="s">
        <v>64</v>
      </c>
      <c r="U3" s="216" t="s">
        <v>4</v>
      </c>
      <c r="V3" s="222" t="s">
        <v>64</v>
      </c>
      <c r="W3" s="223" t="s">
        <v>4</v>
      </c>
      <c r="X3" s="215" t="s">
        <v>64</v>
      </c>
      <c r="Y3" s="216" t="s">
        <v>4</v>
      </c>
      <c r="Z3" s="222" t="s">
        <v>64</v>
      </c>
      <c r="AA3" s="223" t="s">
        <v>4</v>
      </c>
      <c r="AB3" s="215" t="s">
        <v>64</v>
      </c>
      <c r="AC3" s="216" t="s">
        <v>4</v>
      </c>
      <c r="AD3" s="222" t="s">
        <v>64</v>
      </c>
      <c r="AE3" s="223" t="s">
        <v>4</v>
      </c>
      <c r="AF3" s="215" t="s">
        <v>64</v>
      </c>
      <c r="AG3" s="216" t="s">
        <v>4</v>
      </c>
      <c r="AH3" s="222" t="s">
        <v>64</v>
      </c>
      <c r="AI3" s="223" t="s">
        <v>4</v>
      </c>
      <c r="AJ3" s="222" t="s">
        <v>64</v>
      </c>
      <c r="AK3" s="223" t="s">
        <v>4</v>
      </c>
      <c r="AL3" s="222" t="s">
        <v>64</v>
      </c>
      <c r="AM3" s="223" t="s">
        <v>4</v>
      </c>
      <c r="AN3" s="222" t="s">
        <v>64</v>
      </c>
      <c r="AO3" s="224" t="s">
        <v>4</v>
      </c>
      <c r="AP3" s="16"/>
      <c r="AQ3" s="19" t="s">
        <v>64</v>
      </c>
      <c r="AR3" s="20" t="s">
        <v>4</v>
      </c>
      <c r="AS3" s="16"/>
      <c r="AT3" s="16"/>
    </row>
    <row r="4" spans="1:49">
      <c r="A4" s="228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84</v>
      </c>
      <c r="G4" s="21" t="s">
        <v>84</v>
      </c>
      <c r="H4" s="69" t="s">
        <v>5</v>
      </c>
      <c r="I4" s="69" t="s">
        <v>5</v>
      </c>
      <c r="J4" s="21" t="s">
        <v>84</v>
      </c>
      <c r="K4" s="21" t="s">
        <v>84</v>
      </c>
      <c r="L4" s="69" t="s">
        <v>5</v>
      </c>
      <c r="M4" s="69" t="s">
        <v>5</v>
      </c>
      <c r="N4" s="21" t="s">
        <v>84</v>
      </c>
      <c r="O4" s="21" t="s">
        <v>84</v>
      </c>
      <c r="P4" s="69" t="s">
        <v>5</v>
      </c>
      <c r="Q4" s="69" t="s">
        <v>5</v>
      </c>
      <c r="R4" s="21" t="s">
        <v>84</v>
      </c>
      <c r="S4" s="21" t="s">
        <v>84</v>
      </c>
      <c r="T4" s="69" t="s">
        <v>5</v>
      </c>
      <c r="U4" s="69" t="s">
        <v>5</v>
      </c>
      <c r="V4" s="21" t="s">
        <v>84</v>
      </c>
      <c r="W4" s="21" t="s">
        <v>84</v>
      </c>
      <c r="X4" s="69" t="s">
        <v>5</v>
      </c>
      <c r="Y4" s="69" t="s">
        <v>5</v>
      </c>
      <c r="Z4" s="21" t="s">
        <v>84</v>
      </c>
      <c r="AA4" s="21" t="s">
        <v>84</v>
      </c>
      <c r="AB4" s="69" t="s">
        <v>5</v>
      </c>
      <c r="AC4" s="69" t="s">
        <v>5</v>
      </c>
      <c r="AD4" s="21" t="s">
        <v>84</v>
      </c>
      <c r="AE4" s="21" t="s">
        <v>84</v>
      </c>
      <c r="AF4" s="69" t="s">
        <v>5</v>
      </c>
      <c r="AG4" s="69" t="s">
        <v>5</v>
      </c>
      <c r="AH4" s="21" t="s">
        <v>84</v>
      </c>
      <c r="AI4" s="21" t="s">
        <v>84</v>
      </c>
      <c r="AJ4" s="22" t="s">
        <v>84</v>
      </c>
      <c r="AK4" s="22" t="s">
        <v>84</v>
      </c>
      <c r="AL4" s="23" t="s">
        <v>84</v>
      </c>
      <c r="AM4" s="23" t="s">
        <v>84</v>
      </c>
      <c r="AN4" s="17" t="s">
        <v>84</v>
      </c>
      <c r="AO4" s="18" t="s">
        <v>84</v>
      </c>
      <c r="AP4" s="16"/>
      <c r="AQ4" s="24" t="s">
        <v>5</v>
      </c>
      <c r="AR4" s="24" t="s">
        <v>5</v>
      </c>
      <c r="AS4" s="16"/>
      <c r="AT4" s="16"/>
    </row>
    <row r="5" spans="1:49">
      <c r="A5" s="229" t="s">
        <v>7</v>
      </c>
      <c r="B5" s="415">
        <v>6869680355.7799997</v>
      </c>
      <c r="C5" s="414">
        <v>11705.74</v>
      </c>
      <c r="D5" s="415">
        <v>6841340828.8800001</v>
      </c>
      <c r="E5" s="414">
        <v>11659.29</v>
      </c>
      <c r="F5" s="25">
        <f t="shared" ref="F5:F20" si="0">((D5-B5)/B5)</f>
        <v>-4.1253050261873328E-3</v>
      </c>
      <c r="G5" s="25">
        <f t="shared" ref="G5:G20" si="1">((E5-C5)/C5)</f>
        <v>-3.9681387080183666E-3</v>
      </c>
      <c r="H5" s="415">
        <v>6718810375.7600002</v>
      </c>
      <c r="I5" s="414">
        <v>11454.85</v>
      </c>
      <c r="J5" s="25">
        <f t="shared" ref="J5:J20" si="2">((H5-D5)/D5)</f>
        <v>-1.7910298022684453E-2</v>
      </c>
      <c r="K5" s="25">
        <f t="shared" ref="K5:K20" si="3">((I5-E5)/E5)</f>
        <v>-1.7534515395019809E-2</v>
      </c>
      <c r="L5" s="415">
        <v>6759341893.6499996</v>
      </c>
      <c r="M5" s="414">
        <v>11530.01</v>
      </c>
      <c r="N5" s="25">
        <f t="shared" ref="N5:N20" si="4">((L5-H5)/H5)</f>
        <v>6.032543802133224E-3</v>
      </c>
      <c r="O5" s="25">
        <f t="shared" ref="O5:O20" si="5">((M5-I5)/I5)</f>
        <v>6.5614128513249714E-3</v>
      </c>
      <c r="P5" s="415">
        <v>6871062925.3699999</v>
      </c>
      <c r="Q5" s="414">
        <v>11723.86</v>
      </c>
      <c r="R5" s="25">
        <f t="shared" ref="R5:R20" si="6">((P5-L5)/L5)</f>
        <v>1.6528388928655251E-2</v>
      </c>
      <c r="S5" s="25">
        <f t="shared" ref="S5:S20" si="7">((Q5-M5)/M5)</f>
        <v>1.6812648037599305E-2</v>
      </c>
      <c r="T5" s="415">
        <v>6871677836.1499996</v>
      </c>
      <c r="U5" s="414">
        <v>11738.28</v>
      </c>
      <c r="V5" s="25">
        <f t="shared" ref="V5:V20" si="8">((T5-P5)/P5)</f>
        <v>8.9492817440122715E-5</v>
      </c>
      <c r="W5" s="25">
        <f t="shared" ref="W5:W20" si="9">((U5-Q5)/Q5)</f>
        <v>1.22997033400263E-3</v>
      </c>
      <c r="X5" s="415">
        <v>6936764471.6700001</v>
      </c>
      <c r="Y5" s="414">
        <v>11856.02</v>
      </c>
      <c r="Z5" s="25">
        <f t="shared" ref="Z5:Z20" si="10">((X5-T5)/T5)</f>
        <v>9.4717239474757745E-3</v>
      </c>
      <c r="AA5" s="25">
        <f t="shared" ref="AA5:AA20" si="11">((Y5-U5)/U5)</f>
        <v>1.0030430352658121E-2</v>
      </c>
      <c r="AB5" s="415">
        <v>6961278920.3400002</v>
      </c>
      <c r="AC5" s="414">
        <v>11895.07</v>
      </c>
      <c r="AD5" s="25">
        <f t="shared" ref="AD5:AD20" si="12">((AB5-X5)/X5)</f>
        <v>3.5339889036333843E-3</v>
      </c>
      <c r="AE5" s="25">
        <f t="shared" ref="AE5:AE20" si="13">((AC5-Y5)/Y5)</f>
        <v>3.2936854020151171E-3</v>
      </c>
      <c r="AF5" s="415">
        <v>7078686974.9300003</v>
      </c>
      <c r="AG5" s="414">
        <v>12064.98</v>
      </c>
      <c r="AH5" s="25">
        <f t="shared" ref="AH5:AH20" si="14">((AF5-AB5)/AB5)</f>
        <v>1.6865874206957614E-2</v>
      </c>
      <c r="AI5" s="25">
        <f t="shared" ref="AI5:AI20" si="15">((AG5-AC5)/AC5)</f>
        <v>1.4284068946210477E-2</v>
      </c>
      <c r="AJ5" s="26">
        <f>AVERAGE(F5,J5,N5,R5,V5,Z5,AD5,AH5)</f>
        <v>3.8108011946779482E-3</v>
      </c>
      <c r="AK5" s="26">
        <f>AVERAGE(G5,K5,O5,S5,W5,AA5,AE5,AI5)</f>
        <v>3.8386952275965558E-3</v>
      </c>
      <c r="AL5" s="27">
        <f>((AF5-D5)/D5)</f>
        <v>3.469292818274284E-2</v>
      </c>
      <c r="AM5" s="27">
        <f>((AG5-E5)/E5)</f>
        <v>3.4795429224249386E-2</v>
      </c>
      <c r="AN5" s="28">
        <f>STDEV(F5,J5,N5,R5,V5,Z5,AD5,AH5)</f>
        <v>1.1450931652656171E-2</v>
      </c>
      <c r="AO5" s="85">
        <f>STDEV(G5,K5,O5,S5,W5,AA5,AE5,AI5)</f>
        <v>1.1006772775059894E-2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29" t="s">
        <v>50</v>
      </c>
      <c r="B6" s="415">
        <v>896466350.45000005</v>
      </c>
      <c r="C6" s="414">
        <v>1.83</v>
      </c>
      <c r="D6" s="415">
        <v>902554828.66999996</v>
      </c>
      <c r="E6" s="414">
        <v>1.84</v>
      </c>
      <c r="F6" s="25">
        <f t="shared" si="0"/>
        <v>6.7916416683611947E-3</v>
      </c>
      <c r="G6" s="25">
        <f t="shared" si="1"/>
        <v>5.4644808743169442E-3</v>
      </c>
      <c r="H6" s="415">
        <v>896027412.78999996</v>
      </c>
      <c r="I6" s="414">
        <v>1.83</v>
      </c>
      <c r="J6" s="25">
        <f t="shared" si="2"/>
        <v>-7.2321544050888975E-3</v>
      </c>
      <c r="K6" s="25">
        <f t="shared" si="3"/>
        <v>-5.4347826086956564E-3</v>
      </c>
      <c r="L6" s="415">
        <v>898859738.01999998</v>
      </c>
      <c r="M6" s="414">
        <v>1.83</v>
      </c>
      <c r="N6" s="25">
        <f t="shared" si="4"/>
        <v>3.1609805565890928E-3</v>
      </c>
      <c r="O6" s="25">
        <f t="shared" si="5"/>
        <v>0</v>
      </c>
      <c r="P6" s="415">
        <v>933826320.80999994</v>
      </c>
      <c r="Q6" s="414">
        <v>1.9</v>
      </c>
      <c r="R6" s="25">
        <f t="shared" si="6"/>
        <v>3.8901044635755999E-2</v>
      </c>
      <c r="S6" s="25">
        <f t="shared" si="7"/>
        <v>3.825136612021849E-2</v>
      </c>
      <c r="T6" s="415">
        <v>943042347.45000005</v>
      </c>
      <c r="U6" s="414">
        <v>1.92</v>
      </c>
      <c r="V6" s="25">
        <f t="shared" si="8"/>
        <v>9.8691013892242118E-3</v>
      </c>
      <c r="W6" s="25">
        <f t="shared" si="9"/>
        <v>1.0526315789473694E-2</v>
      </c>
      <c r="X6" s="415">
        <v>959578067.91999996</v>
      </c>
      <c r="Y6" s="414">
        <v>1.96</v>
      </c>
      <c r="Z6" s="25">
        <f t="shared" si="10"/>
        <v>1.7534441072251668E-2</v>
      </c>
      <c r="AA6" s="25">
        <f t="shared" si="11"/>
        <v>2.0833333333333353E-2</v>
      </c>
      <c r="AB6" s="415">
        <v>969982955.41999996</v>
      </c>
      <c r="AC6" s="414">
        <v>1.98</v>
      </c>
      <c r="AD6" s="25">
        <f t="shared" si="12"/>
        <v>1.0843190197702034E-2</v>
      </c>
      <c r="AE6" s="25">
        <f t="shared" si="13"/>
        <v>1.0204081632653071E-2</v>
      </c>
      <c r="AF6" s="415">
        <v>977230662.92999995</v>
      </c>
      <c r="AG6" s="414">
        <v>1.99</v>
      </c>
      <c r="AH6" s="25">
        <f t="shared" si="14"/>
        <v>7.4719947082593358E-3</v>
      </c>
      <c r="AI6" s="25">
        <f t="shared" si="15"/>
        <v>5.0505050505050553E-3</v>
      </c>
      <c r="AJ6" s="26">
        <f t="shared" ref="AJ6:AJ69" si="16">AVERAGE(F6,J6,N6,R6,V6,Z6,AD6,AH6)</f>
        <v>1.091752997788183E-2</v>
      </c>
      <c r="AK6" s="26">
        <f t="shared" ref="AK6:AK69" si="17">AVERAGE(G6,K6,O6,S6,W6,AA6,AE6,AI6)</f>
        <v>1.0611912523975619E-2</v>
      </c>
      <c r="AL6" s="27">
        <f t="shared" ref="AL6:AL69" si="18">((AF6-D6)/D6)</f>
        <v>8.2738280144201218E-2</v>
      </c>
      <c r="AM6" s="27">
        <f t="shared" ref="AM6:AM69" si="19">((AG6-E6)/E6)</f>
        <v>8.1521739130434728E-2</v>
      </c>
      <c r="AN6" s="28">
        <f t="shared" ref="AN6:AN69" si="20">STDEV(F6,J6,N6,R6,V6,Z6,AD6,AH6)</f>
        <v>1.3343993318075714E-2</v>
      </c>
      <c r="AO6" s="85">
        <f t="shared" ref="AO6:AO69" si="21">STDEV(G6,K6,O6,S6,W6,AA6,AE6,AI6)</f>
        <v>1.3607376723511812E-2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29" t="s">
        <v>12</v>
      </c>
      <c r="B7" s="415">
        <v>242675236.63</v>
      </c>
      <c r="C7" s="414">
        <v>124.38</v>
      </c>
      <c r="D7" s="415">
        <v>238955247.19999999</v>
      </c>
      <c r="E7" s="414">
        <v>122.62</v>
      </c>
      <c r="F7" s="25">
        <f t="shared" si="0"/>
        <v>-1.5329085413324511E-2</v>
      </c>
      <c r="G7" s="25">
        <f t="shared" si="1"/>
        <v>-1.4150184917189185E-2</v>
      </c>
      <c r="H7" s="415">
        <v>238389400.72</v>
      </c>
      <c r="I7" s="414">
        <v>122.34</v>
      </c>
      <c r="J7" s="25">
        <f t="shared" si="2"/>
        <v>-2.3680019025754599E-3</v>
      </c>
      <c r="K7" s="25">
        <f t="shared" si="3"/>
        <v>-2.2834774098842042E-3</v>
      </c>
      <c r="L7" s="415">
        <v>241611461.49000001</v>
      </c>
      <c r="M7" s="414">
        <v>123.97</v>
      </c>
      <c r="N7" s="25">
        <f t="shared" si="4"/>
        <v>1.3515956499192171E-2</v>
      </c>
      <c r="O7" s="25">
        <f t="shared" si="5"/>
        <v>1.3323524603563801E-2</v>
      </c>
      <c r="P7" s="415">
        <v>246109823.97999999</v>
      </c>
      <c r="Q7" s="414">
        <v>126.24</v>
      </c>
      <c r="R7" s="25">
        <f t="shared" si="6"/>
        <v>1.8618166796636679E-2</v>
      </c>
      <c r="S7" s="25">
        <f t="shared" si="7"/>
        <v>1.8310881664918899E-2</v>
      </c>
      <c r="T7" s="415">
        <v>248811872.56</v>
      </c>
      <c r="U7" s="414">
        <v>127.59</v>
      </c>
      <c r="V7" s="25">
        <f t="shared" si="8"/>
        <v>1.0979035847913141E-2</v>
      </c>
      <c r="W7" s="25">
        <f t="shared" si="9"/>
        <v>1.0693916349809953E-2</v>
      </c>
      <c r="X7" s="415">
        <v>247630458.13999999</v>
      </c>
      <c r="Y7" s="414">
        <v>127.02</v>
      </c>
      <c r="Z7" s="25">
        <f t="shared" si="10"/>
        <v>-4.7482236592834744E-3</v>
      </c>
      <c r="AA7" s="25">
        <f t="shared" si="11"/>
        <v>-4.4674347519398647E-3</v>
      </c>
      <c r="AB7" s="415">
        <v>250023807.15000001</v>
      </c>
      <c r="AC7" s="414">
        <v>128.22999999999999</v>
      </c>
      <c r="AD7" s="25">
        <f t="shared" si="12"/>
        <v>9.6650025525007108E-3</v>
      </c>
      <c r="AE7" s="25">
        <f t="shared" si="13"/>
        <v>9.5260588883639887E-3</v>
      </c>
      <c r="AF7" s="415">
        <v>250023807.15000001</v>
      </c>
      <c r="AG7" s="414">
        <v>124.01</v>
      </c>
      <c r="AH7" s="25">
        <f t="shared" si="14"/>
        <v>0</v>
      </c>
      <c r="AI7" s="25">
        <f t="shared" si="15"/>
        <v>-3.290961553458617E-2</v>
      </c>
      <c r="AJ7" s="26">
        <f t="shared" si="16"/>
        <v>3.7916063401324074E-3</v>
      </c>
      <c r="AK7" s="26">
        <f t="shared" si="17"/>
        <v>-2.4454138836784746E-4</v>
      </c>
      <c r="AL7" s="27">
        <f t="shared" si="18"/>
        <v>4.6320639867497411E-2</v>
      </c>
      <c r="AM7" s="27">
        <f t="shared" si="19"/>
        <v>1.1335834284782258E-2</v>
      </c>
      <c r="AN7" s="28">
        <f t="shared" si="20"/>
        <v>1.1284581192779105E-2</v>
      </c>
      <c r="AO7" s="85">
        <f t="shared" si="21"/>
        <v>1.7012074309963165E-2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29" t="s">
        <v>14</v>
      </c>
      <c r="B8" s="415">
        <v>670854317.48000002</v>
      </c>
      <c r="C8" s="414">
        <v>17.739999999999998</v>
      </c>
      <c r="D8" s="415">
        <v>667122357.85000002</v>
      </c>
      <c r="E8" s="414">
        <v>17.79</v>
      </c>
      <c r="F8" s="25">
        <f t="shared" si="0"/>
        <v>-5.5629956202991196E-3</v>
      </c>
      <c r="G8" s="25">
        <f t="shared" si="1"/>
        <v>2.8184892897407392E-3</v>
      </c>
      <c r="H8" s="415">
        <v>663155521.48000002</v>
      </c>
      <c r="I8" s="414">
        <v>17.79</v>
      </c>
      <c r="J8" s="25">
        <f t="shared" si="2"/>
        <v>-5.9461901153849998E-3</v>
      </c>
      <c r="K8" s="25">
        <f t="shared" si="3"/>
        <v>0</v>
      </c>
      <c r="L8" s="415">
        <v>660798606.40999997</v>
      </c>
      <c r="M8" s="414">
        <v>17.79</v>
      </c>
      <c r="N8" s="25">
        <f t="shared" si="4"/>
        <v>-3.5540909992576065E-3</v>
      </c>
      <c r="O8" s="25">
        <f t="shared" si="5"/>
        <v>0</v>
      </c>
      <c r="P8" s="415">
        <v>678466805.94000006</v>
      </c>
      <c r="Q8" s="414">
        <v>18</v>
      </c>
      <c r="R8" s="25">
        <f t="shared" si="6"/>
        <v>2.6737646475963748E-2</v>
      </c>
      <c r="S8" s="25">
        <f t="shared" si="7"/>
        <v>1.1804384485666152E-2</v>
      </c>
      <c r="T8" s="415">
        <v>685805494.99000001</v>
      </c>
      <c r="U8" s="414">
        <v>18.100000000000001</v>
      </c>
      <c r="V8" s="25">
        <f t="shared" si="8"/>
        <v>1.0816577886713807E-2</v>
      </c>
      <c r="W8" s="25">
        <f t="shared" si="9"/>
        <v>5.5555555555556347E-3</v>
      </c>
      <c r="X8" s="415">
        <v>690237261.5</v>
      </c>
      <c r="Y8" s="414">
        <v>18.34</v>
      </c>
      <c r="Z8" s="25">
        <f t="shared" si="10"/>
        <v>6.4621332759438035E-3</v>
      </c>
      <c r="AA8" s="25">
        <f t="shared" si="11"/>
        <v>1.3259668508287206E-2</v>
      </c>
      <c r="AB8" s="415">
        <v>688828025.17999995</v>
      </c>
      <c r="AC8" s="414">
        <v>18.34</v>
      </c>
      <c r="AD8" s="25">
        <f t="shared" si="12"/>
        <v>-2.0416694354308666E-3</v>
      </c>
      <c r="AE8" s="25">
        <f t="shared" si="13"/>
        <v>0</v>
      </c>
      <c r="AF8" s="415">
        <v>695315443.92999995</v>
      </c>
      <c r="AG8" s="414">
        <v>18.34</v>
      </c>
      <c r="AH8" s="25">
        <f t="shared" si="14"/>
        <v>9.4180528562332385E-3</v>
      </c>
      <c r="AI8" s="25">
        <f t="shared" si="15"/>
        <v>0</v>
      </c>
      <c r="AJ8" s="26">
        <f t="shared" si="16"/>
        <v>4.5411830405602503E-3</v>
      </c>
      <c r="AK8" s="26">
        <f t="shared" si="17"/>
        <v>4.1797622299062165E-3</v>
      </c>
      <c r="AL8" s="27">
        <f t="shared" si="18"/>
        <v>4.2260742348465906E-2</v>
      </c>
      <c r="AM8" s="27">
        <f t="shared" si="19"/>
        <v>3.0916245081506505E-2</v>
      </c>
      <c r="AN8" s="28">
        <f t="shared" si="20"/>
        <v>1.121532312217273E-2</v>
      </c>
      <c r="AO8" s="85">
        <f t="shared" si="21"/>
        <v>5.5318181337467142E-3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99" customFormat="1">
      <c r="A9" s="229" t="s">
        <v>18</v>
      </c>
      <c r="B9" s="415">
        <v>370520070.30000001</v>
      </c>
      <c r="C9" s="414">
        <v>177.53630000000001</v>
      </c>
      <c r="D9" s="415">
        <v>377859104.29000002</v>
      </c>
      <c r="E9" s="414">
        <v>181.10589999999999</v>
      </c>
      <c r="F9" s="25">
        <f t="shared" si="0"/>
        <v>1.9807385829485009E-2</v>
      </c>
      <c r="G9" s="25">
        <f t="shared" si="1"/>
        <v>2.010631065308886E-2</v>
      </c>
      <c r="H9" s="415">
        <v>372929710.83999997</v>
      </c>
      <c r="I9" s="414">
        <v>178.91399999999999</v>
      </c>
      <c r="J9" s="25">
        <f t="shared" si="2"/>
        <v>-1.3045586024088035E-2</v>
      </c>
      <c r="K9" s="25">
        <f t="shared" si="3"/>
        <v>-1.2102863573191177E-2</v>
      </c>
      <c r="L9" s="415">
        <v>371416823.94</v>
      </c>
      <c r="M9" s="414">
        <v>178.26310000000001</v>
      </c>
      <c r="N9" s="25">
        <f t="shared" si="4"/>
        <v>-4.0567615183898769E-3</v>
      </c>
      <c r="O9" s="25">
        <f t="shared" si="5"/>
        <v>-3.6380607442680771E-3</v>
      </c>
      <c r="P9" s="415">
        <v>381576981.00999999</v>
      </c>
      <c r="Q9" s="414">
        <v>183.08840000000001</v>
      </c>
      <c r="R9" s="25">
        <f t="shared" si="6"/>
        <v>2.7355134218802379E-2</v>
      </c>
      <c r="S9" s="25">
        <f t="shared" si="7"/>
        <v>2.7068417412240663E-2</v>
      </c>
      <c r="T9" s="415">
        <v>385867014.22000003</v>
      </c>
      <c r="U9" s="414">
        <v>185.17439999999999</v>
      </c>
      <c r="V9" s="25">
        <f t="shared" si="8"/>
        <v>1.124290359089457E-2</v>
      </c>
      <c r="W9" s="25">
        <f t="shared" si="9"/>
        <v>1.1393403405130988E-2</v>
      </c>
      <c r="X9" s="415">
        <v>388987783.64999998</v>
      </c>
      <c r="Y9" s="414">
        <v>186.83760000000001</v>
      </c>
      <c r="Z9" s="25">
        <f t="shared" si="10"/>
        <v>8.087681286539453E-3</v>
      </c>
      <c r="AA9" s="25">
        <f t="shared" si="11"/>
        <v>8.9818031002126524E-3</v>
      </c>
      <c r="AB9" s="415">
        <v>390046997.77999997</v>
      </c>
      <c r="AC9" s="414">
        <v>187.46289999999999</v>
      </c>
      <c r="AD9" s="25">
        <f t="shared" si="12"/>
        <v>2.7230010157672348E-3</v>
      </c>
      <c r="AE9" s="25">
        <f t="shared" si="13"/>
        <v>3.3467567555994161E-3</v>
      </c>
      <c r="AF9" s="415">
        <v>395708886.68000001</v>
      </c>
      <c r="AG9" s="414">
        <v>190.19450000000001</v>
      </c>
      <c r="AH9" s="25">
        <f t="shared" si="14"/>
        <v>1.4515914574975237E-2</v>
      </c>
      <c r="AI9" s="25">
        <f t="shared" si="15"/>
        <v>1.4571416530951002E-2</v>
      </c>
      <c r="AJ9" s="26">
        <f t="shared" si="16"/>
        <v>8.3287091217482453E-3</v>
      </c>
      <c r="AK9" s="26">
        <f t="shared" si="17"/>
        <v>8.7158979424705411E-3</v>
      </c>
      <c r="AL9" s="27">
        <f t="shared" si="18"/>
        <v>4.7239254492861447E-2</v>
      </c>
      <c r="AM9" s="27">
        <f t="shared" si="19"/>
        <v>5.0183897929333136E-2</v>
      </c>
      <c r="AN9" s="28">
        <f t="shared" si="20"/>
        <v>1.2996050748509527E-2</v>
      </c>
      <c r="AO9" s="85">
        <f t="shared" si="21"/>
        <v>1.2665770040130295E-2</v>
      </c>
      <c r="AP9" s="32"/>
      <c r="AQ9" s="35"/>
      <c r="AR9" s="36"/>
      <c r="AS9" s="31"/>
      <c r="AT9" s="31"/>
    </row>
    <row r="10" spans="1:49">
      <c r="A10" s="229" t="s">
        <v>82</v>
      </c>
      <c r="B10" s="414">
        <v>1700553945.1199999</v>
      </c>
      <c r="C10" s="360">
        <v>0.91100000000000003</v>
      </c>
      <c r="D10" s="414">
        <v>1704294736.97</v>
      </c>
      <c r="E10" s="360">
        <v>0.91290000000000004</v>
      </c>
      <c r="F10" s="25">
        <f t="shared" si="0"/>
        <v>2.1997490057489317E-3</v>
      </c>
      <c r="G10" s="25">
        <f t="shared" si="1"/>
        <v>2.0856201975850853E-3</v>
      </c>
      <c r="H10" s="414">
        <v>1690045195.45</v>
      </c>
      <c r="I10" s="360">
        <v>0.9052</v>
      </c>
      <c r="J10" s="25">
        <f t="shared" si="2"/>
        <v>-8.3609608190973427E-3</v>
      </c>
      <c r="K10" s="25">
        <f t="shared" si="3"/>
        <v>-8.4346587797130453E-3</v>
      </c>
      <c r="L10" s="414">
        <v>1683035324.6800001</v>
      </c>
      <c r="M10" s="360">
        <v>0.90129999999999999</v>
      </c>
      <c r="N10" s="25">
        <f t="shared" si="4"/>
        <v>-4.1477416041134311E-3</v>
      </c>
      <c r="O10" s="25">
        <f t="shared" si="5"/>
        <v>-4.3084401237295789E-3</v>
      </c>
      <c r="P10" s="414">
        <v>1702581661.5899999</v>
      </c>
      <c r="Q10" s="360">
        <v>0.91180000000000005</v>
      </c>
      <c r="R10" s="25">
        <f t="shared" si="6"/>
        <v>1.161374132994876E-2</v>
      </c>
      <c r="S10" s="25">
        <f t="shared" si="7"/>
        <v>1.1649839121269349E-2</v>
      </c>
      <c r="T10" s="414">
        <v>1716565183.0599999</v>
      </c>
      <c r="U10" s="360">
        <v>0.92320000000000002</v>
      </c>
      <c r="V10" s="25">
        <f t="shared" si="8"/>
        <v>8.2131282072785607E-3</v>
      </c>
      <c r="W10" s="25">
        <f t="shared" si="9"/>
        <v>1.2502741829348503E-2</v>
      </c>
      <c r="X10" s="414">
        <v>1763340829.9000001</v>
      </c>
      <c r="Y10" s="360">
        <v>0.94720000000000004</v>
      </c>
      <c r="Z10" s="25">
        <f t="shared" si="10"/>
        <v>2.7249560518649515E-2</v>
      </c>
      <c r="AA10" s="25">
        <f t="shared" si="11"/>
        <v>2.5996533795493958E-2</v>
      </c>
      <c r="AB10" s="414">
        <v>1779637640.5999999</v>
      </c>
      <c r="AC10" s="360">
        <v>0.95569999999999999</v>
      </c>
      <c r="AD10" s="25">
        <f t="shared" si="12"/>
        <v>9.2420083648400569E-3</v>
      </c>
      <c r="AE10" s="25">
        <f t="shared" si="13"/>
        <v>8.9738175675675158E-3</v>
      </c>
      <c r="AF10" s="414">
        <v>1790470935.05</v>
      </c>
      <c r="AG10" s="360">
        <v>0.9617</v>
      </c>
      <c r="AH10" s="25">
        <f t="shared" si="14"/>
        <v>6.0873596977571416E-3</v>
      </c>
      <c r="AI10" s="25">
        <f t="shared" si="15"/>
        <v>6.2781207491890813E-3</v>
      </c>
      <c r="AJ10" s="26">
        <f t="shared" si="16"/>
        <v>6.5121055876265245E-3</v>
      </c>
      <c r="AK10" s="26">
        <f t="shared" si="17"/>
        <v>6.8429467946263586E-3</v>
      </c>
      <c r="AL10" s="27">
        <f t="shared" si="18"/>
        <v>5.0564140233871326E-2</v>
      </c>
      <c r="AM10" s="27">
        <f t="shared" si="19"/>
        <v>5.3456019279220016E-2</v>
      </c>
      <c r="AN10" s="28">
        <f t="shared" si="20"/>
        <v>1.0823465554323846E-2</v>
      </c>
      <c r="AO10" s="85">
        <f t="shared" si="21"/>
        <v>1.0738780497578928E-2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29" t="s">
        <v>15</v>
      </c>
      <c r="B11" s="414">
        <v>2167777089.5599999</v>
      </c>
      <c r="C11" s="414">
        <v>21.0245</v>
      </c>
      <c r="D11" s="414">
        <v>2173471595.2199998</v>
      </c>
      <c r="E11" s="414">
        <v>21.100999999999999</v>
      </c>
      <c r="F11" s="25">
        <f t="shared" si="0"/>
        <v>2.6268870943532657E-3</v>
      </c>
      <c r="G11" s="25">
        <f t="shared" si="1"/>
        <v>3.6386120954124638E-3</v>
      </c>
      <c r="H11" s="414">
        <v>2151700423.27</v>
      </c>
      <c r="I11" s="414">
        <v>20.914400000000001</v>
      </c>
      <c r="J11" s="25">
        <f t="shared" si="2"/>
        <v>-1.0016773165050782E-2</v>
      </c>
      <c r="K11" s="25">
        <f t="shared" si="3"/>
        <v>-8.8431827875455459E-3</v>
      </c>
      <c r="L11" s="414">
        <v>2168486647.9899998</v>
      </c>
      <c r="M11" s="414">
        <v>21.084</v>
      </c>
      <c r="N11" s="25">
        <f t="shared" si="4"/>
        <v>7.8013763154302354E-3</v>
      </c>
      <c r="O11" s="25">
        <f t="shared" si="5"/>
        <v>8.1092453046704219E-3</v>
      </c>
      <c r="P11" s="414">
        <v>2198934210.79</v>
      </c>
      <c r="Q11" s="414">
        <v>21.568100000000001</v>
      </c>
      <c r="R11" s="25">
        <f t="shared" si="6"/>
        <v>1.4040927034631482E-2</v>
      </c>
      <c r="S11" s="25">
        <f t="shared" si="7"/>
        <v>2.2960538797192256E-2</v>
      </c>
      <c r="T11" s="414">
        <v>2223920268.79</v>
      </c>
      <c r="U11" s="414">
        <v>21.843699999999998</v>
      </c>
      <c r="V11" s="25">
        <f t="shared" si="8"/>
        <v>1.136280379712833E-2</v>
      </c>
      <c r="W11" s="25">
        <f t="shared" si="9"/>
        <v>1.2778130665195227E-2</v>
      </c>
      <c r="X11" s="414">
        <v>2237634153.8400002</v>
      </c>
      <c r="Y11" s="414">
        <v>21.989799999999999</v>
      </c>
      <c r="Z11" s="25">
        <f t="shared" si="10"/>
        <v>6.1665362928958328E-3</v>
      </c>
      <c r="AA11" s="25">
        <f t="shared" si="11"/>
        <v>6.6884273268723055E-3</v>
      </c>
      <c r="AB11" s="414">
        <v>2257527479.2800002</v>
      </c>
      <c r="AC11" s="414">
        <v>22.181999999999999</v>
      </c>
      <c r="AD11" s="25">
        <f t="shared" si="12"/>
        <v>8.8903386667839139E-3</v>
      </c>
      <c r="AE11" s="25">
        <f t="shared" si="13"/>
        <v>8.7404160110596592E-3</v>
      </c>
      <c r="AF11" s="414">
        <v>2244369906.6999998</v>
      </c>
      <c r="AG11" s="414">
        <v>22.037600000000001</v>
      </c>
      <c r="AH11" s="25">
        <f t="shared" si="14"/>
        <v>-5.8283111504790113E-3</v>
      </c>
      <c r="AI11" s="25">
        <f t="shared" si="15"/>
        <v>-6.5097827066990096E-3</v>
      </c>
      <c r="AJ11" s="26">
        <f t="shared" si="16"/>
        <v>4.3804731107116588E-3</v>
      </c>
      <c r="AK11" s="26">
        <f t="shared" si="17"/>
        <v>5.9453005882697226E-3</v>
      </c>
      <c r="AL11" s="27">
        <f t="shared" si="18"/>
        <v>3.26198472691904E-2</v>
      </c>
      <c r="AM11" s="27">
        <f t="shared" si="19"/>
        <v>4.4386521965783715E-2</v>
      </c>
      <c r="AN11" s="28">
        <f t="shared" si="20"/>
        <v>8.382667832451892E-3</v>
      </c>
      <c r="AO11" s="85">
        <f t="shared" si="21"/>
        <v>1.0200858610381437E-2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29" t="s">
        <v>58</v>
      </c>
      <c r="B12" s="414">
        <v>364844431.81</v>
      </c>
      <c r="C12" s="414">
        <v>156.97999999999999</v>
      </c>
      <c r="D12" s="414">
        <v>361266076.76999998</v>
      </c>
      <c r="E12" s="414">
        <v>155.56</v>
      </c>
      <c r="F12" s="25">
        <f t="shared" si="0"/>
        <v>-9.8078927016858539E-3</v>
      </c>
      <c r="G12" s="25">
        <f t="shared" si="1"/>
        <v>-9.045738310612738E-3</v>
      </c>
      <c r="H12" s="414">
        <v>345294293.05000001</v>
      </c>
      <c r="I12" s="414">
        <v>154.41999999999999</v>
      </c>
      <c r="J12" s="25">
        <f t="shared" si="2"/>
        <v>-4.4210582578912895E-2</v>
      </c>
      <c r="K12" s="25">
        <f t="shared" si="3"/>
        <v>-7.3283620467987582E-3</v>
      </c>
      <c r="L12" s="414">
        <v>347652658.10000002</v>
      </c>
      <c r="M12" s="414">
        <v>155.49</v>
      </c>
      <c r="N12" s="25">
        <f t="shared" si="4"/>
        <v>6.830014562848599E-3</v>
      </c>
      <c r="O12" s="25">
        <f t="shared" si="5"/>
        <v>6.9291542546303696E-3</v>
      </c>
      <c r="P12" s="414">
        <v>346059851.50999999</v>
      </c>
      <c r="Q12" s="414">
        <v>154.78</v>
      </c>
      <c r="R12" s="25">
        <f t="shared" si="6"/>
        <v>-4.5816033701714803E-3</v>
      </c>
      <c r="S12" s="25">
        <f t="shared" si="7"/>
        <v>-4.5662100456621514E-3</v>
      </c>
      <c r="T12" s="414">
        <v>351804292.72000003</v>
      </c>
      <c r="U12" s="414">
        <v>157.41</v>
      </c>
      <c r="V12" s="25">
        <f t="shared" si="8"/>
        <v>1.6599559830285722E-2</v>
      </c>
      <c r="W12" s="25">
        <f t="shared" si="9"/>
        <v>1.6991859413360871E-2</v>
      </c>
      <c r="X12" s="414">
        <v>353339606.16000003</v>
      </c>
      <c r="Y12" s="414">
        <v>158.09</v>
      </c>
      <c r="Z12" s="25">
        <f t="shared" si="10"/>
        <v>4.3641122970092608E-3</v>
      </c>
      <c r="AA12" s="25">
        <f t="shared" si="11"/>
        <v>4.3199288482307788E-3</v>
      </c>
      <c r="AB12" s="414">
        <v>355582772.64999998</v>
      </c>
      <c r="AC12" s="414">
        <v>159.05000000000001</v>
      </c>
      <c r="AD12" s="25">
        <f t="shared" si="12"/>
        <v>6.3484716994454179E-3</v>
      </c>
      <c r="AE12" s="25">
        <f t="shared" si="13"/>
        <v>6.0724903535961028E-3</v>
      </c>
      <c r="AF12" s="414">
        <v>353455738.45999998</v>
      </c>
      <c r="AG12" s="414">
        <v>163.36000000000001</v>
      </c>
      <c r="AH12" s="25">
        <f t="shared" si="14"/>
        <v>-5.9818257621092252E-3</v>
      </c>
      <c r="AI12" s="25">
        <f t="shared" si="15"/>
        <v>2.7098396730587879E-2</v>
      </c>
      <c r="AJ12" s="26">
        <f t="shared" si="16"/>
        <v>-3.8049682529113071E-3</v>
      </c>
      <c r="AK12" s="26">
        <f t="shared" si="17"/>
        <v>5.0589398996665445E-3</v>
      </c>
      <c r="AL12" s="27">
        <f t="shared" si="18"/>
        <v>-2.1619351531232903E-2</v>
      </c>
      <c r="AM12" s="27">
        <f t="shared" si="19"/>
        <v>5.0141424530727764E-2</v>
      </c>
      <c r="AN12" s="28">
        <f t="shared" si="20"/>
        <v>1.8412978681224837E-2</v>
      </c>
      <c r="AO12" s="85">
        <f t="shared" si="21"/>
        <v>1.2411020779424579E-2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0"/>
      <c r="AV12" s="91"/>
      <c r="AW12" s="100"/>
    </row>
    <row r="13" spans="1:49" ht="12.75" customHeight="1">
      <c r="A13" s="229" t="s">
        <v>59</v>
      </c>
      <c r="B13" s="414">
        <v>263446539.81999999</v>
      </c>
      <c r="C13" s="414">
        <v>11.5182</v>
      </c>
      <c r="D13" s="414">
        <v>258967229.09</v>
      </c>
      <c r="E13" s="414">
        <v>11.3224</v>
      </c>
      <c r="F13" s="25">
        <f t="shared" si="0"/>
        <v>-1.7002731305791607E-2</v>
      </c>
      <c r="G13" s="25">
        <f t="shared" si="1"/>
        <v>-1.699918390026221E-2</v>
      </c>
      <c r="H13" s="414">
        <v>262756911.43000001</v>
      </c>
      <c r="I13" s="414">
        <v>11.507</v>
      </c>
      <c r="J13" s="25">
        <f t="shared" si="2"/>
        <v>1.4633829744855319E-2</v>
      </c>
      <c r="K13" s="25">
        <f t="shared" si="3"/>
        <v>1.6303963823924225E-2</v>
      </c>
      <c r="L13" s="414">
        <v>267465448.99000001</v>
      </c>
      <c r="M13" s="414">
        <v>11.696999999999999</v>
      </c>
      <c r="N13" s="25">
        <f t="shared" si="4"/>
        <v>1.7919747702828302E-2</v>
      </c>
      <c r="O13" s="25">
        <f t="shared" si="5"/>
        <v>1.6511688537411966E-2</v>
      </c>
      <c r="P13" s="414">
        <v>269961034.05000001</v>
      </c>
      <c r="Q13" s="414">
        <v>11.822699999999999</v>
      </c>
      <c r="R13" s="25">
        <f t="shared" si="6"/>
        <v>9.3304950954368211E-3</v>
      </c>
      <c r="S13" s="25">
        <f t="shared" si="7"/>
        <v>1.074634521672225E-2</v>
      </c>
      <c r="T13" s="414">
        <v>275944498.41000003</v>
      </c>
      <c r="U13" s="414">
        <v>12.0062</v>
      </c>
      <c r="V13" s="25">
        <f t="shared" si="8"/>
        <v>2.2164177808312164E-2</v>
      </c>
      <c r="W13" s="25">
        <f t="shared" si="9"/>
        <v>1.5520989283327874E-2</v>
      </c>
      <c r="X13" s="414">
        <v>272808863.30000001</v>
      </c>
      <c r="Y13" s="414">
        <v>11.975027000000001</v>
      </c>
      <c r="Z13" s="25">
        <f t="shared" si="10"/>
        <v>-1.1363281848587786E-2</v>
      </c>
      <c r="AA13" s="25">
        <f t="shared" si="11"/>
        <v>-2.5964085222634145E-3</v>
      </c>
      <c r="AB13" s="414">
        <v>271264932.87</v>
      </c>
      <c r="AC13" s="414">
        <v>11.891500000000001</v>
      </c>
      <c r="AD13" s="25">
        <f t="shared" si="12"/>
        <v>-5.6593851509222836E-3</v>
      </c>
      <c r="AE13" s="25">
        <f t="shared" si="13"/>
        <v>-6.9750990958099826E-3</v>
      </c>
      <c r="AF13" s="414">
        <v>280672383.68000001</v>
      </c>
      <c r="AG13" s="414">
        <v>11.968</v>
      </c>
      <c r="AH13" s="25">
        <f t="shared" si="14"/>
        <v>3.4679937102332331E-2</v>
      </c>
      <c r="AI13" s="25">
        <f t="shared" si="15"/>
        <v>6.4331665475338973E-3</v>
      </c>
      <c r="AJ13" s="26">
        <f t="shared" si="16"/>
        <v>8.0878486435579065E-3</v>
      </c>
      <c r="AK13" s="26">
        <f t="shared" si="17"/>
        <v>4.8681827363230758E-3</v>
      </c>
      <c r="AL13" s="27">
        <f t="shared" si="18"/>
        <v>8.3814290581364317E-2</v>
      </c>
      <c r="AM13" s="27">
        <f t="shared" si="19"/>
        <v>5.7019713135024373E-2</v>
      </c>
      <c r="AN13" s="28">
        <f t="shared" si="20"/>
        <v>1.7901367090116194E-2</v>
      </c>
      <c r="AO13" s="85">
        <f t="shared" si="21"/>
        <v>1.2484262911239788E-2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0" t="s">
        <v>73</v>
      </c>
      <c r="B14" s="415">
        <v>323321095.69999999</v>
      </c>
      <c r="C14" s="414">
        <v>3136.86</v>
      </c>
      <c r="D14" s="415">
        <v>318550035.29000002</v>
      </c>
      <c r="E14" s="414">
        <v>3100.27</v>
      </c>
      <c r="F14" s="25">
        <f t="shared" si="0"/>
        <v>-1.4756415444128309E-2</v>
      </c>
      <c r="G14" s="25">
        <f t="shared" si="1"/>
        <v>-1.1664530772811073E-2</v>
      </c>
      <c r="H14" s="415">
        <v>311713398.06999999</v>
      </c>
      <c r="I14" s="414">
        <v>3033.6</v>
      </c>
      <c r="J14" s="25">
        <f t="shared" si="2"/>
        <v>-2.1461737443463549E-2</v>
      </c>
      <c r="K14" s="25">
        <f t="shared" si="3"/>
        <v>-2.1504578633473881E-2</v>
      </c>
      <c r="L14" s="415">
        <v>311665043.99000001</v>
      </c>
      <c r="M14" s="414">
        <v>3033.11</v>
      </c>
      <c r="N14" s="25">
        <f t="shared" si="4"/>
        <v>-1.5512352147636807E-4</v>
      </c>
      <c r="O14" s="25">
        <f t="shared" si="5"/>
        <v>-1.6152426160330357E-4</v>
      </c>
      <c r="P14" s="415">
        <v>316526801.93000001</v>
      </c>
      <c r="Q14" s="414">
        <v>3079.69</v>
      </c>
      <c r="R14" s="25">
        <f t="shared" si="6"/>
        <v>1.5599304553885069E-2</v>
      </c>
      <c r="S14" s="25">
        <f t="shared" si="7"/>
        <v>1.5357174649122493E-2</v>
      </c>
      <c r="T14" s="415">
        <v>321243330.95999998</v>
      </c>
      <c r="U14" s="414">
        <v>3125.1</v>
      </c>
      <c r="V14" s="25">
        <f t="shared" si="8"/>
        <v>1.4900883594189389E-2</v>
      </c>
      <c r="W14" s="25">
        <f t="shared" si="9"/>
        <v>1.4744990567232368E-2</v>
      </c>
      <c r="X14" s="415">
        <v>322829112.05000001</v>
      </c>
      <c r="Y14" s="414">
        <v>3143.36</v>
      </c>
      <c r="Z14" s="25">
        <f t="shared" si="10"/>
        <v>4.9363860263218632E-3</v>
      </c>
      <c r="AA14" s="25">
        <f t="shared" si="11"/>
        <v>5.8430130235833152E-3</v>
      </c>
      <c r="AB14" s="415">
        <v>324663142.74000001</v>
      </c>
      <c r="AC14" s="414">
        <v>3164.63</v>
      </c>
      <c r="AD14" s="25">
        <f t="shared" si="12"/>
        <v>5.6811192719073665E-3</v>
      </c>
      <c r="AE14" s="25">
        <f t="shared" si="13"/>
        <v>6.7666446095897325E-3</v>
      </c>
      <c r="AF14" s="415">
        <v>329501009.56999999</v>
      </c>
      <c r="AG14" s="414">
        <v>3220.74</v>
      </c>
      <c r="AH14" s="25">
        <f t="shared" si="14"/>
        <v>1.4901188934385115E-2</v>
      </c>
      <c r="AI14" s="25">
        <f t="shared" si="15"/>
        <v>1.7730350783503813E-2</v>
      </c>
      <c r="AJ14" s="26">
        <f t="shared" si="16"/>
        <v>2.4557007464525724E-3</v>
      </c>
      <c r="AK14" s="26">
        <f t="shared" si="17"/>
        <v>3.3889424956429332E-3</v>
      </c>
      <c r="AL14" s="27">
        <f t="shared" si="18"/>
        <v>3.4377564171451047E-2</v>
      </c>
      <c r="AM14" s="27">
        <f t="shared" si="19"/>
        <v>3.8857905924322658E-2</v>
      </c>
      <c r="AN14" s="28">
        <f t="shared" si="20"/>
        <v>1.4011227101368966E-2</v>
      </c>
      <c r="AO14" s="85">
        <f t="shared" si="21"/>
        <v>1.3908918002150267E-2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99" customFormat="1" ht="12.75" customHeight="1">
      <c r="A15" s="229" t="s">
        <v>88</v>
      </c>
      <c r="B15" s="415">
        <v>257159601.00999999</v>
      </c>
      <c r="C15" s="414">
        <v>142.5</v>
      </c>
      <c r="D15" s="415">
        <v>256209153.50999999</v>
      </c>
      <c r="E15" s="414">
        <v>141.71</v>
      </c>
      <c r="F15" s="25">
        <f t="shared" si="0"/>
        <v>-3.6959440606809798E-3</v>
      </c>
      <c r="G15" s="25">
        <f t="shared" si="1"/>
        <v>-5.5438596491227512E-3</v>
      </c>
      <c r="H15" s="415">
        <v>251233132.61000001</v>
      </c>
      <c r="I15" s="414">
        <v>141.91</v>
      </c>
      <c r="J15" s="25">
        <f t="shared" si="2"/>
        <v>-1.9421713985740791E-2</v>
      </c>
      <c r="K15" s="25">
        <f t="shared" si="3"/>
        <v>1.4113330040222188E-3</v>
      </c>
      <c r="L15" s="415">
        <v>249532464.53999999</v>
      </c>
      <c r="M15" s="414">
        <v>141.09</v>
      </c>
      <c r="N15" s="25">
        <f t="shared" si="4"/>
        <v>-6.7692825875798907E-3</v>
      </c>
      <c r="O15" s="25">
        <f t="shared" si="5"/>
        <v>-5.7783101966034332E-3</v>
      </c>
      <c r="P15" s="415">
        <v>255128169.13</v>
      </c>
      <c r="Q15" s="414">
        <v>142.77000000000001</v>
      </c>
      <c r="R15" s="25">
        <f t="shared" si="6"/>
        <v>2.2424755834137219E-2</v>
      </c>
      <c r="S15" s="25">
        <f t="shared" si="7"/>
        <v>1.190729321709552E-2</v>
      </c>
      <c r="T15" s="415">
        <v>255503300.56</v>
      </c>
      <c r="U15" s="414">
        <v>143.19999999999999</v>
      </c>
      <c r="V15" s="25">
        <f t="shared" si="8"/>
        <v>1.4703646064612322E-3</v>
      </c>
      <c r="W15" s="25">
        <f t="shared" si="9"/>
        <v>3.0118372207044784E-3</v>
      </c>
      <c r="X15" s="415">
        <v>253719374.28999999</v>
      </c>
      <c r="Y15" s="414">
        <v>142.97</v>
      </c>
      <c r="Z15" s="25">
        <f t="shared" si="10"/>
        <v>-6.9820087102205174E-3</v>
      </c>
      <c r="AA15" s="25">
        <f t="shared" si="11"/>
        <v>-1.6061452513965767E-3</v>
      </c>
      <c r="AB15" s="415">
        <v>248144549.81999999</v>
      </c>
      <c r="AC15" s="414">
        <v>142.97</v>
      </c>
      <c r="AD15" s="25">
        <f t="shared" si="12"/>
        <v>-2.1972403509193595E-2</v>
      </c>
      <c r="AE15" s="25">
        <f t="shared" si="13"/>
        <v>0</v>
      </c>
      <c r="AF15" s="415">
        <v>259900593.13999999</v>
      </c>
      <c r="AG15" s="414">
        <v>142.97</v>
      </c>
      <c r="AH15" s="25">
        <f t="shared" si="14"/>
        <v>4.7375786929544229E-2</v>
      </c>
      <c r="AI15" s="25">
        <f t="shared" si="15"/>
        <v>0</v>
      </c>
      <c r="AJ15" s="26">
        <f t="shared" si="16"/>
        <v>1.5536943145908625E-3</v>
      </c>
      <c r="AK15" s="26">
        <f t="shared" si="17"/>
        <v>4.2526854308743193E-4</v>
      </c>
      <c r="AL15" s="27">
        <f t="shared" si="18"/>
        <v>1.4407914703390628E-2</v>
      </c>
      <c r="AM15" s="27">
        <f t="shared" si="19"/>
        <v>8.8913979253404194E-3</v>
      </c>
      <c r="AN15" s="28">
        <f t="shared" si="20"/>
        <v>2.2985729207175409E-2</v>
      </c>
      <c r="AO15" s="85">
        <f t="shared" si="21"/>
        <v>5.5818939500362754E-3</v>
      </c>
      <c r="AP15" s="32"/>
      <c r="AQ15" s="30"/>
      <c r="AR15" s="30"/>
      <c r="AS15" s="31"/>
      <c r="AT15" s="31"/>
    </row>
    <row r="16" spans="1:49" s="99" customFormat="1" ht="12.75" customHeight="1">
      <c r="A16" s="229" t="s">
        <v>134</v>
      </c>
      <c r="B16" s="415">
        <v>300816049.94</v>
      </c>
      <c r="C16" s="414">
        <v>1.2</v>
      </c>
      <c r="D16" s="415">
        <v>297559348.79000002</v>
      </c>
      <c r="E16" s="414">
        <v>1.19</v>
      </c>
      <c r="F16" s="25">
        <f t="shared" si="0"/>
        <v>-1.0826221375653158E-2</v>
      </c>
      <c r="G16" s="25">
        <f t="shared" si="1"/>
        <v>-8.3333333333333419E-3</v>
      </c>
      <c r="H16" s="415">
        <v>295970559.50999999</v>
      </c>
      <c r="I16" s="414">
        <v>1.18</v>
      </c>
      <c r="J16" s="25">
        <f t="shared" si="2"/>
        <v>-5.3394030013195976E-3</v>
      </c>
      <c r="K16" s="25">
        <f t="shared" si="3"/>
        <v>-8.4033613445378234E-3</v>
      </c>
      <c r="L16" s="415">
        <v>296986666.30000001</v>
      </c>
      <c r="M16" s="414">
        <v>1.18</v>
      </c>
      <c r="N16" s="25">
        <f t="shared" si="4"/>
        <v>3.4331346728615759E-3</v>
      </c>
      <c r="O16" s="25">
        <f t="shared" si="5"/>
        <v>0</v>
      </c>
      <c r="P16" s="415">
        <v>302757443.89999998</v>
      </c>
      <c r="Q16" s="414">
        <v>1.21</v>
      </c>
      <c r="R16" s="25">
        <f t="shared" si="6"/>
        <v>1.9431099961136417E-2</v>
      </c>
      <c r="S16" s="25">
        <f t="shared" si="7"/>
        <v>2.5423728813559344E-2</v>
      </c>
      <c r="T16" s="415">
        <v>296714102</v>
      </c>
      <c r="U16" s="414">
        <v>1.18</v>
      </c>
      <c r="V16" s="25">
        <f t="shared" si="8"/>
        <v>-1.9961001857302232E-2</v>
      </c>
      <c r="W16" s="25">
        <f t="shared" si="9"/>
        <v>-2.4793388429752088E-2</v>
      </c>
      <c r="X16" s="415">
        <v>300983411</v>
      </c>
      <c r="Y16" s="414">
        <v>1.2</v>
      </c>
      <c r="Z16" s="25">
        <f t="shared" si="10"/>
        <v>1.4388628552612576E-2</v>
      </c>
      <c r="AA16" s="25">
        <f t="shared" si="11"/>
        <v>1.6949152542372899E-2</v>
      </c>
      <c r="AB16" s="415">
        <v>302992281.41000003</v>
      </c>
      <c r="AC16" s="414">
        <v>1.21</v>
      </c>
      <c r="AD16" s="25">
        <f t="shared" si="12"/>
        <v>6.6743559165791571E-3</v>
      </c>
      <c r="AE16" s="25">
        <f t="shared" si="13"/>
        <v>8.3333333333333419E-3</v>
      </c>
      <c r="AF16" s="415">
        <v>302992281.41000003</v>
      </c>
      <c r="AG16" s="414">
        <v>1.21</v>
      </c>
      <c r="AH16" s="25">
        <f t="shared" si="14"/>
        <v>0</v>
      </c>
      <c r="AI16" s="25">
        <f t="shared" si="15"/>
        <v>0</v>
      </c>
      <c r="AJ16" s="26">
        <f t="shared" si="16"/>
        <v>9.7507410861434249E-4</v>
      </c>
      <c r="AK16" s="26">
        <f t="shared" si="17"/>
        <v>1.1470164477052915E-3</v>
      </c>
      <c r="AL16" s="27">
        <f t="shared" si="18"/>
        <v>1.8258316003488269E-2</v>
      </c>
      <c r="AM16" s="27">
        <f t="shared" si="19"/>
        <v>1.6806722689075647E-2</v>
      </c>
      <c r="AN16" s="28">
        <f t="shared" si="20"/>
        <v>1.2969664884986513E-2</v>
      </c>
      <c r="AO16" s="85">
        <f t="shared" si="21"/>
        <v>1.5799331203946162E-2</v>
      </c>
      <c r="AP16" s="32"/>
      <c r="AQ16" s="30"/>
      <c r="AR16" s="30"/>
      <c r="AS16" s="31"/>
      <c r="AT16" s="31"/>
    </row>
    <row r="17" spans="1:46" s="99" customFormat="1" ht="12.75" customHeight="1">
      <c r="A17" s="229" t="s">
        <v>137</v>
      </c>
      <c r="B17" s="414">
        <v>256912696.55000001</v>
      </c>
      <c r="C17" s="414">
        <v>1.3254999999999999</v>
      </c>
      <c r="D17" s="414">
        <v>258549385.72</v>
      </c>
      <c r="E17" s="414">
        <v>1.3342000000000001</v>
      </c>
      <c r="F17" s="25">
        <f t="shared" si="0"/>
        <v>6.3706044581625281E-3</v>
      </c>
      <c r="G17" s="25">
        <f t="shared" si="1"/>
        <v>6.5635609204075084E-3</v>
      </c>
      <c r="H17" s="414">
        <v>256863874.36000001</v>
      </c>
      <c r="I17" s="414">
        <v>1.3342000000000001</v>
      </c>
      <c r="J17" s="25">
        <f t="shared" si="2"/>
        <v>-6.5191079658001383E-3</v>
      </c>
      <c r="K17" s="25">
        <f t="shared" si="3"/>
        <v>0</v>
      </c>
      <c r="L17" s="414">
        <v>260101509.59</v>
      </c>
      <c r="M17" s="414">
        <v>1.3424</v>
      </c>
      <c r="N17" s="25">
        <f t="shared" si="4"/>
        <v>1.2604478687658417E-2</v>
      </c>
      <c r="O17" s="25">
        <f t="shared" si="5"/>
        <v>6.1460050966871422E-3</v>
      </c>
      <c r="P17" s="414">
        <v>268558512.22000003</v>
      </c>
      <c r="Q17" s="414">
        <v>1.3856999999999999</v>
      </c>
      <c r="R17" s="25">
        <f t="shared" si="6"/>
        <v>3.2514238934371671E-2</v>
      </c>
      <c r="S17" s="25">
        <f t="shared" si="7"/>
        <v>3.2255661501787762E-2</v>
      </c>
      <c r="T17" s="414">
        <v>275874882.82999998</v>
      </c>
      <c r="U17" s="414">
        <v>1.4233359999999999</v>
      </c>
      <c r="V17" s="25">
        <f t="shared" si="8"/>
        <v>2.7243115660420654E-2</v>
      </c>
      <c r="W17" s="25">
        <f t="shared" si="9"/>
        <v>2.716028000288663E-2</v>
      </c>
      <c r="X17" s="414">
        <v>272868511.66000003</v>
      </c>
      <c r="Y17" s="414">
        <v>1.4084030000000001</v>
      </c>
      <c r="Z17" s="25">
        <f t="shared" si="10"/>
        <v>-1.0897589295407323E-2</v>
      </c>
      <c r="AA17" s="25">
        <f t="shared" si="11"/>
        <v>-1.049154943035226E-2</v>
      </c>
      <c r="AB17" s="414">
        <v>277920493.36000001</v>
      </c>
      <c r="AC17" s="414">
        <v>1.425962</v>
      </c>
      <c r="AD17" s="25">
        <f t="shared" si="12"/>
        <v>1.8514344763586592E-2</v>
      </c>
      <c r="AE17" s="25">
        <f t="shared" si="13"/>
        <v>1.2467312267866426E-2</v>
      </c>
      <c r="AF17" s="414">
        <v>277920493.36000001</v>
      </c>
      <c r="AG17" s="414">
        <v>1.425962</v>
      </c>
      <c r="AH17" s="25">
        <f t="shared" si="14"/>
        <v>0</v>
      </c>
      <c r="AI17" s="25">
        <f t="shared" si="15"/>
        <v>0</v>
      </c>
      <c r="AJ17" s="26">
        <f t="shared" si="16"/>
        <v>9.9787606553740499E-3</v>
      </c>
      <c r="AK17" s="26">
        <f t="shared" si="17"/>
        <v>9.2626587949104031E-3</v>
      </c>
      <c r="AL17" s="27">
        <f t="shared" si="18"/>
        <v>7.492227291917937E-2</v>
      </c>
      <c r="AM17" s="27">
        <f t="shared" si="19"/>
        <v>6.8776795083195841E-2</v>
      </c>
      <c r="AN17" s="28">
        <f t="shared" si="20"/>
        <v>1.5612506149725956E-2</v>
      </c>
      <c r="AO17" s="85">
        <f t="shared" si="21"/>
        <v>1.4333247665002467E-2</v>
      </c>
      <c r="AP17" s="32"/>
      <c r="AQ17" s="30"/>
      <c r="AR17" s="30"/>
      <c r="AS17" s="31"/>
      <c r="AT17" s="31"/>
    </row>
    <row r="18" spans="1:46" s="131" customFormat="1" ht="12.75" customHeight="1">
      <c r="A18" s="229" t="s">
        <v>148</v>
      </c>
      <c r="B18" s="414">
        <v>409511659.94999999</v>
      </c>
      <c r="C18" s="414">
        <v>135.66659999999999</v>
      </c>
      <c r="D18" s="414">
        <v>411849252.31999999</v>
      </c>
      <c r="E18" s="414">
        <v>136.49109999999999</v>
      </c>
      <c r="F18" s="25">
        <f t="shared" si="0"/>
        <v>5.7082437415467415E-3</v>
      </c>
      <c r="G18" s="25">
        <f t="shared" si="1"/>
        <v>6.0773985638322217E-3</v>
      </c>
      <c r="H18" s="414">
        <v>400863797.47000003</v>
      </c>
      <c r="I18" s="414">
        <v>135</v>
      </c>
      <c r="J18" s="25">
        <f t="shared" si="2"/>
        <v>-2.6673484990242132E-2</v>
      </c>
      <c r="K18" s="25">
        <f t="shared" si="3"/>
        <v>-1.0924521818638643E-2</v>
      </c>
      <c r="L18" s="414">
        <v>410445458.70999998</v>
      </c>
      <c r="M18" s="414">
        <v>138.24010000000001</v>
      </c>
      <c r="N18" s="25">
        <f t="shared" si="4"/>
        <v>2.3902535725284658E-2</v>
      </c>
      <c r="O18" s="25">
        <f t="shared" si="5"/>
        <v>2.4000740740740833E-2</v>
      </c>
      <c r="P18" s="414">
        <v>417774506.80000001</v>
      </c>
      <c r="Q18" s="414">
        <v>140.70920000000001</v>
      </c>
      <c r="R18" s="25">
        <f t="shared" si="6"/>
        <v>1.7856326424063006E-2</v>
      </c>
      <c r="S18" s="25">
        <f t="shared" si="7"/>
        <v>1.7860953514935225E-2</v>
      </c>
      <c r="T18" s="414">
        <v>424203826.45999998</v>
      </c>
      <c r="U18" s="414">
        <v>141.9504</v>
      </c>
      <c r="V18" s="25">
        <f t="shared" si="8"/>
        <v>1.5389449464607605E-2</v>
      </c>
      <c r="W18" s="25">
        <f t="shared" si="9"/>
        <v>8.8210294707097483E-3</v>
      </c>
      <c r="X18" s="414">
        <v>419967145.12</v>
      </c>
      <c r="Y18" s="414">
        <v>141.44220000000001</v>
      </c>
      <c r="Z18" s="25">
        <f t="shared" si="10"/>
        <v>-9.98737181452433E-3</v>
      </c>
      <c r="AA18" s="25">
        <f t="shared" si="11"/>
        <v>-3.5801237615391574E-3</v>
      </c>
      <c r="AB18" s="414">
        <v>424462950.87</v>
      </c>
      <c r="AC18" s="414">
        <v>141.44220000000001</v>
      </c>
      <c r="AD18" s="25">
        <f t="shared" si="12"/>
        <v>1.0705136823775545E-2</v>
      </c>
      <c r="AE18" s="25">
        <f t="shared" si="13"/>
        <v>0</v>
      </c>
      <c r="AF18" s="414">
        <v>433172336.24000001</v>
      </c>
      <c r="AG18" s="414">
        <v>145.96250000000001</v>
      </c>
      <c r="AH18" s="25">
        <f t="shared" si="14"/>
        <v>2.0518599684963841E-2</v>
      </c>
      <c r="AI18" s="25">
        <f t="shared" si="15"/>
        <v>3.1958637521192344E-2</v>
      </c>
      <c r="AJ18" s="26">
        <f t="shared" si="16"/>
        <v>7.1774293824343662E-3</v>
      </c>
      <c r="AK18" s="26">
        <f t="shared" si="17"/>
        <v>9.2767642789040716E-3</v>
      </c>
      <c r="AL18" s="27">
        <f t="shared" si="18"/>
        <v>5.1774001773426399E-2</v>
      </c>
      <c r="AM18" s="27">
        <f t="shared" si="19"/>
        <v>6.939207025219972E-2</v>
      </c>
      <c r="AN18" s="28">
        <f t="shared" si="20"/>
        <v>1.7297027627861145E-2</v>
      </c>
      <c r="AO18" s="85">
        <f t="shared" si="21"/>
        <v>1.4515236734587071E-2</v>
      </c>
      <c r="AP18" s="32"/>
      <c r="AQ18" s="30"/>
      <c r="AR18" s="30"/>
      <c r="AS18" s="31"/>
      <c r="AT18" s="31"/>
    </row>
    <row r="19" spans="1:46" s="347" customFormat="1" ht="12.75" customHeight="1">
      <c r="A19" s="229" t="s">
        <v>240</v>
      </c>
      <c r="B19" s="78">
        <v>23038887.710000001</v>
      </c>
      <c r="C19" s="414">
        <v>92.6</v>
      </c>
      <c r="D19" s="78">
        <v>23022757.449999999</v>
      </c>
      <c r="E19" s="414">
        <v>92.6</v>
      </c>
      <c r="F19" s="25">
        <f t="shared" si="0"/>
        <v>-7.0013189017802797E-4</v>
      </c>
      <c r="G19" s="25">
        <f t="shared" si="1"/>
        <v>0</v>
      </c>
      <c r="H19" s="78">
        <v>22896966.559999999</v>
      </c>
      <c r="I19" s="414">
        <v>92.1</v>
      </c>
      <c r="J19" s="25">
        <f t="shared" ref="J19" si="22">((H19-D19)/D19)</f>
        <v>-5.4637629863924318E-3</v>
      </c>
      <c r="K19" s="25">
        <f t="shared" ref="K19" si="23">((I19-E19)/E19)</f>
        <v>-5.399568034557236E-3</v>
      </c>
      <c r="L19" s="78">
        <v>23354734.449999999</v>
      </c>
      <c r="M19" s="414">
        <v>93.95</v>
      </c>
      <c r="N19" s="25">
        <f t="shared" ref="N19" si="24">((L19-H19)/H19)</f>
        <v>1.9992512492886333E-2</v>
      </c>
      <c r="O19" s="25">
        <f t="shared" ref="O19" si="25">((M19-I19)/I19)</f>
        <v>2.0086862106406173E-2</v>
      </c>
      <c r="P19" s="78">
        <v>24007623.260000002</v>
      </c>
      <c r="Q19" s="414">
        <v>96.59</v>
      </c>
      <c r="R19" s="25">
        <f t="shared" ref="R19" si="26">((P19-L19)/L19)</f>
        <v>2.7955308650490882E-2</v>
      </c>
      <c r="S19" s="25">
        <f t="shared" ref="S19" si="27">((Q19-M19)/M19)</f>
        <v>2.810005321979777E-2</v>
      </c>
      <c r="T19" s="78">
        <v>24382344.489999998</v>
      </c>
      <c r="U19" s="414">
        <v>98.1</v>
      </c>
      <c r="V19" s="25">
        <f t="shared" ref="V19" si="28">((T19-P19)/P19)</f>
        <v>1.5608426787683467E-2</v>
      </c>
      <c r="W19" s="25">
        <f t="shared" ref="W19" si="29">((U19-Q19)/Q19)</f>
        <v>1.5633088311419307E-2</v>
      </c>
      <c r="X19" s="78">
        <v>24106251.329999998</v>
      </c>
      <c r="Y19" s="414">
        <v>96.98</v>
      </c>
      <c r="Z19" s="25">
        <f t="shared" ref="Z19" si="30">((X19-T19)/T19)</f>
        <v>-1.1323486964645054E-2</v>
      </c>
      <c r="AA19" s="25">
        <f t="shared" ref="AA19" si="31">((Y19-U19)/U19)</f>
        <v>-1.1416921508664531E-2</v>
      </c>
      <c r="AB19" s="78">
        <v>24603353.420000002</v>
      </c>
      <c r="AC19" s="414">
        <v>98.99</v>
      </c>
      <c r="AD19" s="25">
        <f t="shared" ref="AD19" si="32">((AB19-X19)/X19)</f>
        <v>2.0621293754677021E-2</v>
      </c>
      <c r="AE19" s="25">
        <f t="shared" ref="AE19" si="33">((AC19-Y19)/Y19)</f>
        <v>2.0725922870694895E-2</v>
      </c>
      <c r="AF19" s="78">
        <v>24949173.18</v>
      </c>
      <c r="AG19" s="414">
        <v>100.39</v>
      </c>
      <c r="AH19" s="25">
        <f t="shared" si="14"/>
        <v>1.4055797764498312E-2</v>
      </c>
      <c r="AI19" s="25">
        <f t="shared" si="15"/>
        <v>1.4142842711385047E-2</v>
      </c>
      <c r="AJ19" s="26">
        <f t="shared" si="16"/>
        <v>1.0093244701127563E-2</v>
      </c>
      <c r="AK19" s="26">
        <f t="shared" si="17"/>
        <v>1.0234034959560179E-2</v>
      </c>
      <c r="AL19" s="27">
        <f t="shared" si="18"/>
        <v>8.3674413639796247E-2</v>
      </c>
      <c r="AM19" s="27">
        <f t="shared" si="19"/>
        <v>8.4125269978401807E-2</v>
      </c>
      <c r="AN19" s="28">
        <f t="shared" si="20"/>
        <v>1.4097626801907091E-2</v>
      </c>
      <c r="AO19" s="85">
        <f t="shared" si="21"/>
        <v>1.408489570151388E-2</v>
      </c>
      <c r="AP19" s="32"/>
      <c r="AQ19" s="30"/>
      <c r="AR19" s="30"/>
      <c r="AS19" s="31"/>
      <c r="AT19" s="31"/>
    </row>
    <row r="20" spans="1:46">
      <c r="A20" s="229" t="s">
        <v>281</v>
      </c>
      <c r="B20" s="78"/>
      <c r="C20" s="414"/>
      <c r="D20" s="78"/>
      <c r="E20" s="414"/>
      <c r="F20" s="25" t="e">
        <f t="shared" si="0"/>
        <v>#DIV/0!</v>
      </c>
      <c r="G20" s="25" t="e">
        <f t="shared" si="1"/>
        <v>#DIV/0!</v>
      </c>
      <c r="H20" s="78"/>
      <c r="I20" s="414"/>
      <c r="J20" s="25" t="e">
        <f t="shared" si="2"/>
        <v>#DIV/0!</v>
      </c>
      <c r="K20" s="25" t="e">
        <f t="shared" si="3"/>
        <v>#DIV/0!</v>
      </c>
      <c r="L20" s="78"/>
      <c r="M20" s="414"/>
      <c r="N20" s="25" t="e">
        <f t="shared" si="4"/>
        <v>#DIV/0!</v>
      </c>
      <c r="O20" s="25" t="e">
        <f t="shared" si="5"/>
        <v>#DIV/0!</v>
      </c>
      <c r="P20" s="78"/>
      <c r="Q20" s="414"/>
      <c r="R20" s="25" t="e">
        <f t="shared" si="6"/>
        <v>#DIV/0!</v>
      </c>
      <c r="S20" s="25" t="e">
        <f t="shared" si="7"/>
        <v>#DIV/0!</v>
      </c>
      <c r="T20" s="78"/>
      <c r="U20" s="414"/>
      <c r="V20" s="25" t="e">
        <f t="shared" si="8"/>
        <v>#DIV/0!</v>
      </c>
      <c r="W20" s="25" t="e">
        <f t="shared" si="9"/>
        <v>#DIV/0!</v>
      </c>
      <c r="X20" s="78"/>
      <c r="Y20" s="414"/>
      <c r="Z20" s="25" t="e">
        <f t="shared" si="10"/>
        <v>#DIV/0!</v>
      </c>
      <c r="AA20" s="25" t="e">
        <f t="shared" si="11"/>
        <v>#DIV/0!</v>
      </c>
      <c r="AB20" s="78"/>
      <c r="AC20" s="414"/>
      <c r="AD20" s="25" t="e">
        <f t="shared" si="12"/>
        <v>#DIV/0!</v>
      </c>
      <c r="AE20" s="25" t="e">
        <f t="shared" si="13"/>
        <v>#DIV/0!</v>
      </c>
      <c r="AF20" s="78">
        <v>54762708.909999996</v>
      </c>
      <c r="AG20" s="414">
        <v>104.7247</v>
      </c>
      <c r="AH20" s="25" t="e">
        <f t="shared" si="14"/>
        <v>#DIV/0!</v>
      </c>
      <c r="AI20" s="25" t="e">
        <f t="shared" si="15"/>
        <v>#DIV/0!</v>
      </c>
      <c r="AJ20" s="26" t="e">
        <f t="shared" si="16"/>
        <v>#DIV/0!</v>
      </c>
      <c r="AK20" s="26" t="e">
        <f t="shared" si="17"/>
        <v>#DIV/0!</v>
      </c>
      <c r="AL20" s="27" t="e">
        <f t="shared" si="18"/>
        <v>#DIV/0!</v>
      </c>
      <c r="AM20" s="27" t="e">
        <f t="shared" si="19"/>
        <v>#DIV/0!</v>
      </c>
      <c r="AN20" s="28" t="e">
        <f t="shared" si="20"/>
        <v>#DIV/0!</v>
      </c>
      <c r="AO20" s="85" t="e">
        <f t="shared" si="21"/>
        <v>#DIV/0!</v>
      </c>
      <c r="AP20" s="32"/>
      <c r="AQ20" s="41">
        <v>100020653.31</v>
      </c>
      <c r="AR20" s="30">
        <v>100</v>
      </c>
      <c r="AS20" s="31" t="e">
        <f>(#REF!/AQ20)-1</f>
        <v>#REF!</v>
      </c>
      <c r="AT20" s="31" t="e">
        <f>(#REF!/AR20)-1</f>
        <v>#REF!</v>
      </c>
    </row>
    <row r="21" spans="1:46">
      <c r="A21" s="231" t="s">
        <v>47</v>
      </c>
      <c r="B21" s="73">
        <f>SUM(B5:B20)</f>
        <v>15117578327.809998</v>
      </c>
      <c r="C21" s="98"/>
      <c r="D21" s="73">
        <f>SUM(D5:D20)</f>
        <v>15091571938.020002</v>
      </c>
      <c r="E21" s="98"/>
      <c r="F21" s="25">
        <f>((D21-B21)/B21)</f>
        <v>-1.7202748499840319E-3</v>
      </c>
      <c r="G21" s="25"/>
      <c r="H21" s="73">
        <f>SUM(H5:H20)</f>
        <v>14878650973.370001</v>
      </c>
      <c r="I21" s="98"/>
      <c r="J21" s="25">
        <f>((H21-D21)/D21)</f>
        <v>-1.410860084850356E-2</v>
      </c>
      <c r="K21" s="25"/>
      <c r="L21" s="73">
        <f>SUM(L5:L20)</f>
        <v>14950754480.85</v>
      </c>
      <c r="M21" s="98"/>
      <c r="N21" s="25">
        <f>((L21-H21)/H21)</f>
        <v>4.8461051750626665E-3</v>
      </c>
      <c r="O21" s="25"/>
      <c r="P21" s="73">
        <f>SUM(P5:P20)</f>
        <v>15213332672.289999</v>
      </c>
      <c r="Q21" s="98"/>
      <c r="R21" s="25">
        <f>((P21-L21)/L21)</f>
        <v>1.7562872280213526E-2</v>
      </c>
      <c r="S21" s="25"/>
      <c r="T21" s="73">
        <f>SUM(T5:T20)</f>
        <v>15301360595.649994</v>
      </c>
      <c r="U21" s="98"/>
      <c r="V21" s="25">
        <f>((T21-P21)/P21)</f>
        <v>5.7862353539623488E-3</v>
      </c>
      <c r="W21" s="25"/>
      <c r="X21" s="73">
        <f>SUM(X5:X20)</f>
        <v>15444795301.529999</v>
      </c>
      <c r="Y21" s="98"/>
      <c r="Z21" s="25">
        <f>((X21-T21)/T21)</f>
        <v>9.3739837698342838E-3</v>
      </c>
      <c r="AA21" s="25"/>
      <c r="AB21" s="73">
        <f>SUM(AB5:AB20)</f>
        <v>15526960302.890003</v>
      </c>
      <c r="AC21" s="98"/>
      <c r="AD21" s="25">
        <f>((AB21-X21)/X21)</f>
        <v>5.3199152048240455E-3</v>
      </c>
      <c r="AE21" s="25"/>
      <c r="AF21" s="73">
        <f>SUM(AF5:AF20)</f>
        <v>15749133335.319998</v>
      </c>
      <c r="AG21" s="98"/>
      <c r="AH21" s="25">
        <f>((AF21-AB21)/AB21)</f>
        <v>1.4308855570954345E-2</v>
      </c>
      <c r="AI21" s="25"/>
      <c r="AJ21" s="26">
        <f t="shared" si="16"/>
        <v>5.1711364570454525E-3</v>
      </c>
      <c r="AK21" s="26"/>
      <c r="AL21" s="27">
        <f t="shared" si="18"/>
        <v>4.3571431789912456E-2</v>
      </c>
      <c r="AM21" s="27"/>
      <c r="AN21" s="28">
        <f t="shared" si="20"/>
        <v>9.8156063805639755E-3</v>
      </c>
      <c r="AO21" s="85"/>
      <c r="AP21" s="32"/>
      <c r="AQ21" s="42">
        <f>SUM(AQ5:AQ20)</f>
        <v>13501614037.429998</v>
      </c>
      <c r="AR21" s="43"/>
      <c r="AS21" s="31" t="e">
        <f>(#REF!/AQ21)-1</f>
        <v>#REF!</v>
      </c>
      <c r="AT21" s="31" t="e">
        <f>(#REF!/AR21)-1</f>
        <v>#REF!</v>
      </c>
    </row>
    <row r="22" spans="1:46" s="131" customFormat="1" ht="6" customHeight="1">
      <c r="A22" s="231"/>
      <c r="B22" s="98"/>
      <c r="C22" s="98"/>
      <c r="D22" s="98"/>
      <c r="E22" s="98"/>
      <c r="F22" s="25"/>
      <c r="G22" s="25"/>
      <c r="H22" s="98"/>
      <c r="I22" s="98"/>
      <c r="J22" s="25"/>
      <c r="K22" s="25"/>
      <c r="L22" s="98"/>
      <c r="M22" s="98"/>
      <c r="N22" s="25"/>
      <c r="O22" s="25"/>
      <c r="P22" s="98"/>
      <c r="Q22" s="98"/>
      <c r="R22" s="25"/>
      <c r="S22" s="25"/>
      <c r="T22" s="98"/>
      <c r="U22" s="98"/>
      <c r="V22" s="25"/>
      <c r="W22" s="25"/>
      <c r="X22" s="98"/>
      <c r="Y22" s="98"/>
      <c r="Z22" s="25"/>
      <c r="AA22" s="25"/>
      <c r="AB22" s="98"/>
      <c r="AC22" s="98"/>
      <c r="AD22" s="25"/>
      <c r="AE22" s="25"/>
      <c r="AF22" s="98"/>
      <c r="AG22" s="98"/>
      <c r="AH22" s="25"/>
      <c r="AI22" s="25"/>
      <c r="AJ22" s="26"/>
      <c r="AK22" s="26"/>
      <c r="AL22" s="27"/>
      <c r="AM22" s="27"/>
      <c r="AN22" s="28"/>
      <c r="AO22" s="85"/>
      <c r="AP22" s="32"/>
      <c r="AQ22" s="42"/>
      <c r="AR22" s="43"/>
      <c r="AS22" s="31"/>
      <c r="AT22" s="31"/>
    </row>
    <row r="23" spans="1:46">
      <c r="A23" s="228" t="s">
        <v>49</v>
      </c>
      <c r="B23" s="98"/>
      <c r="C23" s="98"/>
      <c r="D23" s="98"/>
      <c r="E23" s="98"/>
      <c r="F23" s="25"/>
      <c r="G23" s="25"/>
      <c r="H23" s="98"/>
      <c r="I23" s="98"/>
      <c r="J23" s="25"/>
      <c r="K23" s="25"/>
      <c r="L23" s="98"/>
      <c r="M23" s="98"/>
      <c r="N23" s="25"/>
      <c r="O23" s="25"/>
      <c r="P23" s="98"/>
      <c r="Q23" s="98"/>
      <c r="R23" s="25"/>
      <c r="S23" s="25"/>
      <c r="T23" s="98"/>
      <c r="U23" s="98"/>
      <c r="V23" s="25"/>
      <c r="W23" s="25"/>
      <c r="X23" s="98"/>
      <c r="Y23" s="98"/>
      <c r="Z23" s="25"/>
      <c r="AA23" s="25"/>
      <c r="AB23" s="98"/>
      <c r="AC23" s="98"/>
      <c r="AD23" s="25"/>
      <c r="AE23" s="25"/>
      <c r="AF23" s="98"/>
      <c r="AG23" s="98"/>
      <c r="AH23" s="25"/>
      <c r="AI23" s="25"/>
      <c r="AJ23" s="26"/>
      <c r="AK23" s="26"/>
      <c r="AL23" s="27"/>
      <c r="AM23" s="27"/>
      <c r="AN23" s="28"/>
      <c r="AO23" s="85"/>
      <c r="AP23" s="32"/>
      <c r="AQ23" s="42"/>
      <c r="AR23" s="15"/>
      <c r="AS23" s="31" t="e">
        <f>(#REF!/AQ23)-1</f>
        <v>#REF!</v>
      </c>
      <c r="AT23" s="31" t="e">
        <f>(#REF!/AR23)-1</f>
        <v>#REF!</v>
      </c>
    </row>
    <row r="24" spans="1:46">
      <c r="A24" s="229" t="s">
        <v>39</v>
      </c>
      <c r="B24" s="408">
        <v>229172709275.79001</v>
      </c>
      <c r="C24" s="360">
        <v>100</v>
      </c>
      <c r="D24" s="408">
        <v>229227809892.48001</v>
      </c>
      <c r="E24" s="360">
        <v>100</v>
      </c>
      <c r="F24" s="25">
        <f t="shared" ref="F24:F52" si="34">((D24-B24)/B24)</f>
        <v>2.4043271497782706E-4</v>
      </c>
      <c r="G24" s="25">
        <f t="shared" ref="G24:G52" si="35">((E24-C24)/C24)</f>
        <v>0</v>
      </c>
      <c r="H24" s="408">
        <v>227521311334.73999</v>
      </c>
      <c r="I24" s="360">
        <v>100</v>
      </c>
      <c r="J24" s="25">
        <f t="shared" ref="J24:J52" si="36">((H24-D24)/D24)</f>
        <v>-7.4445529036832794E-3</v>
      </c>
      <c r="K24" s="25">
        <f t="shared" ref="K24:K52" si="37">((I24-E24)/E24)</f>
        <v>0</v>
      </c>
      <c r="L24" s="408">
        <v>233852759307.48001</v>
      </c>
      <c r="M24" s="360">
        <v>100</v>
      </c>
      <c r="N24" s="25">
        <f t="shared" ref="N24:N52" si="38">((L24-H24)/H24)</f>
        <v>2.7827933724524374E-2</v>
      </c>
      <c r="O24" s="25">
        <f t="shared" ref="O24:O52" si="39">((M24-I24)/I24)</f>
        <v>0</v>
      </c>
      <c r="P24" s="408">
        <v>238349165178.81</v>
      </c>
      <c r="Q24" s="360">
        <v>100</v>
      </c>
      <c r="R24" s="25">
        <f t="shared" ref="R24:R52" si="40">((P24-L24)/L24)</f>
        <v>1.9227508303282032E-2</v>
      </c>
      <c r="S24" s="25">
        <f t="shared" ref="S24:S52" si="41">((Q24-M24)/M24)</f>
        <v>0</v>
      </c>
      <c r="T24" s="408">
        <v>239440363213.97</v>
      </c>
      <c r="U24" s="360">
        <v>100</v>
      </c>
      <c r="V24" s="25">
        <f t="shared" ref="V24:V52" si="42">((T24-P24)/P24)</f>
        <v>4.5781491801801981E-3</v>
      </c>
      <c r="W24" s="25">
        <f t="shared" ref="W24:W52" si="43">((U24-Q24)/Q24)</f>
        <v>0</v>
      </c>
      <c r="X24" s="408">
        <v>239632875138.64999</v>
      </c>
      <c r="Y24" s="360">
        <v>100</v>
      </c>
      <c r="Z24" s="25">
        <f t="shared" ref="Z24:Z52" si="44">((X24-T24)/T24)</f>
        <v>8.0400782097026446E-4</v>
      </c>
      <c r="AA24" s="25">
        <f t="shared" ref="AA24:AA52" si="45">((Y24-U24)/U24)</f>
        <v>0</v>
      </c>
      <c r="AB24" s="408">
        <v>241237389053.85001</v>
      </c>
      <c r="AC24" s="360">
        <v>100</v>
      </c>
      <c r="AD24" s="25">
        <f t="shared" ref="AD24:AD52" si="46">((AB24-X24)/X24)</f>
        <v>6.6957169973929954E-3</v>
      </c>
      <c r="AE24" s="25">
        <f t="shared" ref="AE24:AE52" si="47">((AC24-Y24)/Y24)</f>
        <v>0</v>
      </c>
      <c r="AF24" s="408">
        <v>243588294739.32001</v>
      </c>
      <c r="AG24" s="360">
        <v>100</v>
      </c>
      <c r="AH24" s="25">
        <f t="shared" ref="AH24:AH52" si="48">((AF24-AB24)/AB24)</f>
        <v>9.7451961932203731E-3</v>
      </c>
      <c r="AI24" s="25">
        <f t="shared" ref="AI24:AI52" si="49">((AG24-AC24)/AC24)</f>
        <v>0</v>
      </c>
      <c r="AJ24" s="26">
        <f t="shared" si="16"/>
        <v>7.7092990038580981E-3</v>
      </c>
      <c r="AK24" s="26">
        <f t="shared" si="17"/>
        <v>0</v>
      </c>
      <c r="AL24" s="27">
        <f t="shared" si="18"/>
        <v>6.2647219172821247E-2</v>
      </c>
      <c r="AM24" s="27">
        <f t="shared" si="19"/>
        <v>0</v>
      </c>
      <c r="AN24" s="28">
        <f t="shared" si="20"/>
        <v>1.1247292824460162E-2</v>
      </c>
      <c r="AO24" s="85">
        <f t="shared" si="21"/>
        <v>0</v>
      </c>
      <c r="AP24" s="32"/>
      <c r="AQ24" s="30">
        <v>58847545464.410004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29" t="s">
        <v>19</v>
      </c>
      <c r="B25" s="408">
        <v>151403103147.54001</v>
      </c>
      <c r="C25" s="360">
        <v>100</v>
      </c>
      <c r="D25" s="408">
        <v>150910462902.29001</v>
      </c>
      <c r="E25" s="360">
        <v>100</v>
      </c>
      <c r="F25" s="25">
        <f t="shared" si="34"/>
        <v>-3.2538318898915142E-3</v>
      </c>
      <c r="G25" s="25">
        <f t="shared" si="35"/>
        <v>0</v>
      </c>
      <c r="H25" s="408">
        <v>147032344996.92999</v>
      </c>
      <c r="I25" s="360">
        <v>100</v>
      </c>
      <c r="J25" s="25">
        <f t="shared" si="36"/>
        <v>-2.569813802685756E-2</v>
      </c>
      <c r="K25" s="25">
        <f t="shared" si="37"/>
        <v>0</v>
      </c>
      <c r="L25" s="408">
        <v>145540219503.13</v>
      </c>
      <c r="M25" s="360">
        <v>100</v>
      </c>
      <c r="N25" s="25">
        <f t="shared" si="38"/>
        <v>-1.0148280596566308E-2</v>
      </c>
      <c r="O25" s="25">
        <f t="shared" si="39"/>
        <v>0</v>
      </c>
      <c r="P25" s="408">
        <v>145806430393.82999</v>
      </c>
      <c r="Q25" s="360">
        <v>100</v>
      </c>
      <c r="R25" s="25">
        <f t="shared" si="40"/>
        <v>1.8291225037918575E-3</v>
      </c>
      <c r="S25" s="25">
        <f t="shared" si="41"/>
        <v>0</v>
      </c>
      <c r="T25" s="408">
        <v>146715846478.64001</v>
      </c>
      <c r="U25" s="360">
        <v>100</v>
      </c>
      <c r="V25" s="25">
        <f t="shared" si="42"/>
        <v>6.237146622091033E-3</v>
      </c>
      <c r="W25" s="25">
        <f t="shared" si="43"/>
        <v>0</v>
      </c>
      <c r="X25" s="408">
        <v>145481478188.25</v>
      </c>
      <c r="Y25" s="360">
        <v>100</v>
      </c>
      <c r="Z25" s="25">
        <f t="shared" si="44"/>
        <v>-8.4133263039839618E-3</v>
      </c>
      <c r="AA25" s="25">
        <f t="shared" si="45"/>
        <v>0</v>
      </c>
      <c r="AB25" s="408">
        <v>145769413741.92001</v>
      </c>
      <c r="AC25" s="360">
        <v>100</v>
      </c>
      <c r="AD25" s="25">
        <f t="shared" si="46"/>
        <v>1.9791904595403602E-3</v>
      </c>
      <c r="AE25" s="25">
        <f t="shared" si="47"/>
        <v>0</v>
      </c>
      <c r="AF25" s="408">
        <v>148640547362.32999</v>
      </c>
      <c r="AG25" s="360">
        <v>100</v>
      </c>
      <c r="AH25" s="25">
        <f t="shared" si="48"/>
        <v>1.9696406445684288E-2</v>
      </c>
      <c r="AI25" s="25">
        <f t="shared" si="49"/>
        <v>0</v>
      </c>
      <c r="AJ25" s="26">
        <f t="shared" si="16"/>
        <v>-2.2214638482739753E-3</v>
      </c>
      <c r="AK25" s="26">
        <f t="shared" si="17"/>
        <v>0</v>
      </c>
      <c r="AL25" s="27">
        <f t="shared" si="18"/>
        <v>-1.5041472249871264E-2</v>
      </c>
      <c r="AM25" s="27">
        <f t="shared" si="19"/>
        <v>0</v>
      </c>
      <c r="AN25" s="28">
        <f t="shared" si="20"/>
        <v>1.330621484448748E-2</v>
      </c>
      <c r="AO25" s="85">
        <f t="shared" si="21"/>
        <v>0</v>
      </c>
      <c r="AP25" s="32"/>
      <c r="AQ25" s="30">
        <v>56630718400</v>
      </c>
      <c r="AR25" s="44">
        <v>100</v>
      </c>
      <c r="AS25" s="31" t="e">
        <f>(#REF!/AQ25)-1</f>
        <v>#REF!</v>
      </c>
      <c r="AT25" s="31" t="e">
        <f>(#REF!/AR25)-1</f>
        <v>#REF!</v>
      </c>
    </row>
    <row r="26" spans="1:46">
      <c r="A26" s="229" t="s">
        <v>83</v>
      </c>
      <c r="B26" s="408">
        <v>26353058514.27</v>
      </c>
      <c r="C26" s="360">
        <v>1</v>
      </c>
      <c r="D26" s="408">
        <v>25161427643.700001</v>
      </c>
      <c r="E26" s="360">
        <v>1</v>
      </c>
      <c r="F26" s="25">
        <f t="shared" si="34"/>
        <v>-4.521793437846084E-2</v>
      </c>
      <c r="G26" s="25">
        <f t="shared" si="35"/>
        <v>0</v>
      </c>
      <c r="H26" s="408">
        <v>27100471987</v>
      </c>
      <c r="I26" s="360">
        <v>1</v>
      </c>
      <c r="J26" s="25">
        <f t="shared" si="36"/>
        <v>7.706416228673349E-2</v>
      </c>
      <c r="K26" s="25">
        <f t="shared" si="37"/>
        <v>0</v>
      </c>
      <c r="L26" s="408">
        <v>25235402540.959999</v>
      </c>
      <c r="M26" s="360">
        <v>1</v>
      </c>
      <c r="N26" s="25">
        <f t="shared" si="38"/>
        <v>-6.882055216361796E-2</v>
      </c>
      <c r="O26" s="25">
        <f t="shared" si="39"/>
        <v>0</v>
      </c>
      <c r="P26" s="408">
        <v>25700402359.150002</v>
      </c>
      <c r="Q26" s="360">
        <v>1</v>
      </c>
      <c r="R26" s="25">
        <f t="shared" si="40"/>
        <v>1.8426487052673465E-2</v>
      </c>
      <c r="S26" s="25">
        <f t="shared" si="41"/>
        <v>0</v>
      </c>
      <c r="T26" s="408">
        <v>26887393273.439999</v>
      </c>
      <c r="U26" s="360">
        <v>1</v>
      </c>
      <c r="V26" s="25">
        <f t="shared" si="42"/>
        <v>4.6185693815310951E-2</v>
      </c>
      <c r="W26" s="25">
        <f t="shared" si="43"/>
        <v>0</v>
      </c>
      <c r="X26" s="408">
        <v>27214525664.759998</v>
      </c>
      <c r="Y26" s="360">
        <v>1</v>
      </c>
      <c r="Z26" s="25">
        <f t="shared" si="44"/>
        <v>1.2166757409062364E-2</v>
      </c>
      <c r="AA26" s="25">
        <f t="shared" si="45"/>
        <v>0</v>
      </c>
      <c r="AB26" s="408">
        <v>27577035754.290001</v>
      </c>
      <c r="AC26" s="360">
        <v>1</v>
      </c>
      <c r="AD26" s="25">
        <f t="shared" si="46"/>
        <v>1.3320463270076971E-2</v>
      </c>
      <c r="AE26" s="25">
        <f t="shared" si="47"/>
        <v>0</v>
      </c>
      <c r="AF26" s="408">
        <v>28712741824.240002</v>
      </c>
      <c r="AG26" s="360">
        <v>1</v>
      </c>
      <c r="AH26" s="25">
        <f t="shared" si="48"/>
        <v>4.1183036497072584E-2</v>
      </c>
      <c r="AI26" s="25">
        <f t="shared" si="49"/>
        <v>0</v>
      </c>
      <c r="AJ26" s="26">
        <f t="shared" si="16"/>
        <v>1.1788514223606378E-2</v>
      </c>
      <c r="AK26" s="26">
        <f t="shared" si="17"/>
        <v>0</v>
      </c>
      <c r="AL26" s="27">
        <f t="shared" si="18"/>
        <v>0.14114120354491055</v>
      </c>
      <c r="AM26" s="27">
        <f t="shared" si="19"/>
        <v>0</v>
      </c>
      <c r="AN26" s="28">
        <f t="shared" si="20"/>
        <v>4.7961626802384333E-2</v>
      </c>
      <c r="AO26" s="85">
        <f t="shared" si="21"/>
        <v>0</v>
      </c>
      <c r="AP26" s="32"/>
      <c r="AQ26" s="30">
        <v>366113097.69999999</v>
      </c>
      <c r="AR26" s="34">
        <v>1.1357999999999999</v>
      </c>
      <c r="AS26" s="31" t="e">
        <f>(#REF!/AQ26)-1</f>
        <v>#REF!</v>
      </c>
      <c r="AT26" s="31" t="e">
        <f>(#REF!/AR26)-1</f>
        <v>#REF!</v>
      </c>
    </row>
    <row r="27" spans="1:46">
      <c r="A27" s="229" t="s">
        <v>42</v>
      </c>
      <c r="B27" s="408">
        <v>1077716241.8</v>
      </c>
      <c r="C27" s="360">
        <v>100</v>
      </c>
      <c r="D27" s="408">
        <v>1071406702.63</v>
      </c>
      <c r="E27" s="360">
        <v>100</v>
      </c>
      <c r="F27" s="25">
        <f t="shared" si="34"/>
        <v>-5.854545867715397E-3</v>
      </c>
      <c r="G27" s="25">
        <f t="shared" si="35"/>
        <v>0</v>
      </c>
      <c r="H27" s="408">
        <v>1084926109.6900001</v>
      </c>
      <c r="I27" s="360">
        <v>100</v>
      </c>
      <c r="J27" s="25">
        <f t="shared" si="36"/>
        <v>1.2618370808035592E-2</v>
      </c>
      <c r="K27" s="25">
        <f t="shared" si="37"/>
        <v>0</v>
      </c>
      <c r="L27" s="408">
        <v>1103946806.1099999</v>
      </c>
      <c r="M27" s="360">
        <v>100</v>
      </c>
      <c r="N27" s="25">
        <f t="shared" si="38"/>
        <v>1.7531789722928404E-2</v>
      </c>
      <c r="O27" s="25">
        <f t="shared" si="39"/>
        <v>0</v>
      </c>
      <c r="P27" s="408">
        <v>1116787206.8</v>
      </c>
      <c r="Q27" s="360">
        <v>100</v>
      </c>
      <c r="R27" s="25">
        <f t="shared" si="40"/>
        <v>1.1631358158683425E-2</v>
      </c>
      <c r="S27" s="25">
        <f t="shared" si="41"/>
        <v>0</v>
      </c>
      <c r="T27" s="408">
        <v>1093266589.8</v>
      </c>
      <c r="U27" s="360">
        <v>100</v>
      </c>
      <c r="V27" s="25">
        <f t="shared" si="42"/>
        <v>-2.106096564930672E-2</v>
      </c>
      <c r="W27" s="25">
        <f t="shared" si="43"/>
        <v>0</v>
      </c>
      <c r="X27" s="408">
        <v>1097771430.47</v>
      </c>
      <c r="Y27" s="360">
        <v>100</v>
      </c>
      <c r="Z27" s="25">
        <f t="shared" si="44"/>
        <v>4.1205326422937543E-3</v>
      </c>
      <c r="AA27" s="25">
        <f t="shared" si="45"/>
        <v>0</v>
      </c>
      <c r="AB27" s="408">
        <v>1231561818.3299999</v>
      </c>
      <c r="AC27" s="360">
        <v>100</v>
      </c>
      <c r="AD27" s="25">
        <f t="shared" si="46"/>
        <v>0.12187453976891971</v>
      </c>
      <c r="AE27" s="25">
        <f t="shared" si="47"/>
        <v>0</v>
      </c>
      <c r="AF27" s="408">
        <v>1237371372.5699999</v>
      </c>
      <c r="AG27" s="360">
        <v>100</v>
      </c>
      <c r="AH27" s="25">
        <f t="shared" si="48"/>
        <v>4.7172250337200088E-3</v>
      </c>
      <c r="AI27" s="25">
        <f t="shared" si="49"/>
        <v>0</v>
      </c>
      <c r="AJ27" s="26">
        <f t="shared" si="16"/>
        <v>1.8197288077194847E-2</v>
      </c>
      <c r="AK27" s="26">
        <f t="shared" si="17"/>
        <v>0</v>
      </c>
      <c r="AL27" s="27">
        <f t="shared" si="18"/>
        <v>0.15490352032762505</v>
      </c>
      <c r="AM27" s="27">
        <f t="shared" si="19"/>
        <v>0</v>
      </c>
      <c r="AN27" s="28">
        <f t="shared" si="20"/>
        <v>4.3627022269947892E-2</v>
      </c>
      <c r="AO27" s="85">
        <f t="shared" si="21"/>
        <v>0</v>
      </c>
      <c r="AP27" s="32"/>
      <c r="AQ27" s="30">
        <v>691810420.35000002</v>
      </c>
      <c r="AR27" s="44">
        <v>100</v>
      </c>
      <c r="AS27" s="31" t="e">
        <f>(#REF!/AQ27)-1</f>
        <v>#REF!</v>
      </c>
      <c r="AT27" s="31" t="e">
        <f>(#REF!/AR27)-1</f>
        <v>#REF!</v>
      </c>
    </row>
    <row r="28" spans="1:46">
      <c r="A28" s="229" t="s">
        <v>20</v>
      </c>
      <c r="B28" s="408">
        <v>66791616217.830002</v>
      </c>
      <c r="C28" s="360">
        <v>1</v>
      </c>
      <c r="D28" s="408">
        <v>65158018050.330002</v>
      </c>
      <c r="E28" s="360">
        <v>1</v>
      </c>
      <c r="F28" s="25">
        <f t="shared" si="34"/>
        <v>-2.4458132023221075E-2</v>
      </c>
      <c r="G28" s="25">
        <f t="shared" si="35"/>
        <v>0</v>
      </c>
      <c r="H28" s="408">
        <v>64998642523.269997</v>
      </c>
      <c r="I28" s="360">
        <v>1</v>
      </c>
      <c r="J28" s="25">
        <f t="shared" si="36"/>
        <v>-2.4459848815060452E-3</v>
      </c>
      <c r="K28" s="25">
        <f t="shared" si="37"/>
        <v>0</v>
      </c>
      <c r="L28" s="408">
        <v>65305030519.580002</v>
      </c>
      <c r="M28" s="360">
        <v>1</v>
      </c>
      <c r="N28" s="25">
        <f t="shared" si="38"/>
        <v>4.7137599250679126E-3</v>
      </c>
      <c r="O28" s="25">
        <f t="shared" si="39"/>
        <v>0</v>
      </c>
      <c r="P28" s="408">
        <v>65707175403.419998</v>
      </c>
      <c r="Q28" s="360">
        <v>1</v>
      </c>
      <c r="R28" s="25">
        <f t="shared" si="40"/>
        <v>6.1579464957056216E-3</v>
      </c>
      <c r="S28" s="25">
        <f t="shared" si="41"/>
        <v>0</v>
      </c>
      <c r="T28" s="408">
        <v>65734321189.540001</v>
      </c>
      <c r="U28" s="360">
        <v>1</v>
      </c>
      <c r="V28" s="25">
        <f t="shared" si="42"/>
        <v>4.1313275077397156E-4</v>
      </c>
      <c r="W28" s="25">
        <f t="shared" si="43"/>
        <v>0</v>
      </c>
      <c r="X28" s="408">
        <v>66143370966.309998</v>
      </c>
      <c r="Y28" s="360">
        <v>1</v>
      </c>
      <c r="Z28" s="25">
        <f t="shared" si="44"/>
        <v>6.2227732692413783E-3</v>
      </c>
      <c r="AA28" s="25">
        <f t="shared" si="45"/>
        <v>0</v>
      </c>
      <c r="AB28" s="408">
        <v>66504631789.529999</v>
      </c>
      <c r="AC28" s="360">
        <v>1</v>
      </c>
      <c r="AD28" s="25">
        <f t="shared" si="46"/>
        <v>5.4617842716847432E-3</v>
      </c>
      <c r="AE28" s="25">
        <f t="shared" si="47"/>
        <v>0</v>
      </c>
      <c r="AF28" s="408">
        <v>67462316609.160004</v>
      </c>
      <c r="AG28" s="360">
        <v>1</v>
      </c>
      <c r="AH28" s="25">
        <f t="shared" si="48"/>
        <v>1.4400272490205347E-2</v>
      </c>
      <c r="AI28" s="25">
        <f t="shared" si="49"/>
        <v>0</v>
      </c>
      <c r="AJ28" s="26">
        <f t="shared" si="16"/>
        <v>1.3081940372439821E-3</v>
      </c>
      <c r="AK28" s="26">
        <f t="shared" si="17"/>
        <v>0</v>
      </c>
      <c r="AL28" s="27">
        <f t="shared" si="18"/>
        <v>3.5364773634613822E-2</v>
      </c>
      <c r="AM28" s="27">
        <f t="shared" si="19"/>
        <v>0</v>
      </c>
      <c r="AN28" s="28">
        <f t="shared" si="20"/>
        <v>1.1506050890858047E-2</v>
      </c>
      <c r="AO28" s="85">
        <f t="shared" si="21"/>
        <v>0</v>
      </c>
      <c r="AP28" s="32"/>
      <c r="AQ28" s="30">
        <v>13880602273.7041</v>
      </c>
      <c r="AR28" s="37">
        <v>1</v>
      </c>
      <c r="AS28" s="31" t="e">
        <f>(#REF!/AQ28)-1</f>
        <v>#REF!</v>
      </c>
      <c r="AT28" s="31" t="e">
        <f>(#REF!/AR28)-1</f>
        <v>#REF!</v>
      </c>
    </row>
    <row r="29" spans="1:46">
      <c r="A29" s="229" t="s">
        <v>61</v>
      </c>
      <c r="B29" s="397">
        <v>1945912235.8800001</v>
      </c>
      <c r="C29" s="360">
        <v>10</v>
      </c>
      <c r="D29" s="397">
        <v>1902757452.0799999</v>
      </c>
      <c r="E29" s="360">
        <v>10</v>
      </c>
      <c r="F29" s="25">
        <f t="shared" si="34"/>
        <v>-2.217714807702224E-2</v>
      </c>
      <c r="G29" s="25">
        <f t="shared" si="35"/>
        <v>0</v>
      </c>
      <c r="H29" s="397">
        <v>1955900133.7</v>
      </c>
      <c r="I29" s="360">
        <v>10</v>
      </c>
      <c r="J29" s="25">
        <f t="shared" si="36"/>
        <v>2.7929298903497754E-2</v>
      </c>
      <c r="K29" s="25">
        <f t="shared" si="37"/>
        <v>0</v>
      </c>
      <c r="L29" s="397">
        <v>1964968102.5</v>
      </c>
      <c r="M29" s="360">
        <v>10</v>
      </c>
      <c r="N29" s="25">
        <f t="shared" si="38"/>
        <v>4.6362125774008544E-3</v>
      </c>
      <c r="O29" s="25">
        <f t="shared" si="39"/>
        <v>0</v>
      </c>
      <c r="P29" s="397">
        <v>1961084638.0899999</v>
      </c>
      <c r="Q29" s="360">
        <v>10</v>
      </c>
      <c r="R29" s="25">
        <f t="shared" si="40"/>
        <v>-1.9763498476434356E-3</v>
      </c>
      <c r="S29" s="25">
        <f t="shared" si="41"/>
        <v>0</v>
      </c>
      <c r="T29" s="397">
        <v>1961653192.3299999</v>
      </c>
      <c r="U29" s="360">
        <v>10</v>
      </c>
      <c r="V29" s="25">
        <f t="shared" si="42"/>
        <v>2.8991825694670345E-4</v>
      </c>
      <c r="W29" s="25">
        <f t="shared" si="43"/>
        <v>0</v>
      </c>
      <c r="X29" s="397">
        <v>1939680353.2</v>
      </c>
      <c r="Y29" s="360">
        <v>10</v>
      </c>
      <c r="Z29" s="25">
        <f t="shared" si="44"/>
        <v>-1.1201184396871455E-2</v>
      </c>
      <c r="AA29" s="25">
        <f t="shared" si="45"/>
        <v>0</v>
      </c>
      <c r="AB29" s="397">
        <v>1949066080.52</v>
      </c>
      <c r="AC29" s="360">
        <v>10</v>
      </c>
      <c r="AD29" s="25">
        <f t="shared" si="46"/>
        <v>4.8388010449844322E-3</v>
      </c>
      <c r="AE29" s="25">
        <f t="shared" si="47"/>
        <v>0</v>
      </c>
      <c r="AF29" s="397">
        <v>1971448177.95</v>
      </c>
      <c r="AG29" s="360">
        <v>10</v>
      </c>
      <c r="AH29" s="25">
        <f t="shared" si="48"/>
        <v>1.1483498509208394E-2</v>
      </c>
      <c r="AI29" s="25">
        <f t="shared" si="49"/>
        <v>0</v>
      </c>
      <c r="AJ29" s="26">
        <f t="shared" si="16"/>
        <v>1.727880871312626E-3</v>
      </c>
      <c r="AK29" s="26">
        <f t="shared" si="17"/>
        <v>0</v>
      </c>
      <c r="AL29" s="27">
        <f t="shared" si="18"/>
        <v>3.6100621124836925E-2</v>
      </c>
      <c r="AM29" s="27">
        <f t="shared" si="19"/>
        <v>0</v>
      </c>
      <c r="AN29" s="28">
        <f t="shared" si="20"/>
        <v>1.4900732481818273E-2</v>
      </c>
      <c r="AO29" s="85">
        <f t="shared" si="21"/>
        <v>0</v>
      </c>
      <c r="AP29" s="32"/>
      <c r="AQ29" s="40">
        <v>246915130.99000001</v>
      </c>
      <c r="AR29" s="37">
        <v>10</v>
      </c>
      <c r="AS29" s="31" t="e">
        <f>(#REF!/AQ29)-1</f>
        <v>#REF!</v>
      </c>
      <c r="AT29" s="31" t="e">
        <f>(#REF!/AR29)-1</f>
        <v>#REF!</v>
      </c>
    </row>
    <row r="30" spans="1:46">
      <c r="A30" s="229" t="s">
        <v>89</v>
      </c>
      <c r="B30" s="408">
        <v>31246995340.27</v>
      </c>
      <c r="C30" s="360">
        <v>1</v>
      </c>
      <c r="D30" s="408">
        <v>30393329598.66</v>
      </c>
      <c r="E30" s="360">
        <v>1</v>
      </c>
      <c r="F30" s="25">
        <f t="shared" si="34"/>
        <v>-2.7319930518561797E-2</v>
      </c>
      <c r="G30" s="25">
        <f t="shared" si="35"/>
        <v>0</v>
      </c>
      <c r="H30" s="408">
        <v>30361220864.990002</v>
      </c>
      <c r="I30" s="360">
        <v>1</v>
      </c>
      <c r="J30" s="25">
        <f t="shared" si="36"/>
        <v>-1.0564401496640828E-3</v>
      </c>
      <c r="K30" s="25">
        <f t="shared" si="37"/>
        <v>0</v>
      </c>
      <c r="L30" s="408">
        <v>30620371289.849998</v>
      </c>
      <c r="M30" s="360">
        <v>1</v>
      </c>
      <c r="N30" s="25">
        <f t="shared" si="38"/>
        <v>8.5355732568326067E-3</v>
      </c>
      <c r="O30" s="25">
        <f t="shared" si="39"/>
        <v>0</v>
      </c>
      <c r="P30" s="408">
        <v>31381651844.16</v>
      </c>
      <c r="Q30" s="360">
        <v>1</v>
      </c>
      <c r="R30" s="25">
        <f t="shared" si="40"/>
        <v>2.4861898214877286E-2</v>
      </c>
      <c r="S30" s="25">
        <f t="shared" si="41"/>
        <v>0</v>
      </c>
      <c r="T30" s="408">
        <v>31231069849.189999</v>
      </c>
      <c r="U30" s="360">
        <v>1</v>
      </c>
      <c r="V30" s="25">
        <f t="shared" si="42"/>
        <v>-4.7984088191974483E-3</v>
      </c>
      <c r="W30" s="25">
        <f t="shared" si="43"/>
        <v>0</v>
      </c>
      <c r="X30" s="408">
        <v>31480661711.91</v>
      </c>
      <c r="Y30" s="360">
        <v>1</v>
      </c>
      <c r="Z30" s="25">
        <f t="shared" si="44"/>
        <v>7.9917807467128621E-3</v>
      </c>
      <c r="AA30" s="25">
        <f t="shared" si="45"/>
        <v>0</v>
      </c>
      <c r="AB30" s="408">
        <v>31452566788.549999</v>
      </c>
      <c r="AC30" s="360">
        <v>1</v>
      </c>
      <c r="AD30" s="25">
        <f t="shared" si="46"/>
        <v>-8.9245021648866828E-4</v>
      </c>
      <c r="AE30" s="25">
        <f t="shared" si="47"/>
        <v>0</v>
      </c>
      <c r="AF30" s="408">
        <v>31470627917.279999</v>
      </c>
      <c r="AG30" s="360">
        <v>1</v>
      </c>
      <c r="AH30" s="25">
        <f t="shared" si="48"/>
        <v>5.7423385669669801E-4</v>
      </c>
      <c r="AI30" s="25">
        <f t="shared" si="49"/>
        <v>0</v>
      </c>
      <c r="AJ30" s="26">
        <f t="shared" si="16"/>
        <v>9.8703204640093203E-4</v>
      </c>
      <c r="AK30" s="26">
        <f t="shared" si="17"/>
        <v>0</v>
      </c>
      <c r="AL30" s="27">
        <f t="shared" si="18"/>
        <v>3.5445222120958263E-2</v>
      </c>
      <c r="AM30" s="27">
        <f t="shared" si="19"/>
        <v>0</v>
      </c>
      <c r="AN30" s="28">
        <f t="shared" si="20"/>
        <v>1.4729418102774226E-2</v>
      </c>
      <c r="AO30" s="85">
        <f t="shared" si="21"/>
        <v>0</v>
      </c>
      <c r="AP30" s="32"/>
      <c r="AQ30" s="40"/>
      <c r="AR30" s="37"/>
      <c r="AS30" s="31"/>
      <c r="AT30" s="31"/>
    </row>
    <row r="31" spans="1:46">
      <c r="A31" s="229" t="s">
        <v>93</v>
      </c>
      <c r="B31" s="408">
        <v>2063424375.109467</v>
      </c>
      <c r="C31" s="360">
        <v>100</v>
      </c>
      <c r="D31" s="408">
        <v>2060391155.7740879</v>
      </c>
      <c r="E31" s="360">
        <v>100</v>
      </c>
      <c r="F31" s="25">
        <f t="shared" si="34"/>
        <v>-1.4699929747695299E-3</v>
      </c>
      <c r="G31" s="25">
        <f t="shared" si="35"/>
        <v>0</v>
      </c>
      <c r="H31" s="408">
        <v>2030182834.48</v>
      </c>
      <c r="I31" s="360">
        <v>100</v>
      </c>
      <c r="J31" s="25">
        <f t="shared" si="36"/>
        <v>-1.4661449700670374E-2</v>
      </c>
      <c r="K31" s="25">
        <f t="shared" si="37"/>
        <v>0</v>
      </c>
      <c r="L31" s="408">
        <v>2046581896.77</v>
      </c>
      <c r="M31" s="360">
        <v>100</v>
      </c>
      <c r="N31" s="25">
        <f t="shared" si="38"/>
        <v>8.0776282862229636E-3</v>
      </c>
      <c r="O31" s="25">
        <f t="shared" si="39"/>
        <v>0</v>
      </c>
      <c r="P31" s="408">
        <v>2067121545.75</v>
      </c>
      <c r="Q31" s="360">
        <v>100</v>
      </c>
      <c r="R31" s="25">
        <f t="shared" si="40"/>
        <v>1.0036074790076342E-2</v>
      </c>
      <c r="S31" s="25">
        <f t="shared" si="41"/>
        <v>0</v>
      </c>
      <c r="T31" s="408">
        <v>2058579300.7646081</v>
      </c>
      <c r="U31" s="360">
        <v>100</v>
      </c>
      <c r="V31" s="25">
        <f t="shared" si="42"/>
        <v>-4.1324347873760514E-3</v>
      </c>
      <c r="W31" s="25">
        <f t="shared" si="43"/>
        <v>0</v>
      </c>
      <c r="X31" s="408">
        <v>2049536126.8939445</v>
      </c>
      <c r="Y31" s="360">
        <v>100</v>
      </c>
      <c r="Z31" s="25">
        <f t="shared" si="44"/>
        <v>-4.3929198488029007E-3</v>
      </c>
      <c r="AA31" s="25">
        <f t="shared" si="45"/>
        <v>0</v>
      </c>
      <c r="AB31" s="408">
        <v>2071400012.5339437</v>
      </c>
      <c r="AC31" s="360">
        <v>100</v>
      </c>
      <c r="AD31" s="25">
        <f t="shared" si="46"/>
        <v>1.0667723956217201E-2</v>
      </c>
      <c r="AE31" s="25">
        <f t="shared" si="47"/>
        <v>0</v>
      </c>
      <c r="AF31" s="408">
        <v>2092745416.2638049</v>
      </c>
      <c r="AG31" s="360">
        <v>100</v>
      </c>
      <c r="AH31" s="25">
        <f t="shared" si="48"/>
        <v>1.0304819735783156E-2</v>
      </c>
      <c r="AI31" s="25">
        <f t="shared" si="49"/>
        <v>0</v>
      </c>
      <c r="AJ31" s="26">
        <f t="shared" si="16"/>
        <v>1.8036811820851008E-3</v>
      </c>
      <c r="AK31" s="26">
        <f t="shared" si="17"/>
        <v>0</v>
      </c>
      <c r="AL31" s="27">
        <f t="shared" si="18"/>
        <v>1.570296999142453E-2</v>
      </c>
      <c r="AM31" s="27">
        <f t="shared" si="19"/>
        <v>0</v>
      </c>
      <c r="AN31" s="28">
        <f t="shared" si="20"/>
        <v>9.3612281123766003E-3</v>
      </c>
      <c r="AO31" s="85">
        <f t="shared" si="21"/>
        <v>0</v>
      </c>
      <c r="AP31" s="32"/>
      <c r="AQ31" s="40"/>
      <c r="AR31" s="37"/>
      <c r="AS31" s="31"/>
      <c r="AT31" s="31"/>
    </row>
    <row r="32" spans="1:46">
      <c r="A32" s="229" t="s">
        <v>96</v>
      </c>
      <c r="B32" s="408">
        <v>4574852061.3999996</v>
      </c>
      <c r="C32" s="360">
        <v>100</v>
      </c>
      <c r="D32" s="408">
        <v>4466650434.0299997</v>
      </c>
      <c r="E32" s="360">
        <v>100</v>
      </c>
      <c r="F32" s="25">
        <f t="shared" si="34"/>
        <v>-2.3651393732038613E-2</v>
      </c>
      <c r="G32" s="25">
        <f t="shared" si="35"/>
        <v>0</v>
      </c>
      <c r="H32" s="408">
        <v>4311938588.3599997</v>
      </c>
      <c r="I32" s="360">
        <v>100</v>
      </c>
      <c r="J32" s="25">
        <f t="shared" si="36"/>
        <v>-3.4637106251095756E-2</v>
      </c>
      <c r="K32" s="25">
        <f t="shared" si="37"/>
        <v>0</v>
      </c>
      <c r="L32" s="408">
        <v>4360538286.4499998</v>
      </c>
      <c r="M32" s="360">
        <v>100</v>
      </c>
      <c r="N32" s="25">
        <f t="shared" si="38"/>
        <v>1.1270962490327241E-2</v>
      </c>
      <c r="O32" s="25">
        <f t="shared" si="39"/>
        <v>0</v>
      </c>
      <c r="P32" s="408">
        <v>4259700262.1399999</v>
      </c>
      <c r="Q32" s="360">
        <v>100</v>
      </c>
      <c r="R32" s="25">
        <f t="shared" si="40"/>
        <v>-2.3125132193735229E-2</v>
      </c>
      <c r="S32" s="25">
        <f t="shared" si="41"/>
        <v>0</v>
      </c>
      <c r="T32" s="408">
        <v>4306338298.9099998</v>
      </c>
      <c r="U32" s="360">
        <v>100</v>
      </c>
      <c r="V32" s="25">
        <f t="shared" si="42"/>
        <v>1.0948666314509612E-2</v>
      </c>
      <c r="W32" s="25">
        <f t="shared" si="43"/>
        <v>0</v>
      </c>
      <c r="X32" s="408">
        <v>4373400110.8400002</v>
      </c>
      <c r="Y32" s="360">
        <v>100</v>
      </c>
      <c r="Z32" s="25">
        <f t="shared" si="44"/>
        <v>1.5572815527979926E-2</v>
      </c>
      <c r="AA32" s="25">
        <f t="shared" si="45"/>
        <v>0</v>
      </c>
      <c r="AB32" s="408">
        <v>4524415952.7799997</v>
      </c>
      <c r="AC32" s="360">
        <v>100</v>
      </c>
      <c r="AD32" s="25">
        <f t="shared" si="46"/>
        <v>3.4530534163953713E-2</v>
      </c>
      <c r="AE32" s="25">
        <f t="shared" si="47"/>
        <v>0</v>
      </c>
      <c r="AF32" s="408">
        <v>4657449123.3800001</v>
      </c>
      <c r="AG32" s="360">
        <v>100</v>
      </c>
      <c r="AH32" s="25">
        <f t="shared" si="48"/>
        <v>2.940339084390748E-2</v>
      </c>
      <c r="AI32" s="25">
        <f t="shared" si="49"/>
        <v>0</v>
      </c>
      <c r="AJ32" s="26">
        <f t="shared" si="16"/>
        <v>2.539092145476045E-3</v>
      </c>
      <c r="AK32" s="26">
        <f t="shared" si="17"/>
        <v>0</v>
      </c>
      <c r="AL32" s="27">
        <f t="shared" si="18"/>
        <v>4.2716279719667648E-2</v>
      </c>
      <c r="AM32" s="27">
        <f t="shared" si="19"/>
        <v>0</v>
      </c>
      <c r="AN32" s="28">
        <f t="shared" si="20"/>
        <v>2.6155171677265134E-2</v>
      </c>
      <c r="AO32" s="85">
        <f t="shared" si="21"/>
        <v>0</v>
      </c>
      <c r="AP32" s="32"/>
      <c r="AQ32" s="40"/>
      <c r="AR32" s="37"/>
      <c r="AS32" s="31"/>
      <c r="AT32" s="31"/>
    </row>
    <row r="33" spans="1:47">
      <c r="A33" s="229" t="s">
        <v>102</v>
      </c>
      <c r="B33" s="397">
        <v>700216380.02999997</v>
      </c>
      <c r="C33" s="360">
        <v>10</v>
      </c>
      <c r="D33" s="397">
        <v>710870686.79999995</v>
      </c>
      <c r="E33" s="360">
        <v>10</v>
      </c>
      <c r="F33" s="25">
        <f t="shared" si="34"/>
        <v>1.5215734841197958E-2</v>
      </c>
      <c r="G33" s="25">
        <f t="shared" si="35"/>
        <v>0</v>
      </c>
      <c r="H33" s="397">
        <v>699703922.70000005</v>
      </c>
      <c r="I33" s="360">
        <v>10</v>
      </c>
      <c r="J33" s="25">
        <f t="shared" si="36"/>
        <v>-1.5708573032132384E-2</v>
      </c>
      <c r="K33" s="25">
        <f t="shared" si="37"/>
        <v>0</v>
      </c>
      <c r="L33" s="397">
        <v>672223135.14999998</v>
      </c>
      <c r="M33" s="360">
        <v>10</v>
      </c>
      <c r="N33" s="25">
        <f t="shared" si="38"/>
        <v>-3.9274879929153308E-2</v>
      </c>
      <c r="O33" s="25">
        <f t="shared" si="39"/>
        <v>0</v>
      </c>
      <c r="P33" s="397">
        <v>662933580.51999998</v>
      </c>
      <c r="Q33" s="360">
        <v>10</v>
      </c>
      <c r="R33" s="25">
        <f t="shared" si="40"/>
        <v>-1.3819153409421296E-2</v>
      </c>
      <c r="S33" s="25">
        <f t="shared" si="41"/>
        <v>0</v>
      </c>
      <c r="T33" s="397">
        <v>666316722.78999996</v>
      </c>
      <c r="U33" s="360">
        <v>10</v>
      </c>
      <c r="V33" s="25">
        <f t="shared" si="42"/>
        <v>5.1032899364462274E-3</v>
      </c>
      <c r="W33" s="25">
        <f t="shared" si="43"/>
        <v>0</v>
      </c>
      <c r="X33" s="397">
        <v>655295529.41999996</v>
      </c>
      <c r="Y33" s="360">
        <v>10</v>
      </c>
      <c r="Z33" s="25">
        <f t="shared" si="44"/>
        <v>-1.6540472410555881E-2</v>
      </c>
      <c r="AA33" s="25">
        <f t="shared" si="45"/>
        <v>0</v>
      </c>
      <c r="AB33" s="397">
        <v>613402936.33000004</v>
      </c>
      <c r="AC33" s="360">
        <v>10</v>
      </c>
      <c r="AD33" s="25">
        <f t="shared" si="46"/>
        <v>-6.3929313125451831E-2</v>
      </c>
      <c r="AE33" s="25">
        <f t="shared" si="47"/>
        <v>0</v>
      </c>
      <c r="AF33" s="397">
        <v>613402936.33000004</v>
      </c>
      <c r="AG33" s="360">
        <v>10</v>
      </c>
      <c r="AH33" s="25">
        <f t="shared" si="48"/>
        <v>0</v>
      </c>
      <c r="AI33" s="25">
        <f t="shared" si="49"/>
        <v>0</v>
      </c>
      <c r="AJ33" s="26">
        <f t="shared" si="16"/>
        <v>-1.6119170891133815E-2</v>
      </c>
      <c r="AK33" s="26">
        <f t="shared" si="17"/>
        <v>0</v>
      </c>
      <c r="AL33" s="27">
        <f t="shared" si="18"/>
        <v>-0.13711038066396172</v>
      </c>
      <c r="AM33" s="27">
        <f t="shared" si="19"/>
        <v>0</v>
      </c>
      <c r="AN33" s="28">
        <f t="shared" si="20"/>
        <v>2.5410148587178053E-2</v>
      </c>
      <c r="AO33" s="85">
        <f t="shared" si="21"/>
        <v>0</v>
      </c>
      <c r="AP33" s="32"/>
      <c r="AQ33" s="40"/>
      <c r="AR33" s="37"/>
      <c r="AS33" s="31"/>
      <c r="AT33" s="31"/>
    </row>
    <row r="34" spans="1:47">
      <c r="A34" s="229" t="s">
        <v>104</v>
      </c>
      <c r="B34" s="408">
        <v>4294611345.2600002</v>
      </c>
      <c r="C34" s="360">
        <v>100</v>
      </c>
      <c r="D34" s="408">
        <v>4325568916.8699999</v>
      </c>
      <c r="E34" s="360">
        <v>100</v>
      </c>
      <c r="F34" s="25">
        <f t="shared" si="34"/>
        <v>7.2084687347011732E-3</v>
      </c>
      <c r="G34" s="25">
        <f t="shared" si="35"/>
        <v>0</v>
      </c>
      <c r="H34" s="408">
        <v>4325568916.8699999</v>
      </c>
      <c r="I34" s="360">
        <v>100</v>
      </c>
      <c r="J34" s="25">
        <f t="shared" si="36"/>
        <v>0</v>
      </c>
      <c r="K34" s="25">
        <f t="shared" si="37"/>
        <v>0</v>
      </c>
      <c r="L34" s="408">
        <v>4267388892.5599999</v>
      </c>
      <c r="M34" s="360">
        <v>100</v>
      </c>
      <c r="N34" s="25">
        <f t="shared" si="38"/>
        <v>-1.3450259475255166E-2</v>
      </c>
      <c r="O34" s="25">
        <f t="shared" si="39"/>
        <v>0</v>
      </c>
      <c r="P34" s="408">
        <v>4408801357.0299997</v>
      </c>
      <c r="Q34" s="360">
        <v>100</v>
      </c>
      <c r="R34" s="25">
        <f t="shared" si="40"/>
        <v>3.3137937045425142E-2</v>
      </c>
      <c r="S34" s="25">
        <f t="shared" si="41"/>
        <v>0</v>
      </c>
      <c r="T34" s="408">
        <v>4394383135.3000002</v>
      </c>
      <c r="U34" s="360">
        <v>100</v>
      </c>
      <c r="V34" s="25">
        <f t="shared" si="42"/>
        <v>-3.2703269125539404E-3</v>
      </c>
      <c r="W34" s="25">
        <f t="shared" si="43"/>
        <v>0</v>
      </c>
      <c r="X34" s="408">
        <v>4466605008</v>
      </c>
      <c r="Y34" s="360">
        <v>100</v>
      </c>
      <c r="Z34" s="25">
        <f t="shared" si="44"/>
        <v>1.6435042297482622E-2</v>
      </c>
      <c r="AA34" s="25">
        <f t="shared" si="45"/>
        <v>0</v>
      </c>
      <c r="AB34" s="408">
        <v>4073148387.6599998</v>
      </c>
      <c r="AC34" s="360">
        <v>100</v>
      </c>
      <c r="AD34" s="25">
        <f t="shared" si="46"/>
        <v>-8.8088519050888089E-2</v>
      </c>
      <c r="AE34" s="25">
        <f t="shared" si="47"/>
        <v>0</v>
      </c>
      <c r="AF34" s="408">
        <v>4076092021.0500002</v>
      </c>
      <c r="AG34" s="360">
        <v>100</v>
      </c>
      <c r="AH34" s="25">
        <f t="shared" si="48"/>
        <v>7.2269240151386766E-4</v>
      </c>
      <c r="AI34" s="25">
        <f t="shared" si="49"/>
        <v>0</v>
      </c>
      <c r="AJ34" s="26">
        <f t="shared" si="16"/>
        <v>-5.9131206199467988E-3</v>
      </c>
      <c r="AK34" s="26">
        <f t="shared" si="17"/>
        <v>0</v>
      </c>
      <c r="AL34" s="27">
        <f t="shared" si="18"/>
        <v>-5.7674932619157585E-2</v>
      </c>
      <c r="AM34" s="27">
        <f t="shared" si="19"/>
        <v>0</v>
      </c>
      <c r="AN34" s="28">
        <f t="shared" si="20"/>
        <v>3.6040036339901591E-2</v>
      </c>
      <c r="AO34" s="85">
        <f t="shared" si="21"/>
        <v>0</v>
      </c>
      <c r="AP34" s="32"/>
      <c r="AQ34" s="40"/>
      <c r="AR34" s="37"/>
      <c r="AS34" s="31"/>
      <c r="AT34" s="31"/>
    </row>
    <row r="35" spans="1:47">
      <c r="A35" s="229" t="s">
        <v>105</v>
      </c>
      <c r="B35" s="408">
        <v>12648699639.42</v>
      </c>
      <c r="C35" s="360">
        <v>100</v>
      </c>
      <c r="D35" s="408">
        <v>12212375795.73</v>
      </c>
      <c r="E35" s="360">
        <v>100</v>
      </c>
      <c r="F35" s="25">
        <f t="shared" si="34"/>
        <v>-3.4495549434203181E-2</v>
      </c>
      <c r="G35" s="25">
        <f t="shared" si="35"/>
        <v>0</v>
      </c>
      <c r="H35" s="408">
        <v>12733544571.629999</v>
      </c>
      <c r="I35" s="360">
        <v>100</v>
      </c>
      <c r="J35" s="25">
        <f t="shared" si="36"/>
        <v>4.2675461729749904E-2</v>
      </c>
      <c r="K35" s="25">
        <f t="shared" si="37"/>
        <v>0</v>
      </c>
      <c r="L35" s="408">
        <v>12877650601.74</v>
      </c>
      <c r="M35" s="360">
        <v>100</v>
      </c>
      <c r="N35" s="25">
        <f t="shared" si="38"/>
        <v>1.1317039752706802E-2</v>
      </c>
      <c r="O35" s="25">
        <f t="shared" si="39"/>
        <v>0</v>
      </c>
      <c r="P35" s="408">
        <v>13057060587.59</v>
      </c>
      <c r="Q35" s="360">
        <v>100</v>
      </c>
      <c r="R35" s="25">
        <f t="shared" si="40"/>
        <v>1.3931887997159893E-2</v>
      </c>
      <c r="S35" s="25">
        <f t="shared" si="41"/>
        <v>0</v>
      </c>
      <c r="T35" s="408">
        <v>13027001523.139999</v>
      </c>
      <c r="U35" s="360">
        <v>100</v>
      </c>
      <c r="V35" s="25">
        <f t="shared" si="42"/>
        <v>-2.3021310384796871E-3</v>
      </c>
      <c r="W35" s="25">
        <f t="shared" si="43"/>
        <v>0</v>
      </c>
      <c r="X35" s="408">
        <v>13026392574.200001</v>
      </c>
      <c r="Y35" s="360">
        <v>100</v>
      </c>
      <c r="Z35" s="25">
        <f t="shared" si="44"/>
        <v>-4.6745134628021981E-5</v>
      </c>
      <c r="AA35" s="25">
        <f t="shared" si="45"/>
        <v>0</v>
      </c>
      <c r="AB35" s="408">
        <v>13190793032.799999</v>
      </c>
      <c r="AC35" s="360">
        <v>100</v>
      </c>
      <c r="AD35" s="25">
        <f t="shared" si="46"/>
        <v>1.2620566873257688E-2</v>
      </c>
      <c r="AE35" s="25">
        <f t="shared" si="47"/>
        <v>0</v>
      </c>
      <c r="AF35" s="408">
        <v>13428577023.67</v>
      </c>
      <c r="AG35" s="360">
        <v>100</v>
      </c>
      <c r="AH35" s="25">
        <f t="shared" si="48"/>
        <v>1.802651214970406E-2</v>
      </c>
      <c r="AI35" s="25">
        <f t="shared" si="49"/>
        <v>0</v>
      </c>
      <c r="AJ35" s="26">
        <f t="shared" si="16"/>
        <v>7.7158803619084317E-3</v>
      </c>
      <c r="AK35" s="26">
        <f t="shared" si="17"/>
        <v>0</v>
      </c>
      <c r="AL35" s="27">
        <f t="shared" si="18"/>
        <v>9.9587602632179043E-2</v>
      </c>
      <c r="AM35" s="27">
        <f t="shared" si="19"/>
        <v>0</v>
      </c>
      <c r="AN35" s="28">
        <f t="shared" si="20"/>
        <v>2.1865067440953536E-2</v>
      </c>
      <c r="AO35" s="85">
        <f t="shared" si="21"/>
        <v>0</v>
      </c>
      <c r="AP35" s="32"/>
      <c r="AQ35" s="40"/>
      <c r="AR35" s="37"/>
      <c r="AS35" s="31"/>
      <c r="AT35" s="31"/>
    </row>
    <row r="36" spans="1:47">
      <c r="A36" s="229" t="s">
        <v>108</v>
      </c>
      <c r="B36" s="408">
        <v>10544387989.99</v>
      </c>
      <c r="C36" s="72">
        <v>100</v>
      </c>
      <c r="D36" s="408">
        <v>10535517477.530001</v>
      </c>
      <c r="E36" s="72">
        <v>100</v>
      </c>
      <c r="F36" s="25">
        <f t="shared" si="34"/>
        <v>-8.412543685247585E-4</v>
      </c>
      <c r="G36" s="25">
        <f t="shared" si="35"/>
        <v>0</v>
      </c>
      <c r="H36" s="408">
        <v>10499355635.540001</v>
      </c>
      <c r="I36" s="72">
        <v>100</v>
      </c>
      <c r="J36" s="25">
        <f t="shared" si="36"/>
        <v>-3.4323745432652195E-3</v>
      </c>
      <c r="K36" s="25">
        <f t="shared" si="37"/>
        <v>0</v>
      </c>
      <c r="L36" s="408">
        <v>10506221233.07</v>
      </c>
      <c r="M36" s="72">
        <v>100</v>
      </c>
      <c r="N36" s="25">
        <f t="shared" si="38"/>
        <v>6.5390656039490073E-4</v>
      </c>
      <c r="O36" s="25">
        <f t="shared" si="39"/>
        <v>0</v>
      </c>
      <c r="P36" s="408">
        <v>10604688336.5</v>
      </c>
      <c r="Q36" s="72">
        <v>100</v>
      </c>
      <c r="R36" s="25">
        <f t="shared" si="40"/>
        <v>9.3722663216018586E-3</v>
      </c>
      <c r="S36" s="25">
        <f t="shared" si="41"/>
        <v>0</v>
      </c>
      <c r="T36" s="408">
        <v>10765142124.15</v>
      </c>
      <c r="U36" s="72">
        <v>100</v>
      </c>
      <c r="V36" s="25">
        <f t="shared" si="42"/>
        <v>1.5130457638980103E-2</v>
      </c>
      <c r="W36" s="25">
        <f t="shared" si="43"/>
        <v>0</v>
      </c>
      <c r="X36" s="408">
        <v>10718237499.290001</v>
      </c>
      <c r="Y36" s="72">
        <v>100</v>
      </c>
      <c r="Z36" s="25">
        <f t="shared" si="44"/>
        <v>-4.3570836612342656E-3</v>
      </c>
      <c r="AA36" s="25">
        <f t="shared" si="45"/>
        <v>0</v>
      </c>
      <c r="AB36" s="408">
        <v>10705768792.129999</v>
      </c>
      <c r="AC36" s="72">
        <v>100</v>
      </c>
      <c r="AD36" s="25">
        <f t="shared" si="46"/>
        <v>-1.163316931615642E-3</v>
      </c>
      <c r="AE36" s="25">
        <f t="shared" si="47"/>
        <v>0</v>
      </c>
      <c r="AF36" s="408">
        <v>10799706195.469999</v>
      </c>
      <c r="AG36" s="72">
        <v>100</v>
      </c>
      <c r="AH36" s="25">
        <f t="shared" si="48"/>
        <v>8.7744659130930616E-3</v>
      </c>
      <c r="AI36" s="25">
        <f t="shared" si="49"/>
        <v>0</v>
      </c>
      <c r="AJ36" s="26">
        <f t="shared" si="16"/>
        <v>3.0171333661787548E-3</v>
      </c>
      <c r="AK36" s="26">
        <f t="shared" si="17"/>
        <v>0</v>
      </c>
      <c r="AL36" s="27">
        <f t="shared" si="18"/>
        <v>2.5076007752201684E-2</v>
      </c>
      <c r="AM36" s="27">
        <f t="shared" si="19"/>
        <v>0</v>
      </c>
      <c r="AN36" s="28">
        <f t="shared" si="20"/>
        <v>7.1132733921018144E-3</v>
      </c>
      <c r="AO36" s="85">
        <f t="shared" si="21"/>
        <v>0</v>
      </c>
      <c r="AP36" s="32"/>
      <c r="AQ36" s="40"/>
      <c r="AR36" s="37"/>
      <c r="AS36" s="31"/>
      <c r="AT36" s="31"/>
    </row>
    <row r="37" spans="1:47">
      <c r="A37" s="229" t="s">
        <v>107</v>
      </c>
      <c r="B37" s="408">
        <v>392818858.87</v>
      </c>
      <c r="C37" s="72">
        <v>1000000</v>
      </c>
      <c r="D37" s="408">
        <v>393714273.26999998</v>
      </c>
      <c r="E37" s="72">
        <v>1000000</v>
      </c>
      <c r="F37" s="25">
        <f t="shared" si="34"/>
        <v>2.2794587881441453E-3</v>
      </c>
      <c r="G37" s="25">
        <f t="shared" si="35"/>
        <v>0</v>
      </c>
      <c r="H37" s="408">
        <v>394429262.98000002</v>
      </c>
      <c r="I37" s="72">
        <v>1000000</v>
      </c>
      <c r="J37" s="25">
        <f t="shared" si="36"/>
        <v>1.8160116575446454E-3</v>
      </c>
      <c r="K37" s="25">
        <f t="shared" si="37"/>
        <v>0</v>
      </c>
      <c r="L37" s="408">
        <v>395351800.08999997</v>
      </c>
      <c r="M37" s="72">
        <v>1000000</v>
      </c>
      <c r="N37" s="25">
        <f t="shared" si="38"/>
        <v>2.3389164967882541E-3</v>
      </c>
      <c r="O37" s="25">
        <f t="shared" si="39"/>
        <v>0</v>
      </c>
      <c r="P37" s="408">
        <v>396277580.04000002</v>
      </c>
      <c r="Q37" s="72">
        <v>1000000</v>
      </c>
      <c r="R37" s="25">
        <f t="shared" si="40"/>
        <v>2.3416611478417407E-3</v>
      </c>
      <c r="S37" s="25">
        <f t="shared" si="41"/>
        <v>0</v>
      </c>
      <c r="T37" s="408">
        <v>397176209.72000003</v>
      </c>
      <c r="U37" s="72">
        <v>1000000</v>
      </c>
      <c r="V37" s="25">
        <f t="shared" si="42"/>
        <v>2.2676773182810392E-3</v>
      </c>
      <c r="W37" s="25">
        <f t="shared" si="43"/>
        <v>0</v>
      </c>
      <c r="X37" s="408">
        <v>428041424.20999998</v>
      </c>
      <c r="Y37" s="72">
        <v>1000000</v>
      </c>
      <c r="Z37" s="25">
        <f t="shared" si="44"/>
        <v>7.7711639656763948E-2</v>
      </c>
      <c r="AA37" s="25">
        <f t="shared" si="45"/>
        <v>0</v>
      </c>
      <c r="AB37" s="408">
        <v>429066925.85000002</v>
      </c>
      <c r="AC37" s="72">
        <v>1000000</v>
      </c>
      <c r="AD37" s="25">
        <f t="shared" si="46"/>
        <v>2.3957999903694541E-3</v>
      </c>
      <c r="AE37" s="25">
        <f t="shared" si="47"/>
        <v>0</v>
      </c>
      <c r="AF37" s="408">
        <v>430053365.62</v>
      </c>
      <c r="AG37" s="72">
        <v>1000000</v>
      </c>
      <c r="AH37" s="25">
        <f t="shared" si="48"/>
        <v>2.2990347439290535E-3</v>
      </c>
      <c r="AI37" s="25">
        <f t="shared" si="49"/>
        <v>0</v>
      </c>
      <c r="AJ37" s="26">
        <f t="shared" si="16"/>
        <v>1.1681274974957785E-2</v>
      </c>
      <c r="AK37" s="26">
        <f t="shared" si="17"/>
        <v>0</v>
      </c>
      <c r="AL37" s="27">
        <f t="shared" si="18"/>
        <v>9.2298132978987854E-2</v>
      </c>
      <c r="AM37" s="27">
        <f t="shared" si="19"/>
        <v>0</v>
      </c>
      <c r="AN37" s="28">
        <f t="shared" si="20"/>
        <v>2.6680910711065819E-2</v>
      </c>
      <c r="AO37" s="85">
        <f t="shared" si="21"/>
        <v>0</v>
      </c>
      <c r="AP37" s="32"/>
      <c r="AQ37" s="40"/>
      <c r="AR37" s="37"/>
      <c r="AS37" s="31"/>
      <c r="AT37" s="31"/>
      <c r="AU37" s="109"/>
    </row>
    <row r="38" spans="1:47">
      <c r="A38" s="229" t="s">
        <v>117</v>
      </c>
      <c r="B38" s="408">
        <v>4598305604.3000002</v>
      </c>
      <c r="C38" s="360">
        <v>1</v>
      </c>
      <c r="D38" s="408">
        <v>4660833273.6099997</v>
      </c>
      <c r="E38" s="360">
        <v>1</v>
      </c>
      <c r="F38" s="25">
        <f t="shared" si="34"/>
        <v>1.3597980362925019E-2</v>
      </c>
      <c r="G38" s="25">
        <f t="shared" si="35"/>
        <v>0</v>
      </c>
      <c r="H38" s="408">
        <v>4543809220.5100002</v>
      </c>
      <c r="I38" s="360">
        <v>1</v>
      </c>
      <c r="J38" s="25">
        <f t="shared" si="36"/>
        <v>-2.5107968088581654E-2</v>
      </c>
      <c r="K38" s="25">
        <f t="shared" si="37"/>
        <v>0</v>
      </c>
      <c r="L38" s="408">
        <v>4619334418.8199997</v>
      </c>
      <c r="M38" s="360">
        <v>1</v>
      </c>
      <c r="N38" s="25">
        <f t="shared" si="38"/>
        <v>1.6621560159060213E-2</v>
      </c>
      <c r="O38" s="25">
        <f t="shared" si="39"/>
        <v>0</v>
      </c>
      <c r="P38" s="408">
        <v>4479989235.6000004</v>
      </c>
      <c r="Q38" s="360">
        <v>1</v>
      </c>
      <c r="R38" s="25">
        <f t="shared" si="40"/>
        <v>-3.01656408880643E-2</v>
      </c>
      <c r="S38" s="25">
        <f t="shared" si="41"/>
        <v>0</v>
      </c>
      <c r="T38" s="408">
        <v>4349129777.4300003</v>
      </c>
      <c r="U38" s="360">
        <v>1</v>
      </c>
      <c r="V38" s="25">
        <f t="shared" si="42"/>
        <v>-2.9209770668673092E-2</v>
      </c>
      <c r="W38" s="25">
        <f t="shared" si="43"/>
        <v>0</v>
      </c>
      <c r="X38" s="408">
        <v>4271647036.1900001</v>
      </c>
      <c r="Y38" s="360">
        <v>1</v>
      </c>
      <c r="Z38" s="25">
        <f t="shared" si="44"/>
        <v>-1.7815688472231923E-2</v>
      </c>
      <c r="AA38" s="25">
        <f t="shared" si="45"/>
        <v>0</v>
      </c>
      <c r="AB38" s="408">
        <v>3963336768.5799999</v>
      </c>
      <c r="AC38" s="360">
        <v>1</v>
      </c>
      <c r="AD38" s="25">
        <f t="shared" si="46"/>
        <v>-7.2175969830360925E-2</v>
      </c>
      <c r="AE38" s="25">
        <f t="shared" si="47"/>
        <v>0</v>
      </c>
      <c r="AF38" s="408">
        <v>4018142642.6700001</v>
      </c>
      <c r="AG38" s="360">
        <v>1</v>
      </c>
      <c r="AH38" s="25">
        <f t="shared" si="48"/>
        <v>1.3828215286796388E-2</v>
      </c>
      <c r="AI38" s="25">
        <f t="shared" si="49"/>
        <v>0</v>
      </c>
      <c r="AJ38" s="26">
        <f t="shared" si="16"/>
        <v>-1.6303410267391284E-2</v>
      </c>
      <c r="AK38" s="26">
        <f t="shared" si="17"/>
        <v>0</v>
      </c>
      <c r="AL38" s="27">
        <f t="shared" si="18"/>
        <v>-0.13789178741470198</v>
      </c>
      <c r="AM38" s="27">
        <f t="shared" si="19"/>
        <v>0</v>
      </c>
      <c r="AN38" s="28">
        <f t="shared" si="20"/>
        <v>3.0346445803301154E-2</v>
      </c>
      <c r="AO38" s="85">
        <f t="shared" si="21"/>
        <v>0</v>
      </c>
      <c r="AP38" s="32"/>
      <c r="AQ38" s="40"/>
      <c r="AR38" s="37"/>
      <c r="AS38" s="31"/>
      <c r="AT38" s="31"/>
    </row>
    <row r="39" spans="1:47" s="97" customFormat="1">
      <c r="A39" s="229" t="s">
        <v>122</v>
      </c>
      <c r="B39" s="408">
        <v>16474669117.360001</v>
      </c>
      <c r="C39" s="360">
        <v>1</v>
      </c>
      <c r="D39" s="408">
        <v>16433948483.42</v>
      </c>
      <c r="E39" s="360">
        <v>1</v>
      </c>
      <c r="F39" s="25">
        <f t="shared" si="34"/>
        <v>-2.471711792808732E-3</v>
      </c>
      <c r="G39" s="25">
        <f t="shared" si="35"/>
        <v>0</v>
      </c>
      <c r="H39" s="408">
        <v>16380874798.02</v>
      </c>
      <c r="I39" s="360">
        <v>1</v>
      </c>
      <c r="J39" s="25">
        <f t="shared" si="36"/>
        <v>-3.2295151377372869E-3</v>
      </c>
      <c r="K39" s="25">
        <f t="shared" si="37"/>
        <v>0</v>
      </c>
      <c r="L39" s="408">
        <v>16128602711.93</v>
      </c>
      <c r="M39" s="360">
        <v>1</v>
      </c>
      <c r="N39" s="25">
        <f t="shared" si="38"/>
        <v>-1.5400403775779602E-2</v>
      </c>
      <c r="O39" s="25">
        <f t="shared" si="39"/>
        <v>0</v>
      </c>
      <c r="P39" s="408">
        <v>16379794331.940001</v>
      </c>
      <c r="Q39" s="360">
        <v>1</v>
      </c>
      <c r="R39" s="25">
        <f t="shared" si="40"/>
        <v>1.5574295213075023E-2</v>
      </c>
      <c r="S39" s="25">
        <f t="shared" si="41"/>
        <v>0</v>
      </c>
      <c r="T39" s="408">
        <v>16151790551.290001</v>
      </c>
      <c r="U39" s="360">
        <v>1</v>
      </c>
      <c r="V39" s="25">
        <f t="shared" si="42"/>
        <v>-1.3919819506243774E-2</v>
      </c>
      <c r="W39" s="25">
        <f t="shared" si="43"/>
        <v>0</v>
      </c>
      <c r="X39" s="408">
        <v>16768344925.73</v>
      </c>
      <c r="Y39" s="360">
        <v>1</v>
      </c>
      <c r="Z39" s="25">
        <f t="shared" si="44"/>
        <v>3.8172509263423804E-2</v>
      </c>
      <c r="AA39" s="25">
        <f t="shared" si="45"/>
        <v>0</v>
      </c>
      <c r="AB39" s="408">
        <v>16713801813.1</v>
      </c>
      <c r="AC39" s="360">
        <v>1</v>
      </c>
      <c r="AD39" s="25">
        <f t="shared" si="46"/>
        <v>-3.2527427645113677E-3</v>
      </c>
      <c r="AE39" s="25">
        <f t="shared" si="47"/>
        <v>0</v>
      </c>
      <c r="AF39" s="408">
        <v>16967584727.219999</v>
      </c>
      <c r="AG39" s="360">
        <v>1</v>
      </c>
      <c r="AH39" s="25">
        <f t="shared" si="48"/>
        <v>1.5184032750770569E-2</v>
      </c>
      <c r="AI39" s="25">
        <f t="shared" si="49"/>
        <v>0</v>
      </c>
      <c r="AJ39" s="26">
        <f t="shared" si="16"/>
        <v>3.8320805312735797E-3</v>
      </c>
      <c r="AK39" s="26">
        <f t="shared" si="17"/>
        <v>0</v>
      </c>
      <c r="AL39" s="27">
        <f t="shared" si="18"/>
        <v>3.2471578229564126E-2</v>
      </c>
      <c r="AM39" s="27">
        <f t="shared" si="19"/>
        <v>0</v>
      </c>
      <c r="AN39" s="28">
        <f t="shared" si="20"/>
        <v>1.8011220828331467E-2</v>
      </c>
      <c r="AO39" s="85">
        <f t="shared" si="21"/>
        <v>0</v>
      </c>
      <c r="AP39" s="32"/>
      <c r="AQ39" s="40"/>
      <c r="AR39" s="37"/>
      <c r="AS39" s="31"/>
      <c r="AT39" s="31"/>
    </row>
    <row r="40" spans="1:47" s="99" customFormat="1">
      <c r="A40" s="229" t="s">
        <v>125</v>
      </c>
      <c r="B40" s="408">
        <v>624936821.55999994</v>
      </c>
      <c r="C40" s="360">
        <v>100</v>
      </c>
      <c r="D40" s="408">
        <v>625376645.19000006</v>
      </c>
      <c r="E40" s="360">
        <v>100</v>
      </c>
      <c r="F40" s="25">
        <f t="shared" si="34"/>
        <v>7.0378895086099054E-4</v>
      </c>
      <c r="G40" s="25">
        <f t="shared" si="35"/>
        <v>0</v>
      </c>
      <c r="H40" s="408">
        <v>622931532.92999995</v>
      </c>
      <c r="I40" s="360">
        <v>100</v>
      </c>
      <c r="J40" s="25">
        <f t="shared" si="36"/>
        <v>-3.9098234300982615E-3</v>
      </c>
      <c r="K40" s="25">
        <f t="shared" si="37"/>
        <v>0</v>
      </c>
      <c r="L40" s="408">
        <v>618666421.35000002</v>
      </c>
      <c r="M40" s="360">
        <v>100</v>
      </c>
      <c r="N40" s="25">
        <f t="shared" si="38"/>
        <v>-6.8468384638335567E-3</v>
      </c>
      <c r="O40" s="25">
        <f t="shared" si="39"/>
        <v>0</v>
      </c>
      <c r="P40" s="408">
        <v>623745889.64999998</v>
      </c>
      <c r="Q40" s="360">
        <v>100</v>
      </c>
      <c r="R40" s="25">
        <f t="shared" si="40"/>
        <v>8.2103507232798873E-3</v>
      </c>
      <c r="S40" s="25">
        <f t="shared" si="41"/>
        <v>0</v>
      </c>
      <c r="T40" s="408">
        <v>627746601.63</v>
      </c>
      <c r="U40" s="360">
        <v>100</v>
      </c>
      <c r="V40" s="25">
        <f t="shared" si="42"/>
        <v>6.4140093688551964E-3</v>
      </c>
      <c r="W40" s="25">
        <f t="shared" si="43"/>
        <v>0</v>
      </c>
      <c r="X40" s="408">
        <v>633906137.69000006</v>
      </c>
      <c r="Y40" s="360">
        <v>100</v>
      </c>
      <c r="Z40" s="25">
        <f t="shared" si="44"/>
        <v>9.8121376428104545E-3</v>
      </c>
      <c r="AA40" s="25">
        <f t="shared" si="45"/>
        <v>0</v>
      </c>
      <c r="AB40" s="408">
        <v>632456158.00999999</v>
      </c>
      <c r="AC40" s="360">
        <v>100</v>
      </c>
      <c r="AD40" s="25">
        <f t="shared" si="46"/>
        <v>-2.2873728361171857E-3</v>
      </c>
      <c r="AE40" s="25">
        <f t="shared" si="47"/>
        <v>0</v>
      </c>
      <c r="AF40" s="408">
        <v>636735588.23000002</v>
      </c>
      <c r="AG40" s="360">
        <v>100</v>
      </c>
      <c r="AH40" s="25">
        <f t="shared" si="48"/>
        <v>6.7663665944294044E-3</v>
      </c>
      <c r="AI40" s="25">
        <f t="shared" si="49"/>
        <v>0</v>
      </c>
      <c r="AJ40" s="26">
        <f t="shared" si="16"/>
        <v>2.3578273187733661E-3</v>
      </c>
      <c r="AK40" s="26">
        <f t="shared" si="17"/>
        <v>0</v>
      </c>
      <c r="AL40" s="27">
        <f t="shared" si="18"/>
        <v>1.8163363034685957E-2</v>
      </c>
      <c r="AM40" s="27">
        <f t="shared" si="19"/>
        <v>0</v>
      </c>
      <c r="AN40" s="28">
        <f t="shared" si="20"/>
        <v>6.2567637624824819E-3</v>
      </c>
      <c r="AO40" s="85">
        <f t="shared" si="21"/>
        <v>0</v>
      </c>
      <c r="AP40" s="32"/>
      <c r="AQ40" s="40"/>
      <c r="AR40" s="37"/>
      <c r="AS40" s="31"/>
      <c r="AT40" s="31"/>
    </row>
    <row r="41" spans="1:47" s="99" customFormat="1">
      <c r="A41" s="229" t="s">
        <v>132</v>
      </c>
      <c r="B41" s="408">
        <v>3428923281.4200001</v>
      </c>
      <c r="C41" s="360">
        <v>1</v>
      </c>
      <c r="D41" s="408">
        <v>3397855925.27</v>
      </c>
      <c r="E41" s="360">
        <v>1</v>
      </c>
      <c r="F41" s="25">
        <f t="shared" si="34"/>
        <v>-9.0603824000210203E-3</v>
      </c>
      <c r="G41" s="25">
        <f t="shared" si="35"/>
        <v>0</v>
      </c>
      <c r="H41" s="408">
        <v>3391932652.9899998</v>
      </c>
      <c r="I41" s="360">
        <v>1</v>
      </c>
      <c r="J41" s="25">
        <f t="shared" si="36"/>
        <v>-1.7432382097041198E-3</v>
      </c>
      <c r="K41" s="25">
        <f t="shared" si="37"/>
        <v>0</v>
      </c>
      <c r="L41" s="408">
        <v>3431324522.4000001</v>
      </c>
      <c r="M41" s="360">
        <v>1</v>
      </c>
      <c r="N41" s="25">
        <f t="shared" si="38"/>
        <v>1.1613399627871815E-2</v>
      </c>
      <c r="O41" s="25">
        <f t="shared" si="39"/>
        <v>0</v>
      </c>
      <c r="P41" s="408">
        <v>3422234636.6599998</v>
      </c>
      <c r="Q41" s="360">
        <v>1</v>
      </c>
      <c r="R41" s="25">
        <f t="shared" si="40"/>
        <v>-2.6490894931856905E-3</v>
      </c>
      <c r="S41" s="25">
        <f t="shared" si="41"/>
        <v>0</v>
      </c>
      <c r="T41" s="408">
        <v>3418624023</v>
      </c>
      <c r="U41" s="360">
        <v>1</v>
      </c>
      <c r="V41" s="25">
        <f t="shared" si="42"/>
        <v>-1.0550456188251603E-3</v>
      </c>
      <c r="W41" s="25">
        <f t="shared" si="43"/>
        <v>0</v>
      </c>
      <c r="X41" s="408">
        <v>3422881617.3800001</v>
      </c>
      <c r="Y41" s="360">
        <v>1</v>
      </c>
      <c r="Z41" s="25">
        <f t="shared" si="44"/>
        <v>1.2454117069779084E-3</v>
      </c>
      <c r="AA41" s="25">
        <f t="shared" si="45"/>
        <v>0</v>
      </c>
      <c r="AB41" s="408">
        <v>3417098546.5799999</v>
      </c>
      <c r="AC41" s="360">
        <v>1</v>
      </c>
      <c r="AD41" s="25">
        <f t="shared" si="46"/>
        <v>-1.6895328107861254E-3</v>
      </c>
      <c r="AE41" s="25">
        <f t="shared" si="47"/>
        <v>0</v>
      </c>
      <c r="AF41" s="408">
        <v>3425870364.98</v>
      </c>
      <c r="AG41" s="360">
        <v>1</v>
      </c>
      <c r="AH41" s="25">
        <f t="shared" si="48"/>
        <v>2.5670369994975303E-3</v>
      </c>
      <c r="AI41" s="25">
        <f t="shared" si="49"/>
        <v>0</v>
      </c>
      <c r="AJ41" s="26">
        <f t="shared" si="16"/>
        <v>-9.6430024771857793E-5</v>
      </c>
      <c r="AK41" s="26">
        <f t="shared" si="17"/>
        <v>0</v>
      </c>
      <c r="AL41" s="27">
        <f t="shared" si="18"/>
        <v>8.2447403086327031E-3</v>
      </c>
      <c r="AM41" s="27">
        <f t="shared" si="19"/>
        <v>0</v>
      </c>
      <c r="AN41" s="28">
        <f t="shared" si="20"/>
        <v>5.8438260021730264E-3</v>
      </c>
      <c r="AO41" s="85">
        <f t="shared" si="21"/>
        <v>0</v>
      </c>
      <c r="AP41" s="32"/>
      <c r="AQ41" s="40"/>
      <c r="AR41" s="37"/>
      <c r="AS41" s="31"/>
      <c r="AT41" s="31"/>
    </row>
    <row r="42" spans="1:47" s="99" customFormat="1">
      <c r="A42" s="229" t="s">
        <v>133</v>
      </c>
      <c r="B42" s="408">
        <v>556903298.69000006</v>
      </c>
      <c r="C42" s="360">
        <v>10</v>
      </c>
      <c r="D42" s="408">
        <v>559234505.22000003</v>
      </c>
      <c r="E42" s="360">
        <v>10</v>
      </c>
      <c r="F42" s="25">
        <f t="shared" si="34"/>
        <v>4.1860167384241628E-3</v>
      </c>
      <c r="G42" s="25">
        <f t="shared" si="35"/>
        <v>0</v>
      </c>
      <c r="H42" s="408">
        <v>572553201.76999998</v>
      </c>
      <c r="I42" s="360">
        <v>10</v>
      </c>
      <c r="J42" s="25">
        <f t="shared" si="36"/>
        <v>2.3815942016597213E-2</v>
      </c>
      <c r="K42" s="25">
        <f t="shared" si="37"/>
        <v>0</v>
      </c>
      <c r="L42" s="408">
        <v>558022892.17999995</v>
      </c>
      <c r="M42" s="360">
        <v>10</v>
      </c>
      <c r="N42" s="25">
        <f t="shared" si="38"/>
        <v>-2.5378095074974353E-2</v>
      </c>
      <c r="O42" s="25">
        <f t="shared" si="39"/>
        <v>0</v>
      </c>
      <c r="P42" s="408">
        <v>558022892.17999995</v>
      </c>
      <c r="Q42" s="360">
        <v>10</v>
      </c>
      <c r="R42" s="25">
        <f t="shared" si="40"/>
        <v>0</v>
      </c>
      <c r="S42" s="25">
        <f t="shared" si="41"/>
        <v>0</v>
      </c>
      <c r="T42" s="408">
        <v>591745944.26999998</v>
      </c>
      <c r="U42" s="360">
        <v>10</v>
      </c>
      <c r="V42" s="25">
        <f t="shared" si="42"/>
        <v>6.0433097929470034E-2</v>
      </c>
      <c r="W42" s="25">
        <f t="shared" si="43"/>
        <v>0</v>
      </c>
      <c r="X42" s="408">
        <v>579919864.80999994</v>
      </c>
      <c r="Y42" s="360">
        <v>10</v>
      </c>
      <c r="Z42" s="25">
        <f t="shared" si="44"/>
        <v>-1.9985062127614805E-2</v>
      </c>
      <c r="AA42" s="25">
        <f t="shared" si="45"/>
        <v>0</v>
      </c>
      <c r="AB42" s="408">
        <v>561772700.15999997</v>
      </c>
      <c r="AC42" s="360">
        <v>10</v>
      </c>
      <c r="AD42" s="25">
        <f t="shared" si="46"/>
        <v>-3.1292538419847991E-2</v>
      </c>
      <c r="AE42" s="25">
        <f t="shared" si="47"/>
        <v>0</v>
      </c>
      <c r="AF42" s="408">
        <v>562082669.73000002</v>
      </c>
      <c r="AG42" s="360">
        <v>10</v>
      </c>
      <c r="AH42" s="25">
        <f t="shared" si="48"/>
        <v>5.517704400939547E-4</v>
      </c>
      <c r="AI42" s="25">
        <f t="shared" si="49"/>
        <v>0</v>
      </c>
      <c r="AJ42" s="26">
        <f t="shared" si="16"/>
        <v>1.5413914377685268E-3</v>
      </c>
      <c r="AK42" s="26">
        <f t="shared" si="17"/>
        <v>0</v>
      </c>
      <c r="AL42" s="27">
        <f t="shared" si="18"/>
        <v>5.0929699140784181E-3</v>
      </c>
      <c r="AM42" s="27">
        <f t="shared" si="19"/>
        <v>0</v>
      </c>
      <c r="AN42" s="28">
        <f t="shared" si="20"/>
        <v>2.9858839046336204E-2</v>
      </c>
      <c r="AO42" s="85">
        <f t="shared" si="21"/>
        <v>0</v>
      </c>
      <c r="AP42" s="32"/>
      <c r="AQ42" s="40"/>
      <c r="AR42" s="37"/>
      <c r="AS42" s="31"/>
      <c r="AT42" s="31"/>
    </row>
    <row r="43" spans="1:47" s="99" customFormat="1">
      <c r="A43" s="229" t="s">
        <v>143</v>
      </c>
      <c r="B43" s="408">
        <v>592206416.49000001</v>
      </c>
      <c r="C43" s="360">
        <v>1</v>
      </c>
      <c r="D43" s="408">
        <v>593906026.21000004</v>
      </c>
      <c r="E43" s="360">
        <v>1</v>
      </c>
      <c r="F43" s="25">
        <f t="shared" si="34"/>
        <v>2.8699616766626646E-3</v>
      </c>
      <c r="G43" s="25">
        <f t="shared" si="35"/>
        <v>0</v>
      </c>
      <c r="H43" s="408">
        <v>595717316.98000002</v>
      </c>
      <c r="I43" s="360">
        <v>1</v>
      </c>
      <c r="J43" s="25">
        <f t="shared" si="36"/>
        <v>3.0497935532978145E-3</v>
      </c>
      <c r="K43" s="25">
        <f t="shared" si="37"/>
        <v>0</v>
      </c>
      <c r="L43" s="408">
        <v>594233140.73000002</v>
      </c>
      <c r="M43" s="360">
        <v>1</v>
      </c>
      <c r="N43" s="25">
        <f t="shared" si="38"/>
        <v>-2.4914102841999946E-3</v>
      </c>
      <c r="O43" s="25">
        <f t="shared" si="39"/>
        <v>0</v>
      </c>
      <c r="P43" s="408">
        <v>596204421.94000006</v>
      </c>
      <c r="Q43" s="360">
        <v>1</v>
      </c>
      <c r="R43" s="25">
        <f t="shared" si="40"/>
        <v>3.3173531984068915E-3</v>
      </c>
      <c r="S43" s="25">
        <f t="shared" si="41"/>
        <v>0</v>
      </c>
      <c r="T43" s="408">
        <v>600920240.76999998</v>
      </c>
      <c r="U43" s="360">
        <v>1</v>
      </c>
      <c r="V43" s="25">
        <f t="shared" si="42"/>
        <v>7.9097347427498736E-3</v>
      </c>
      <c r="W43" s="25">
        <f t="shared" si="43"/>
        <v>0</v>
      </c>
      <c r="X43" s="408">
        <v>606408835.61000001</v>
      </c>
      <c r="Y43" s="360">
        <v>1</v>
      </c>
      <c r="Z43" s="25">
        <f t="shared" si="44"/>
        <v>9.1336494722945652E-3</v>
      </c>
      <c r="AA43" s="25">
        <f t="shared" si="45"/>
        <v>0</v>
      </c>
      <c r="AB43" s="408">
        <v>610326821.45000005</v>
      </c>
      <c r="AC43" s="360">
        <v>1</v>
      </c>
      <c r="AD43" s="25">
        <f t="shared" si="46"/>
        <v>6.4609643031649519E-3</v>
      </c>
      <c r="AE43" s="25">
        <f t="shared" si="47"/>
        <v>0</v>
      </c>
      <c r="AF43" s="408">
        <v>591707454.80999994</v>
      </c>
      <c r="AG43" s="360">
        <v>1</v>
      </c>
      <c r="AH43" s="25">
        <f t="shared" si="48"/>
        <v>-3.0507206935072348E-2</v>
      </c>
      <c r="AI43" s="25">
        <f t="shared" si="49"/>
        <v>0</v>
      </c>
      <c r="AJ43" s="26">
        <f t="shared" si="16"/>
        <v>-3.2145034086947591E-5</v>
      </c>
      <c r="AK43" s="26">
        <f t="shared" si="17"/>
        <v>0</v>
      </c>
      <c r="AL43" s="27">
        <f t="shared" si="18"/>
        <v>-3.7018843099307086E-3</v>
      </c>
      <c r="AM43" s="27">
        <f t="shared" si="19"/>
        <v>0</v>
      </c>
      <c r="AN43" s="28">
        <f t="shared" si="20"/>
        <v>1.2835012398314591E-2</v>
      </c>
      <c r="AO43" s="85">
        <f t="shared" si="21"/>
        <v>0</v>
      </c>
      <c r="AP43" s="32"/>
      <c r="AQ43" s="40"/>
      <c r="AR43" s="37"/>
      <c r="AS43" s="31"/>
      <c r="AT43" s="31"/>
    </row>
    <row r="44" spans="1:47" s="99" customFormat="1">
      <c r="A44" s="229" t="s">
        <v>181</v>
      </c>
      <c r="B44" s="408">
        <v>6671927925.3100004</v>
      </c>
      <c r="C44" s="360">
        <v>100</v>
      </c>
      <c r="D44" s="408">
        <v>6730569802.5999994</v>
      </c>
      <c r="E44" s="360">
        <v>100</v>
      </c>
      <c r="F44" s="25">
        <f t="shared" si="34"/>
        <v>8.7893451407861697E-3</v>
      </c>
      <c r="G44" s="25">
        <f t="shared" si="35"/>
        <v>0</v>
      </c>
      <c r="H44" s="408">
        <v>6699360664.6967001</v>
      </c>
      <c r="I44" s="360">
        <v>100</v>
      </c>
      <c r="J44" s="25">
        <f t="shared" si="36"/>
        <v>-4.6369235917059111E-3</v>
      </c>
      <c r="K44" s="25">
        <f t="shared" si="37"/>
        <v>0</v>
      </c>
      <c r="L44" s="408">
        <v>6963643630.8299999</v>
      </c>
      <c r="M44" s="360">
        <v>100</v>
      </c>
      <c r="N44" s="25">
        <f t="shared" si="38"/>
        <v>3.9448983173271911E-2</v>
      </c>
      <c r="O44" s="25">
        <f t="shared" si="39"/>
        <v>0</v>
      </c>
      <c r="P44" s="408">
        <v>7074596372.4399996</v>
      </c>
      <c r="Q44" s="360">
        <v>100</v>
      </c>
      <c r="R44" s="25">
        <f t="shared" si="40"/>
        <v>1.5933144700107975E-2</v>
      </c>
      <c r="S44" s="25">
        <f t="shared" si="41"/>
        <v>0</v>
      </c>
      <c r="T44" s="408">
        <v>7247405023.710001</v>
      </c>
      <c r="U44" s="360">
        <v>100</v>
      </c>
      <c r="V44" s="25">
        <f t="shared" si="42"/>
        <v>2.4426644598863581E-2</v>
      </c>
      <c r="W44" s="25">
        <f t="shared" si="43"/>
        <v>0</v>
      </c>
      <c r="X44" s="408">
        <v>7274779125.4899998</v>
      </c>
      <c r="Y44" s="360">
        <v>100</v>
      </c>
      <c r="Z44" s="25">
        <f t="shared" si="44"/>
        <v>3.7770901019666997E-3</v>
      </c>
      <c r="AA44" s="25">
        <f t="shared" si="45"/>
        <v>0</v>
      </c>
      <c r="AB44" s="408">
        <v>7412677086.3437996</v>
      </c>
      <c r="AC44" s="360">
        <v>100</v>
      </c>
      <c r="AD44" s="25">
        <f t="shared" si="46"/>
        <v>1.8955621672501508E-2</v>
      </c>
      <c r="AE44" s="25">
        <f t="shared" si="47"/>
        <v>0</v>
      </c>
      <c r="AF44" s="408">
        <v>7443397387.1399994</v>
      </c>
      <c r="AG44" s="360">
        <v>100</v>
      </c>
      <c r="AH44" s="25">
        <f t="shared" si="48"/>
        <v>4.1442923303370502E-3</v>
      </c>
      <c r="AI44" s="25">
        <f t="shared" si="49"/>
        <v>0</v>
      </c>
      <c r="AJ44" s="26">
        <f t="shared" si="16"/>
        <v>1.3854774765766121E-2</v>
      </c>
      <c r="AK44" s="26">
        <f t="shared" si="17"/>
        <v>0</v>
      </c>
      <c r="AL44" s="27">
        <f t="shared" si="18"/>
        <v>0.10590895057126319</v>
      </c>
      <c r="AM44" s="27">
        <f t="shared" si="19"/>
        <v>0</v>
      </c>
      <c r="AN44" s="28">
        <f t="shared" si="20"/>
        <v>1.394182238172941E-2</v>
      </c>
      <c r="AO44" s="85">
        <f t="shared" si="21"/>
        <v>0</v>
      </c>
      <c r="AP44" s="32"/>
      <c r="AQ44" s="40"/>
      <c r="AR44" s="37"/>
      <c r="AS44" s="31"/>
      <c r="AT44" s="31"/>
    </row>
    <row r="45" spans="1:47" s="99" customFormat="1">
      <c r="A45" s="229" t="s">
        <v>146</v>
      </c>
      <c r="B45" s="397">
        <v>280673968.76999998</v>
      </c>
      <c r="C45" s="360">
        <v>1</v>
      </c>
      <c r="D45" s="397">
        <v>280619219.56</v>
      </c>
      <c r="E45" s="360">
        <v>1</v>
      </c>
      <c r="F45" s="25">
        <f t="shared" si="34"/>
        <v>-1.9506336921769584E-4</v>
      </c>
      <c r="G45" s="25">
        <f t="shared" si="35"/>
        <v>0</v>
      </c>
      <c r="H45" s="397">
        <v>277565631.44999999</v>
      </c>
      <c r="I45" s="360">
        <v>1</v>
      </c>
      <c r="J45" s="25">
        <f t="shared" si="36"/>
        <v>-1.0881607164284476E-2</v>
      </c>
      <c r="K45" s="25">
        <f t="shared" si="37"/>
        <v>0</v>
      </c>
      <c r="L45" s="397">
        <v>286381071.82999998</v>
      </c>
      <c r="M45" s="360">
        <v>1</v>
      </c>
      <c r="N45" s="25">
        <f t="shared" si="38"/>
        <v>3.1759841209260044E-2</v>
      </c>
      <c r="O45" s="25">
        <f t="shared" si="39"/>
        <v>0</v>
      </c>
      <c r="P45" s="397">
        <v>305293108.5</v>
      </c>
      <c r="Q45" s="360">
        <v>1</v>
      </c>
      <c r="R45" s="25">
        <f t="shared" si="40"/>
        <v>6.6038012041614538E-2</v>
      </c>
      <c r="S45" s="25">
        <f t="shared" si="41"/>
        <v>0</v>
      </c>
      <c r="T45" s="397">
        <v>270756824.31999999</v>
      </c>
      <c r="U45" s="360">
        <v>1</v>
      </c>
      <c r="V45" s="25">
        <f t="shared" si="42"/>
        <v>-0.11312500419576293</v>
      </c>
      <c r="W45" s="25">
        <f t="shared" si="43"/>
        <v>0</v>
      </c>
      <c r="X45" s="397">
        <v>271101434.86000001</v>
      </c>
      <c r="Y45" s="360">
        <v>1</v>
      </c>
      <c r="Z45" s="25">
        <f t="shared" si="44"/>
        <v>1.2727676979721694E-3</v>
      </c>
      <c r="AA45" s="25">
        <f t="shared" si="45"/>
        <v>0</v>
      </c>
      <c r="AB45" s="397">
        <v>312402073.50999999</v>
      </c>
      <c r="AC45" s="360">
        <v>1</v>
      </c>
      <c r="AD45" s="25">
        <f t="shared" si="46"/>
        <v>0.152343858568392</v>
      </c>
      <c r="AE45" s="25">
        <f t="shared" si="47"/>
        <v>0</v>
      </c>
      <c r="AF45" s="397">
        <v>271099998</v>
      </c>
      <c r="AG45" s="360">
        <v>1</v>
      </c>
      <c r="AH45" s="25">
        <f t="shared" si="48"/>
        <v>-0.13220807098349144</v>
      </c>
      <c r="AI45" s="25">
        <f t="shared" si="49"/>
        <v>0</v>
      </c>
      <c r="AJ45" s="26">
        <f t="shared" si="16"/>
        <v>-6.2440827443972433E-4</v>
      </c>
      <c r="AK45" s="26">
        <f t="shared" si="17"/>
        <v>0</v>
      </c>
      <c r="AL45" s="27">
        <f t="shared" si="18"/>
        <v>-3.3922200963019462E-2</v>
      </c>
      <c r="AM45" s="27">
        <f t="shared" si="19"/>
        <v>0</v>
      </c>
      <c r="AN45" s="28">
        <f t="shared" si="20"/>
        <v>9.1785111362886751E-2</v>
      </c>
      <c r="AO45" s="85">
        <f t="shared" si="21"/>
        <v>0</v>
      </c>
      <c r="AP45" s="32"/>
      <c r="AQ45" s="40"/>
      <c r="AR45" s="37"/>
      <c r="AS45" s="31"/>
      <c r="AT45" s="31"/>
    </row>
    <row r="46" spans="1:47" s="99" customFormat="1">
      <c r="A46" s="229" t="s">
        <v>151</v>
      </c>
      <c r="B46" s="408">
        <v>466482873.87</v>
      </c>
      <c r="C46" s="360">
        <v>100</v>
      </c>
      <c r="D46" s="408">
        <v>457811338.45999998</v>
      </c>
      <c r="E46" s="360">
        <v>100</v>
      </c>
      <c r="F46" s="25">
        <f t="shared" si="34"/>
        <v>-1.8589182788340951E-2</v>
      </c>
      <c r="G46" s="25">
        <f t="shared" si="35"/>
        <v>0</v>
      </c>
      <c r="H46" s="408">
        <v>462034006.75999999</v>
      </c>
      <c r="I46" s="360">
        <v>100</v>
      </c>
      <c r="J46" s="25">
        <f t="shared" si="36"/>
        <v>9.2235992105489453E-3</v>
      </c>
      <c r="K46" s="25">
        <f t="shared" si="37"/>
        <v>0</v>
      </c>
      <c r="L46" s="408">
        <v>457969994.82999998</v>
      </c>
      <c r="M46" s="360">
        <v>100</v>
      </c>
      <c r="N46" s="25">
        <f t="shared" si="38"/>
        <v>-8.7959151719129349E-3</v>
      </c>
      <c r="O46" s="25">
        <f t="shared" si="39"/>
        <v>0</v>
      </c>
      <c r="P46" s="408">
        <v>447636162.89999998</v>
      </c>
      <c r="Q46" s="360">
        <v>100</v>
      </c>
      <c r="R46" s="25">
        <f t="shared" si="40"/>
        <v>-2.2564430086377079E-2</v>
      </c>
      <c r="S46" s="25">
        <f t="shared" si="41"/>
        <v>0</v>
      </c>
      <c r="T46" s="408">
        <v>466789754.33999997</v>
      </c>
      <c r="U46" s="360">
        <v>100</v>
      </c>
      <c r="V46" s="25">
        <f t="shared" si="42"/>
        <v>4.2788302258499229E-2</v>
      </c>
      <c r="W46" s="25">
        <f t="shared" si="43"/>
        <v>0</v>
      </c>
      <c r="X46" s="408">
        <v>428764750.94999999</v>
      </c>
      <c r="Y46" s="360">
        <v>100</v>
      </c>
      <c r="Z46" s="25">
        <f t="shared" si="44"/>
        <v>-8.1460664113684383E-2</v>
      </c>
      <c r="AA46" s="25">
        <f t="shared" si="45"/>
        <v>0</v>
      </c>
      <c r="AB46" s="408">
        <v>433285633.01999998</v>
      </c>
      <c r="AC46" s="360">
        <v>100</v>
      </c>
      <c r="AD46" s="25">
        <f t="shared" si="46"/>
        <v>1.0543968598125715E-2</v>
      </c>
      <c r="AE46" s="25">
        <f t="shared" si="47"/>
        <v>0</v>
      </c>
      <c r="AF46" s="408">
        <v>426340800.07999998</v>
      </c>
      <c r="AG46" s="360">
        <v>100</v>
      </c>
      <c r="AH46" s="25">
        <f t="shared" si="48"/>
        <v>-1.6028301911592421E-2</v>
      </c>
      <c r="AI46" s="25">
        <f t="shared" si="49"/>
        <v>0</v>
      </c>
      <c r="AJ46" s="26">
        <f t="shared" si="16"/>
        <v>-1.0610328000591734E-2</v>
      </c>
      <c r="AK46" s="26">
        <f t="shared" si="17"/>
        <v>0</v>
      </c>
      <c r="AL46" s="27">
        <f t="shared" si="18"/>
        <v>-6.8741282131328532E-2</v>
      </c>
      <c r="AM46" s="27">
        <f t="shared" si="19"/>
        <v>0</v>
      </c>
      <c r="AN46" s="28">
        <f t="shared" si="20"/>
        <v>3.5759677990127303E-2</v>
      </c>
      <c r="AO46" s="85">
        <f t="shared" si="21"/>
        <v>0</v>
      </c>
      <c r="AP46" s="32"/>
      <c r="AQ46" s="40"/>
      <c r="AR46" s="37"/>
      <c r="AS46" s="31"/>
      <c r="AT46" s="31"/>
    </row>
    <row r="47" spans="1:47" s="114" customFormat="1">
      <c r="A47" s="229" t="s">
        <v>163</v>
      </c>
      <c r="B47" s="408">
        <v>467598855.36000001</v>
      </c>
      <c r="C47" s="360">
        <v>1</v>
      </c>
      <c r="D47" s="408">
        <v>479861408.12</v>
      </c>
      <c r="E47" s="360">
        <v>1</v>
      </c>
      <c r="F47" s="25">
        <f t="shared" si="34"/>
        <v>2.6224514066783087E-2</v>
      </c>
      <c r="G47" s="25">
        <f t="shared" si="35"/>
        <v>0</v>
      </c>
      <c r="H47" s="408">
        <v>479437591.37</v>
      </c>
      <c r="I47" s="360">
        <v>1</v>
      </c>
      <c r="J47" s="25">
        <f t="shared" si="36"/>
        <v>-8.8320657345717453E-4</v>
      </c>
      <c r="K47" s="25">
        <f t="shared" si="37"/>
        <v>0</v>
      </c>
      <c r="L47" s="408">
        <v>481958684.97000003</v>
      </c>
      <c r="M47" s="360">
        <v>1</v>
      </c>
      <c r="N47" s="25">
        <f t="shared" si="38"/>
        <v>5.2584395662341821E-3</v>
      </c>
      <c r="O47" s="25">
        <f t="shared" si="39"/>
        <v>0</v>
      </c>
      <c r="P47" s="408">
        <v>483059729.19999999</v>
      </c>
      <c r="Q47" s="360">
        <v>1</v>
      </c>
      <c r="R47" s="25">
        <f t="shared" si="40"/>
        <v>2.2845199481538445E-3</v>
      </c>
      <c r="S47" s="25">
        <f t="shared" si="41"/>
        <v>0</v>
      </c>
      <c r="T47" s="408">
        <v>488998249.11000001</v>
      </c>
      <c r="U47" s="360">
        <v>1</v>
      </c>
      <c r="V47" s="25">
        <f t="shared" si="42"/>
        <v>1.229355202064736E-2</v>
      </c>
      <c r="W47" s="25">
        <f t="shared" si="43"/>
        <v>0</v>
      </c>
      <c r="X47" s="408">
        <v>491779530.36000001</v>
      </c>
      <c r="Y47" s="360">
        <v>1</v>
      </c>
      <c r="Z47" s="25">
        <f t="shared" si="44"/>
        <v>5.687712082941122E-3</v>
      </c>
      <c r="AA47" s="25">
        <f t="shared" si="45"/>
        <v>0</v>
      </c>
      <c r="AB47" s="408">
        <v>489788958.63</v>
      </c>
      <c r="AC47" s="360">
        <v>1</v>
      </c>
      <c r="AD47" s="25">
        <f t="shared" si="46"/>
        <v>-4.0476913070026524E-3</v>
      </c>
      <c r="AE47" s="25">
        <f t="shared" si="47"/>
        <v>0</v>
      </c>
      <c r="AF47" s="408">
        <v>510068353.81999999</v>
      </c>
      <c r="AG47" s="360">
        <v>1</v>
      </c>
      <c r="AH47" s="25">
        <f t="shared" si="48"/>
        <v>4.1404353513243668E-2</v>
      </c>
      <c r="AI47" s="25">
        <f t="shared" si="49"/>
        <v>0</v>
      </c>
      <c r="AJ47" s="26">
        <f t="shared" si="16"/>
        <v>1.102777416469293E-2</v>
      </c>
      <c r="AK47" s="26">
        <f t="shared" si="17"/>
        <v>0</v>
      </c>
      <c r="AL47" s="27">
        <f t="shared" si="18"/>
        <v>6.2949312424069884E-2</v>
      </c>
      <c r="AM47" s="27">
        <f t="shared" si="19"/>
        <v>0</v>
      </c>
      <c r="AN47" s="28">
        <f t="shared" si="20"/>
        <v>1.5411807952369492E-2</v>
      </c>
      <c r="AO47" s="85">
        <f t="shared" si="21"/>
        <v>0</v>
      </c>
      <c r="AP47" s="32"/>
      <c r="AQ47" s="40"/>
      <c r="AR47" s="37"/>
      <c r="AS47" s="31"/>
      <c r="AT47" s="31"/>
    </row>
    <row r="48" spans="1:47" s="114" customFormat="1">
      <c r="A48" s="229" t="s">
        <v>171</v>
      </c>
      <c r="B48" s="408">
        <v>1610533800.48</v>
      </c>
      <c r="C48" s="360">
        <v>1</v>
      </c>
      <c r="D48" s="408">
        <v>1634446831.6500001</v>
      </c>
      <c r="E48" s="360">
        <v>1</v>
      </c>
      <c r="F48" s="25">
        <f t="shared" si="34"/>
        <v>1.4847891526941619E-2</v>
      </c>
      <c r="G48" s="25">
        <f t="shared" si="35"/>
        <v>0</v>
      </c>
      <c r="H48" s="408">
        <v>1698096152.96</v>
      </c>
      <c r="I48" s="360">
        <v>1</v>
      </c>
      <c r="J48" s="25">
        <f t="shared" si="36"/>
        <v>3.894242386933134E-2</v>
      </c>
      <c r="K48" s="25">
        <f t="shared" si="37"/>
        <v>0</v>
      </c>
      <c r="L48" s="408">
        <v>1685068093.4000001</v>
      </c>
      <c r="M48" s="360">
        <v>1</v>
      </c>
      <c r="N48" s="25">
        <f t="shared" si="38"/>
        <v>-7.6721565721059783E-3</v>
      </c>
      <c r="O48" s="25">
        <f t="shared" si="39"/>
        <v>0</v>
      </c>
      <c r="P48" s="408">
        <v>1608416132.72</v>
      </c>
      <c r="Q48" s="360">
        <v>1</v>
      </c>
      <c r="R48" s="25">
        <f t="shared" si="40"/>
        <v>-4.5488939574743044E-2</v>
      </c>
      <c r="S48" s="25">
        <f t="shared" si="41"/>
        <v>0</v>
      </c>
      <c r="T48" s="408">
        <v>1600839852.49</v>
      </c>
      <c r="U48" s="360">
        <v>1</v>
      </c>
      <c r="V48" s="25">
        <f t="shared" si="42"/>
        <v>-4.7103980592309381E-3</v>
      </c>
      <c r="W48" s="25">
        <f t="shared" si="43"/>
        <v>0</v>
      </c>
      <c r="X48" s="408">
        <v>1601771353.73</v>
      </c>
      <c r="Y48" s="360">
        <v>1</v>
      </c>
      <c r="Z48" s="25">
        <f t="shared" si="44"/>
        <v>5.8188284015488569E-4</v>
      </c>
      <c r="AA48" s="25">
        <f t="shared" si="45"/>
        <v>0</v>
      </c>
      <c r="AB48" s="408">
        <v>1550014279.76</v>
      </c>
      <c r="AC48" s="360">
        <v>1</v>
      </c>
      <c r="AD48" s="25">
        <f t="shared" si="46"/>
        <v>-3.2312398301714403E-2</v>
      </c>
      <c r="AE48" s="25">
        <f t="shared" si="47"/>
        <v>0</v>
      </c>
      <c r="AF48" s="408">
        <v>1593065799.0699999</v>
      </c>
      <c r="AG48" s="360">
        <v>1</v>
      </c>
      <c r="AH48" s="25">
        <f t="shared" si="48"/>
        <v>2.7774917865057296E-2</v>
      </c>
      <c r="AI48" s="25">
        <f t="shared" si="49"/>
        <v>0</v>
      </c>
      <c r="AJ48" s="26">
        <f t="shared" si="16"/>
        <v>-1.0045970507886535E-3</v>
      </c>
      <c r="AK48" s="26">
        <f t="shared" si="17"/>
        <v>0</v>
      </c>
      <c r="AL48" s="27">
        <f t="shared" si="18"/>
        <v>-2.5318065891580793E-2</v>
      </c>
      <c r="AM48" s="27">
        <f t="shared" si="19"/>
        <v>0</v>
      </c>
      <c r="AN48" s="28">
        <f t="shared" si="20"/>
        <v>2.8523343151520619E-2</v>
      </c>
      <c r="AO48" s="85">
        <f t="shared" si="21"/>
        <v>0</v>
      </c>
      <c r="AP48" s="32"/>
      <c r="AQ48" s="40"/>
      <c r="AR48" s="37"/>
      <c r="AS48" s="31"/>
      <c r="AT48" s="31"/>
    </row>
    <row r="49" spans="1:48" s="125" customFormat="1">
      <c r="A49" s="229" t="s">
        <v>176</v>
      </c>
      <c r="B49" s="408">
        <v>144064537.55000001</v>
      </c>
      <c r="C49" s="360">
        <v>1</v>
      </c>
      <c r="D49" s="408">
        <v>143262088.61000001</v>
      </c>
      <c r="E49" s="360">
        <v>1</v>
      </c>
      <c r="F49" s="25">
        <f t="shared" si="34"/>
        <v>-5.5700657055973565E-3</v>
      </c>
      <c r="G49" s="25">
        <f t="shared" si="35"/>
        <v>0</v>
      </c>
      <c r="H49" s="408">
        <v>142180570.80000001</v>
      </c>
      <c r="I49" s="360">
        <v>1</v>
      </c>
      <c r="J49" s="25">
        <f t="shared" si="36"/>
        <v>-7.5492254824247344E-3</v>
      </c>
      <c r="K49" s="25">
        <f t="shared" si="37"/>
        <v>0</v>
      </c>
      <c r="L49" s="408">
        <v>141020579.27000001</v>
      </c>
      <c r="M49" s="360">
        <v>1</v>
      </c>
      <c r="N49" s="25">
        <f t="shared" si="38"/>
        <v>-8.1585797797345816E-3</v>
      </c>
      <c r="O49" s="25">
        <f t="shared" si="39"/>
        <v>0</v>
      </c>
      <c r="P49" s="408">
        <v>141458938.34999999</v>
      </c>
      <c r="Q49" s="360">
        <v>1</v>
      </c>
      <c r="R49" s="25">
        <f t="shared" si="40"/>
        <v>3.1084759562694376E-3</v>
      </c>
      <c r="S49" s="25">
        <f t="shared" si="41"/>
        <v>0</v>
      </c>
      <c r="T49" s="408">
        <v>141458938.13</v>
      </c>
      <c r="U49" s="360">
        <v>1</v>
      </c>
      <c r="V49" s="25">
        <f t="shared" si="42"/>
        <v>-1.5552216167746116E-9</v>
      </c>
      <c r="W49" s="25">
        <f t="shared" si="43"/>
        <v>0</v>
      </c>
      <c r="X49" s="408">
        <v>135437312.74000001</v>
      </c>
      <c r="Y49" s="360">
        <v>1</v>
      </c>
      <c r="Z49" s="25">
        <f t="shared" si="44"/>
        <v>-4.2568009272529281E-2</v>
      </c>
      <c r="AA49" s="25">
        <f t="shared" si="45"/>
        <v>0</v>
      </c>
      <c r="AB49" s="408">
        <v>135247314.12</v>
      </c>
      <c r="AC49" s="360">
        <v>1</v>
      </c>
      <c r="AD49" s="25">
        <f t="shared" si="46"/>
        <v>-1.4028528487178898E-3</v>
      </c>
      <c r="AE49" s="25">
        <f t="shared" si="47"/>
        <v>0</v>
      </c>
      <c r="AF49" s="408">
        <v>135352313.33000001</v>
      </c>
      <c r="AG49" s="360">
        <v>1</v>
      </c>
      <c r="AH49" s="25">
        <f t="shared" si="48"/>
        <v>7.7634968711353769E-4</v>
      </c>
      <c r="AI49" s="25">
        <f t="shared" si="49"/>
        <v>0</v>
      </c>
      <c r="AJ49" s="26">
        <f t="shared" si="16"/>
        <v>-7.6704886251053109E-3</v>
      </c>
      <c r="AK49" s="26">
        <f t="shared" si="17"/>
        <v>0</v>
      </c>
      <c r="AL49" s="27">
        <f t="shared" si="18"/>
        <v>-5.5211922126394863E-2</v>
      </c>
      <c r="AM49" s="27">
        <f t="shared" si="19"/>
        <v>0</v>
      </c>
      <c r="AN49" s="28">
        <f t="shared" si="20"/>
        <v>1.4678246521089736E-2</v>
      </c>
      <c r="AO49" s="85">
        <f t="shared" si="21"/>
        <v>0</v>
      </c>
      <c r="AP49" s="32"/>
      <c r="AQ49" s="40"/>
      <c r="AR49" s="37"/>
      <c r="AS49" s="31"/>
      <c r="AT49" s="31"/>
    </row>
    <row r="50" spans="1:48" s="125" customFormat="1">
      <c r="A50" s="229" t="s">
        <v>187</v>
      </c>
      <c r="B50" s="408">
        <v>1032689916.99</v>
      </c>
      <c r="C50" s="360">
        <v>1</v>
      </c>
      <c r="D50" s="408">
        <v>1029546567.4400001</v>
      </c>
      <c r="E50" s="360">
        <v>1</v>
      </c>
      <c r="F50" s="25">
        <f t="shared" si="34"/>
        <v>-3.0438464618323478E-3</v>
      </c>
      <c r="G50" s="25">
        <f t="shared" si="35"/>
        <v>0</v>
      </c>
      <c r="H50" s="408">
        <v>1015930461.4400001</v>
      </c>
      <c r="I50" s="360">
        <v>1</v>
      </c>
      <c r="J50" s="25">
        <f t="shared" si="36"/>
        <v>-1.3225342525163166E-2</v>
      </c>
      <c r="K50" s="25">
        <f t="shared" si="37"/>
        <v>0</v>
      </c>
      <c r="L50" s="408">
        <v>996765656.60000002</v>
      </c>
      <c r="M50" s="360">
        <v>1</v>
      </c>
      <c r="N50" s="25">
        <f t="shared" si="38"/>
        <v>-1.8864288026992967E-2</v>
      </c>
      <c r="O50" s="25">
        <f t="shared" si="39"/>
        <v>0</v>
      </c>
      <c r="P50" s="408">
        <v>1012643620.22</v>
      </c>
      <c r="Q50" s="360">
        <v>1</v>
      </c>
      <c r="R50" s="25">
        <f t="shared" si="40"/>
        <v>1.5929485044820117E-2</v>
      </c>
      <c r="S50" s="25">
        <f t="shared" si="41"/>
        <v>0</v>
      </c>
      <c r="T50" s="408">
        <v>1019562325.86</v>
      </c>
      <c r="U50" s="360">
        <v>1</v>
      </c>
      <c r="V50" s="25">
        <f t="shared" si="42"/>
        <v>6.8323203759451676E-3</v>
      </c>
      <c r="W50" s="25">
        <f t="shared" si="43"/>
        <v>0</v>
      </c>
      <c r="X50" s="408">
        <v>1024178582.47</v>
      </c>
      <c r="Y50" s="360">
        <v>1</v>
      </c>
      <c r="Z50" s="25">
        <f t="shared" si="44"/>
        <v>4.527684569068601E-3</v>
      </c>
      <c r="AA50" s="25">
        <f t="shared" si="45"/>
        <v>0</v>
      </c>
      <c r="AB50" s="408">
        <v>1014735947.8</v>
      </c>
      <c r="AC50" s="360">
        <v>1</v>
      </c>
      <c r="AD50" s="25">
        <f t="shared" si="46"/>
        <v>-9.2197150298021068E-3</v>
      </c>
      <c r="AE50" s="25">
        <f t="shared" si="47"/>
        <v>0</v>
      </c>
      <c r="AF50" s="408">
        <v>1025854810.76</v>
      </c>
      <c r="AG50" s="360">
        <v>1</v>
      </c>
      <c r="AH50" s="25">
        <f t="shared" si="48"/>
        <v>1.0957395354038958E-2</v>
      </c>
      <c r="AI50" s="25">
        <f t="shared" si="49"/>
        <v>0</v>
      </c>
      <c r="AJ50" s="26">
        <f t="shared" si="16"/>
        <v>-7.632883374897178E-4</v>
      </c>
      <c r="AK50" s="26">
        <f t="shared" si="17"/>
        <v>0</v>
      </c>
      <c r="AL50" s="27">
        <f t="shared" si="18"/>
        <v>-3.5858083517093702E-3</v>
      </c>
      <c r="AM50" s="27">
        <f t="shared" si="19"/>
        <v>0</v>
      </c>
      <c r="AN50" s="28">
        <f t="shared" si="20"/>
        <v>1.2313592127125355E-2</v>
      </c>
      <c r="AO50" s="85">
        <f t="shared" si="21"/>
        <v>0</v>
      </c>
      <c r="AP50" s="32"/>
      <c r="AQ50" s="40"/>
      <c r="AR50" s="37"/>
      <c r="AS50" s="31"/>
      <c r="AT50" s="31"/>
    </row>
    <row r="51" spans="1:48" s="131" customFormat="1">
      <c r="A51" s="229" t="s">
        <v>197</v>
      </c>
      <c r="B51" s="408">
        <v>26657123.557103802</v>
      </c>
      <c r="C51" s="360">
        <v>100</v>
      </c>
      <c r="D51" s="408">
        <v>26657123.557103802</v>
      </c>
      <c r="E51" s="360">
        <v>100</v>
      </c>
      <c r="F51" s="25">
        <f t="shared" si="34"/>
        <v>0</v>
      </c>
      <c r="G51" s="25">
        <f t="shared" si="35"/>
        <v>0</v>
      </c>
      <c r="H51" s="408">
        <v>29189185.75</v>
      </c>
      <c r="I51" s="360">
        <v>100</v>
      </c>
      <c r="J51" s="25">
        <f t="shared" si="36"/>
        <v>9.4986324667480276E-2</v>
      </c>
      <c r="K51" s="25">
        <f t="shared" si="37"/>
        <v>0</v>
      </c>
      <c r="L51" s="408">
        <v>29551405.120000001</v>
      </c>
      <c r="M51" s="360">
        <v>100</v>
      </c>
      <c r="N51" s="25">
        <f t="shared" si="38"/>
        <v>1.2409368767677975E-2</v>
      </c>
      <c r="O51" s="25">
        <f t="shared" si="39"/>
        <v>0</v>
      </c>
      <c r="P51" s="408">
        <v>29551405.120000001</v>
      </c>
      <c r="Q51" s="360">
        <v>100</v>
      </c>
      <c r="R51" s="25">
        <f t="shared" si="40"/>
        <v>0</v>
      </c>
      <c r="S51" s="25">
        <f t="shared" si="41"/>
        <v>0</v>
      </c>
      <c r="T51" s="408">
        <v>33792016.030000001</v>
      </c>
      <c r="U51" s="360">
        <v>100</v>
      </c>
      <c r="V51" s="25">
        <f t="shared" si="42"/>
        <v>0.14349946788587764</v>
      </c>
      <c r="W51" s="25">
        <f t="shared" si="43"/>
        <v>0</v>
      </c>
      <c r="X51" s="408">
        <v>33792016.030000001</v>
      </c>
      <c r="Y51" s="360">
        <v>100</v>
      </c>
      <c r="Z51" s="25">
        <f t="shared" si="44"/>
        <v>0</v>
      </c>
      <c r="AA51" s="25">
        <f t="shared" si="45"/>
        <v>0</v>
      </c>
      <c r="AB51" s="408">
        <v>36236308.729999997</v>
      </c>
      <c r="AC51" s="360">
        <v>100</v>
      </c>
      <c r="AD51" s="25">
        <f t="shared" si="46"/>
        <v>7.2333438106503986E-2</v>
      </c>
      <c r="AE51" s="25">
        <f t="shared" si="47"/>
        <v>0</v>
      </c>
      <c r="AF51" s="408">
        <v>36923152.729999997</v>
      </c>
      <c r="AG51" s="360">
        <v>100</v>
      </c>
      <c r="AH51" s="25">
        <f t="shared" si="48"/>
        <v>1.8954579648764354E-2</v>
      </c>
      <c r="AI51" s="25">
        <f t="shared" si="49"/>
        <v>0</v>
      </c>
      <c r="AJ51" s="26">
        <f t="shared" si="16"/>
        <v>4.2772897384538031E-2</v>
      </c>
      <c r="AK51" s="26">
        <f t="shared" si="17"/>
        <v>0</v>
      </c>
      <c r="AL51" s="27">
        <f t="shared" si="18"/>
        <v>0.38511391339372109</v>
      </c>
      <c r="AM51" s="27">
        <f t="shared" si="19"/>
        <v>0</v>
      </c>
      <c r="AN51" s="28">
        <f t="shared" si="20"/>
        <v>5.4410776169013297E-2</v>
      </c>
      <c r="AO51" s="85">
        <f t="shared" si="21"/>
        <v>0</v>
      </c>
      <c r="AP51" s="32"/>
      <c r="AQ51" s="40"/>
      <c r="AR51" s="37"/>
      <c r="AS51" s="31"/>
      <c r="AT51" s="31"/>
    </row>
    <row r="52" spans="1:48">
      <c r="A52" s="229" t="s">
        <v>206</v>
      </c>
      <c r="B52" s="408">
        <v>2292493111.8599997</v>
      </c>
      <c r="C52" s="360">
        <v>100</v>
      </c>
      <c r="D52" s="408">
        <v>2259614646.5900002</v>
      </c>
      <c r="E52" s="360">
        <v>100</v>
      </c>
      <c r="F52" s="25">
        <f t="shared" si="34"/>
        <v>-1.4341794572862979E-2</v>
      </c>
      <c r="G52" s="25">
        <f t="shared" si="35"/>
        <v>0</v>
      </c>
      <c r="H52" s="408">
        <v>2267291882.2399998</v>
      </c>
      <c r="I52" s="360">
        <v>100</v>
      </c>
      <c r="J52" s="25">
        <f t="shared" si="36"/>
        <v>3.3975862484275305E-3</v>
      </c>
      <c r="K52" s="25">
        <f t="shared" si="37"/>
        <v>0</v>
      </c>
      <c r="L52" s="408">
        <v>2272432363.8700004</v>
      </c>
      <c r="M52" s="360">
        <v>100</v>
      </c>
      <c r="N52" s="25">
        <f t="shared" si="38"/>
        <v>2.2672341705391665E-3</v>
      </c>
      <c r="O52" s="25">
        <f t="shared" si="39"/>
        <v>0</v>
      </c>
      <c r="P52" s="408">
        <v>2228571401.4900002</v>
      </c>
      <c r="Q52" s="360">
        <v>100</v>
      </c>
      <c r="R52" s="25">
        <f t="shared" si="40"/>
        <v>-1.9301327985535275E-2</v>
      </c>
      <c r="S52" s="25">
        <f t="shared" si="41"/>
        <v>0</v>
      </c>
      <c r="T52" s="408">
        <v>2213677657.4200001</v>
      </c>
      <c r="U52" s="360">
        <v>100</v>
      </c>
      <c r="V52" s="25">
        <f t="shared" si="42"/>
        <v>-6.6830903690329891E-3</v>
      </c>
      <c r="W52" s="25">
        <f t="shared" si="43"/>
        <v>0</v>
      </c>
      <c r="X52" s="408">
        <v>2313022660.52</v>
      </c>
      <c r="Y52" s="360">
        <v>100</v>
      </c>
      <c r="Z52" s="25">
        <f t="shared" si="44"/>
        <v>4.4877809001236724E-2</v>
      </c>
      <c r="AA52" s="25">
        <f t="shared" si="45"/>
        <v>0</v>
      </c>
      <c r="AB52" s="408">
        <v>2379059134.7900004</v>
      </c>
      <c r="AC52" s="360">
        <v>100</v>
      </c>
      <c r="AD52" s="25">
        <f t="shared" si="46"/>
        <v>2.8549860490841249E-2</v>
      </c>
      <c r="AE52" s="25">
        <f t="shared" si="47"/>
        <v>0</v>
      </c>
      <c r="AF52" s="408">
        <v>2615683146.5699997</v>
      </c>
      <c r="AG52" s="360">
        <v>100</v>
      </c>
      <c r="AH52" s="25">
        <f t="shared" si="48"/>
        <v>9.9461172830782138E-2</v>
      </c>
      <c r="AI52" s="25">
        <f t="shared" si="49"/>
        <v>0</v>
      </c>
      <c r="AJ52" s="26">
        <f t="shared" si="16"/>
        <v>1.7278431226799444E-2</v>
      </c>
      <c r="AK52" s="26">
        <f t="shared" si="17"/>
        <v>0</v>
      </c>
      <c r="AL52" s="27">
        <f t="shared" si="18"/>
        <v>0.15757930252281951</v>
      </c>
      <c r="AM52" s="27">
        <f t="shared" si="19"/>
        <v>0</v>
      </c>
      <c r="AN52" s="28">
        <f t="shared" si="20"/>
        <v>3.9592314665410987E-2</v>
      </c>
      <c r="AO52" s="85">
        <f t="shared" si="21"/>
        <v>0</v>
      </c>
      <c r="AP52" s="32"/>
      <c r="AQ52" s="41">
        <v>2266908745.4000001</v>
      </c>
      <c r="AR52" s="37">
        <v>1</v>
      </c>
      <c r="AS52" s="31" t="e">
        <f>(#REF!/AQ52)-1</f>
        <v>#REF!</v>
      </c>
      <c r="AT52" s="31" t="e">
        <f>(#REF!/AR52)-1</f>
        <v>#REF!</v>
      </c>
    </row>
    <row r="53" spans="1:48">
      <c r="A53" s="231" t="s">
        <v>47</v>
      </c>
      <c r="B53" s="82">
        <f>SUM(B24:B52)</f>
        <v>582479188277.02686</v>
      </c>
      <c r="C53" s="98"/>
      <c r="D53" s="82">
        <f>SUM(D24:D52)</f>
        <v>577843844867.68115</v>
      </c>
      <c r="E53" s="98"/>
      <c r="F53" s="25">
        <f>((D53-B53)/B53)</f>
        <v>-7.957955413062991E-3</v>
      </c>
      <c r="G53" s="25"/>
      <c r="H53" s="82">
        <f>SUM(H24:H52)</f>
        <v>574228446553.54651</v>
      </c>
      <c r="I53" s="98"/>
      <c r="J53" s="25">
        <f>((H53-D53)/D53)</f>
        <v>-6.256704724375014E-3</v>
      </c>
      <c r="K53" s="25"/>
      <c r="L53" s="82">
        <f>SUM(L24:L52)</f>
        <v>578013629503.56995</v>
      </c>
      <c r="M53" s="98"/>
      <c r="N53" s="25">
        <f>((L53-H53)/H53)</f>
        <v>6.5917719206383327E-3</v>
      </c>
      <c r="O53" s="25"/>
      <c r="P53" s="82">
        <f>SUM(P24:P52)</f>
        <v>584870498552.73987</v>
      </c>
      <c r="Q53" s="98"/>
      <c r="R53" s="25">
        <f>((P53-L53)/L53)</f>
        <v>1.1862815510179198E-2</v>
      </c>
      <c r="S53" s="25"/>
      <c r="T53" s="82">
        <f>SUM(T24:T52)</f>
        <v>587902088881.4845</v>
      </c>
      <c r="U53" s="98"/>
      <c r="V53" s="25">
        <f>((T53-P53)/P53)</f>
        <v>5.1833531290196534E-3</v>
      </c>
      <c r="W53" s="25"/>
      <c r="X53" s="82">
        <f>SUM(X24:X52)</f>
        <v>588565606910.96375</v>
      </c>
      <c r="Y53" s="98"/>
      <c r="Z53" s="25">
        <f>((X53-T53)/T53)</f>
        <v>1.1286199556487832E-3</v>
      </c>
      <c r="AA53" s="25"/>
      <c r="AB53" s="82">
        <f>SUM(AB24:AB52)</f>
        <v>590991900611.65771</v>
      </c>
      <c r="AC53" s="98"/>
      <c r="AD53" s="25">
        <f>((AB53-X53)/X53)</f>
        <v>4.1223844414357896E-3</v>
      </c>
      <c r="AE53" s="25"/>
      <c r="AF53" s="82">
        <f>SUM(AF24:AF52)</f>
        <v>599441283293.77356</v>
      </c>
      <c r="AG53" s="98"/>
      <c r="AH53" s="25">
        <f>((AF53-AB53)/AB53)</f>
        <v>1.4296951740575469E-2</v>
      </c>
      <c r="AI53" s="25"/>
      <c r="AJ53" s="26">
        <f t="shared" si="16"/>
        <v>3.6214045700074023E-3</v>
      </c>
      <c r="AK53" s="26"/>
      <c r="AL53" s="27">
        <f t="shared" si="18"/>
        <v>3.7375908072600383E-2</v>
      </c>
      <c r="AM53" s="27"/>
      <c r="AN53" s="28">
        <f t="shared" si="20"/>
        <v>7.8492447679374827E-3</v>
      </c>
      <c r="AO53" s="85"/>
      <c r="AP53" s="32"/>
      <c r="AQ53" s="45">
        <f>SUM(AQ24:AQ52)</f>
        <v>132930613532.55411</v>
      </c>
      <c r="AR53" s="46"/>
      <c r="AS53" s="31" t="e">
        <f>(#REF!/AQ53)-1</f>
        <v>#REF!</v>
      </c>
      <c r="AT53" s="31" t="e">
        <f>(#REF!/AR53)-1</f>
        <v>#REF!</v>
      </c>
    </row>
    <row r="54" spans="1:48" s="131" customFormat="1" ht="8.25" customHeight="1">
      <c r="A54" s="231"/>
      <c r="B54" s="98"/>
      <c r="C54" s="98"/>
      <c r="D54" s="98"/>
      <c r="E54" s="98"/>
      <c r="F54" s="25"/>
      <c r="G54" s="25"/>
      <c r="H54" s="98"/>
      <c r="I54" s="98"/>
      <c r="J54" s="25"/>
      <c r="K54" s="25"/>
      <c r="L54" s="98"/>
      <c r="M54" s="98"/>
      <c r="N54" s="25"/>
      <c r="O54" s="25"/>
      <c r="P54" s="98"/>
      <c r="Q54" s="98"/>
      <c r="R54" s="25"/>
      <c r="S54" s="25"/>
      <c r="T54" s="98"/>
      <c r="U54" s="98"/>
      <c r="V54" s="25"/>
      <c r="W54" s="25"/>
      <c r="X54" s="98"/>
      <c r="Y54" s="98"/>
      <c r="Z54" s="25"/>
      <c r="AA54" s="25"/>
      <c r="AB54" s="98"/>
      <c r="AC54" s="98"/>
      <c r="AD54" s="25"/>
      <c r="AE54" s="25"/>
      <c r="AF54" s="98"/>
      <c r="AG54" s="98"/>
      <c r="AH54" s="25"/>
      <c r="AI54" s="25"/>
      <c r="AJ54" s="26"/>
      <c r="AK54" s="26"/>
      <c r="AL54" s="27"/>
      <c r="AM54" s="27"/>
      <c r="AN54" s="28"/>
      <c r="AO54" s="85"/>
      <c r="AP54" s="32"/>
      <c r="AQ54" s="45"/>
      <c r="AR54" s="46"/>
      <c r="AS54" s="31"/>
      <c r="AT54" s="31"/>
    </row>
    <row r="55" spans="1:48">
      <c r="A55" s="232" t="s">
        <v>212</v>
      </c>
      <c r="B55" s="98"/>
      <c r="C55" s="98"/>
      <c r="D55" s="98"/>
      <c r="E55" s="98"/>
      <c r="F55" s="25"/>
      <c r="G55" s="25"/>
      <c r="H55" s="98"/>
      <c r="I55" s="98"/>
      <c r="J55" s="25"/>
      <c r="K55" s="25"/>
      <c r="L55" s="98"/>
      <c r="M55" s="98"/>
      <c r="N55" s="25"/>
      <c r="O55" s="25"/>
      <c r="P55" s="98"/>
      <c r="Q55" s="98"/>
      <c r="R55" s="25"/>
      <c r="S55" s="25"/>
      <c r="T55" s="98"/>
      <c r="U55" s="98"/>
      <c r="V55" s="25"/>
      <c r="W55" s="25"/>
      <c r="X55" s="98"/>
      <c r="Y55" s="98"/>
      <c r="Z55" s="25"/>
      <c r="AA55" s="25"/>
      <c r="AB55" s="98"/>
      <c r="AC55" s="98"/>
      <c r="AD55" s="25"/>
      <c r="AE55" s="25"/>
      <c r="AF55" s="98"/>
      <c r="AG55" s="98"/>
      <c r="AH55" s="25"/>
      <c r="AI55" s="25"/>
      <c r="AJ55" s="26"/>
      <c r="AK55" s="26"/>
      <c r="AL55" s="27"/>
      <c r="AM55" s="27"/>
      <c r="AN55" s="28"/>
      <c r="AO55" s="85"/>
      <c r="AP55" s="32"/>
      <c r="AQ55" s="42"/>
      <c r="AR55" s="15"/>
      <c r="AS55" s="31" t="e">
        <f>(#REF!/AQ55)-1</f>
        <v>#REF!</v>
      </c>
      <c r="AT55" s="31" t="e">
        <f>(#REF!/AR55)-1</f>
        <v>#REF!</v>
      </c>
    </row>
    <row r="56" spans="1:48">
      <c r="A56" s="229" t="s">
        <v>21</v>
      </c>
      <c r="B56" s="415">
        <v>51922883742.400002</v>
      </c>
      <c r="C56" s="416">
        <v>243.34</v>
      </c>
      <c r="D56" s="415">
        <v>51336427717.650002</v>
      </c>
      <c r="E56" s="416">
        <v>243.53</v>
      </c>
      <c r="F56" s="25">
        <f t="shared" ref="F56:F84" si="50">((D56-B56)/B56)</f>
        <v>-1.129475064712368E-2</v>
      </c>
      <c r="G56" s="25">
        <f t="shared" ref="G56:G84" si="51">((E56-C56)/C56)</f>
        <v>7.8080052601297656E-4</v>
      </c>
      <c r="H56" s="415">
        <v>51348065946.099998</v>
      </c>
      <c r="I56" s="416">
        <v>243.71</v>
      </c>
      <c r="J56" s="25">
        <f t="shared" ref="J56:J84" si="52">((H56-D56)/D56)</f>
        <v>2.2670507020876334E-4</v>
      </c>
      <c r="K56" s="25">
        <f t="shared" ref="K56:K86" si="53">((I56-E56)/E56)</f>
        <v>7.3912864944773466E-4</v>
      </c>
      <c r="L56" s="415">
        <v>50718679146.620003</v>
      </c>
      <c r="M56" s="416">
        <v>243.9</v>
      </c>
      <c r="N56" s="25">
        <f t="shared" ref="N56:N84" si="54">((L56-H56)/H56)</f>
        <v>-1.2257263986157965E-2</v>
      </c>
      <c r="O56" s="25">
        <f t="shared" ref="O56:O86" si="55">((M56-I56)/I56)</f>
        <v>7.7961511632677243E-4</v>
      </c>
      <c r="P56" s="415">
        <v>50320551827.019997</v>
      </c>
      <c r="Q56" s="416">
        <v>244.05</v>
      </c>
      <c r="R56" s="25">
        <f t="shared" ref="R56:R84" si="56">((P56-L56)/L56)</f>
        <v>-7.8497178218912295E-3</v>
      </c>
      <c r="S56" s="25">
        <f t="shared" ref="S56:S86" si="57">((Q56-M56)/M56)</f>
        <v>6.1500615006152394E-4</v>
      </c>
      <c r="T56" s="415">
        <v>50006393191.040001</v>
      </c>
      <c r="U56" s="416">
        <v>244.22</v>
      </c>
      <c r="V56" s="25">
        <f t="shared" ref="V56:V84" si="58">((T56-P56)/P56)</f>
        <v>-6.2431476717492171E-3</v>
      </c>
      <c r="W56" s="25">
        <f t="shared" ref="W56:W86" si="59">((U56-Q56)/Q56)</f>
        <v>6.965785699651198E-4</v>
      </c>
      <c r="X56" s="415">
        <v>49757479644.5</v>
      </c>
      <c r="Y56" s="416">
        <v>244.39</v>
      </c>
      <c r="Z56" s="25">
        <f t="shared" ref="Z56:Z84" si="60">((X56-T56)/T56)</f>
        <v>-4.9776344714379545E-3</v>
      </c>
      <c r="AA56" s="25">
        <f t="shared" ref="AA56:AA86" si="61">((Y56-U56)/U56)</f>
        <v>6.9609368602074971E-4</v>
      </c>
      <c r="AB56" s="415">
        <v>47700981350.269997</v>
      </c>
      <c r="AC56" s="416">
        <v>244.55</v>
      </c>
      <c r="AD56" s="25">
        <f t="shared" ref="AD56:AD84" si="62">((AB56-X56)/X56)</f>
        <v>-4.1330435321945025E-2</v>
      </c>
      <c r="AE56" s="25">
        <f t="shared" ref="AE56:AE86" si="63">((AC56-Y56)/Y56)</f>
        <v>6.5469127214708058E-4</v>
      </c>
      <c r="AF56" s="415">
        <v>47161071001.010002</v>
      </c>
      <c r="AG56" s="416">
        <v>244.74</v>
      </c>
      <c r="AH56" s="25">
        <f t="shared" ref="AH56:AH84" si="64">((AF56-AB56)/AB56)</f>
        <v>-1.1318642383799479E-2</v>
      </c>
      <c r="AI56" s="25">
        <f t="shared" ref="AI56:AI86" si="65">((AG56-AC56)/AC56)</f>
        <v>7.7693723164995996E-4</v>
      </c>
      <c r="AJ56" s="26">
        <f t="shared" si="16"/>
        <v>-1.1880610904236973E-2</v>
      </c>
      <c r="AK56" s="26">
        <f t="shared" si="17"/>
        <v>7.1735640020398968E-4</v>
      </c>
      <c r="AL56" s="27">
        <f t="shared" si="18"/>
        <v>-8.1333215073016621E-2</v>
      </c>
      <c r="AM56" s="27">
        <f t="shared" si="19"/>
        <v>4.9685870323985049E-3</v>
      </c>
      <c r="AN56" s="28">
        <f t="shared" si="20"/>
        <v>1.2594558581912512E-2</v>
      </c>
      <c r="AO56" s="85">
        <f t="shared" si="21"/>
        <v>6.2348701863375124E-5</v>
      </c>
      <c r="AP56" s="32"/>
      <c r="AQ56" s="30">
        <v>1092437778.4100001</v>
      </c>
      <c r="AR56" s="34">
        <v>143.21</v>
      </c>
      <c r="AS56" s="31" t="e">
        <f>(#REF!/AQ56)-1</f>
        <v>#REF!</v>
      </c>
      <c r="AT56" s="31" t="e">
        <f>(#REF!/AR56)-1</f>
        <v>#REF!</v>
      </c>
    </row>
    <row r="57" spans="1:48">
      <c r="A57" s="229" t="s">
        <v>22</v>
      </c>
      <c r="B57" s="415">
        <v>1405320165.4000001</v>
      </c>
      <c r="C57" s="416">
        <v>317.16059999999999</v>
      </c>
      <c r="D57" s="415">
        <v>1407880070.8599999</v>
      </c>
      <c r="E57" s="416">
        <v>317.73840000000001</v>
      </c>
      <c r="F57" s="25">
        <f t="shared" si="50"/>
        <v>1.8215816744301587E-3</v>
      </c>
      <c r="G57" s="25">
        <f t="shared" si="51"/>
        <v>1.8217899701287762E-3</v>
      </c>
      <c r="H57" s="415">
        <v>1410687115.04</v>
      </c>
      <c r="I57" s="416">
        <v>318.37189999999998</v>
      </c>
      <c r="J57" s="25">
        <f t="shared" si="52"/>
        <v>1.9938091589615237E-3</v>
      </c>
      <c r="K57" s="25">
        <f t="shared" si="53"/>
        <v>1.9937785297589761E-3</v>
      </c>
      <c r="L57" s="415">
        <v>1413795959.5599999</v>
      </c>
      <c r="M57" s="416">
        <v>319.07350000000002</v>
      </c>
      <c r="N57" s="25">
        <f t="shared" si="54"/>
        <v>2.2037803328995671E-3</v>
      </c>
      <c r="O57" s="25">
        <f t="shared" si="55"/>
        <v>2.2037120738357934E-3</v>
      </c>
      <c r="P57" s="415">
        <v>1416879097.6600001</v>
      </c>
      <c r="Q57" s="416">
        <v>319.76929999999999</v>
      </c>
      <c r="R57" s="25">
        <f t="shared" si="56"/>
        <v>2.1807518115695237E-3</v>
      </c>
      <c r="S57" s="25">
        <f t="shared" si="57"/>
        <v>2.1806887754701122E-3</v>
      </c>
      <c r="T57" s="415">
        <v>1420086577.73</v>
      </c>
      <c r="U57" s="416">
        <v>320.47059999999999</v>
      </c>
      <c r="V57" s="25">
        <f t="shared" si="58"/>
        <v>2.2637641244740931E-3</v>
      </c>
      <c r="W57" s="25">
        <f t="shared" si="59"/>
        <v>2.1931436194781782E-3</v>
      </c>
      <c r="X57" s="415">
        <v>1423116403.98</v>
      </c>
      <c r="Y57" s="416">
        <v>321.17169999999999</v>
      </c>
      <c r="Z57" s="25">
        <f t="shared" si="60"/>
        <v>2.1335503746843093E-3</v>
      </c>
      <c r="AA57" s="25">
        <f t="shared" si="61"/>
        <v>2.1877201840043883E-3</v>
      </c>
      <c r="AB57" s="415">
        <v>1426222522.1600001</v>
      </c>
      <c r="AC57" s="416">
        <v>321.87270000000001</v>
      </c>
      <c r="AD57" s="25">
        <f t="shared" si="62"/>
        <v>2.1826170869180136E-3</v>
      </c>
      <c r="AE57" s="25">
        <f t="shared" si="63"/>
        <v>2.182633152298356E-3</v>
      </c>
      <c r="AF57" s="415">
        <v>1429327958.95</v>
      </c>
      <c r="AG57" s="416">
        <v>322.5736</v>
      </c>
      <c r="AH57" s="25">
        <f t="shared" si="64"/>
        <v>2.177385885967365E-3</v>
      </c>
      <c r="AI57" s="25">
        <f t="shared" si="65"/>
        <v>2.1775689581626217E-3</v>
      </c>
      <c r="AJ57" s="26">
        <f t="shared" si="16"/>
        <v>2.1196550562380691E-3</v>
      </c>
      <c r="AK57" s="26">
        <f t="shared" si="17"/>
        <v>2.1176294078921504E-3</v>
      </c>
      <c r="AL57" s="27">
        <f t="shared" si="18"/>
        <v>1.5234172664223285E-2</v>
      </c>
      <c r="AM57" s="27">
        <f t="shared" si="19"/>
        <v>1.5217550034871409E-2</v>
      </c>
      <c r="AN57" s="28">
        <f t="shared" si="20"/>
        <v>1.4330406031547101E-4</v>
      </c>
      <c r="AO57" s="85">
        <f t="shared" si="21"/>
        <v>1.3767460170724196E-4</v>
      </c>
      <c r="AP57" s="32"/>
      <c r="AQ57" s="33">
        <v>1186217562.8099999</v>
      </c>
      <c r="AR57" s="37">
        <v>212.98</v>
      </c>
      <c r="AS57" s="31" t="e">
        <f>(#REF!/AQ57)-1</f>
        <v>#REF!</v>
      </c>
      <c r="AT57" s="31" t="e">
        <f>(#REF!/AR57)-1</f>
        <v>#REF!</v>
      </c>
      <c r="AU57" s="92"/>
      <c r="AV57" s="92"/>
    </row>
    <row r="58" spans="1:48">
      <c r="A58" s="229" t="s">
        <v>233</v>
      </c>
      <c r="B58" s="415">
        <v>59763669302.529999</v>
      </c>
      <c r="C58" s="415">
        <v>1441.25</v>
      </c>
      <c r="D58" s="415">
        <v>58805286818.699997</v>
      </c>
      <c r="E58" s="415">
        <v>1444.16</v>
      </c>
      <c r="F58" s="25">
        <f t="shared" si="50"/>
        <v>-1.6036205524439413E-2</v>
      </c>
      <c r="G58" s="25">
        <f t="shared" si="51"/>
        <v>2.0190806591501003E-3</v>
      </c>
      <c r="H58" s="415">
        <v>57943317311.860001</v>
      </c>
      <c r="I58" s="415">
        <v>1447.12</v>
      </c>
      <c r="J58" s="25">
        <f t="shared" si="52"/>
        <v>-1.4658027423580073E-2</v>
      </c>
      <c r="K58" s="25">
        <f t="shared" si="53"/>
        <v>2.0496343895411925E-3</v>
      </c>
      <c r="L58" s="415">
        <v>58482063521.669998</v>
      </c>
      <c r="M58" s="415">
        <v>1450.16</v>
      </c>
      <c r="N58" s="25">
        <f t="shared" si="54"/>
        <v>9.297814395237006E-3</v>
      </c>
      <c r="O58" s="25">
        <f t="shared" si="55"/>
        <v>2.1007241970259489E-3</v>
      </c>
      <c r="P58" s="415">
        <v>58723149937</v>
      </c>
      <c r="Q58" s="415">
        <v>1453.19</v>
      </c>
      <c r="R58" s="25">
        <f t="shared" si="56"/>
        <v>4.1223992590594801E-3</v>
      </c>
      <c r="S58" s="25">
        <f t="shared" si="57"/>
        <v>2.0894246152148538E-3</v>
      </c>
      <c r="T58" s="415">
        <v>58894607360.529999</v>
      </c>
      <c r="U58" s="415">
        <v>1456.28</v>
      </c>
      <c r="V58" s="25">
        <f t="shared" si="58"/>
        <v>2.9197586252430866E-3</v>
      </c>
      <c r="W58" s="25">
        <f t="shared" si="59"/>
        <v>2.1263564984619478E-3</v>
      </c>
      <c r="X58" s="415">
        <v>59848959887.300003</v>
      </c>
      <c r="Y58" s="415">
        <v>1459.33</v>
      </c>
      <c r="Z58" s="25">
        <f t="shared" si="60"/>
        <v>1.6204412755956202E-2</v>
      </c>
      <c r="AA58" s="25">
        <f t="shared" si="61"/>
        <v>2.0943774548850182E-3</v>
      </c>
      <c r="AB58" s="415">
        <v>60279027430.220001</v>
      </c>
      <c r="AC58" s="415">
        <v>1462.37</v>
      </c>
      <c r="AD58" s="25">
        <f t="shared" si="62"/>
        <v>7.1858816549167604E-3</v>
      </c>
      <c r="AE58" s="25">
        <f t="shared" si="63"/>
        <v>2.0831477458833599E-3</v>
      </c>
      <c r="AF58" s="415">
        <v>62369822864.970001</v>
      </c>
      <c r="AG58" s="415">
        <v>1464.97</v>
      </c>
      <c r="AH58" s="25">
        <f t="shared" si="64"/>
        <v>3.4685288132266887E-2</v>
      </c>
      <c r="AI58" s="25">
        <f t="shared" si="65"/>
        <v>1.7779358165171172E-3</v>
      </c>
      <c r="AJ58" s="26">
        <f t="shared" si="16"/>
        <v>5.4651652343324919E-3</v>
      </c>
      <c r="AK58" s="26">
        <f t="shared" si="17"/>
        <v>2.0425851720849422E-3</v>
      </c>
      <c r="AL58" s="27">
        <f t="shared" si="18"/>
        <v>6.0615911240424168E-2</v>
      </c>
      <c r="AM58" s="27">
        <f t="shared" si="19"/>
        <v>1.4409760691336102E-2</v>
      </c>
      <c r="AN58" s="28">
        <f t="shared" si="20"/>
        <v>1.6310956119016295E-2</v>
      </c>
      <c r="AO58" s="85">
        <f t="shared" si="21"/>
        <v>1.1184230781716338E-4</v>
      </c>
      <c r="AP58" s="32"/>
      <c r="AQ58" s="33">
        <v>4662655514.79</v>
      </c>
      <c r="AR58" s="37">
        <v>1067.58</v>
      </c>
      <c r="AS58" s="31" t="e">
        <f>(#REF!/AQ58)-1</f>
        <v>#REF!</v>
      </c>
      <c r="AT58" s="31" t="e">
        <f>(#REF!/AR58)-1</f>
        <v>#REF!</v>
      </c>
    </row>
    <row r="59" spans="1:48" s="125" customFormat="1">
      <c r="A59" s="229" t="s">
        <v>188</v>
      </c>
      <c r="B59" s="415">
        <v>663048506.07000005</v>
      </c>
      <c r="C59" s="372">
        <v>1.0492999999999999</v>
      </c>
      <c r="D59" s="415">
        <v>663650166.80999994</v>
      </c>
      <c r="E59" s="372">
        <v>1.0510999999999999</v>
      </c>
      <c r="F59" s="25">
        <f t="shared" si="50"/>
        <v>9.0741587454292697E-4</v>
      </c>
      <c r="G59" s="25">
        <f t="shared" si="51"/>
        <v>1.7154293338416315E-3</v>
      </c>
      <c r="H59" s="415">
        <v>664917022.16999996</v>
      </c>
      <c r="I59" s="372">
        <v>1.0529999999999999</v>
      </c>
      <c r="J59" s="25">
        <f t="shared" si="52"/>
        <v>1.9089204272929978E-3</v>
      </c>
      <c r="K59" s="25">
        <f t="shared" si="53"/>
        <v>1.8076301017981285E-3</v>
      </c>
      <c r="L59" s="415">
        <v>666126481.77999997</v>
      </c>
      <c r="M59" s="372">
        <v>1.0548999999999999</v>
      </c>
      <c r="N59" s="25">
        <f t="shared" si="54"/>
        <v>1.8189632234904504E-3</v>
      </c>
      <c r="O59" s="25">
        <f t="shared" si="55"/>
        <v>1.8043684710351499E-3</v>
      </c>
      <c r="P59" s="415">
        <v>668106344.90999997</v>
      </c>
      <c r="Q59" s="372">
        <v>1.0569999999999999</v>
      </c>
      <c r="R59" s="25">
        <f t="shared" si="56"/>
        <v>2.9722030037140604E-3</v>
      </c>
      <c r="S59" s="25">
        <f t="shared" si="57"/>
        <v>1.9907100199070917E-3</v>
      </c>
      <c r="T59" s="415">
        <v>669512569.52999997</v>
      </c>
      <c r="U59" s="372">
        <v>1.0589999999999999</v>
      </c>
      <c r="V59" s="25">
        <f t="shared" si="58"/>
        <v>2.1047915959987421E-3</v>
      </c>
      <c r="W59" s="25">
        <f t="shared" si="59"/>
        <v>1.8921475875118277E-3</v>
      </c>
      <c r="X59" s="415">
        <v>671418219.80999994</v>
      </c>
      <c r="Y59" s="372">
        <v>1.0609999999999999</v>
      </c>
      <c r="Z59" s="25">
        <f t="shared" si="60"/>
        <v>2.8463248738373114E-3</v>
      </c>
      <c r="AA59" s="25">
        <f t="shared" si="61"/>
        <v>1.8885741265344683E-3</v>
      </c>
      <c r="AB59" s="415">
        <v>672170719.53999996</v>
      </c>
      <c r="AC59" s="372">
        <v>1.0628</v>
      </c>
      <c r="AD59" s="25">
        <f t="shared" si="62"/>
        <v>1.1207615578453676E-3</v>
      </c>
      <c r="AE59" s="25">
        <f t="shared" si="63"/>
        <v>1.6965127238454513E-3</v>
      </c>
      <c r="AF59" s="415">
        <v>674057430.72000003</v>
      </c>
      <c r="AG59" s="372">
        <v>1.0649</v>
      </c>
      <c r="AH59" s="25">
        <f t="shared" si="64"/>
        <v>2.8068928400975836E-3</v>
      </c>
      <c r="AI59" s="25">
        <f t="shared" si="65"/>
        <v>1.9759126834775977E-3</v>
      </c>
      <c r="AJ59" s="26">
        <f t="shared" si="16"/>
        <v>2.0607841746024301E-3</v>
      </c>
      <c r="AK59" s="26">
        <f t="shared" si="17"/>
        <v>1.8464106309939181E-3</v>
      </c>
      <c r="AL59" s="27">
        <f t="shared" si="18"/>
        <v>1.5681852322926695E-2</v>
      </c>
      <c r="AM59" s="27">
        <f t="shared" si="19"/>
        <v>1.3129102844638984E-2</v>
      </c>
      <c r="AN59" s="28">
        <f t="shared" si="20"/>
        <v>7.8392913234907923E-4</v>
      </c>
      <c r="AO59" s="85">
        <f t="shared" si="21"/>
        <v>1.0977879070190607E-4</v>
      </c>
      <c r="AP59" s="32"/>
      <c r="AQ59" s="33"/>
      <c r="AR59" s="33"/>
      <c r="AS59" s="31"/>
      <c r="AT59" s="31"/>
    </row>
    <row r="60" spans="1:48">
      <c r="A60" s="230" t="s">
        <v>23</v>
      </c>
      <c r="B60" s="415">
        <v>2806406929.0082002</v>
      </c>
      <c r="C60" s="415">
        <v>3655.4004788155098</v>
      </c>
      <c r="D60" s="415">
        <v>2794516299.9640999</v>
      </c>
      <c r="E60" s="415">
        <v>3661.2392005984102</v>
      </c>
      <c r="F60" s="25">
        <f t="shared" si="50"/>
        <v>-4.2369582690214135E-3</v>
      </c>
      <c r="G60" s="25">
        <f t="shared" si="51"/>
        <v>1.5972864852259261E-3</v>
      </c>
      <c r="H60" s="415">
        <v>2789923735.6410999</v>
      </c>
      <c r="I60" s="415">
        <v>3667.2723997817402</v>
      </c>
      <c r="J60" s="25">
        <f t="shared" si="52"/>
        <v>-1.6434201235680584E-3</v>
      </c>
      <c r="K60" s="25">
        <f t="shared" si="53"/>
        <v>1.6478571469309908E-3</v>
      </c>
      <c r="L60" s="415">
        <v>2794663073.9014001</v>
      </c>
      <c r="M60" s="415">
        <v>3673.3261683332698</v>
      </c>
      <c r="N60" s="25">
        <f t="shared" si="54"/>
        <v>1.6987339832108712E-3</v>
      </c>
      <c r="O60" s="25">
        <f t="shared" si="55"/>
        <v>1.6507550821395003E-3</v>
      </c>
      <c r="P60" s="415">
        <v>2782476333.9573998</v>
      </c>
      <c r="Q60" s="415">
        <v>3679.3632369573702</v>
      </c>
      <c r="R60" s="25">
        <f t="shared" si="56"/>
        <v>-4.3607188493700374E-3</v>
      </c>
      <c r="S60" s="25">
        <f t="shared" si="57"/>
        <v>1.6434883120764656E-3</v>
      </c>
      <c r="T60" s="415">
        <v>2765440370.2374001</v>
      </c>
      <c r="U60" s="415">
        <v>3685.3555656849499</v>
      </c>
      <c r="V60" s="25">
        <f t="shared" si="58"/>
        <v>-6.1225906981103593E-3</v>
      </c>
      <c r="W60" s="25">
        <f t="shared" si="59"/>
        <v>1.6286320055029374E-3</v>
      </c>
      <c r="X60" s="415">
        <v>2763626771.9865999</v>
      </c>
      <c r="Y60" s="415">
        <v>3691.3376225000102</v>
      </c>
      <c r="Z60" s="25">
        <f t="shared" si="60"/>
        <v>-6.5580812022515017E-4</v>
      </c>
      <c r="AA60" s="25">
        <f t="shared" si="61"/>
        <v>1.6231966518401662E-3</v>
      </c>
      <c r="AB60" s="415">
        <v>2768552004.5500002</v>
      </c>
      <c r="AC60" s="415">
        <v>3699.4965999999999</v>
      </c>
      <c r="AD60" s="25">
        <f t="shared" si="62"/>
        <v>1.7821627049371157E-3</v>
      </c>
      <c r="AE60" s="25">
        <f t="shared" si="63"/>
        <v>2.2103037799246273E-3</v>
      </c>
      <c r="AF60" s="415">
        <v>2774218484.6220999</v>
      </c>
      <c r="AG60" s="415">
        <v>3705.6041539685498</v>
      </c>
      <c r="AH60" s="25">
        <f t="shared" si="64"/>
        <v>2.0467305879705569E-3</v>
      </c>
      <c r="AI60" s="25">
        <f t="shared" si="65"/>
        <v>1.6509148754319269E-3</v>
      </c>
      <c r="AJ60" s="26">
        <f t="shared" si="16"/>
        <v>-1.4364835980220591E-3</v>
      </c>
      <c r="AK60" s="26">
        <f t="shared" si="17"/>
        <v>1.7065542923840674E-3</v>
      </c>
      <c r="AL60" s="27">
        <f t="shared" si="18"/>
        <v>-7.2634449626437199E-3</v>
      </c>
      <c r="AM60" s="27">
        <f t="shared" si="19"/>
        <v>1.2117469233610401E-2</v>
      </c>
      <c r="AN60" s="28">
        <f t="shared" si="20"/>
        <v>3.1921273971980461E-3</v>
      </c>
      <c r="AO60" s="85">
        <f t="shared" si="21"/>
        <v>2.0436499149719737E-4</v>
      </c>
      <c r="AP60" s="32"/>
      <c r="AQ60" s="47">
        <v>1198249163.9190199</v>
      </c>
      <c r="AR60" s="47">
        <v>1987.7461478934799</v>
      </c>
      <c r="AS60" s="31" t="e">
        <f>(#REF!/AQ60)-1</f>
        <v>#REF!</v>
      </c>
      <c r="AT60" s="31" t="e">
        <f>(#REF!/AR60)-1</f>
        <v>#REF!</v>
      </c>
    </row>
    <row r="61" spans="1:48">
      <c r="A61" s="229" t="s">
        <v>169</v>
      </c>
      <c r="B61" s="415">
        <v>100614794763.45</v>
      </c>
      <c r="C61" s="415">
        <v>1.9291</v>
      </c>
      <c r="D61" s="415">
        <v>100134533961.57001</v>
      </c>
      <c r="E61" s="415">
        <v>1.9315</v>
      </c>
      <c r="F61" s="25">
        <f t="shared" si="50"/>
        <v>-4.7732622524262443E-3</v>
      </c>
      <c r="G61" s="25">
        <f t="shared" si="51"/>
        <v>1.2441034679383949E-3</v>
      </c>
      <c r="H61" s="415">
        <v>100184383400.17999</v>
      </c>
      <c r="I61" s="415">
        <v>1.9336</v>
      </c>
      <c r="J61" s="25">
        <f t="shared" si="52"/>
        <v>4.978246428861071E-4</v>
      </c>
      <c r="K61" s="25">
        <f t="shared" si="53"/>
        <v>1.0872378980067256E-3</v>
      </c>
      <c r="L61" s="415">
        <v>99497089104.960007</v>
      </c>
      <c r="M61" s="415">
        <v>1.9357</v>
      </c>
      <c r="N61" s="25">
        <f t="shared" si="54"/>
        <v>-6.8602937093961407E-3</v>
      </c>
      <c r="O61" s="25">
        <f t="shared" si="55"/>
        <v>1.0860570955730196E-3</v>
      </c>
      <c r="P61" s="415">
        <v>100280477730.44</v>
      </c>
      <c r="Q61" s="415">
        <v>1.9380999999999999</v>
      </c>
      <c r="R61" s="25">
        <f t="shared" si="56"/>
        <v>7.8734828579114999E-3</v>
      </c>
      <c r="S61" s="25">
        <f t="shared" si="57"/>
        <v>1.2398615487936961E-3</v>
      </c>
      <c r="T61" s="415">
        <v>100328823267.73</v>
      </c>
      <c r="U61" s="415">
        <v>1.9402999999999999</v>
      </c>
      <c r="V61" s="25">
        <f t="shared" si="58"/>
        <v>4.8210318083993396E-4</v>
      </c>
      <c r="W61" s="25">
        <f t="shared" si="59"/>
        <v>1.1351323461121614E-3</v>
      </c>
      <c r="X61" s="415">
        <v>100134917198.37</v>
      </c>
      <c r="Y61" s="415">
        <v>1.9427000000000001</v>
      </c>
      <c r="Z61" s="25">
        <f t="shared" si="60"/>
        <v>-1.9327055081923704E-3</v>
      </c>
      <c r="AA61" s="25">
        <f t="shared" si="61"/>
        <v>1.2369221254446116E-3</v>
      </c>
      <c r="AB61" s="415">
        <v>100204450229.63</v>
      </c>
      <c r="AC61" s="415">
        <v>1.9454</v>
      </c>
      <c r="AD61" s="25">
        <f t="shared" si="62"/>
        <v>6.9439345640305409E-4</v>
      </c>
      <c r="AE61" s="25">
        <f t="shared" si="63"/>
        <v>1.3898182941266921E-3</v>
      </c>
      <c r="AF61" s="415">
        <v>100371778930.53</v>
      </c>
      <c r="AG61" s="415">
        <v>1.9489000000000001</v>
      </c>
      <c r="AH61" s="25">
        <f t="shared" si="64"/>
        <v>1.6698729499192997E-3</v>
      </c>
      <c r="AI61" s="25">
        <f t="shared" si="65"/>
        <v>1.7991158630616113E-3</v>
      </c>
      <c r="AJ61" s="26">
        <f t="shared" si="16"/>
        <v>-2.9357304775685759E-4</v>
      </c>
      <c r="AK61" s="26">
        <f t="shared" si="17"/>
        <v>1.2772810798821143E-3</v>
      </c>
      <c r="AL61" s="27">
        <f t="shared" si="18"/>
        <v>2.3692622272655922E-3</v>
      </c>
      <c r="AM61" s="27">
        <f t="shared" si="19"/>
        <v>9.0085425834843819E-3</v>
      </c>
      <c r="AN61" s="28">
        <f t="shared" si="20"/>
        <v>4.4502997478997348E-3</v>
      </c>
      <c r="AO61" s="85">
        <f t="shared" si="21"/>
        <v>2.3360383791953178E-4</v>
      </c>
      <c r="AP61" s="32"/>
      <c r="AQ61" s="30">
        <v>609639394.97000003</v>
      </c>
      <c r="AR61" s="34">
        <v>1.1629</v>
      </c>
      <c r="AS61" s="31" t="e">
        <f>(#REF!/AQ61)-1</f>
        <v>#REF!</v>
      </c>
      <c r="AT61" s="31" t="e">
        <f>(#REF!/AR61)-1</f>
        <v>#REF!</v>
      </c>
    </row>
    <row r="62" spans="1:48">
      <c r="A62" s="229" t="s">
        <v>54</v>
      </c>
      <c r="B62" s="415">
        <v>9829659333.1299992</v>
      </c>
      <c r="C62" s="416">
        <v>1</v>
      </c>
      <c r="D62" s="415">
        <v>9818041160.6499996</v>
      </c>
      <c r="E62" s="416">
        <v>1</v>
      </c>
      <c r="F62" s="25">
        <f t="shared" si="50"/>
        <v>-1.1819506746120405E-3</v>
      </c>
      <c r="G62" s="25">
        <f t="shared" si="51"/>
        <v>0</v>
      </c>
      <c r="H62" s="415">
        <v>9824217018.8099995</v>
      </c>
      <c r="I62" s="416">
        <v>1</v>
      </c>
      <c r="J62" s="25">
        <f t="shared" si="52"/>
        <v>6.2903160202182091E-4</v>
      </c>
      <c r="K62" s="25">
        <f t="shared" si="53"/>
        <v>0</v>
      </c>
      <c r="L62" s="415">
        <v>9675743498.0599995</v>
      </c>
      <c r="M62" s="416">
        <v>1</v>
      </c>
      <c r="N62" s="25">
        <f t="shared" si="54"/>
        <v>-1.5113013125190967E-2</v>
      </c>
      <c r="O62" s="25">
        <f t="shared" si="55"/>
        <v>0</v>
      </c>
      <c r="P62" s="415">
        <v>9691980748.7800007</v>
      </c>
      <c r="Q62" s="416">
        <v>1</v>
      </c>
      <c r="R62" s="25">
        <f t="shared" si="56"/>
        <v>1.678139847677526E-3</v>
      </c>
      <c r="S62" s="25">
        <f t="shared" si="57"/>
        <v>0</v>
      </c>
      <c r="T62" s="415">
        <v>9700294697.0200005</v>
      </c>
      <c r="U62" s="416">
        <v>1</v>
      </c>
      <c r="V62" s="25">
        <f t="shared" si="58"/>
        <v>8.5781724659805044E-4</v>
      </c>
      <c r="W62" s="25">
        <f t="shared" si="59"/>
        <v>0</v>
      </c>
      <c r="X62" s="415">
        <v>9720041380.7900009</v>
      </c>
      <c r="Y62" s="416">
        <v>1</v>
      </c>
      <c r="Z62" s="25">
        <f t="shared" si="60"/>
        <v>2.0356787486123262E-3</v>
      </c>
      <c r="AA62" s="25">
        <f t="shared" si="61"/>
        <v>0</v>
      </c>
      <c r="AB62" s="415">
        <v>9662204479.1299992</v>
      </c>
      <c r="AC62" s="416">
        <v>1</v>
      </c>
      <c r="AD62" s="25">
        <f t="shared" si="62"/>
        <v>-5.950273192695095E-3</v>
      </c>
      <c r="AE62" s="25">
        <f t="shared" si="63"/>
        <v>0</v>
      </c>
      <c r="AF62" s="415">
        <v>9660295986.3099995</v>
      </c>
      <c r="AG62" s="416">
        <v>1</v>
      </c>
      <c r="AH62" s="25">
        <f t="shared" si="64"/>
        <v>-1.9752146874162807E-4</v>
      </c>
      <c r="AI62" s="25">
        <f t="shared" si="65"/>
        <v>0</v>
      </c>
      <c r="AJ62" s="26">
        <f t="shared" si="16"/>
        <v>-2.155261377041251E-3</v>
      </c>
      <c r="AK62" s="26">
        <f t="shared" si="17"/>
        <v>0</v>
      </c>
      <c r="AL62" s="27">
        <f t="shared" si="18"/>
        <v>-1.606686830487444E-2</v>
      </c>
      <c r="AM62" s="27">
        <f t="shared" si="19"/>
        <v>0</v>
      </c>
      <c r="AN62" s="28">
        <f t="shared" si="20"/>
        <v>5.8085577087557657E-3</v>
      </c>
      <c r="AO62" s="85">
        <f t="shared" si="21"/>
        <v>0</v>
      </c>
      <c r="AP62" s="32"/>
      <c r="AQ62" s="30">
        <v>4056683843.0900002</v>
      </c>
      <c r="AR62" s="37">
        <v>1</v>
      </c>
      <c r="AS62" s="31" t="e">
        <f>(#REF!/AQ62)-1</f>
        <v>#REF!</v>
      </c>
      <c r="AT62" s="31" t="e">
        <f>(#REF!/AR62)-1</f>
        <v>#REF!</v>
      </c>
    </row>
    <row r="63" spans="1:48" ht="15" customHeight="1">
      <c r="A63" s="229" t="s">
        <v>24</v>
      </c>
      <c r="B63" s="415">
        <v>3628044569.6900001</v>
      </c>
      <c r="C63" s="416">
        <v>23.2409</v>
      </c>
      <c r="D63" s="415">
        <v>3631488319.1900001</v>
      </c>
      <c r="E63" s="416">
        <v>23.277000000000001</v>
      </c>
      <c r="F63" s="25">
        <f t="shared" si="50"/>
        <v>9.4920264452381096E-4</v>
      </c>
      <c r="G63" s="25">
        <f t="shared" si="51"/>
        <v>1.5532961288074528E-3</v>
      </c>
      <c r="H63" s="415">
        <v>3631488319.1900001</v>
      </c>
      <c r="I63" s="416">
        <v>23.330200000000001</v>
      </c>
      <c r="J63" s="25">
        <f t="shared" si="52"/>
        <v>0</v>
      </c>
      <c r="K63" s="25">
        <f t="shared" si="53"/>
        <v>2.2855178931993109E-3</v>
      </c>
      <c r="L63" s="415">
        <v>3595890529.1900001</v>
      </c>
      <c r="M63" s="416">
        <v>23.356300000000001</v>
      </c>
      <c r="N63" s="25">
        <f t="shared" si="54"/>
        <v>-9.8025346279896758E-3</v>
      </c>
      <c r="O63" s="25">
        <f t="shared" si="55"/>
        <v>1.1187216569081948E-3</v>
      </c>
      <c r="P63" s="415">
        <v>3596661152.0300002</v>
      </c>
      <c r="Q63" s="416">
        <v>23.387</v>
      </c>
      <c r="R63" s="25">
        <f t="shared" si="56"/>
        <v>2.1430653512517826E-4</v>
      </c>
      <c r="S63" s="25">
        <f t="shared" si="57"/>
        <v>1.3144205203734969E-3</v>
      </c>
      <c r="T63" s="415">
        <v>3602126107.0999999</v>
      </c>
      <c r="U63" s="416">
        <v>23.422000000000001</v>
      </c>
      <c r="V63" s="25">
        <f t="shared" si="58"/>
        <v>1.5194523028434876E-3</v>
      </c>
      <c r="W63" s="25">
        <f t="shared" si="59"/>
        <v>1.4965579167913858E-3</v>
      </c>
      <c r="X63" s="415">
        <v>3604454841.6599998</v>
      </c>
      <c r="Y63" s="416">
        <v>23.509</v>
      </c>
      <c r="Z63" s="25">
        <f t="shared" si="60"/>
        <v>6.4648890426403222E-4</v>
      </c>
      <c r="AA63" s="25">
        <f t="shared" si="61"/>
        <v>3.714456493894618E-3</v>
      </c>
      <c r="AB63" s="415">
        <v>3609400726.27</v>
      </c>
      <c r="AC63" s="416">
        <v>23.8018</v>
      </c>
      <c r="AD63" s="25">
        <f t="shared" si="62"/>
        <v>1.3721588498865338E-3</v>
      </c>
      <c r="AE63" s="25">
        <f t="shared" si="63"/>
        <v>1.2454804542940989E-2</v>
      </c>
      <c r="AF63" s="415">
        <v>3459149646.1300001</v>
      </c>
      <c r="AG63" s="416">
        <v>23.517099999999999</v>
      </c>
      <c r="AH63" s="25">
        <f t="shared" si="64"/>
        <v>-4.1627708180596287E-2</v>
      </c>
      <c r="AI63" s="25">
        <f t="shared" si="65"/>
        <v>-1.1961280239309667E-2</v>
      </c>
      <c r="AJ63" s="26">
        <f t="shared" si="16"/>
        <v>-5.8410791964928653E-3</v>
      </c>
      <c r="AK63" s="26">
        <f t="shared" si="17"/>
        <v>1.4970618642007228E-3</v>
      </c>
      <c r="AL63" s="27">
        <f t="shared" si="18"/>
        <v>-4.7456760950959062E-2</v>
      </c>
      <c r="AM63" s="27">
        <f t="shared" si="19"/>
        <v>1.0314903123254638E-2</v>
      </c>
      <c r="AN63" s="28">
        <f t="shared" si="20"/>
        <v>1.4935894158172161E-2</v>
      </c>
      <c r="AO63" s="85">
        <f t="shared" si="21"/>
        <v>6.621580091547786E-3</v>
      </c>
      <c r="AP63" s="32"/>
      <c r="AQ63" s="30">
        <v>739078842.02999997</v>
      </c>
      <c r="AR63" s="34">
        <v>16.871500000000001</v>
      </c>
      <c r="AS63" s="31" t="e">
        <f>(#REF!/AQ63)-1</f>
        <v>#REF!</v>
      </c>
      <c r="AT63" s="31" t="e">
        <f>(#REF!/AR63)-1</f>
        <v>#REF!</v>
      </c>
    </row>
    <row r="64" spans="1:48">
      <c r="A64" s="229" t="s">
        <v>114</v>
      </c>
      <c r="B64" s="415">
        <v>412043854.49000001</v>
      </c>
      <c r="C64" s="416">
        <v>2.0874999999999999</v>
      </c>
      <c r="D64" s="415">
        <v>412654755.31999999</v>
      </c>
      <c r="E64" s="416">
        <v>2.0924999999999998</v>
      </c>
      <c r="F64" s="25">
        <f t="shared" si="50"/>
        <v>1.4826111913648489E-3</v>
      </c>
      <c r="G64" s="25">
        <f t="shared" si="51"/>
        <v>2.3952095808382726E-3</v>
      </c>
      <c r="H64" s="415">
        <v>414513062.16000003</v>
      </c>
      <c r="I64" s="416">
        <v>2.1019000000000001</v>
      </c>
      <c r="J64" s="25">
        <f t="shared" si="52"/>
        <v>4.5032968020905957E-3</v>
      </c>
      <c r="K64" s="25">
        <f t="shared" si="53"/>
        <v>4.4922341696536664E-3</v>
      </c>
      <c r="L64" s="415">
        <v>411138149.30000001</v>
      </c>
      <c r="M64" s="416">
        <v>2.0928</v>
      </c>
      <c r="N64" s="25">
        <f t="shared" si="54"/>
        <v>-8.141873364408754E-3</v>
      </c>
      <c r="O64" s="25">
        <f t="shared" si="55"/>
        <v>-4.3294162424473608E-3</v>
      </c>
      <c r="P64" s="415">
        <v>402997271.79000002</v>
      </c>
      <c r="Q64" s="416">
        <v>2.0512999999999999</v>
      </c>
      <c r="R64" s="25">
        <f t="shared" si="56"/>
        <v>-1.9800832211412569E-2</v>
      </c>
      <c r="S64" s="25">
        <f t="shared" si="57"/>
        <v>-1.9829892966360899E-2</v>
      </c>
      <c r="T64" s="415">
        <v>403322282.45999998</v>
      </c>
      <c r="U64" s="416">
        <v>2.0499000000000001</v>
      </c>
      <c r="V64" s="25">
        <f t="shared" si="58"/>
        <v>8.0648354902342523E-4</v>
      </c>
      <c r="W64" s="25">
        <f t="shared" si="59"/>
        <v>-6.8249402817717832E-4</v>
      </c>
      <c r="X64" s="415">
        <v>408285330.36000001</v>
      </c>
      <c r="Y64" s="416">
        <v>2.0647000000000002</v>
      </c>
      <c r="Z64" s="25">
        <f t="shared" si="60"/>
        <v>1.2305414592342174E-2</v>
      </c>
      <c r="AA64" s="25">
        <f t="shared" si="61"/>
        <v>7.2198643836285407E-3</v>
      </c>
      <c r="AB64" s="415">
        <v>411064777.54000002</v>
      </c>
      <c r="AC64" s="416">
        <v>2.0787</v>
      </c>
      <c r="AD64" s="25">
        <f t="shared" si="62"/>
        <v>6.8076097114468147E-3</v>
      </c>
      <c r="AE64" s="25">
        <f t="shared" si="63"/>
        <v>6.7806460987067316E-3</v>
      </c>
      <c r="AF64" s="415">
        <v>411826531.14999998</v>
      </c>
      <c r="AG64" s="416">
        <v>2.0825999999999998</v>
      </c>
      <c r="AH64" s="25">
        <f t="shared" si="64"/>
        <v>1.8531230395331785E-3</v>
      </c>
      <c r="AI64" s="25">
        <f t="shared" si="65"/>
        <v>1.8761726078798252E-3</v>
      </c>
      <c r="AJ64" s="26">
        <f t="shared" si="16"/>
        <v>-2.3020836252535785E-5</v>
      </c>
      <c r="AK64" s="26">
        <f t="shared" si="17"/>
        <v>-2.5970954953479994E-4</v>
      </c>
      <c r="AL64" s="27">
        <f t="shared" si="18"/>
        <v>-2.0070631910148631E-3</v>
      </c>
      <c r="AM64" s="27">
        <f t="shared" si="19"/>
        <v>-4.7311827956989343E-3</v>
      </c>
      <c r="AN64" s="28">
        <f t="shared" si="20"/>
        <v>9.8755679438497865E-3</v>
      </c>
      <c r="AO64" s="85">
        <f t="shared" si="21"/>
        <v>8.7785088988867263E-3</v>
      </c>
      <c r="AP64" s="32"/>
      <c r="AQ64" s="38">
        <v>0</v>
      </c>
      <c r="AR64" s="39">
        <v>0</v>
      </c>
      <c r="AS64" s="31" t="e">
        <f>(#REF!/AQ64)-1</f>
        <v>#REF!</v>
      </c>
      <c r="AT64" s="31" t="e">
        <f>(#REF!/AR64)-1</f>
        <v>#REF!</v>
      </c>
    </row>
    <row r="65" spans="1:46">
      <c r="A65" s="229" t="s">
        <v>69</v>
      </c>
      <c r="B65" s="415">
        <v>16772034727.309999</v>
      </c>
      <c r="C65" s="416">
        <v>328.28</v>
      </c>
      <c r="D65" s="415">
        <v>16647382455.52</v>
      </c>
      <c r="E65" s="416">
        <v>328.55</v>
      </c>
      <c r="F65" s="25">
        <f t="shared" si="50"/>
        <v>-7.4321496357878988E-3</v>
      </c>
      <c r="G65" s="25">
        <f t="shared" si="51"/>
        <v>8.2246862434518907E-4</v>
      </c>
      <c r="H65" s="415">
        <v>16516166342.51</v>
      </c>
      <c r="I65" s="416">
        <v>329.04</v>
      </c>
      <c r="J65" s="25">
        <f t="shared" si="52"/>
        <v>-7.88208677013311E-3</v>
      </c>
      <c r="K65" s="25">
        <f t="shared" si="53"/>
        <v>1.4914016131487113E-3</v>
      </c>
      <c r="L65" s="415">
        <v>16258891491.629999</v>
      </c>
      <c r="M65" s="416">
        <v>329.73</v>
      </c>
      <c r="N65" s="25">
        <f t="shared" si="54"/>
        <v>-1.5577153047787869E-2</v>
      </c>
      <c r="O65" s="25">
        <f t="shared" si="55"/>
        <v>2.0970094821298252E-3</v>
      </c>
      <c r="P65" s="415">
        <v>15660309374.809999</v>
      </c>
      <c r="Q65" s="416">
        <v>330.65</v>
      </c>
      <c r="R65" s="25">
        <f t="shared" si="56"/>
        <v>-3.6815678186187965E-2</v>
      </c>
      <c r="S65" s="25">
        <f t="shared" si="57"/>
        <v>2.7901616474083615E-3</v>
      </c>
      <c r="T65" s="415">
        <v>15591446263.450001</v>
      </c>
      <c r="U65" s="416">
        <v>331.09</v>
      </c>
      <c r="V65" s="25">
        <f t="shared" si="58"/>
        <v>-4.3973021037992232E-3</v>
      </c>
      <c r="W65" s="25">
        <f t="shared" si="59"/>
        <v>1.3307122334795033E-3</v>
      </c>
      <c r="X65" s="415">
        <v>15580422361.629999</v>
      </c>
      <c r="Y65" s="416">
        <v>331.36</v>
      </c>
      <c r="Z65" s="25">
        <f t="shared" si="60"/>
        <v>-7.0704805915562869E-4</v>
      </c>
      <c r="AA65" s="25">
        <f t="shared" si="61"/>
        <v>8.1548823582723335E-4</v>
      </c>
      <c r="AB65" s="415">
        <v>15539477236.98</v>
      </c>
      <c r="AC65" s="416">
        <v>331.69</v>
      </c>
      <c r="AD65" s="25">
        <f t="shared" si="62"/>
        <v>-2.627985538494478E-3</v>
      </c>
      <c r="AE65" s="25">
        <f t="shared" si="63"/>
        <v>9.9589570255910215E-4</v>
      </c>
      <c r="AF65" s="415">
        <v>15434207148.58</v>
      </c>
      <c r="AG65" s="416">
        <v>332.02</v>
      </c>
      <c r="AH65" s="25">
        <f t="shared" si="64"/>
        <v>-6.7743648511858308E-3</v>
      </c>
      <c r="AI65" s="25">
        <f t="shared" si="65"/>
        <v>9.9490488106359579E-4</v>
      </c>
      <c r="AJ65" s="26">
        <f t="shared" si="16"/>
        <v>-1.0276721024066501E-2</v>
      </c>
      <c r="AK65" s="26">
        <f t="shared" si="17"/>
        <v>1.41725530249519E-3</v>
      </c>
      <c r="AL65" s="27">
        <f t="shared" si="18"/>
        <v>-7.2874838442708534E-2</v>
      </c>
      <c r="AM65" s="27">
        <f t="shared" si="19"/>
        <v>1.0561558362501812E-2</v>
      </c>
      <c r="AN65" s="28">
        <f t="shared" si="20"/>
        <v>1.1607587095574542E-2</v>
      </c>
      <c r="AO65" s="85">
        <f t="shared" si="21"/>
        <v>7.0017788972154347E-4</v>
      </c>
      <c r="AP65" s="32"/>
      <c r="AQ65" s="30">
        <v>3320655667.8400002</v>
      </c>
      <c r="AR65" s="34">
        <v>177.09</v>
      </c>
      <c r="AS65" s="31" t="e">
        <f>(#REF!/AQ65)-1</f>
        <v>#REF!</v>
      </c>
      <c r="AT65" s="31" t="e">
        <f>(#REF!/AR65)-1</f>
        <v>#REF!</v>
      </c>
    </row>
    <row r="66" spans="1:46">
      <c r="A66" s="229" t="s">
        <v>40</v>
      </c>
      <c r="B66" s="415">
        <v>6719540892.3100004</v>
      </c>
      <c r="C66" s="416">
        <v>1.08</v>
      </c>
      <c r="D66" s="415">
        <v>6744556534.2200003</v>
      </c>
      <c r="E66" s="416">
        <v>1.08</v>
      </c>
      <c r="F66" s="25">
        <f t="shared" si="50"/>
        <v>3.7228201019846954E-3</v>
      </c>
      <c r="G66" s="25">
        <f t="shared" si="51"/>
        <v>0</v>
      </c>
      <c r="H66" s="415">
        <v>6695170174.9200001</v>
      </c>
      <c r="I66" s="416">
        <v>1.08</v>
      </c>
      <c r="J66" s="25">
        <f t="shared" si="52"/>
        <v>-7.3224027479683162E-3</v>
      </c>
      <c r="K66" s="25">
        <f t="shared" si="53"/>
        <v>0</v>
      </c>
      <c r="L66" s="415">
        <v>6677179017.5900002</v>
      </c>
      <c r="M66" s="416">
        <v>1.08</v>
      </c>
      <c r="N66" s="25">
        <f t="shared" si="54"/>
        <v>-2.6871844717845277E-3</v>
      </c>
      <c r="O66" s="25">
        <f t="shared" si="55"/>
        <v>0</v>
      </c>
      <c r="P66" s="415">
        <v>6851656549.5699997</v>
      </c>
      <c r="Q66" s="416">
        <v>1.0900000000000001</v>
      </c>
      <c r="R66" s="25">
        <f t="shared" si="56"/>
        <v>2.6130425965870518E-2</v>
      </c>
      <c r="S66" s="25">
        <f t="shared" si="57"/>
        <v>9.2592592592592674E-3</v>
      </c>
      <c r="T66" s="415">
        <v>6784280958.21</v>
      </c>
      <c r="U66" s="416">
        <v>1.0900000000000001</v>
      </c>
      <c r="V66" s="25">
        <f t="shared" si="58"/>
        <v>-9.8334747038988767E-3</v>
      </c>
      <c r="W66" s="25">
        <f t="shared" si="59"/>
        <v>0</v>
      </c>
      <c r="X66" s="415">
        <v>6918378178.9799995</v>
      </c>
      <c r="Y66" s="416">
        <v>1.0900000000000001</v>
      </c>
      <c r="Z66" s="25">
        <f t="shared" si="60"/>
        <v>1.9765870782182407E-2</v>
      </c>
      <c r="AA66" s="25">
        <f t="shared" si="61"/>
        <v>0</v>
      </c>
      <c r="AB66" s="415">
        <v>6930044655.1499996</v>
      </c>
      <c r="AC66" s="416">
        <v>1.0900000000000001</v>
      </c>
      <c r="AD66" s="25">
        <f t="shared" si="62"/>
        <v>1.6863021749007807E-3</v>
      </c>
      <c r="AE66" s="25">
        <f t="shared" si="63"/>
        <v>0</v>
      </c>
      <c r="AF66" s="415">
        <v>6559050836.9499998</v>
      </c>
      <c r="AG66" s="416">
        <v>1.1000000000000001</v>
      </c>
      <c r="AH66" s="25">
        <f t="shared" si="64"/>
        <v>-5.3534116540547703E-2</v>
      </c>
      <c r="AI66" s="25">
        <f t="shared" si="65"/>
        <v>9.174311926605512E-3</v>
      </c>
      <c r="AJ66" s="26">
        <f t="shared" si="16"/>
        <v>-2.7589699299076275E-3</v>
      </c>
      <c r="AK66" s="26">
        <f t="shared" si="17"/>
        <v>2.3041963982330972E-3</v>
      </c>
      <c r="AL66" s="27">
        <f t="shared" si="18"/>
        <v>-2.750450623829695E-2</v>
      </c>
      <c r="AM66" s="27">
        <f t="shared" si="19"/>
        <v>1.8518518518518535E-2</v>
      </c>
      <c r="AN66" s="28">
        <f t="shared" si="20"/>
        <v>2.4061628889753463E-2</v>
      </c>
      <c r="AO66" s="85">
        <f t="shared" si="21"/>
        <v>4.2666030821417707E-3</v>
      </c>
      <c r="AP66" s="32"/>
      <c r="AQ66" s="48">
        <v>1300500308</v>
      </c>
      <c r="AR66" s="34">
        <v>1.19</v>
      </c>
      <c r="AS66" s="31" t="e">
        <f>(#REF!/AQ66)-1</f>
        <v>#REF!</v>
      </c>
      <c r="AT66" s="31" t="e">
        <f>(#REF!/AR66)-1</f>
        <v>#REF!</v>
      </c>
    </row>
    <row r="67" spans="1:46">
      <c r="A67" s="229" t="s">
        <v>121</v>
      </c>
      <c r="B67" s="415">
        <v>1811077384.53</v>
      </c>
      <c r="C67" s="416">
        <v>3.59</v>
      </c>
      <c r="D67" s="415">
        <v>1804261682.95</v>
      </c>
      <c r="E67" s="416">
        <v>3.59</v>
      </c>
      <c r="F67" s="25">
        <f t="shared" si="50"/>
        <v>-3.7633408921224501E-3</v>
      </c>
      <c r="G67" s="25">
        <f t="shared" si="51"/>
        <v>0</v>
      </c>
      <c r="H67" s="415">
        <v>1751174998.0899999</v>
      </c>
      <c r="I67" s="416">
        <v>3.58</v>
      </c>
      <c r="J67" s="25">
        <f t="shared" si="52"/>
        <v>-2.9422940896911616E-2</v>
      </c>
      <c r="K67" s="25">
        <f t="shared" si="53"/>
        <v>-2.7855153203342024E-3</v>
      </c>
      <c r="L67" s="415">
        <v>1743471695.3299999</v>
      </c>
      <c r="M67" s="416">
        <v>3.58</v>
      </c>
      <c r="N67" s="25">
        <f t="shared" si="54"/>
        <v>-4.3989337264419342E-3</v>
      </c>
      <c r="O67" s="25">
        <f t="shared" si="55"/>
        <v>0</v>
      </c>
      <c r="P67" s="415">
        <v>1745150926.0799999</v>
      </c>
      <c r="Q67" s="416">
        <v>3.58</v>
      </c>
      <c r="R67" s="25">
        <f t="shared" si="56"/>
        <v>9.6315343374826594E-4</v>
      </c>
      <c r="S67" s="25">
        <f t="shared" si="57"/>
        <v>0</v>
      </c>
      <c r="T67" s="415">
        <v>1734947281.3099999</v>
      </c>
      <c r="U67" s="416">
        <v>3.56</v>
      </c>
      <c r="V67" s="25">
        <f t="shared" si="58"/>
        <v>-5.8468552017559043E-3</v>
      </c>
      <c r="W67" s="25">
        <f t="shared" si="59"/>
        <v>-5.5865921787709542E-3</v>
      </c>
      <c r="X67" s="415">
        <v>1664237720.0699999</v>
      </c>
      <c r="Y67" s="416">
        <v>3.56</v>
      </c>
      <c r="Z67" s="25">
        <f t="shared" si="60"/>
        <v>-4.0756028728786281E-2</v>
      </c>
      <c r="AA67" s="25">
        <f t="shared" si="61"/>
        <v>0</v>
      </c>
      <c r="AB67" s="415">
        <v>1665794587.76</v>
      </c>
      <c r="AC67" s="416">
        <v>3.57</v>
      </c>
      <c r="AD67" s="25">
        <f t="shared" si="62"/>
        <v>9.3548395834615111E-4</v>
      </c>
      <c r="AE67" s="25">
        <f t="shared" si="63"/>
        <v>2.8089887640448839E-3</v>
      </c>
      <c r="AF67" s="415">
        <v>1666467123.74</v>
      </c>
      <c r="AG67" s="416">
        <v>3.57</v>
      </c>
      <c r="AH67" s="25">
        <f t="shared" si="64"/>
        <v>4.0373284013629833E-4</v>
      </c>
      <c r="AI67" s="25">
        <f t="shared" si="65"/>
        <v>0</v>
      </c>
      <c r="AJ67" s="26">
        <f t="shared" si="16"/>
        <v>-1.0235716151723433E-2</v>
      </c>
      <c r="AK67" s="26">
        <f t="shared" si="17"/>
        <v>-6.953898418825341E-4</v>
      </c>
      <c r="AL67" s="27">
        <f t="shared" si="18"/>
        <v>-7.6371715096616957E-2</v>
      </c>
      <c r="AM67" s="27">
        <f t="shared" si="19"/>
        <v>-5.5710306406685289E-3</v>
      </c>
      <c r="AN67" s="28">
        <f t="shared" si="20"/>
        <v>1.5848700311676345E-2</v>
      </c>
      <c r="AO67" s="85">
        <f t="shared" si="21"/>
        <v>2.4782191010800027E-3</v>
      </c>
      <c r="AP67" s="32"/>
      <c r="AQ67" s="33">
        <v>776682398.99000001</v>
      </c>
      <c r="AR67" s="37">
        <v>2.4700000000000002</v>
      </c>
      <c r="AS67" s="31" t="e">
        <f>(#REF!/AQ67)-1</f>
        <v>#REF!</v>
      </c>
      <c r="AT67" s="31" t="e">
        <f>(#REF!/AR67)-1</f>
        <v>#REF!</v>
      </c>
    </row>
    <row r="68" spans="1:46">
      <c r="A68" s="230" t="s">
        <v>74</v>
      </c>
      <c r="B68" s="415">
        <v>52780536726.839996</v>
      </c>
      <c r="C68" s="415">
        <v>4538.5200000000004</v>
      </c>
      <c r="D68" s="415">
        <v>50694153489.769997</v>
      </c>
      <c r="E68" s="415">
        <v>4541.41</v>
      </c>
      <c r="F68" s="25">
        <f t="shared" si="50"/>
        <v>-3.9529405467546727E-2</v>
      </c>
      <c r="G68" s="25">
        <f t="shared" si="51"/>
        <v>6.3677145853701593E-4</v>
      </c>
      <c r="H68" s="415">
        <v>47117423230.959999</v>
      </c>
      <c r="I68" s="415">
        <v>4544.07</v>
      </c>
      <c r="J68" s="25">
        <f t="shared" si="52"/>
        <v>-7.0555084020325468E-2</v>
      </c>
      <c r="K68" s="25">
        <f t="shared" si="53"/>
        <v>5.8572117470121713E-4</v>
      </c>
      <c r="L68" s="415">
        <v>45921968186.169998</v>
      </c>
      <c r="M68" s="415">
        <v>4547.3500000000004</v>
      </c>
      <c r="N68" s="25">
        <f t="shared" si="54"/>
        <v>-2.5371825596873669E-2</v>
      </c>
      <c r="O68" s="25">
        <f t="shared" si="55"/>
        <v>7.2181986633142864E-4</v>
      </c>
      <c r="P68" s="415">
        <v>40895149398.800003</v>
      </c>
      <c r="Q68" s="415">
        <v>4551.1000000000004</v>
      </c>
      <c r="R68" s="25">
        <f t="shared" si="56"/>
        <v>-0.10946435847416243</v>
      </c>
      <c r="S68" s="25">
        <f t="shared" si="57"/>
        <v>8.2465611839862771E-4</v>
      </c>
      <c r="T68" s="415">
        <v>40337936573.989998</v>
      </c>
      <c r="U68" s="415">
        <v>4552.6899999999996</v>
      </c>
      <c r="V68" s="25">
        <f t="shared" si="58"/>
        <v>-1.3625401374040599E-2</v>
      </c>
      <c r="W68" s="25">
        <f t="shared" si="59"/>
        <v>3.4936608731938121E-4</v>
      </c>
      <c r="X68" s="415">
        <v>39372245550.720001</v>
      </c>
      <c r="Y68" s="415">
        <v>4554.87</v>
      </c>
      <c r="Z68" s="25">
        <f t="shared" si="60"/>
        <v>-2.3940020370121676E-2</v>
      </c>
      <c r="AA68" s="25">
        <f t="shared" si="61"/>
        <v>4.7883778601228973E-4</v>
      </c>
      <c r="AB68" s="415">
        <v>38757414936.410004</v>
      </c>
      <c r="AC68" s="415">
        <v>4560.3999999999996</v>
      </c>
      <c r="AD68" s="25">
        <f t="shared" si="62"/>
        <v>-1.5615838154772306E-2</v>
      </c>
      <c r="AE68" s="25">
        <f t="shared" si="63"/>
        <v>1.2140851440325948E-3</v>
      </c>
      <c r="AF68" s="415">
        <v>38213912030.050003</v>
      </c>
      <c r="AG68" s="415">
        <v>4562.5600000000004</v>
      </c>
      <c r="AH68" s="25">
        <f t="shared" si="64"/>
        <v>-1.4023198070659142E-2</v>
      </c>
      <c r="AI68" s="25">
        <f t="shared" si="65"/>
        <v>4.7364266292447245E-4</v>
      </c>
      <c r="AJ68" s="26">
        <f t="shared" si="16"/>
        <v>-3.9015641441062753E-2</v>
      </c>
      <c r="AK68" s="26">
        <f t="shared" si="17"/>
        <v>6.6061253728212838E-4</v>
      </c>
      <c r="AL68" s="27">
        <f t="shared" si="18"/>
        <v>-0.24618699791956261</v>
      </c>
      <c r="AM68" s="27">
        <f t="shared" si="19"/>
        <v>4.6571439266660675E-3</v>
      </c>
      <c r="AN68" s="28">
        <f t="shared" si="20"/>
        <v>3.420168645566421E-2</v>
      </c>
      <c r="AO68" s="85">
        <f t="shared" si="21"/>
        <v>2.6940140523918412E-4</v>
      </c>
      <c r="AP68" s="32"/>
      <c r="AQ68" s="30">
        <v>8144502990.9799995</v>
      </c>
      <c r="AR68" s="30">
        <v>2263.5700000000002</v>
      </c>
      <c r="AS68" s="31" t="e">
        <f>(#REF!/AQ68)-1</f>
        <v>#REF!</v>
      </c>
      <c r="AT68" s="31" t="e">
        <f>(#REF!/AR68)-1</f>
        <v>#REF!</v>
      </c>
    </row>
    <row r="69" spans="1:46">
      <c r="A69" s="230" t="s">
        <v>75</v>
      </c>
      <c r="B69" s="415">
        <v>232022732.18000001</v>
      </c>
      <c r="C69" s="415">
        <v>4124.49</v>
      </c>
      <c r="D69" s="415">
        <v>231845146.56999999</v>
      </c>
      <c r="E69" s="415">
        <v>4121.32</v>
      </c>
      <c r="F69" s="25">
        <f t="shared" si="50"/>
        <v>-7.6538022085804016E-4</v>
      </c>
      <c r="G69" s="25">
        <f t="shared" si="51"/>
        <v>-7.6857987290551634E-4</v>
      </c>
      <c r="H69" s="415">
        <v>231044068.49000001</v>
      </c>
      <c r="I69" s="415">
        <v>4106.9399999999996</v>
      </c>
      <c r="J69" s="25">
        <f t="shared" si="52"/>
        <v>-3.4552290261470595E-3</v>
      </c>
      <c r="K69" s="25">
        <f t="shared" si="53"/>
        <v>-3.4891733716382396E-3</v>
      </c>
      <c r="L69" s="415">
        <v>231730138.72</v>
      </c>
      <c r="M69" s="415">
        <v>4119.1400000000003</v>
      </c>
      <c r="N69" s="25">
        <f t="shared" si="54"/>
        <v>2.9694345086798174E-3</v>
      </c>
      <c r="O69" s="25">
        <f t="shared" si="55"/>
        <v>2.9705815035040027E-3</v>
      </c>
      <c r="P69" s="415">
        <v>232876063.88</v>
      </c>
      <c r="Q69" s="415">
        <v>4139.5600000000004</v>
      </c>
      <c r="R69" s="25">
        <f t="shared" si="56"/>
        <v>4.9450846848394635E-3</v>
      </c>
      <c r="S69" s="25">
        <f t="shared" si="57"/>
        <v>4.9573454653155926E-3</v>
      </c>
      <c r="T69" s="415">
        <v>233571408.72999999</v>
      </c>
      <c r="U69" s="415">
        <v>4151.7299999999996</v>
      </c>
      <c r="V69" s="25">
        <f t="shared" si="58"/>
        <v>2.9859009054631828E-3</v>
      </c>
      <c r="W69" s="25">
        <f t="shared" si="59"/>
        <v>2.9399259824713646E-3</v>
      </c>
      <c r="X69" s="415">
        <v>234685522.52000001</v>
      </c>
      <c r="Y69" s="415">
        <v>4171.57</v>
      </c>
      <c r="Z69" s="25">
        <f t="shared" si="60"/>
        <v>4.7699065397507458E-3</v>
      </c>
      <c r="AA69" s="25">
        <f t="shared" si="61"/>
        <v>4.7787307941509075E-3</v>
      </c>
      <c r="AB69" s="415">
        <v>235492171.16999999</v>
      </c>
      <c r="AC69" s="415">
        <v>4185.92</v>
      </c>
      <c r="AD69" s="25">
        <f t="shared" si="62"/>
        <v>3.43714704400325E-3</v>
      </c>
      <c r="AE69" s="25">
        <f t="shared" si="63"/>
        <v>3.4399518646457722E-3</v>
      </c>
      <c r="AF69" s="415">
        <v>237358787.83000001</v>
      </c>
      <c r="AG69" s="415">
        <v>4219.2</v>
      </c>
      <c r="AH69" s="25">
        <f t="shared" si="64"/>
        <v>7.9264488952056501E-3</v>
      </c>
      <c r="AI69" s="25">
        <f t="shared" si="65"/>
        <v>7.9504625028666929E-3</v>
      </c>
      <c r="AJ69" s="26">
        <f t="shared" si="16"/>
        <v>2.8516641663671261E-3</v>
      </c>
      <c r="AK69" s="26">
        <f t="shared" si="17"/>
        <v>2.8474056085513221E-3</v>
      </c>
      <c r="AL69" s="27">
        <f t="shared" si="18"/>
        <v>2.3781568609784594E-2</v>
      </c>
      <c r="AM69" s="27">
        <f t="shared" si="19"/>
        <v>2.374967243504511E-2</v>
      </c>
      <c r="AN69" s="28">
        <f t="shared" si="20"/>
        <v>3.5264327323566279E-3</v>
      </c>
      <c r="AO69" s="85">
        <f t="shared" si="21"/>
        <v>3.542103499312629E-3</v>
      </c>
      <c r="AP69" s="32"/>
      <c r="AQ69" s="30"/>
      <c r="AR69" s="30"/>
      <c r="AS69" s="31"/>
      <c r="AT69" s="31"/>
    </row>
    <row r="70" spans="1:46">
      <c r="A70" s="230" t="s">
        <v>98</v>
      </c>
      <c r="B70" s="415">
        <v>55018884.549999997</v>
      </c>
      <c r="C70" s="415">
        <v>11.6388</v>
      </c>
      <c r="D70" s="415">
        <v>55116120.990000002</v>
      </c>
      <c r="E70" s="415">
        <v>11.662599999999999</v>
      </c>
      <c r="F70" s="25">
        <f t="shared" si="50"/>
        <v>1.7673284508637876E-3</v>
      </c>
      <c r="G70" s="25">
        <f t="shared" si="51"/>
        <v>2.0448843523386945E-3</v>
      </c>
      <c r="H70" s="415">
        <v>55390805.850000001</v>
      </c>
      <c r="I70" s="415">
        <v>11.68</v>
      </c>
      <c r="J70" s="25">
        <f t="shared" si="52"/>
        <v>4.9837480407925816E-3</v>
      </c>
      <c r="K70" s="25">
        <f t="shared" si="53"/>
        <v>1.4919486220911552E-3</v>
      </c>
      <c r="L70" s="415">
        <v>55423449.799999997</v>
      </c>
      <c r="M70" s="415">
        <v>11.7029</v>
      </c>
      <c r="N70" s="25">
        <f t="shared" si="54"/>
        <v>5.8933878103157309E-4</v>
      </c>
      <c r="O70" s="25">
        <f t="shared" si="55"/>
        <v>1.9606164383561575E-3</v>
      </c>
      <c r="P70" s="415">
        <v>49130227.119999997</v>
      </c>
      <c r="Q70" s="415">
        <v>10.429</v>
      </c>
      <c r="R70" s="25">
        <f t="shared" si="56"/>
        <v>-0.11354801447238674</v>
      </c>
      <c r="S70" s="25">
        <f t="shared" si="57"/>
        <v>-0.10885336113271064</v>
      </c>
      <c r="T70" s="415">
        <v>54629187.490000002</v>
      </c>
      <c r="U70" s="415">
        <v>11.589525999999999</v>
      </c>
      <c r="V70" s="25">
        <f t="shared" si="58"/>
        <v>0.11192621512961581</v>
      </c>
      <c r="W70" s="25">
        <f t="shared" si="59"/>
        <v>0.11127874196950802</v>
      </c>
      <c r="X70" s="415">
        <v>54377379.450000003</v>
      </c>
      <c r="Y70" s="415">
        <v>11.610673</v>
      </c>
      <c r="Z70" s="25">
        <f t="shared" si="60"/>
        <v>-4.6094048176369661E-3</v>
      </c>
      <c r="AA70" s="25">
        <f t="shared" si="61"/>
        <v>1.8246647878438615E-3</v>
      </c>
      <c r="AB70" s="415">
        <v>54471334.799999997</v>
      </c>
      <c r="AC70" s="415">
        <v>11.765102000000001</v>
      </c>
      <c r="AD70" s="25">
        <f t="shared" si="62"/>
        <v>1.7278388725294491E-3</v>
      </c>
      <c r="AE70" s="25">
        <f t="shared" si="63"/>
        <v>1.3300607122429541E-2</v>
      </c>
      <c r="AF70" s="415">
        <v>54471334.799999997</v>
      </c>
      <c r="AG70" s="415">
        <v>11.765102000000001</v>
      </c>
      <c r="AH70" s="25">
        <f t="shared" si="64"/>
        <v>0</v>
      </c>
      <c r="AI70" s="25">
        <f t="shared" si="65"/>
        <v>0</v>
      </c>
      <c r="AJ70" s="26">
        <f t="shared" ref="AJ70:AJ133" si="66">AVERAGE(F70,J70,N70,R70,V70,Z70,AD70,AH70)</f>
        <v>3.5463124810118722E-4</v>
      </c>
      <c r="AK70" s="26">
        <f t="shared" ref="AK70:AK133" si="67">AVERAGE(G70,K70,O70,S70,W70,AA70,AE70,AI70)</f>
        <v>2.8810127699820968E-3</v>
      </c>
      <c r="AL70" s="27">
        <f t="shared" ref="AL70:AL133" si="68">((AF70-D70)/D70)</f>
        <v>-1.1698685945569208E-2</v>
      </c>
      <c r="AM70" s="27">
        <f t="shared" ref="AM70:AM133" si="69">((AG70-E70)/E70)</f>
        <v>8.7889492908957874E-3</v>
      </c>
      <c r="AN70" s="28">
        <f t="shared" ref="AN70:AN133" si="70">STDEV(F70,J70,N70,R70,V70,Z70,AD70,AH70)</f>
        <v>6.0323134240064386E-2</v>
      </c>
      <c r="AO70" s="85">
        <f t="shared" ref="AO70:AO133" si="71">STDEV(G70,K70,O70,S70,W70,AA70,AE70,AI70)</f>
        <v>5.8986799732161914E-2</v>
      </c>
      <c r="AP70" s="32"/>
      <c r="AQ70" s="30">
        <v>421796041.39999998</v>
      </c>
      <c r="AR70" s="30">
        <v>2004.5</v>
      </c>
      <c r="AS70" s="31" t="e">
        <f>(#REF!/AQ70)-1</f>
        <v>#REF!</v>
      </c>
      <c r="AT70" s="31" t="e">
        <f>(#REF!/AR70)-1</f>
        <v>#REF!</v>
      </c>
    </row>
    <row r="71" spans="1:46">
      <c r="A71" s="229" t="s">
        <v>92</v>
      </c>
      <c r="B71" s="415">
        <v>15572693467.34</v>
      </c>
      <c r="C71" s="415">
        <v>1162.06</v>
      </c>
      <c r="D71" s="415">
        <v>15625016527.67</v>
      </c>
      <c r="E71" s="415">
        <v>1163.95</v>
      </c>
      <c r="F71" s="25">
        <f t="shared" si="50"/>
        <v>3.3599236021523847E-3</v>
      </c>
      <c r="G71" s="25">
        <f t="shared" si="51"/>
        <v>1.6264220436122921E-3</v>
      </c>
      <c r="H71" s="415">
        <v>15639385650.93</v>
      </c>
      <c r="I71" s="415">
        <v>1166.24</v>
      </c>
      <c r="J71" s="25">
        <f t="shared" si="52"/>
        <v>9.196229158896736E-4</v>
      </c>
      <c r="K71" s="25">
        <f t="shared" si="53"/>
        <v>1.9674384638515086E-3</v>
      </c>
      <c r="L71" s="415">
        <v>15696734331.639999</v>
      </c>
      <c r="M71" s="415">
        <v>1167.9100000000001</v>
      </c>
      <c r="N71" s="25">
        <f t="shared" si="54"/>
        <v>3.6669394815127426E-3</v>
      </c>
      <c r="O71" s="25">
        <f t="shared" si="55"/>
        <v>1.4319522568254155E-3</v>
      </c>
      <c r="P71" s="415">
        <v>15000266120.950001</v>
      </c>
      <c r="Q71" s="415">
        <v>1169.9000000000001</v>
      </c>
      <c r="R71" s="25">
        <f t="shared" si="56"/>
        <v>-4.4370261735660749E-2</v>
      </c>
      <c r="S71" s="25">
        <f t="shared" si="57"/>
        <v>1.7038984168300717E-3</v>
      </c>
      <c r="T71" s="415">
        <v>14935325244.42</v>
      </c>
      <c r="U71" s="415">
        <v>1173.8699999999999</v>
      </c>
      <c r="V71" s="25">
        <f t="shared" si="58"/>
        <v>-4.329314960572702E-3</v>
      </c>
      <c r="W71" s="25">
        <f t="shared" si="59"/>
        <v>3.393452431831609E-3</v>
      </c>
      <c r="X71" s="415">
        <v>14991061991.209999</v>
      </c>
      <c r="Y71" s="415">
        <v>1176.95</v>
      </c>
      <c r="Z71" s="25">
        <f t="shared" si="60"/>
        <v>3.7318736537607618E-3</v>
      </c>
      <c r="AA71" s="25">
        <f t="shared" si="61"/>
        <v>2.6237999097005246E-3</v>
      </c>
      <c r="AB71" s="415">
        <v>15162122681.92</v>
      </c>
      <c r="AC71" s="415">
        <v>1178.83</v>
      </c>
      <c r="AD71" s="25">
        <f t="shared" si="62"/>
        <v>1.1410845396430376E-2</v>
      </c>
      <c r="AE71" s="25">
        <f t="shared" si="63"/>
        <v>1.5973490802496976E-3</v>
      </c>
      <c r="AF71" s="415">
        <v>14991061991.209999</v>
      </c>
      <c r="AG71" s="415">
        <v>1176.95</v>
      </c>
      <c r="AH71" s="25">
        <f t="shared" si="64"/>
        <v>-1.1282107017507613E-2</v>
      </c>
      <c r="AI71" s="25">
        <f t="shared" si="65"/>
        <v>-1.5948016253402796E-3</v>
      </c>
      <c r="AJ71" s="26">
        <f t="shared" si="66"/>
        <v>-4.6115598329993903E-3</v>
      </c>
      <c r="AK71" s="26">
        <f t="shared" si="67"/>
        <v>1.593688872195105E-3</v>
      </c>
      <c r="AL71" s="27">
        <f t="shared" si="68"/>
        <v>-4.0573047416451992E-2</v>
      </c>
      <c r="AM71" s="27">
        <f t="shared" si="69"/>
        <v>1.1168864641951973E-2</v>
      </c>
      <c r="AN71" s="28">
        <f t="shared" si="70"/>
        <v>1.7379514510054577E-2</v>
      </c>
      <c r="AO71" s="85">
        <f t="shared" si="71"/>
        <v>1.4464650390539117E-3</v>
      </c>
      <c r="AP71" s="32"/>
      <c r="AQ71" s="30"/>
      <c r="AR71" s="30"/>
      <c r="AS71" s="31"/>
      <c r="AT71" s="31"/>
    </row>
    <row r="72" spans="1:46">
      <c r="A72" s="229" t="s">
        <v>192</v>
      </c>
      <c r="B72" s="415">
        <v>22093526.530000001</v>
      </c>
      <c r="C72" s="415">
        <v>0.65380000000000005</v>
      </c>
      <c r="D72" s="415">
        <v>22093526.530000001</v>
      </c>
      <c r="E72" s="415">
        <v>0.67800000000000005</v>
      </c>
      <c r="F72" s="25">
        <f t="shared" si="50"/>
        <v>0</v>
      </c>
      <c r="G72" s="25">
        <f t="shared" si="51"/>
        <v>3.7014377485469561E-2</v>
      </c>
      <c r="H72" s="415">
        <v>22935272.260000002</v>
      </c>
      <c r="I72" s="415">
        <v>0.67869999999999997</v>
      </c>
      <c r="J72" s="25">
        <f t="shared" si="52"/>
        <v>3.8099201992811076E-2</v>
      </c>
      <c r="K72" s="25">
        <f t="shared" si="53"/>
        <v>1.0324483775810071E-3</v>
      </c>
      <c r="L72" s="415">
        <v>22954490.91</v>
      </c>
      <c r="M72" s="415">
        <v>0.67920000000000003</v>
      </c>
      <c r="N72" s="25">
        <f t="shared" si="54"/>
        <v>8.3795168342154698E-4</v>
      </c>
      <c r="O72" s="25">
        <f t="shared" si="55"/>
        <v>7.3670251952269927E-4</v>
      </c>
      <c r="P72" s="415">
        <v>22969427.399999999</v>
      </c>
      <c r="Q72" s="415">
        <v>0.67969999999999997</v>
      </c>
      <c r="R72" s="25">
        <f t="shared" si="56"/>
        <v>6.5070012044969204E-4</v>
      </c>
      <c r="S72" s="25">
        <f t="shared" si="57"/>
        <v>7.3616018845692717E-4</v>
      </c>
      <c r="T72" s="415">
        <v>22984353.949999999</v>
      </c>
      <c r="U72" s="415">
        <v>0.68010000000000004</v>
      </c>
      <c r="V72" s="25">
        <f t="shared" si="58"/>
        <v>6.4984423599522315E-4</v>
      </c>
      <c r="W72" s="25">
        <f t="shared" si="59"/>
        <v>5.8849492423137704E-4</v>
      </c>
      <c r="X72" s="415">
        <v>25656843.879999999</v>
      </c>
      <c r="Y72" s="415">
        <v>0.68010000000000004</v>
      </c>
      <c r="Z72" s="25">
        <f t="shared" si="60"/>
        <v>0.11627431146482148</v>
      </c>
      <c r="AA72" s="25">
        <f t="shared" si="61"/>
        <v>0</v>
      </c>
      <c r="AB72" s="415">
        <v>23023250.620000001</v>
      </c>
      <c r="AC72" s="415">
        <v>0.68130000000000002</v>
      </c>
      <c r="AD72" s="25">
        <f t="shared" si="62"/>
        <v>-0.10264681315900021</v>
      </c>
      <c r="AE72" s="25">
        <f t="shared" si="63"/>
        <v>1.7644464049404187E-3</v>
      </c>
      <c r="AF72" s="415">
        <v>23054719.539999999</v>
      </c>
      <c r="AG72" s="415">
        <v>0.68220000000000003</v>
      </c>
      <c r="AH72" s="25">
        <f t="shared" si="64"/>
        <v>1.3668321871396134E-3</v>
      </c>
      <c r="AI72" s="25">
        <f t="shared" si="65"/>
        <v>1.3210039630119064E-3</v>
      </c>
      <c r="AJ72" s="26">
        <f t="shared" si="66"/>
        <v>6.9040035657048004E-3</v>
      </c>
      <c r="AK72" s="26">
        <f t="shared" si="67"/>
        <v>5.3992042329017373E-3</v>
      </c>
      <c r="AL72" s="27">
        <f t="shared" si="68"/>
        <v>4.3505639930086701E-2</v>
      </c>
      <c r="AM72" s="27">
        <f t="shared" si="69"/>
        <v>6.1946902654866978E-3</v>
      </c>
      <c r="AN72" s="28">
        <f t="shared" si="70"/>
        <v>5.9916283179536997E-2</v>
      </c>
      <c r="AO72" s="85">
        <f t="shared" si="71"/>
        <v>1.2785081433272808E-2</v>
      </c>
      <c r="AP72" s="32"/>
      <c r="AQ72" s="30"/>
      <c r="AR72" s="30"/>
      <c r="AS72" s="31"/>
      <c r="AT72" s="31"/>
    </row>
    <row r="73" spans="1:46">
      <c r="A73" s="229" t="s">
        <v>109</v>
      </c>
      <c r="B73" s="415">
        <v>392438604.86000001</v>
      </c>
      <c r="C73" s="415">
        <v>1140.8499999999999</v>
      </c>
      <c r="D73" s="415">
        <v>393713423.25999999</v>
      </c>
      <c r="E73" s="415">
        <v>1144.4100000000001</v>
      </c>
      <c r="F73" s="25">
        <f t="shared" si="50"/>
        <v>3.2484530935858349E-3</v>
      </c>
      <c r="G73" s="25">
        <f t="shared" si="51"/>
        <v>3.1204803436036053E-3</v>
      </c>
      <c r="H73" s="415">
        <v>393218137.11000001</v>
      </c>
      <c r="I73" s="415">
        <v>1146.8499999999999</v>
      </c>
      <c r="J73" s="25">
        <f t="shared" si="52"/>
        <v>-1.2579864458238186E-3</v>
      </c>
      <c r="K73" s="25">
        <f t="shared" si="53"/>
        <v>2.132103005041748E-3</v>
      </c>
      <c r="L73" s="415">
        <v>392102794.94</v>
      </c>
      <c r="M73" s="415">
        <v>1149.99</v>
      </c>
      <c r="N73" s="25">
        <f t="shared" si="54"/>
        <v>-2.8364464014741199E-3</v>
      </c>
      <c r="O73" s="25">
        <f t="shared" si="55"/>
        <v>2.7379343418930989E-3</v>
      </c>
      <c r="P73" s="415">
        <v>392934853.00999999</v>
      </c>
      <c r="Q73" s="415">
        <v>1152.94</v>
      </c>
      <c r="R73" s="25">
        <f t="shared" si="56"/>
        <v>2.122040650404737E-3</v>
      </c>
      <c r="S73" s="25">
        <f t="shared" si="57"/>
        <v>2.5652396977365417E-3</v>
      </c>
      <c r="T73" s="415">
        <v>393486388.25999999</v>
      </c>
      <c r="U73" s="415">
        <v>1155.77</v>
      </c>
      <c r="V73" s="25">
        <f t="shared" si="58"/>
        <v>1.4036302602710676E-3</v>
      </c>
      <c r="W73" s="25">
        <f t="shared" si="59"/>
        <v>2.4545943414227343E-3</v>
      </c>
      <c r="X73" s="415">
        <v>394842846.06</v>
      </c>
      <c r="Y73" s="415">
        <v>1161.43</v>
      </c>
      <c r="Z73" s="25">
        <f t="shared" si="60"/>
        <v>3.4472801104970347E-3</v>
      </c>
      <c r="AA73" s="25">
        <f t="shared" si="61"/>
        <v>4.8971681216851814E-3</v>
      </c>
      <c r="AB73" s="415">
        <v>396967577.81</v>
      </c>
      <c r="AC73" s="415">
        <v>1168.03</v>
      </c>
      <c r="AD73" s="25">
        <f t="shared" si="62"/>
        <v>5.3812086788502366E-3</v>
      </c>
      <c r="AE73" s="25">
        <f t="shared" si="63"/>
        <v>5.6826498368389902E-3</v>
      </c>
      <c r="AF73" s="415">
        <v>399426631.81999999</v>
      </c>
      <c r="AG73" s="415">
        <v>1175.57</v>
      </c>
      <c r="AH73" s="25">
        <f t="shared" si="64"/>
        <v>6.1945966055116063E-3</v>
      </c>
      <c r="AI73" s="25">
        <f t="shared" si="65"/>
        <v>6.4553136477658651E-3</v>
      </c>
      <c r="AJ73" s="26">
        <f t="shared" si="66"/>
        <v>2.2128470689778221E-3</v>
      </c>
      <c r="AK73" s="26">
        <f t="shared" si="67"/>
        <v>3.7556854169984713E-3</v>
      </c>
      <c r="AL73" s="27">
        <f t="shared" si="68"/>
        <v>1.4511084007992078E-2</v>
      </c>
      <c r="AM73" s="27">
        <f t="shared" si="69"/>
        <v>2.7228003949633307E-2</v>
      </c>
      <c r="AN73" s="28">
        <f t="shared" si="70"/>
        <v>3.0867059863264705E-3</v>
      </c>
      <c r="AO73" s="85">
        <f t="shared" si="71"/>
        <v>1.6685960226146622E-3</v>
      </c>
      <c r="AP73" s="32"/>
      <c r="AQ73" s="30"/>
      <c r="AR73" s="30"/>
      <c r="AS73" s="31"/>
      <c r="AT73" s="31"/>
    </row>
    <row r="74" spans="1:46" s="99" customFormat="1">
      <c r="A74" s="229" t="s">
        <v>110</v>
      </c>
      <c r="B74" s="415">
        <v>165873366.06</v>
      </c>
      <c r="C74" s="415">
        <v>143.80000000000001</v>
      </c>
      <c r="D74" s="415">
        <v>166049105.72</v>
      </c>
      <c r="E74" s="415">
        <v>143.94999999999999</v>
      </c>
      <c r="F74" s="25">
        <f t="shared" si="50"/>
        <v>1.0594808809536521E-3</v>
      </c>
      <c r="G74" s="25">
        <f t="shared" si="51"/>
        <v>1.0431154381083257E-3</v>
      </c>
      <c r="H74" s="415">
        <v>166224801.06</v>
      </c>
      <c r="I74" s="415">
        <v>144.1</v>
      </c>
      <c r="J74" s="25">
        <f t="shared" si="52"/>
        <v>1.0580926602294957E-3</v>
      </c>
      <c r="K74" s="25">
        <f t="shared" si="53"/>
        <v>1.042028482111884E-3</v>
      </c>
      <c r="L74" s="415">
        <v>166400591.05000001</v>
      </c>
      <c r="M74" s="415">
        <v>144.25</v>
      </c>
      <c r="N74" s="25">
        <f t="shared" si="54"/>
        <v>1.0575436931132612E-3</v>
      </c>
      <c r="O74" s="25">
        <f t="shared" si="55"/>
        <v>1.0409437890354315E-3</v>
      </c>
      <c r="P74" s="415">
        <v>166576336.71000001</v>
      </c>
      <c r="Q74" s="415">
        <v>144.41</v>
      </c>
      <c r="R74" s="25">
        <f t="shared" si="56"/>
        <v>1.0561600706525641E-3</v>
      </c>
      <c r="S74" s="25">
        <f t="shared" si="57"/>
        <v>1.109185441941051E-3</v>
      </c>
      <c r="T74" s="415">
        <v>166752038.05000001</v>
      </c>
      <c r="U74" s="415">
        <v>144.56</v>
      </c>
      <c r="V74" s="25">
        <f t="shared" si="58"/>
        <v>1.0547797092325885E-3</v>
      </c>
      <c r="W74" s="25">
        <f t="shared" si="59"/>
        <v>1.0387092306627359E-3</v>
      </c>
      <c r="X74" s="415">
        <v>166927695.09</v>
      </c>
      <c r="Y74" s="415">
        <v>144.71</v>
      </c>
      <c r="Z74" s="25">
        <f t="shared" si="60"/>
        <v>1.0534026573475613E-3</v>
      </c>
      <c r="AA74" s="25">
        <f t="shared" si="61"/>
        <v>1.0376314333149258E-3</v>
      </c>
      <c r="AB74" s="415">
        <v>167103307.83000001</v>
      </c>
      <c r="AC74" s="415">
        <v>144.86000000000001</v>
      </c>
      <c r="AD74" s="25">
        <f t="shared" si="62"/>
        <v>1.0520287835120885E-3</v>
      </c>
      <c r="AE74" s="25">
        <f t="shared" si="63"/>
        <v>1.0365558703614517E-3</v>
      </c>
      <c r="AF74" s="415">
        <v>167278876.28999999</v>
      </c>
      <c r="AG74" s="415">
        <v>145.01</v>
      </c>
      <c r="AH74" s="25">
        <f t="shared" si="64"/>
        <v>1.0506581962972895E-3</v>
      </c>
      <c r="AI74" s="25">
        <f t="shared" si="65"/>
        <v>1.0354825348610883E-3</v>
      </c>
      <c r="AJ74" s="26">
        <f t="shared" si="66"/>
        <v>1.0552683314173127E-3</v>
      </c>
      <c r="AK74" s="26">
        <f t="shared" si="67"/>
        <v>1.0479565275496117E-3</v>
      </c>
      <c r="AL74" s="27">
        <f t="shared" si="68"/>
        <v>7.4060656013028529E-3</v>
      </c>
      <c r="AM74" s="27">
        <f t="shared" si="69"/>
        <v>7.3636679402570501E-3</v>
      </c>
      <c r="AN74" s="28">
        <f t="shared" si="70"/>
        <v>3.0975193848252481E-6</v>
      </c>
      <c r="AO74" s="85">
        <f t="shared" si="71"/>
        <v>2.4883821127383165E-5</v>
      </c>
      <c r="AP74" s="32"/>
      <c r="AQ74" s="30"/>
      <c r="AR74" s="30"/>
      <c r="AS74" s="31"/>
      <c r="AT74" s="31"/>
    </row>
    <row r="75" spans="1:46">
      <c r="A75" s="229" t="s">
        <v>113</v>
      </c>
      <c r="B75" s="415">
        <v>766753325.82000005</v>
      </c>
      <c r="C75" s="416">
        <v>195.60539399999999</v>
      </c>
      <c r="D75" s="415">
        <v>764135102.33000004</v>
      </c>
      <c r="E75" s="416">
        <v>195.96218500000001</v>
      </c>
      <c r="F75" s="25">
        <f t="shared" si="50"/>
        <v>-3.4146881426304412E-3</v>
      </c>
      <c r="G75" s="25">
        <f t="shared" si="51"/>
        <v>1.8240345662452204E-3</v>
      </c>
      <c r="H75" s="415">
        <v>770565370.41999996</v>
      </c>
      <c r="I75" s="416">
        <v>196.452641</v>
      </c>
      <c r="J75" s="25">
        <f t="shared" si="52"/>
        <v>8.415093182334835E-3</v>
      </c>
      <c r="K75" s="25">
        <f t="shared" si="53"/>
        <v>2.5028094068250701E-3</v>
      </c>
      <c r="L75" s="415">
        <v>771898195.37</v>
      </c>
      <c r="M75" s="416">
        <v>198.05605800000001</v>
      </c>
      <c r="N75" s="25">
        <f t="shared" si="54"/>
        <v>1.7296714868896661E-3</v>
      </c>
      <c r="O75" s="25">
        <f t="shared" si="55"/>
        <v>8.1618500613591001E-3</v>
      </c>
      <c r="P75" s="415">
        <v>767774833.65999997</v>
      </c>
      <c r="Q75" s="416">
        <v>197.18032299999999</v>
      </c>
      <c r="R75" s="25">
        <f t="shared" si="56"/>
        <v>-5.3418465475535346E-3</v>
      </c>
      <c r="S75" s="25">
        <f t="shared" si="57"/>
        <v>-4.4216521768802456E-3</v>
      </c>
      <c r="T75" s="415">
        <v>752801708.83000004</v>
      </c>
      <c r="U75" s="416">
        <v>197.554384</v>
      </c>
      <c r="V75" s="25">
        <f t="shared" si="58"/>
        <v>-1.9501973981906517E-2</v>
      </c>
      <c r="W75" s="25">
        <f t="shared" si="59"/>
        <v>1.8970503461443857E-3</v>
      </c>
      <c r="X75" s="415">
        <v>725861653.89999998</v>
      </c>
      <c r="Y75" s="416">
        <v>198.00166899999999</v>
      </c>
      <c r="Z75" s="25">
        <f t="shared" si="60"/>
        <v>-3.5786389183242076E-2</v>
      </c>
      <c r="AA75" s="25">
        <f t="shared" si="61"/>
        <v>2.2641107270998033E-3</v>
      </c>
      <c r="AB75" s="415">
        <v>729205714.49000001</v>
      </c>
      <c r="AC75" s="416">
        <v>198.45895400000001</v>
      </c>
      <c r="AD75" s="25">
        <f t="shared" si="62"/>
        <v>4.6070219745493477E-3</v>
      </c>
      <c r="AE75" s="25">
        <f t="shared" si="63"/>
        <v>2.3095007345620561E-3</v>
      </c>
      <c r="AF75" s="415">
        <v>729710706.53999996</v>
      </c>
      <c r="AG75" s="416">
        <v>198.92843500000001</v>
      </c>
      <c r="AH75" s="25">
        <f t="shared" si="64"/>
        <v>6.9252344018332231E-4</v>
      </c>
      <c r="AI75" s="25">
        <f t="shared" si="65"/>
        <v>2.3656327443910734E-3</v>
      </c>
      <c r="AJ75" s="26">
        <f t="shared" si="66"/>
        <v>-6.0750734714219252E-3</v>
      </c>
      <c r="AK75" s="26">
        <f t="shared" si="67"/>
        <v>2.112917051218308E-3</v>
      </c>
      <c r="AL75" s="27">
        <f t="shared" si="68"/>
        <v>-4.5050143207704035E-2</v>
      </c>
      <c r="AM75" s="27">
        <f t="shared" si="69"/>
        <v>1.5136848979306911E-2</v>
      </c>
      <c r="AN75" s="28">
        <f t="shared" si="70"/>
        <v>1.4645553762432865E-2</v>
      </c>
      <c r="AO75" s="85">
        <f t="shared" si="71"/>
        <v>3.3742220907764606E-3</v>
      </c>
      <c r="AP75" s="32"/>
      <c r="AQ75" s="30"/>
      <c r="AR75" s="30"/>
      <c r="AS75" s="31"/>
      <c r="AT75" s="31"/>
    </row>
    <row r="76" spans="1:46" s="99" customFormat="1">
      <c r="A76" s="229" t="s">
        <v>119</v>
      </c>
      <c r="B76" s="415">
        <v>325351363.51999998</v>
      </c>
      <c r="C76" s="416">
        <v>1.3421000000000001</v>
      </c>
      <c r="D76" s="415">
        <v>323645878.45999998</v>
      </c>
      <c r="E76" s="416">
        <v>1.335</v>
      </c>
      <c r="F76" s="25">
        <f t="shared" si="50"/>
        <v>-5.2419791377181762E-3</v>
      </c>
      <c r="G76" s="25">
        <f t="shared" si="51"/>
        <v>-5.2902168243797827E-3</v>
      </c>
      <c r="H76" s="415">
        <v>325005419.12</v>
      </c>
      <c r="I76" s="416">
        <v>1.3406</v>
      </c>
      <c r="J76" s="25">
        <f t="shared" si="52"/>
        <v>4.2007043824228846E-3</v>
      </c>
      <c r="K76" s="25">
        <f t="shared" si="53"/>
        <v>4.1947565543071531E-3</v>
      </c>
      <c r="L76" s="415">
        <v>317338987.88999999</v>
      </c>
      <c r="M76" s="416">
        <v>1.3449</v>
      </c>
      <c r="N76" s="25">
        <f t="shared" si="54"/>
        <v>-2.358862584740282E-2</v>
      </c>
      <c r="O76" s="25">
        <f t="shared" si="55"/>
        <v>3.2075190213337089E-3</v>
      </c>
      <c r="P76" s="415">
        <v>318233795.49000001</v>
      </c>
      <c r="Q76" s="416">
        <v>1.3487</v>
      </c>
      <c r="R76" s="25">
        <f t="shared" si="56"/>
        <v>2.8197216041736203E-3</v>
      </c>
      <c r="S76" s="25">
        <f t="shared" si="57"/>
        <v>2.82548888393191E-3</v>
      </c>
      <c r="T76" s="415">
        <v>321147738.19</v>
      </c>
      <c r="U76" s="416">
        <v>1.3619000000000001</v>
      </c>
      <c r="V76" s="25">
        <f t="shared" si="58"/>
        <v>9.1566098299310072E-3</v>
      </c>
      <c r="W76" s="25">
        <f t="shared" si="59"/>
        <v>9.7872024912879808E-3</v>
      </c>
      <c r="X76" s="415">
        <v>322371101.23000002</v>
      </c>
      <c r="Y76" s="416">
        <v>1.3671</v>
      </c>
      <c r="Z76" s="25">
        <f t="shared" si="60"/>
        <v>3.8093465857643549E-3</v>
      </c>
      <c r="AA76" s="25">
        <f t="shared" si="61"/>
        <v>3.8181951685144805E-3</v>
      </c>
      <c r="AB76" s="415">
        <v>325872548.5</v>
      </c>
      <c r="AC76" s="416">
        <v>1.3671</v>
      </c>
      <c r="AD76" s="25">
        <f t="shared" si="62"/>
        <v>1.0861542044681686E-2</v>
      </c>
      <c r="AE76" s="25">
        <f t="shared" si="63"/>
        <v>0</v>
      </c>
      <c r="AF76" s="415">
        <v>328035830.23000002</v>
      </c>
      <c r="AG76" s="416">
        <v>1.3898999999999999</v>
      </c>
      <c r="AH76" s="25">
        <f t="shared" si="64"/>
        <v>6.6384288580233668E-3</v>
      </c>
      <c r="AI76" s="25">
        <f t="shared" si="65"/>
        <v>1.6677638797454417E-2</v>
      </c>
      <c r="AJ76" s="26">
        <f t="shared" si="66"/>
        <v>1.0819685399844907E-3</v>
      </c>
      <c r="AK76" s="26">
        <f t="shared" si="67"/>
        <v>4.4025730115562333E-3</v>
      </c>
      <c r="AL76" s="27">
        <f t="shared" si="68"/>
        <v>1.3564058936541048E-2</v>
      </c>
      <c r="AM76" s="27">
        <f t="shared" si="69"/>
        <v>4.1123595505617942E-2</v>
      </c>
      <c r="AN76" s="28">
        <f t="shared" si="70"/>
        <v>1.1087506307229277E-2</v>
      </c>
      <c r="AO76" s="85">
        <f t="shared" si="71"/>
        <v>6.5170581897084877E-3</v>
      </c>
      <c r="AP76" s="32"/>
      <c r="AQ76" s="30"/>
      <c r="AR76" s="30"/>
      <c r="AS76" s="31"/>
      <c r="AT76" s="31"/>
    </row>
    <row r="77" spans="1:46" s="99" customFormat="1">
      <c r="A77" s="229" t="s">
        <v>150</v>
      </c>
      <c r="B77" s="415">
        <v>406645941.75</v>
      </c>
      <c r="C77" s="416">
        <v>1.1435</v>
      </c>
      <c r="D77" s="415">
        <v>407560188.20999998</v>
      </c>
      <c r="E77" s="416">
        <v>1.1471</v>
      </c>
      <c r="F77" s="25">
        <f t="shared" si="50"/>
        <v>2.2482616107405884E-3</v>
      </c>
      <c r="G77" s="25">
        <f t="shared" si="51"/>
        <v>3.148229121119412E-3</v>
      </c>
      <c r="H77" s="415">
        <v>403124755.85000002</v>
      </c>
      <c r="I77" s="416">
        <v>1.1498999999999999</v>
      </c>
      <c r="J77" s="25">
        <f t="shared" si="52"/>
        <v>-1.0882889173940974E-2</v>
      </c>
      <c r="K77" s="25">
        <f t="shared" si="53"/>
        <v>2.4409380176095489E-3</v>
      </c>
      <c r="L77" s="415">
        <v>405489397.58999997</v>
      </c>
      <c r="M77" s="416">
        <v>1.1567000000000001</v>
      </c>
      <c r="N77" s="25">
        <f t="shared" si="54"/>
        <v>5.8657815122617205E-3</v>
      </c>
      <c r="O77" s="25">
        <f t="shared" si="55"/>
        <v>5.9135577006697452E-3</v>
      </c>
      <c r="P77" s="415">
        <v>405565401.50999999</v>
      </c>
      <c r="Q77" s="416">
        <v>1.1569</v>
      </c>
      <c r="R77" s="25">
        <f t="shared" si="56"/>
        <v>1.8743750256293031E-4</v>
      </c>
      <c r="S77" s="25">
        <f t="shared" si="57"/>
        <v>1.7290567995156735E-4</v>
      </c>
      <c r="T77" s="415">
        <v>405204669.56</v>
      </c>
      <c r="U77" s="416">
        <v>1.1595</v>
      </c>
      <c r="V77" s="25">
        <f t="shared" si="58"/>
        <v>-8.894544471912837E-4</v>
      </c>
      <c r="W77" s="25">
        <f t="shared" si="59"/>
        <v>2.2473852536951644E-3</v>
      </c>
      <c r="X77" s="415">
        <v>412353530.12</v>
      </c>
      <c r="Y77" s="416">
        <v>1.1716</v>
      </c>
      <c r="Z77" s="25">
        <f t="shared" si="60"/>
        <v>1.7642591749405905E-2</v>
      </c>
      <c r="AA77" s="25">
        <f t="shared" si="61"/>
        <v>1.0435532557136697E-2</v>
      </c>
      <c r="AB77" s="415">
        <v>427741047.83999997</v>
      </c>
      <c r="AC77" s="416">
        <v>1.2157</v>
      </c>
      <c r="AD77" s="25">
        <f t="shared" si="62"/>
        <v>3.7316323484661351E-2</v>
      </c>
      <c r="AE77" s="25">
        <f t="shared" si="63"/>
        <v>3.7640833048822146E-2</v>
      </c>
      <c r="AF77" s="415">
        <v>430500523.10000002</v>
      </c>
      <c r="AG77" s="416">
        <v>1.2295</v>
      </c>
      <c r="AH77" s="25">
        <f t="shared" si="64"/>
        <v>6.4512753076535556E-3</v>
      </c>
      <c r="AI77" s="25">
        <f t="shared" si="65"/>
        <v>1.1351484741301337E-2</v>
      </c>
      <c r="AJ77" s="26">
        <f t="shared" si="66"/>
        <v>7.2424159432692243E-3</v>
      </c>
      <c r="AK77" s="26">
        <f t="shared" si="67"/>
        <v>9.1688582650382017E-3</v>
      </c>
      <c r="AL77" s="27">
        <f t="shared" si="68"/>
        <v>5.6286986692085289E-2</v>
      </c>
      <c r="AM77" s="27">
        <f t="shared" si="69"/>
        <v>7.1833318803940394E-2</v>
      </c>
      <c r="AN77" s="28">
        <f t="shared" si="70"/>
        <v>1.4562637601576119E-2</v>
      </c>
      <c r="AO77" s="85">
        <f t="shared" si="71"/>
        <v>1.2177059753335931E-2</v>
      </c>
      <c r="AP77" s="32"/>
      <c r="AQ77" s="30"/>
      <c r="AR77" s="30"/>
      <c r="AS77" s="31"/>
      <c r="AT77" s="31"/>
    </row>
    <row r="78" spans="1:46" s="99" customFormat="1">
      <c r="A78" s="229" t="s">
        <v>156</v>
      </c>
      <c r="B78" s="415">
        <v>946850478.77999997</v>
      </c>
      <c r="C78" s="416">
        <v>1.0645</v>
      </c>
      <c r="D78" s="415">
        <v>960164256.25999999</v>
      </c>
      <c r="E78" s="416">
        <v>1.0652999999999999</v>
      </c>
      <c r="F78" s="25">
        <f t="shared" si="50"/>
        <v>1.4061119235166449E-2</v>
      </c>
      <c r="G78" s="25">
        <f t="shared" si="51"/>
        <v>7.5152653828080022E-4</v>
      </c>
      <c r="H78" s="415">
        <v>960995146.49000001</v>
      </c>
      <c r="I78" s="416">
        <v>1.0662</v>
      </c>
      <c r="J78" s="25">
        <f t="shared" si="52"/>
        <v>8.6536259247607823E-4</v>
      </c>
      <c r="K78" s="25">
        <f t="shared" si="53"/>
        <v>8.4483244156587155E-4</v>
      </c>
      <c r="L78" s="415">
        <v>963889256.03999996</v>
      </c>
      <c r="M78" s="416">
        <v>1.0692999999999999</v>
      </c>
      <c r="N78" s="25">
        <f t="shared" si="54"/>
        <v>3.0115756157256179E-3</v>
      </c>
      <c r="O78" s="25">
        <f t="shared" si="55"/>
        <v>2.9075220408927784E-3</v>
      </c>
      <c r="P78" s="415">
        <v>962890760.42999995</v>
      </c>
      <c r="Q78" s="416">
        <v>1.0702</v>
      </c>
      <c r="R78" s="25">
        <f t="shared" si="56"/>
        <v>-1.0359028319313253E-3</v>
      </c>
      <c r="S78" s="25">
        <f t="shared" si="57"/>
        <v>8.4167212194905363E-4</v>
      </c>
      <c r="T78" s="415">
        <v>953420940.48000002</v>
      </c>
      <c r="U78" s="416">
        <v>1.0586</v>
      </c>
      <c r="V78" s="25">
        <f t="shared" si="58"/>
        <v>-9.8347812017335941E-3</v>
      </c>
      <c r="W78" s="25">
        <f t="shared" si="59"/>
        <v>-1.0839095496168991E-2</v>
      </c>
      <c r="X78" s="415">
        <v>954885274.12</v>
      </c>
      <c r="Y78" s="416">
        <v>1.0605</v>
      </c>
      <c r="Z78" s="25">
        <f t="shared" si="60"/>
        <v>1.5358731676931351E-3</v>
      </c>
      <c r="AA78" s="25">
        <f t="shared" si="61"/>
        <v>1.7948233515964601E-3</v>
      </c>
      <c r="AB78" s="415">
        <v>947944881.15999997</v>
      </c>
      <c r="AC78" s="416">
        <v>1.0629999999999999</v>
      </c>
      <c r="AD78" s="25">
        <f t="shared" si="62"/>
        <v>-7.2683003373322959E-3</v>
      </c>
      <c r="AE78" s="25">
        <f t="shared" si="63"/>
        <v>2.3573785950023072E-3</v>
      </c>
      <c r="AF78" s="415">
        <v>964410272.22000003</v>
      </c>
      <c r="AG78" s="416">
        <v>1.0817000000000001</v>
      </c>
      <c r="AH78" s="25">
        <f t="shared" si="64"/>
        <v>1.7369565875867556E-2</v>
      </c>
      <c r="AI78" s="25">
        <f t="shared" si="65"/>
        <v>1.7591721542803539E-2</v>
      </c>
      <c r="AJ78" s="26">
        <f t="shared" si="66"/>
        <v>2.3380640144914527E-3</v>
      </c>
      <c r="AK78" s="26">
        <f t="shared" si="67"/>
        <v>2.0312976419902271E-3</v>
      </c>
      <c r="AL78" s="27">
        <f t="shared" si="68"/>
        <v>4.4221766560431849E-3</v>
      </c>
      <c r="AM78" s="27">
        <f t="shared" si="69"/>
        <v>1.539472449075396E-2</v>
      </c>
      <c r="AN78" s="28">
        <f t="shared" si="70"/>
        <v>9.3997423857143311E-3</v>
      </c>
      <c r="AO78" s="85">
        <f t="shared" si="71"/>
        <v>7.6826758006624009E-3</v>
      </c>
      <c r="AP78" s="32"/>
      <c r="AQ78" s="30"/>
      <c r="AR78" s="30"/>
      <c r="AS78" s="31"/>
      <c r="AT78" s="31"/>
    </row>
    <row r="79" spans="1:46" s="125" customFormat="1" ht="15.75" customHeight="1">
      <c r="A79" s="229" t="s">
        <v>180</v>
      </c>
      <c r="B79" s="415">
        <v>29451822790.959999</v>
      </c>
      <c r="C79" s="416">
        <v>113.53</v>
      </c>
      <c r="D79" s="415">
        <v>28639867829.73</v>
      </c>
      <c r="E79" s="416">
        <v>113.71</v>
      </c>
      <c r="F79" s="25">
        <f t="shared" si="50"/>
        <v>-2.7568920504275972E-2</v>
      </c>
      <c r="G79" s="25">
        <f t="shared" si="51"/>
        <v>1.5854840130361367E-3</v>
      </c>
      <c r="H79" s="415">
        <v>28228646688.959999</v>
      </c>
      <c r="I79" s="416">
        <v>113.86</v>
      </c>
      <c r="J79" s="25">
        <f t="shared" si="52"/>
        <v>-1.4358346316917245E-2</v>
      </c>
      <c r="K79" s="25">
        <f t="shared" si="53"/>
        <v>1.3191451939143935E-3</v>
      </c>
      <c r="L79" s="415">
        <v>26986244542.139999</v>
      </c>
      <c r="M79" s="416">
        <v>113.99</v>
      </c>
      <c r="N79" s="25">
        <f t="shared" si="54"/>
        <v>-4.4012104459329016E-2</v>
      </c>
      <c r="O79" s="25">
        <f t="shared" si="55"/>
        <v>1.1417530300368475E-3</v>
      </c>
      <c r="P79" s="415">
        <v>25527836031.240002</v>
      </c>
      <c r="Q79" s="416">
        <v>114.16</v>
      </c>
      <c r="R79" s="25">
        <f t="shared" si="56"/>
        <v>-5.4042662684044084E-2</v>
      </c>
      <c r="S79" s="25">
        <f t="shared" si="57"/>
        <v>1.491358891130816E-3</v>
      </c>
      <c r="T79" s="415">
        <v>25117572278.549999</v>
      </c>
      <c r="U79" s="416">
        <v>114.29</v>
      </c>
      <c r="V79" s="25">
        <f t="shared" si="58"/>
        <v>-1.6071231113672823E-2</v>
      </c>
      <c r="W79" s="25">
        <f t="shared" si="59"/>
        <v>1.1387526278907644E-3</v>
      </c>
      <c r="X79" s="415">
        <v>24773717917.650002</v>
      </c>
      <c r="Y79" s="416">
        <v>114.41</v>
      </c>
      <c r="Z79" s="25">
        <f t="shared" si="60"/>
        <v>-1.3689792830561247E-2</v>
      </c>
      <c r="AA79" s="25">
        <f t="shared" si="61"/>
        <v>1.0499606264764226E-3</v>
      </c>
      <c r="AB79" s="415">
        <v>24040733530.689999</v>
      </c>
      <c r="AC79" s="416">
        <v>114.54</v>
      </c>
      <c r="AD79" s="25">
        <f t="shared" si="62"/>
        <v>-2.9587177402943997E-2</v>
      </c>
      <c r="AE79" s="25">
        <f t="shared" si="63"/>
        <v>1.1362643125601753E-3</v>
      </c>
      <c r="AF79" s="415">
        <v>24210812747.16</v>
      </c>
      <c r="AG79" s="416">
        <v>114.75</v>
      </c>
      <c r="AH79" s="25">
        <f t="shared" si="64"/>
        <v>7.0746267476772678E-3</v>
      </c>
      <c r="AI79" s="25">
        <f t="shared" si="65"/>
        <v>1.8334206390779966E-3</v>
      </c>
      <c r="AJ79" s="26">
        <f t="shared" si="66"/>
        <v>-2.4031951070508387E-2</v>
      </c>
      <c r="AK79" s="26">
        <f t="shared" si="67"/>
        <v>1.337017416765444E-3</v>
      </c>
      <c r="AL79" s="27">
        <f t="shared" si="68"/>
        <v>-0.15464649169827382</v>
      </c>
      <c r="AM79" s="27">
        <f t="shared" si="69"/>
        <v>9.1460733444728368E-3</v>
      </c>
      <c r="AN79" s="28">
        <f t="shared" si="70"/>
        <v>1.9178675453856136E-2</v>
      </c>
      <c r="AO79" s="85">
        <f t="shared" si="71"/>
        <v>2.7579315037973301E-4</v>
      </c>
      <c r="AP79" s="32"/>
      <c r="AQ79" s="30"/>
      <c r="AR79" s="30"/>
      <c r="AS79" s="31"/>
      <c r="AT79" s="31"/>
    </row>
    <row r="80" spans="1:46" s="125" customFormat="1" ht="15.75" customHeight="1">
      <c r="A80" s="229" t="s">
        <v>185</v>
      </c>
      <c r="B80" s="415">
        <v>238758126.47999999</v>
      </c>
      <c r="C80" s="415">
        <v>1061.29</v>
      </c>
      <c r="D80" s="415">
        <v>240141704.00999999</v>
      </c>
      <c r="E80" s="415">
        <v>1070.44</v>
      </c>
      <c r="F80" s="25">
        <f t="shared" si="50"/>
        <v>5.7948918866051625E-3</v>
      </c>
      <c r="G80" s="25">
        <f t="shared" si="51"/>
        <v>8.6215831676545434E-3</v>
      </c>
      <c r="H80" s="415">
        <v>240079117.93000001</v>
      </c>
      <c r="I80" s="415">
        <v>1070.1600000000001</v>
      </c>
      <c r="J80" s="25">
        <f t="shared" si="52"/>
        <v>-2.6062145372874132E-4</v>
      </c>
      <c r="K80" s="25">
        <f t="shared" si="53"/>
        <v>-2.6157467957099202E-4</v>
      </c>
      <c r="L80" s="415">
        <v>240632768</v>
      </c>
      <c r="M80" s="415">
        <v>1074.4000000000001</v>
      </c>
      <c r="N80" s="25">
        <f t="shared" si="54"/>
        <v>2.306115062291344E-3</v>
      </c>
      <c r="O80" s="25">
        <f t="shared" si="55"/>
        <v>3.9620243701876433E-3</v>
      </c>
      <c r="P80" s="415">
        <v>241168866.38</v>
      </c>
      <c r="Q80" s="415">
        <v>1076.8399999999999</v>
      </c>
      <c r="R80" s="25">
        <f t="shared" si="56"/>
        <v>2.2278693980696562E-3</v>
      </c>
      <c r="S80" s="25">
        <f t="shared" si="57"/>
        <v>2.2710349962768309E-3</v>
      </c>
      <c r="T80" s="415">
        <v>239041014.30000001</v>
      </c>
      <c r="U80" s="415">
        <v>1079.44</v>
      </c>
      <c r="V80" s="25">
        <f t="shared" si="58"/>
        <v>-8.8230794958716312E-3</v>
      </c>
      <c r="W80" s="25">
        <f t="shared" si="59"/>
        <v>2.4144719735523725E-3</v>
      </c>
      <c r="X80" s="415">
        <v>241299841.63</v>
      </c>
      <c r="Y80" s="415">
        <v>1090.92</v>
      </c>
      <c r="Z80" s="25">
        <f t="shared" si="60"/>
        <v>9.4495387605957933E-3</v>
      </c>
      <c r="AA80" s="25">
        <f t="shared" si="61"/>
        <v>1.0635144148817922E-2</v>
      </c>
      <c r="AB80" s="415">
        <v>243633320.91999999</v>
      </c>
      <c r="AC80" s="415">
        <v>1105.72</v>
      </c>
      <c r="AD80" s="25">
        <f t="shared" si="62"/>
        <v>9.670455124367882E-3</v>
      </c>
      <c r="AE80" s="25">
        <f t="shared" si="63"/>
        <v>1.3566531001356611E-2</v>
      </c>
      <c r="AF80" s="415">
        <v>246720067.06999999</v>
      </c>
      <c r="AG80" s="415">
        <v>1123.29</v>
      </c>
      <c r="AH80" s="25">
        <f t="shared" si="64"/>
        <v>1.2669638694510005E-2</v>
      </c>
      <c r="AI80" s="25">
        <f t="shared" si="65"/>
        <v>1.5890098759179482E-2</v>
      </c>
      <c r="AJ80" s="26">
        <f t="shared" si="66"/>
        <v>4.1293509971049337E-3</v>
      </c>
      <c r="AK80" s="26">
        <f t="shared" si="67"/>
        <v>7.1374142171818011E-3</v>
      </c>
      <c r="AL80" s="27">
        <f t="shared" si="68"/>
        <v>2.7393671945153124E-2</v>
      </c>
      <c r="AM80" s="27">
        <f t="shared" si="69"/>
        <v>4.9372220769029473E-2</v>
      </c>
      <c r="AN80" s="28">
        <f t="shared" si="70"/>
        <v>6.8524855609056936E-3</v>
      </c>
      <c r="AO80" s="85">
        <f t="shared" si="71"/>
        <v>5.8942571202518059E-3</v>
      </c>
      <c r="AP80" s="32"/>
      <c r="AQ80" s="30"/>
      <c r="AR80" s="30"/>
      <c r="AS80" s="31"/>
      <c r="AT80" s="31"/>
    </row>
    <row r="81" spans="1:46" s="327" customFormat="1" ht="15.75" customHeight="1">
      <c r="A81" s="229" t="s">
        <v>194</v>
      </c>
      <c r="B81" s="415">
        <v>1386893851.3900001</v>
      </c>
      <c r="C81" s="416">
        <v>1.0250999999999999</v>
      </c>
      <c r="D81" s="415">
        <v>1367066275.55</v>
      </c>
      <c r="E81" s="416">
        <v>1.0250999999999999</v>
      </c>
      <c r="F81" s="25">
        <f t="shared" si="50"/>
        <v>-1.4296390325855269E-2</v>
      </c>
      <c r="G81" s="25">
        <f t="shared" si="51"/>
        <v>0</v>
      </c>
      <c r="H81" s="415">
        <v>1342516076.1400001</v>
      </c>
      <c r="I81" s="416">
        <v>1.0286</v>
      </c>
      <c r="J81" s="25">
        <f t="shared" si="52"/>
        <v>-1.7958309592651444E-2</v>
      </c>
      <c r="K81" s="25">
        <f t="shared" si="53"/>
        <v>3.4143010438006625E-3</v>
      </c>
      <c r="L81" s="415">
        <v>1359479145.6700001</v>
      </c>
      <c r="M81" s="416">
        <v>1.0305</v>
      </c>
      <c r="N81" s="25">
        <f t="shared" si="54"/>
        <v>1.2635282237194626E-2</v>
      </c>
      <c r="O81" s="25">
        <f t="shared" si="55"/>
        <v>1.8471709119191259E-3</v>
      </c>
      <c r="P81" s="415">
        <v>1371271101.3499999</v>
      </c>
      <c r="Q81" s="416">
        <v>1.0322</v>
      </c>
      <c r="R81" s="25">
        <f t="shared" si="56"/>
        <v>8.6738775784518038E-3</v>
      </c>
      <c r="S81" s="25">
        <f t="shared" si="57"/>
        <v>1.6496846191169673E-3</v>
      </c>
      <c r="T81" s="415">
        <v>1368775125.4100001</v>
      </c>
      <c r="U81" s="416">
        <v>1.0338000000000001</v>
      </c>
      <c r="V81" s="25">
        <f t="shared" si="58"/>
        <v>-1.8201914541497743E-3</v>
      </c>
      <c r="W81" s="25">
        <f t="shared" si="59"/>
        <v>1.5500871924046171E-3</v>
      </c>
      <c r="X81" s="415">
        <v>1282088996.53</v>
      </c>
      <c r="Y81" s="416">
        <v>1.0356000000000001</v>
      </c>
      <c r="Z81" s="25">
        <f t="shared" si="60"/>
        <v>-6.3331169065506163E-2</v>
      </c>
      <c r="AA81" s="25">
        <f t="shared" si="61"/>
        <v>1.7411491584445964E-3</v>
      </c>
      <c r="AB81" s="415">
        <v>1280114718.01</v>
      </c>
      <c r="AC81" s="416">
        <v>1.0374000000000001</v>
      </c>
      <c r="AD81" s="25">
        <f t="shared" si="62"/>
        <v>-1.5398919461468011E-3</v>
      </c>
      <c r="AE81" s="25">
        <f t="shared" si="63"/>
        <v>1.7381228273464888E-3</v>
      </c>
      <c r="AF81" s="415">
        <v>1281617986.0999999</v>
      </c>
      <c r="AG81" s="416">
        <v>1.0392999999999999</v>
      </c>
      <c r="AH81" s="25">
        <f t="shared" si="64"/>
        <v>1.174322948443884E-3</v>
      </c>
      <c r="AI81" s="25">
        <f t="shared" si="65"/>
        <v>1.8315018315016296E-3</v>
      </c>
      <c r="AJ81" s="26">
        <f t="shared" si="66"/>
        <v>-9.5578087025273914E-3</v>
      </c>
      <c r="AK81" s="26">
        <f t="shared" si="67"/>
        <v>1.7215021980667609E-3</v>
      </c>
      <c r="AL81" s="27">
        <f t="shared" si="68"/>
        <v>-6.2504862403706341E-2</v>
      </c>
      <c r="AM81" s="27">
        <f t="shared" si="69"/>
        <v>1.3852307091991017E-2</v>
      </c>
      <c r="AN81" s="28">
        <f t="shared" si="70"/>
        <v>2.4050128854445213E-2</v>
      </c>
      <c r="AO81" s="85">
        <f t="shared" si="71"/>
        <v>9.1746805411460966E-4</v>
      </c>
      <c r="AP81" s="32"/>
      <c r="AQ81" s="30"/>
      <c r="AR81" s="30"/>
      <c r="AS81" s="31"/>
      <c r="AT81" s="31"/>
    </row>
    <row r="82" spans="1:46" s="327" customFormat="1" ht="15.75" customHeight="1">
      <c r="A82" s="229" t="s">
        <v>244</v>
      </c>
      <c r="B82" s="415">
        <v>3177033347.0100002</v>
      </c>
      <c r="C82" s="416">
        <v>107.94</v>
      </c>
      <c r="D82" s="415">
        <v>3236679498.5500002</v>
      </c>
      <c r="E82" s="416">
        <v>108.2</v>
      </c>
      <c r="F82" s="25">
        <f t="shared" si="50"/>
        <v>1.8774166030122004E-2</v>
      </c>
      <c r="G82" s="25">
        <f t="shared" si="51"/>
        <v>2.4087455994071254E-3</v>
      </c>
      <c r="H82" s="415">
        <v>3316064681.0300002</v>
      </c>
      <c r="I82" s="416">
        <v>108.38</v>
      </c>
      <c r="J82" s="25">
        <f t="shared" si="52"/>
        <v>2.4526735660903028E-2</v>
      </c>
      <c r="K82" s="25">
        <f t="shared" si="53"/>
        <v>1.663585951940782E-3</v>
      </c>
      <c r="L82" s="415">
        <v>3263215380.6500001</v>
      </c>
      <c r="M82" s="416">
        <v>108.62</v>
      </c>
      <c r="N82" s="25">
        <f t="shared" si="54"/>
        <v>-1.5937355107194302E-2</v>
      </c>
      <c r="O82" s="25">
        <f t="shared" si="55"/>
        <v>2.2144307067725514E-3</v>
      </c>
      <c r="P82" s="415">
        <v>3454094474.29</v>
      </c>
      <c r="Q82" s="416">
        <v>108.83</v>
      </c>
      <c r="R82" s="25">
        <f t="shared" si="56"/>
        <v>5.8494175644017293E-2</v>
      </c>
      <c r="S82" s="25">
        <f t="shared" si="57"/>
        <v>1.9333456085434888E-3</v>
      </c>
      <c r="T82" s="415">
        <v>3451020068.5500002</v>
      </c>
      <c r="U82" s="416">
        <v>109.05</v>
      </c>
      <c r="V82" s="25">
        <f t="shared" si="58"/>
        <v>-8.9007575296032543E-4</v>
      </c>
      <c r="W82" s="25">
        <f t="shared" si="59"/>
        <v>2.0215014242396293E-3</v>
      </c>
      <c r="X82" s="415">
        <v>3052117489.5700002</v>
      </c>
      <c r="Y82" s="416">
        <v>109.23</v>
      </c>
      <c r="Z82" s="25">
        <f t="shared" si="60"/>
        <v>-0.11558975927590162</v>
      </c>
      <c r="AA82" s="25">
        <f t="shared" si="61"/>
        <v>1.6506189821183569E-3</v>
      </c>
      <c r="AB82" s="415">
        <v>2436059436.8899999</v>
      </c>
      <c r="AC82" s="416">
        <v>109.07</v>
      </c>
      <c r="AD82" s="25">
        <f t="shared" si="62"/>
        <v>-0.20184611332468533</v>
      </c>
      <c r="AE82" s="25">
        <f t="shared" si="63"/>
        <v>-1.4647990478807178E-3</v>
      </c>
      <c r="AF82" s="415">
        <v>1987822943.95</v>
      </c>
      <c r="AG82" s="416">
        <v>108.19</v>
      </c>
      <c r="AH82" s="25">
        <f t="shared" si="64"/>
        <v>-0.18400063896316168</v>
      </c>
      <c r="AI82" s="25">
        <f t="shared" si="65"/>
        <v>-8.0682130741725078E-3</v>
      </c>
      <c r="AJ82" s="26">
        <f t="shared" si="66"/>
        <v>-5.2058608136107618E-2</v>
      </c>
      <c r="AK82" s="26">
        <f t="shared" si="67"/>
        <v>2.949020188710886E-4</v>
      </c>
      <c r="AL82" s="27">
        <f t="shared" si="68"/>
        <v>-0.38584498562785574</v>
      </c>
      <c r="AM82" s="27">
        <f t="shared" si="69"/>
        <v>-9.2421441774538963E-5</v>
      </c>
      <c r="AN82" s="28">
        <f t="shared" si="70"/>
        <v>0.1006469655942296</v>
      </c>
      <c r="AO82" s="85">
        <f t="shared" si="71"/>
        <v>3.5969843334721428E-3</v>
      </c>
      <c r="AP82" s="32"/>
      <c r="AQ82" s="30"/>
      <c r="AR82" s="30"/>
      <c r="AS82" s="31"/>
      <c r="AT82" s="31"/>
    </row>
    <row r="83" spans="1:46" s="331" customFormat="1" ht="15.75" customHeight="1">
      <c r="A83" s="229" t="s">
        <v>246</v>
      </c>
      <c r="B83" s="415">
        <v>377111955.44999999</v>
      </c>
      <c r="C83" s="416">
        <v>103.79</v>
      </c>
      <c r="D83" s="415">
        <v>376247887.04000002</v>
      </c>
      <c r="E83" s="416">
        <v>103.94</v>
      </c>
      <c r="F83" s="25">
        <f t="shared" si="50"/>
        <v>-2.2912782199357522E-3</v>
      </c>
      <c r="G83" s="25">
        <f t="shared" si="51"/>
        <v>1.4452259369880668E-3</v>
      </c>
      <c r="H83" s="415">
        <v>375006226.89999998</v>
      </c>
      <c r="I83" s="416">
        <v>104.1</v>
      </c>
      <c r="J83" s="25">
        <f t="shared" si="52"/>
        <v>-3.3001119282512828E-3</v>
      </c>
      <c r="K83" s="25">
        <f t="shared" si="53"/>
        <v>1.5393496247834962E-3</v>
      </c>
      <c r="L83" s="415">
        <v>374151599.19</v>
      </c>
      <c r="M83" s="416">
        <v>104.24</v>
      </c>
      <c r="N83" s="25">
        <f t="shared" si="54"/>
        <v>-2.2789693842280531E-3</v>
      </c>
      <c r="O83" s="25">
        <f t="shared" si="55"/>
        <v>1.3448607108549526E-3</v>
      </c>
      <c r="P83" s="415">
        <v>374748031.99000001</v>
      </c>
      <c r="Q83" s="416">
        <v>104.34</v>
      </c>
      <c r="R83" s="25">
        <f t="shared" si="56"/>
        <v>1.5940939482584815E-3</v>
      </c>
      <c r="S83" s="25">
        <f t="shared" si="57"/>
        <v>9.5932463545672034E-4</v>
      </c>
      <c r="T83" s="415">
        <v>371911922.69</v>
      </c>
      <c r="U83" s="416">
        <v>104.55</v>
      </c>
      <c r="V83" s="25">
        <f t="shared" si="58"/>
        <v>-7.5680432127678051E-3</v>
      </c>
      <c r="W83" s="25">
        <f t="shared" si="59"/>
        <v>2.0126509488211015E-3</v>
      </c>
      <c r="X83" s="415">
        <v>366691201.22000003</v>
      </c>
      <c r="Y83" s="416">
        <v>104.71</v>
      </c>
      <c r="Z83" s="25">
        <f t="shared" si="60"/>
        <v>-1.4037521121234934E-2</v>
      </c>
      <c r="AA83" s="25">
        <f t="shared" si="61"/>
        <v>1.5303682448588867E-3</v>
      </c>
      <c r="AB83" s="415">
        <v>367323796.73000002</v>
      </c>
      <c r="AC83" s="416">
        <v>104.89</v>
      </c>
      <c r="AD83" s="25">
        <f t="shared" si="62"/>
        <v>1.7251450481912667E-3</v>
      </c>
      <c r="AE83" s="25">
        <f t="shared" si="63"/>
        <v>1.7190335211537278E-3</v>
      </c>
      <c r="AF83" s="415">
        <v>368831698.93000001</v>
      </c>
      <c r="AG83" s="416">
        <v>105.13</v>
      </c>
      <c r="AH83" s="25">
        <f t="shared" si="64"/>
        <v>4.1051034902276316E-3</v>
      </c>
      <c r="AI83" s="25">
        <f t="shared" si="65"/>
        <v>2.2881113547525492E-3</v>
      </c>
      <c r="AJ83" s="26">
        <f t="shared" si="66"/>
        <v>-2.7564476724675556E-3</v>
      </c>
      <c r="AK83" s="26">
        <f t="shared" si="67"/>
        <v>1.6048656222086878E-3</v>
      </c>
      <c r="AL83" s="27">
        <f t="shared" si="68"/>
        <v>-1.9710909656780552E-2</v>
      </c>
      <c r="AM83" s="27">
        <f t="shared" si="69"/>
        <v>1.1448912834327475E-2</v>
      </c>
      <c r="AN83" s="28">
        <f t="shared" si="70"/>
        <v>5.821717699688477E-3</v>
      </c>
      <c r="AO83" s="85">
        <f t="shared" si="71"/>
        <v>4.0809674387716981E-4</v>
      </c>
      <c r="AP83" s="32"/>
      <c r="AQ83" s="30"/>
      <c r="AR83" s="30"/>
      <c r="AS83" s="31"/>
      <c r="AT83" s="31"/>
    </row>
    <row r="84" spans="1:46" s="347" customFormat="1" ht="15.75" customHeight="1">
      <c r="A84" s="229" t="s">
        <v>250</v>
      </c>
      <c r="B84" s="415">
        <v>913355019.49000001</v>
      </c>
      <c r="C84" s="416">
        <v>1.0246999999999999</v>
      </c>
      <c r="D84" s="415">
        <v>914541809.96000004</v>
      </c>
      <c r="E84" s="416">
        <v>1.026</v>
      </c>
      <c r="F84" s="25">
        <f t="shared" si="50"/>
        <v>1.2993747717757217E-3</v>
      </c>
      <c r="G84" s="25">
        <f t="shared" si="51"/>
        <v>1.2686639992193606E-3</v>
      </c>
      <c r="H84" s="415">
        <v>915588779.67999995</v>
      </c>
      <c r="I84" s="416">
        <v>1.0273000000000001</v>
      </c>
      <c r="J84" s="25">
        <f t="shared" si="52"/>
        <v>1.1448024667627841E-3</v>
      </c>
      <c r="K84" s="25">
        <f t="shared" si="53"/>
        <v>1.2670565302145018E-3</v>
      </c>
      <c r="L84" s="415">
        <v>914756400.62</v>
      </c>
      <c r="M84" s="416">
        <v>1.0286999999999999</v>
      </c>
      <c r="N84" s="25">
        <f t="shared" si="54"/>
        <v>-9.0911889537447247E-4</v>
      </c>
      <c r="O84" s="25">
        <f t="shared" si="55"/>
        <v>1.3627956779906996E-3</v>
      </c>
      <c r="P84" s="415">
        <v>910910438.12</v>
      </c>
      <c r="Q84" s="416">
        <v>1.0301</v>
      </c>
      <c r="R84" s="25">
        <f t="shared" si="56"/>
        <v>-4.2043570259724869E-3</v>
      </c>
      <c r="S84" s="25">
        <f t="shared" si="57"/>
        <v>1.3609409934869912E-3</v>
      </c>
      <c r="T84" s="415">
        <v>897085604.02999997</v>
      </c>
      <c r="U84" s="416">
        <v>1.0246999999999999</v>
      </c>
      <c r="V84" s="25">
        <f t="shared" si="58"/>
        <v>-1.5176941125554212E-2</v>
      </c>
      <c r="W84" s="25">
        <f t="shared" si="59"/>
        <v>-5.2422094942239312E-3</v>
      </c>
      <c r="X84" s="415">
        <v>894499702.17999995</v>
      </c>
      <c r="Y84" s="416">
        <v>1.0261</v>
      </c>
      <c r="Z84" s="25">
        <f t="shared" si="60"/>
        <v>-2.8825586302837908E-3</v>
      </c>
      <c r="AA84" s="25">
        <f t="shared" si="61"/>
        <v>1.3662535376208333E-3</v>
      </c>
      <c r="AB84" s="415">
        <v>889862484.91999996</v>
      </c>
      <c r="AC84" s="416">
        <v>1.0290999999999999</v>
      </c>
      <c r="AD84" s="25">
        <f t="shared" si="62"/>
        <v>-5.1841462313498279E-3</v>
      </c>
      <c r="AE84" s="25">
        <f t="shared" si="63"/>
        <v>2.9236916479874198E-3</v>
      </c>
      <c r="AF84" s="415">
        <v>888628441.63</v>
      </c>
      <c r="AG84" s="416">
        <v>1.0306999999999999</v>
      </c>
      <c r="AH84" s="25">
        <f t="shared" si="64"/>
        <v>-1.3867797675625175E-3</v>
      </c>
      <c r="AI84" s="25">
        <f t="shared" si="65"/>
        <v>1.5547565834224525E-3</v>
      </c>
      <c r="AJ84" s="26">
        <f t="shared" si="66"/>
        <v>-3.4124655546948503E-3</v>
      </c>
      <c r="AK84" s="26">
        <f t="shared" si="67"/>
        <v>7.3274368446479105E-4</v>
      </c>
      <c r="AL84" s="27">
        <f t="shared" si="68"/>
        <v>-2.8334809899105032E-2</v>
      </c>
      <c r="AM84" s="27">
        <f t="shared" si="69"/>
        <v>4.5808966861597723E-3</v>
      </c>
      <c r="AN84" s="28">
        <f t="shared" si="70"/>
        <v>5.2886659108306519E-3</v>
      </c>
      <c r="AO84" s="85">
        <f t="shared" si="71"/>
        <v>2.4767967960075679E-3</v>
      </c>
      <c r="AP84" s="32"/>
      <c r="AQ84" s="30"/>
      <c r="AR84" s="30"/>
      <c r="AS84" s="31"/>
      <c r="AT84" s="31"/>
    </row>
    <row r="85" spans="1:46" s="347" customFormat="1" ht="15.75" customHeight="1">
      <c r="A85" s="229" t="s">
        <v>263</v>
      </c>
      <c r="B85" s="415">
        <v>137978927.47999999</v>
      </c>
      <c r="C85" s="78">
        <v>1000</v>
      </c>
      <c r="D85" s="415">
        <v>137417001.59</v>
      </c>
      <c r="E85" s="78">
        <v>1000</v>
      </c>
      <c r="F85" s="25" t="e">
        <f>((#REF!-B85)/B85)</f>
        <v>#REF!</v>
      </c>
      <c r="G85" s="25">
        <f>((E85-C85)/C85)</f>
        <v>0</v>
      </c>
      <c r="H85" s="415">
        <v>390719255.54000002</v>
      </c>
      <c r="I85" s="78">
        <v>1000</v>
      </c>
      <c r="J85" s="25" t="e">
        <f>((#REF!-D85)/D85)</f>
        <v>#REF!</v>
      </c>
      <c r="K85" s="25">
        <f t="shared" ref="K85" si="72">((I85-E85)/E85)</f>
        <v>0</v>
      </c>
      <c r="L85" s="415">
        <v>394044089.04000002</v>
      </c>
      <c r="M85" s="78">
        <v>1000</v>
      </c>
      <c r="N85" s="25" t="e">
        <f>((#REF!-H85)/H85)</f>
        <v>#REF!</v>
      </c>
      <c r="O85" s="25">
        <f t="shared" ref="O85" si="73">((M85-I85)/I85)</f>
        <v>0</v>
      </c>
      <c r="P85" s="415">
        <v>396769617.08999997</v>
      </c>
      <c r="Q85" s="78">
        <v>1000</v>
      </c>
      <c r="R85" s="25" t="e">
        <f>((#REF!-L85)/L85)</f>
        <v>#REF!</v>
      </c>
      <c r="S85" s="25">
        <f t="shared" ref="S85" si="74">((Q85-M85)/M85)</f>
        <v>0</v>
      </c>
      <c r="T85" s="415">
        <v>398131809.37</v>
      </c>
      <c r="U85" s="78">
        <v>1000</v>
      </c>
      <c r="V85" s="25" t="e">
        <f>((#REF!-P85)/P85)</f>
        <v>#REF!</v>
      </c>
      <c r="W85" s="25">
        <f t="shared" ref="W85" si="75">((U85-Q85)/Q85)</f>
        <v>0</v>
      </c>
      <c r="X85" s="415">
        <v>402944942.54000002</v>
      </c>
      <c r="Y85" s="78">
        <v>1000</v>
      </c>
      <c r="Z85" s="25" t="e">
        <f>((#REF!-T85)/T85)</f>
        <v>#REF!</v>
      </c>
      <c r="AA85" s="25">
        <f t="shared" ref="AA85" si="76">((Y85-U85)/U85)</f>
        <v>0</v>
      </c>
      <c r="AB85" s="415">
        <v>413737915.79000002</v>
      </c>
      <c r="AC85" s="78">
        <v>1000</v>
      </c>
      <c r="AD85" s="25" t="e">
        <f>((#REF!-X85)/X85)</f>
        <v>#REF!</v>
      </c>
      <c r="AE85" s="25">
        <f t="shared" ref="AE85" si="77">((AC85-Y85)/Y85)</f>
        <v>0</v>
      </c>
      <c r="AF85" s="415">
        <v>414865997.49000001</v>
      </c>
      <c r="AG85" s="78">
        <v>1000</v>
      </c>
      <c r="AH85" s="25" t="e">
        <f>((#REF!-AB85)/AB85)</f>
        <v>#REF!</v>
      </c>
      <c r="AI85" s="25">
        <f t="shared" si="65"/>
        <v>0</v>
      </c>
      <c r="AJ85" s="26" t="e">
        <f t="shared" si="66"/>
        <v>#REF!</v>
      </c>
      <c r="AK85" s="26">
        <f t="shared" si="67"/>
        <v>0</v>
      </c>
      <c r="AL85" s="27">
        <f t="shared" si="68"/>
        <v>2.0190296156206502</v>
      </c>
      <c r="AM85" s="27">
        <f t="shared" si="69"/>
        <v>0</v>
      </c>
      <c r="AN85" s="28" t="e">
        <f t="shared" si="70"/>
        <v>#REF!</v>
      </c>
      <c r="AO85" s="85">
        <f t="shared" si="71"/>
        <v>0</v>
      </c>
      <c r="AP85" s="32"/>
      <c r="AQ85" s="30"/>
      <c r="AR85" s="30"/>
      <c r="AS85" s="31"/>
      <c r="AT85" s="31"/>
    </row>
    <row r="86" spans="1:46" s="131" customFormat="1" ht="15.75" customHeight="1">
      <c r="A86" s="229" t="s">
        <v>283</v>
      </c>
      <c r="B86" s="415"/>
      <c r="C86" s="78"/>
      <c r="D86" s="415"/>
      <c r="E86" s="78"/>
      <c r="F86" s="25" t="e">
        <f>((#REF!-B86)/B86)</f>
        <v>#REF!</v>
      </c>
      <c r="G86" s="25" t="e">
        <f>((E86-C86)/C86)</f>
        <v>#DIV/0!</v>
      </c>
      <c r="H86" s="415"/>
      <c r="I86" s="78"/>
      <c r="J86" s="25" t="e">
        <f>((#REF!-D86)/D86)</f>
        <v>#REF!</v>
      </c>
      <c r="K86" s="25" t="e">
        <f t="shared" si="53"/>
        <v>#DIV/0!</v>
      </c>
      <c r="L86" s="415"/>
      <c r="M86" s="78"/>
      <c r="N86" s="25" t="e">
        <f>((#REF!-H86)/H86)</f>
        <v>#REF!</v>
      </c>
      <c r="O86" s="25" t="e">
        <f t="shared" si="55"/>
        <v>#DIV/0!</v>
      </c>
      <c r="P86" s="415"/>
      <c r="Q86" s="78"/>
      <c r="R86" s="25" t="e">
        <f>((#REF!-L86)/L86)</f>
        <v>#REF!</v>
      </c>
      <c r="S86" s="25" t="e">
        <f t="shared" si="57"/>
        <v>#DIV/0!</v>
      </c>
      <c r="T86" s="415"/>
      <c r="U86" s="78"/>
      <c r="V86" s="25" t="e">
        <f>((#REF!-P86)/P86)</f>
        <v>#REF!</v>
      </c>
      <c r="W86" s="25" t="e">
        <f t="shared" si="59"/>
        <v>#DIV/0!</v>
      </c>
      <c r="X86" s="415"/>
      <c r="Y86" s="78"/>
      <c r="Z86" s="25" t="e">
        <f>((#REF!-T86)/T86)</f>
        <v>#REF!</v>
      </c>
      <c r="AA86" s="25" t="e">
        <f t="shared" si="61"/>
        <v>#DIV/0!</v>
      </c>
      <c r="AB86" s="415"/>
      <c r="AC86" s="78"/>
      <c r="AD86" s="25" t="e">
        <f>((#REF!-X86)/X86)</f>
        <v>#REF!</v>
      </c>
      <c r="AE86" s="25" t="e">
        <f t="shared" si="63"/>
        <v>#DIV/0!</v>
      </c>
      <c r="AF86" s="415">
        <v>52580649.780000001</v>
      </c>
      <c r="AG86" s="78">
        <v>101.70099999999999</v>
      </c>
      <c r="AH86" s="25" t="e">
        <f>((#REF!-AB86)/AB86)</f>
        <v>#REF!</v>
      </c>
      <c r="AI86" s="25" t="e">
        <f t="shared" si="65"/>
        <v>#DIV/0!</v>
      </c>
      <c r="AJ86" s="26" t="e">
        <f t="shared" si="66"/>
        <v>#REF!</v>
      </c>
      <c r="AK86" s="26" t="e">
        <f t="shared" si="67"/>
        <v>#DIV/0!</v>
      </c>
      <c r="AL86" s="27" t="e">
        <f t="shared" si="68"/>
        <v>#DIV/0!</v>
      </c>
      <c r="AM86" s="27" t="e">
        <f t="shared" si="69"/>
        <v>#DIV/0!</v>
      </c>
      <c r="AN86" s="28" t="e">
        <f t="shared" si="70"/>
        <v>#REF!</v>
      </c>
      <c r="AO86" s="85" t="e">
        <f t="shared" si="71"/>
        <v>#DIV/0!</v>
      </c>
      <c r="AP86" s="32"/>
      <c r="AQ86" s="30"/>
      <c r="AR86" s="30"/>
      <c r="AS86" s="31"/>
      <c r="AT86" s="31"/>
    </row>
    <row r="87" spans="1:46">
      <c r="A87" s="231" t="s">
        <v>47</v>
      </c>
      <c r="B87" s="82">
        <f>SUM(B56:B86)</f>
        <v>363697756606.80829</v>
      </c>
      <c r="C87" s="98"/>
      <c r="D87" s="82">
        <f>SUM(D56:D86)</f>
        <v>358756134715.60413</v>
      </c>
      <c r="E87" s="98"/>
      <c r="F87" s="25">
        <f>((D86-B87)/B87)</f>
        <v>-1</v>
      </c>
      <c r="G87" s="25"/>
      <c r="H87" s="82">
        <f>SUM(H56:H86)</f>
        <v>354067957931.39105</v>
      </c>
      <c r="I87" s="98"/>
      <c r="J87" s="25">
        <f>((H86-D87)/D87)</f>
        <v>-1</v>
      </c>
      <c r="K87" s="25"/>
      <c r="L87" s="82">
        <f>SUM(L56:L86)</f>
        <v>350413185415.0213</v>
      </c>
      <c r="M87" s="98"/>
      <c r="N87" s="25">
        <f>((L86-H87)/H87)</f>
        <v>-1</v>
      </c>
      <c r="O87" s="25"/>
      <c r="P87" s="82">
        <f>SUM(P56:P86)</f>
        <v>343631563073.46741</v>
      </c>
      <c r="Q87" s="98"/>
      <c r="R87" s="25">
        <f>((P86-L87)/L87)</f>
        <v>-1</v>
      </c>
      <c r="S87" s="25"/>
      <c r="T87" s="82">
        <f>SUM(T56:T86)</f>
        <v>342322079001.19733</v>
      </c>
      <c r="U87" s="98"/>
      <c r="V87" s="25">
        <f>((T86-P87)/P87)</f>
        <v>-1</v>
      </c>
      <c r="W87" s="25"/>
      <c r="X87" s="82">
        <f>SUM(X56:X86)</f>
        <v>341163967419.0567</v>
      </c>
      <c r="Y87" s="98"/>
      <c r="Z87" s="25">
        <f>((X86-T87)/T87)</f>
        <v>-1</v>
      </c>
      <c r="AA87" s="25"/>
      <c r="AB87" s="82">
        <f>SUM(AB56:AB86)</f>
        <v>337768215375.69989</v>
      </c>
      <c r="AC87" s="98"/>
      <c r="AD87" s="25">
        <f>((AB86-X87)/X87)</f>
        <v>-1</v>
      </c>
      <c r="AE87" s="25"/>
      <c r="AF87" s="82">
        <f>SUM(AF56:AF86)</f>
        <v>337962376179.40198</v>
      </c>
      <c r="AG87" s="98"/>
      <c r="AH87" s="25">
        <f>((AF86-AB87)/AB87)</f>
        <v>-0.99984432919562449</v>
      </c>
      <c r="AI87" s="25"/>
      <c r="AJ87" s="26">
        <f t="shared" si="66"/>
        <v>-0.99998054114945312</v>
      </c>
      <c r="AK87" s="26"/>
      <c r="AL87" s="27">
        <f t="shared" si="68"/>
        <v>-5.7960705125463384E-2</v>
      </c>
      <c r="AM87" s="27"/>
      <c r="AN87" s="28">
        <f t="shared" si="70"/>
        <v>5.503794070334284E-5</v>
      </c>
      <c r="AO87" s="85"/>
      <c r="AP87" s="32"/>
      <c r="AQ87" s="42"/>
      <c r="AR87" s="15"/>
      <c r="AS87" s="31" t="e">
        <f>(#REF!/AQ87)-1</f>
        <v>#REF!</v>
      </c>
      <c r="AT87" s="31" t="e">
        <f>(#REF!/AR87)-1</f>
        <v>#REF!</v>
      </c>
    </row>
    <row r="88" spans="1:46" s="131" customFormat="1" ht="7.5" customHeight="1">
      <c r="A88" s="231"/>
      <c r="B88" s="98"/>
      <c r="C88" s="98"/>
      <c r="D88" s="98"/>
      <c r="E88" s="98"/>
      <c r="F88" s="25"/>
      <c r="G88" s="25"/>
      <c r="H88" s="98"/>
      <c r="I88" s="98"/>
      <c r="J88" s="25"/>
      <c r="K88" s="25"/>
      <c r="L88" s="98"/>
      <c r="M88" s="98"/>
      <c r="N88" s="25"/>
      <c r="O88" s="25"/>
      <c r="P88" s="98"/>
      <c r="Q88" s="98"/>
      <c r="R88" s="25"/>
      <c r="S88" s="25"/>
      <c r="T88" s="98"/>
      <c r="U88" s="98"/>
      <c r="V88" s="25"/>
      <c r="W88" s="25"/>
      <c r="X88" s="98"/>
      <c r="Y88" s="98"/>
      <c r="Z88" s="25"/>
      <c r="AA88" s="25"/>
      <c r="AB88" s="98"/>
      <c r="AC88" s="98"/>
      <c r="AD88" s="25"/>
      <c r="AE88" s="25"/>
      <c r="AF88" s="98"/>
      <c r="AG88" s="98"/>
      <c r="AH88" s="25"/>
      <c r="AI88" s="25"/>
      <c r="AJ88" s="26"/>
      <c r="AK88" s="26"/>
      <c r="AL88" s="27"/>
      <c r="AM88" s="27"/>
      <c r="AN88" s="28"/>
      <c r="AO88" s="85"/>
      <c r="AP88" s="32"/>
      <c r="AQ88" s="42"/>
      <c r="AR88" s="15"/>
      <c r="AS88" s="31"/>
      <c r="AT88" s="31"/>
    </row>
    <row r="89" spans="1:46" s="131" customFormat="1">
      <c r="A89" s="228" t="s">
        <v>214</v>
      </c>
      <c r="B89" s="98"/>
      <c r="C89" s="98"/>
      <c r="D89" s="98"/>
      <c r="E89" s="98"/>
      <c r="F89" s="25"/>
      <c r="G89" s="25"/>
      <c r="H89" s="98"/>
      <c r="I89" s="98"/>
      <c r="J89" s="25"/>
      <c r="K89" s="25"/>
      <c r="L89" s="98"/>
      <c r="M89" s="98"/>
      <c r="N89" s="25"/>
      <c r="O89" s="25"/>
      <c r="P89" s="98"/>
      <c r="Q89" s="98"/>
      <c r="R89" s="25"/>
      <c r="S89" s="25"/>
      <c r="T89" s="98"/>
      <c r="U89" s="98"/>
      <c r="V89" s="25"/>
      <c r="W89" s="25"/>
      <c r="X89" s="98"/>
      <c r="Y89" s="98"/>
      <c r="Z89" s="25"/>
      <c r="AA89" s="25"/>
      <c r="AB89" s="98"/>
      <c r="AC89" s="98"/>
      <c r="AD89" s="25"/>
      <c r="AE89" s="25"/>
      <c r="AF89" s="98"/>
      <c r="AG89" s="98"/>
      <c r="AH89" s="25"/>
      <c r="AI89" s="25"/>
      <c r="AJ89" s="26"/>
      <c r="AK89" s="26"/>
      <c r="AL89" s="27"/>
      <c r="AM89" s="27"/>
      <c r="AN89" s="28"/>
      <c r="AO89" s="85"/>
      <c r="AP89" s="32"/>
      <c r="AQ89" s="42"/>
      <c r="AR89" s="15"/>
      <c r="AS89" s="31"/>
      <c r="AT89" s="31"/>
    </row>
    <row r="90" spans="1:46" s="131" customFormat="1">
      <c r="A90" s="227" t="s">
        <v>215</v>
      </c>
      <c r="B90" s="98"/>
      <c r="C90" s="98"/>
      <c r="D90" s="98"/>
      <c r="E90" s="98"/>
      <c r="F90" s="25"/>
      <c r="G90" s="25"/>
      <c r="H90" s="98"/>
      <c r="I90" s="98"/>
      <c r="J90" s="25"/>
      <c r="K90" s="25"/>
      <c r="L90" s="98"/>
      <c r="M90" s="98"/>
      <c r="N90" s="25"/>
      <c r="O90" s="25"/>
      <c r="P90" s="98"/>
      <c r="Q90" s="98"/>
      <c r="R90" s="25"/>
      <c r="S90" s="25"/>
      <c r="T90" s="98"/>
      <c r="U90" s="98"/>
      <c r="V90" s="25"/>
      <c r="W90" s="25"/>
      <c r="X90" s="98"/>
      <c r="Y90" s="98"/>
      <c r="Z90" s="25"/>
      <c r="AA90" s="25"/>
      <c r="AB90" s="98"/>
      <c r="AC90" s="98"/>
      <c r="AD90" s="25"/>
      <c r="AE90" s="25"/>
      <c r="AF90" s="98"/>
      <c r="AG90" s="98"/>
      <c r="AH90" s="25"/>
      <c r="AI90" s="25"/>
      <c r="AJ90" s="26"/>
      <c r="AK90" s="26"/>
      <c r="AL90" s="27"/>
      <c r="AM90" s="27"/>
      <c r="AN90" s="28"/>
      <c r="AO90" s="85"/>
      <c r="AP90" s="32"/>
      <c r="AQ90" s="42"/>
      <c r="AR90" s="15"/>
      <c r="AS90" s="31"/>
      <c r="AT90" s="31"/>
    </row>
    <row r="91" spans="1:46">
      <c r="A91" s="229" t="s">
        <v>264</v>
      </c>
      <c r="B91" s="415">
        <v>13022125321.58</v>
      </c>
      <c r="C91" s="415">
        <v>56487.7</v>
      </c>
      <c r="D91" s="415">
        <v>12764670705.879999</v>
      </c>
      <c r="E91" s="415">
        <v>56513.73</v>
      </c>
      <c r="F91" s="25">
        <f>((D91-B91)/B91)</f>
        <v>-1.9770552758646257E-2</v>
      </c>
      <c r="G91" s="25">
        <f>((E91-C91)/C91)</f>
        <v>4.6080828215710876E-4</v>
      </c>
      <c r="H91" s="415">
        <v>12902215647.709999</v>
      </c>
      <c r="I91" s="415">
        <v>56793.64</v>
      </c>
      <c r="J91" s="25">
        <f>((H91-D91)/D91)</f>
        <v>1.0775439883979172E-2</v>
      </c>
      <c r="K91" s="25">
        <f t="shared" ref="K91:K96" si="78">((I91-E91)/E91)</f>
        <v>4.9529556799736314E-3</v>
      </c>
      <c r="L91" s="415">
        <v>12891306352.860001</v>
      </c>
      <c r="M91" s="415">
        <v>56822.925000000003</v>
      </c>
      <c r="N91" s="25">
        <f>((L91-H91)/H91)</f>
        <v>-8.4553654565018479E-4</v>
      </c>
      <c r="O91" s="25">
        <f t="shared" ref="O91:O96" si="79">((M91-I91)/I91)</f>
        <v>5.1563872292748785E-4</v>
      </c>
      <c r="P91" s="415">
        <v>12836548811.030001</v>
      </c>
      <c r="Q91" s="415">
        <v>53300.73</v>
      </c>
      <c r="R91" s="25">
        <f>((P91-L91)/L91)</f>
        <v>-4.2476332755719279E-3</v>
      </c>
      <c r="S91" s="25">
        <f t="shared" ref="S91:S96" si="80">((Q91-M91)/M91)</f>
        <v>-6.1985457454011732E-2</v>
      </c>
      <c r="T91" s="415">
        <v>12702427933.76</v>
      </c>
      <c r="U91" s="415">
        <v>53265.919999999998</v>
      </c>
      <c r="V91" s="25">
        <f>((T91-P91)/P91)</f>
        <v>-1.0448359543084903E-2</v>
      </c>
      <c r="W91" s="25">
        <f t="shared" ref="W91:W96" si="81">((U91-Q91)/Q91)</f>
        <v>-6.5308674008789276E-4</v>
      </c>
      <c r="X91" s="415">
        <v>12656466883.27</v>
      </c>
      <c r="Y91" s="415">
        <v>53454.98</v>
      </c>
      <c r="Z91" s="25">
        <f>((X91-T91)/T91)</f>
        <v>-3.6182886240075682E-3</v>
      </c>
      <c r="AA91" s="25">
        <f t="shared" ref="AA91:AA96" si="82">((Y91-U91)/U91)</f>
        <v>3.5493613928005928E-3</v>
      </c>
      <c r="AB91" s="415">
        <v>12878418727.9</v>
      </c>
      <c r="AC91" s="415">
        <v>54125.82</v>
      </c>
      <c r="AD91" s="25">
        <f>((AB91-X91)/X91)</f>
        <v>1.7536635356221495E-2</v>
      </c>
      <c r="AE91" s="25">
        <f t="shared" ref="AE91:AE96" si="83">((AC91-Y91)/Y91)</f>
        <v>1.2549625872088932E-2</v>
      </c>
      <c r="AF91" s="415">
        <v>13021036875.49</v>
      </c>
      <c r="AG91" s="415">
        <v>54793.7</v>
      </c>
      <c r="AH91" s="25">
        <f>((AF91-AB91)/AB91)</f>
        <v>1.1074197120259031E-2</v>
      </c>
      <c r="AI91" s="25">
        <f t="shared" ref="AI91:AI96" si="84">((AG91-AC91)/AC91)</f>
        <v>1.23393973523172E-2</v>
      </c>
      <c r="AJ91" s="26">
        <f t="shared" si="66"/>
        <v>5.698770168735697E-5</v>
      </c>
      <c r="AK91" s="26">
        <f t="shared" si="67"/>
        <v>-3.5338446114793346E-3</v>
      </c>
      <c r="AL91" s="27">
        <f t="shared" si="68"/>
        <v>2.0084040984457707E-2</v>
      </c>
      <c r="AM91" s="27">
        <f t="shared" si="69"/>
        <v>-3.0435612726323426E-2</v>
      </c>
      <c r="AN91" s="28">
        <f t="shared" si="70"/>
        <v>1.2410524634748631E-2</v>
      </c>
      <c r="AO91" s="85">
        <f t="shared" si="71"/>
        <v>2.4172241448601077E-2</v>
      </c>
      <c r="AP91" s="32"/>
      <c r="AQ91" s="51">
        <v>31507613595.857655</v>
      </c>
      <c r="AR91" s="51">
        <v>11.808257597614354</v>
      </c>
      <c r="AS91" s="31" t="e">
        <f>(#REF!/AQ91)-1</f>
        <v>#REF!</v>
      </c>
      <c r="AT91" s="31" t="e">
        <f>(#REF!/AR91)-1</f>
        <v>#REF!</v>
      </c>
    </row>
    <row r="92" spans="1:46">
      <c r="A92" s="229" t="s">
        <v>179</v>
      </c>
      <c r="B92" s="415">
        <v>75730822090.130005</v>
      </c>
      <c r="C92" s="415">
        <v>55235.37</v>
      </c>
      <c r="D92" s="415">
        <v>75730822090.130005</v>
      </c>
      <c r="E92" s="415">
        <v>55235.37</v>
      </c>
      <c r="F92" s="25">
        <f>((D103-B92)/B92)</f>
        <v>-0.91713719595871313</v>
      </c>
      <c r="G92" s="25">
        <f t="shared" ref="G92:G98" si="85">((E92-C92)/C92)</f>
        <v>0</v>
      </c>
      <c r="H92" s="415">
        <v>75362455729.460007</v>
      </c>
      <c r="I92" s="415">
        <v>55472.34</v>
      </c>
      <c r="J92" s="25">
        <f>((H103-D92)/D92)</f>
        <v>-0.92237121681059653</v>
      </c>
      <c r="K92" s="25">
        <f t="shared" si="78"/>
        <v>4.2901857994251487E-3</v>
      </c>
      <c r="L92" s="415">
        <v>73287537238.800003</v>
      </c>
      <c r="M92" s="415">
        <v>55518.54</v>
      </c>
      <c r="N92" s="25">
        <f>((L103-H92)/H92)</f>
        <v>-0.9218693438806258</v>
      </c>
      <c r="O92" s="25">
        <f t="shared" si="79"/>
        <v>8.3284750562179937E-4</v>
      </c>
      <c r="P92" s="415">
        <v>74276645545.570007</v>
      </c>
      <c r="Q92" s="415">
        <v>55656.99</v>
      </c>
      <c r="R92" s="25">
        <f>((P103-L92)/L92)</f>
        <v>-0.91957421709663512</v>
      </c>
      <c r="S92" s="25">
        <f t="shared" si="80"/>
        <v>2.4937615434411117E-3</v>
      </c>
      <c r="T92" s="415">
        <v>73982899938.139999</v>
      </c>
      <c r="U92" s="415">
        <v>55590.19</v>
      </c>
      <c r="V92" s="25">
        <f>((T103-P92)/P92)</f>
        <v>-0.91943160687717784</v>
      </c>
      <c r="W92" s="25">
        <f t="shared" si="81"/>
        <v>-1.2002086350698382E-3</v>
      </c>
      <c r="X92" s="415">
        <v>74343023418.369995</v>
      </c>
      <c r="Y92" s="415">
        <v>55793.39</v>
      </c>
      <c r="Z92" s="25">
        <f>((X103-T92)/T92)</f>
        <v>-0.91885433448229692</v>
      </c>
      <c r="AA92" s="25">
        <f t="shared" si="82"/>
        <v>3.6553211996576567E-3</v>
      </c>
      <c r="AB92" s="415">
        <v>76579811268.139999</v>
      </c>
      <c r="AC92" s="415">
        <v>56477.77</v>
      </c>
      <c r="AD92" s="25">
        <f>((AB103-X92)/X92)</f>
        <v>-0.9191318455654246</v>
      </c>
      <c r="AE92" s="25">
        <f t="shared" si="83"/>
        <v>1.2266327606191296E-2</v>
      </c>
      <c r="AF92" s="415">
        <v>77171782276.050003</v>
      </c>
      <c r="AG92" s="415">
        <v>57162.11</v>
      </c>
      <c r="AH92" s="25">
        <f>((AF103-AB92)/AB92)</f>
        <v>-0.92456485317673576</v>
      </c>
      <c r="AI92" s="25">
        <f t="shared" si="84"/>
        <v>1.2116979831179663E-2</v>
      </c>
      <c r="AJ92" s="26">
        <f t="shared" si="66"/>
        <v>-0.92036682673102577</v>
      </c>
      <c r="AK92" s="26">
        <f t="shared" si="67"/>
        <v>4.3069018563058545E-3</v>
      </c>
      <c r="AL92" s="27">
        <f t="shared" si="68"/>
        <v>1.9027393948068582E-2</v>
      </c>
      <c r="AM92" s="27">
        <f t="shared" si="69"/>
        <v>3.4882358894309892E-2</v>
      </c>
      <c r="AN92" s="28">
        <f t="shared" si="70"/>
        <v>2.3798185954182001E-3</v>
      </c>
      <c r="AO92" s="85">
        <f t="shared" si="71"/>
        <v>5.196273582508599E-3</v>
      </c>
      <c r="AP92" s="32"/>
      <c r="AQ92" s="42">
        <f>SUM(AQ91:AQ91)</f>
        <v>31507613595.857655</v>
      </c>
      <c r="AR92" s="15"/>
      <c r="AS92" s="31" t="e">
        <f>(#REF!/AQ92)-1</f>
        <v>#REF!</v>
      </c>
      <c r="AT92" s="31" t="e">
        <f>(#REF!/AR92)-1</f>
        <v>#REF!</v>
      </c>
    </row>
    <row r="93" spans="1:46">
      <c r="A93" s="229" t="s">
        <v>131</v>
      </c>
      <c r="B93" s="415">
        <v>5898328148.3800001</v>
      </c>
      <c r="C93" s="415">
        <v>438.35</v>
      </c>
      <c r="D93" s="415">
        <v>5961516667.3900003</v>
      </c>
      <c r="E93" s="415">
        <v>439.76</v>
      </c>
      <c r="F93" s="25">
        <f>((D104-B93)/B93)</f>
        <v>-0.9448082479186225</v>
      </c>
      <c r="G93" s="25">
        <f t="shared" si="85"/>
        <v>3.2166077335461802E-3</v>
      </c>
      <c r="H93" s="415">
        <v>5979998656.75</v>
      </c>
      <c r="I93" s="415">
        <v>441.33</v>
      </c>
      <c r="J93" s="25">
        <f>((H104-D93)/D93)</f>
        <v>-0.94091425645645077</v>
      </c>
      <c r="K93" s="25">
        <f t="shared" si="78"/>
        <v>3.5701291613607269E-3</v>
      </c>
      <c r="L93" s="415">
        <v>6006254230.4300003</v>
      </c>
      <c r="M93" s="429">
        <v>442.99</v>
      </c>
      <c r="N93" s="25">
        <f>((L104-H93)/H93)</f>
        <v>-0.94229076853044724</v>
      </c>
      <c r="O93" s="25">
        <f t="shared" si="79"/>
        <v>3.7613577141821881E-3</v>
      </c>
      <c r="P93" s="415">
        <v>6024048258.8599997</v>
      </c>
      <c r="Q93" s="415">
        <v>443.87</v>
      </c>
      <c r="R93" s="25">
        <f>((P104-L93)/L93)</f>
        <v>-0.94181428042299509</v>
      </c>
      <c r="S93" s="25">
        <f t="shared" si="80"/>
        <v>1.9865008239463543E-3</v>
      </c>
      <c r="T93" s="415">
        <v>6050018172.0799999</v>
      </c>
      <c r="U93" s="415">
        <v>444.54</v>
      </c>
      <c r="V93" s="25">
        <f>((T104-P93)/P93)</f>
        <v>-0.94220605890267473</v>
      </c>
      <c r="W93" s="25">
        <f t="shared" si="81"/>
        <v>1.5094509653727801E-3</v>
      </c>
      <c r="X93" s="415">
        <v>6064128697.0799999</v>
      </c>
      <c r="Y93" s="415">
        <v>445.15</v>
      </c>
      <c r="Z93" s="25">
        <f>((X104-T93)/T93)</f>
        <v>-0.94255098627406164</v>
      </c>
      <c r="AA93" s="25">
        <f t="shared" si="82"/>
        <v>1.3722049759300778E-3</v>
      </c>
      <c r="AB93" s="415">
        <v>6081211190.8699999</v>
      </c>
      <c r="AC93" s="415">
        <v>445.96</v>
      </c>
      <c r="AD93" s="25">
        <f>((AB104-X93)/X93)</f>
        <v>-0.94271835895612455</v>
      </c>
      <c r="AE93" s="25">
        <f t="shared" si="83"/>
        <v>1.8196113669549643E-3</v>
      </c>
      <c r="AF93" s="415">
        <v>6116811736.6400003</v>
      </c>
      <c r="AG93" s="415">
        <v>446.63</v>
      </c>
      <c r="AH93" s="25">
        <f>((AF104-AB93)/AB93)</f>
        <v>-0.94264323816221551</v>
      </c>
      <c r="AI93" s="25">
        <f t="shared" si="84"/>
        <v>1.5023768947888061E-3</v>
      </c>
      <c r="AJ93" s="26">
        <f t="shared" si="66"/>
        <v>-0.94249327445294895</v>
      </c>
      <c r="AK93" s="26">
        <f t="shared" si="67"/>
        <v>2.34227995451026E-3</v>
      </c>
      <c r="AL93" s="27">
        <f t="shared" si="68"/>
        <v>2.6049590718998934E-2</v>
      </c>
      <c r="AM93" s="27">
        <f t="shared" si="69"/>
        <v>1.5622157540476635E-2</v>
      </c>
      <c r="AN93" s="28">
        <f t="shared" si="70"/>
        <v>1.1028156882454017E-3</v>
      </c>
      <c r="AO93" s="85">
        <f t="shared" si="71"/>
        <v>1.001833491230605E-3</v>
      </c>
      <c r="AP93" s="32"/>
      <c r="AQ93" s="42"/>
      <c r="AR93" s="15"/>
      <c r="AS93" s="31" t="e">
        <f>(#REF!/AQ93)-1</f>
        <v>#REF!</v>
      </c>
      <c r="AT93" s="31" t="e">
        <f>(#REF!/AR93)-1</f>
        <v>#REF!</v>
      </c>
    </row>
    <row r="94" spans="1:46">
      <c r="A94" s="229" t="s">
        <v>139</v>
      </c>
      <c r="B94" s="415">
        <v>711729587.75999999</v>
      </c>
      <c r="C94" s="415">
        <v>49490.03</v>
      </c>
      <c r="D94" s="415">
        <v>712230424.13999999</v>
      </c>
      <c r="E94" s="415">
        <v>49538.2</v>
      </c>
      <c r="F94" s="25">
        <f>((D105-B94)/B94)</f>
        <v>1.5488474525280795</v>
      </c>
      <c r="G94" s="25">
        <f t="shared" si="85"/>
        <v>9.7332735502480509E-4</v>
      </c>
      <c r="H94" s="415">
        <v>713393693.88</v>
      </c>
      <c r="I94" s="415">
        <v>49611.81</v>
      </c>
      <c r="J94" s="25">
        <f>((H105-D94)/D94)</f>
        <v>1.548561986602107</v>
      </c>
      <c r="K94" s="25">
        <f t="shared" si="78"/>
        <v>1.4859239940086758E-3</v>
      </c>
      <c r="L94" s="415">
        <v>713866356.21000004</v>
      </c>
      <c r="M94" s="415">
        <v>49654.06</v>
      </c>
      <c r="N94" s="25">
        <f>((L105-H94)/H94)</f>
        <v>1.5501264246373407</v>
      </c>
      <c r="O94" s="25">
        <f t="shared" si="79"/>
        <v>8.5161174325226198E-4</v>
      </c>
      <c r="P94" s="415">
        <v>721523549.25</v>
      </c>
      <c r="Q94" s="415">
        <v>50626.080000000002</v>
      </c>
      <c r="R94" s="25">
        <f>((P105-L94)/L94)</f>
        <v>1.4900802507891018</v>
      </c>
      <c r="S94" s="25">
        <f t="shared" si="80"/>
        <v>1.9575841331001011E-2</v>
      </c>
      <c r="T94" s="415">
        <v>764793500.75440013</v>
      </c>
      <c r="U94" s="415">
        <v>52256.270140640001</v>
      </c>
      <c r="V94" s="25">
        <f>((T105-P94)/P94)</f>
        <v>1.4658254666066259</v>
      </c>
      <c r="W94" s="25">
        <f t="shared" si="81"/>
        <v>3.220059978256265E-2</v>
      </c>
      <c r="X94" s="415">
        <f>1720402.65*445.65</f>
        <v>766697440.97249997</v>
      </c>
      <c r="Y94" s="415">
        <f>120.75*445.65</f>
        <v>53812.237499999996</v>
      </c>
      <c r="Z94" s="25">
        <f>((X105-T94)/T94)</f>
        <v>1.2728006096611006</v>
      </c>
      <c r="AA94" s="25">
        <f t="shared" si="82"/>
        <v>2.9775706440056653E-2</v>
      </c>
      <c r="AB94" s="415">
        <v>761779373.22479999</v>
      </c>
      <c r="AC94" s="415">
        <v>54444.433571360001</v>
      </c>
      <c r="AD94" s="25">
        <f>((AB105-X94)/X94)</f>
        <v>1.2959589808668879</v>
      </c>
      <c r="AE94" s="25">
        <f t="shared" si="83"/>
        <v>1.1748184069841097E-2</v>
      </c>
      <c r="AF94" s="415">
        <v>761779373.22479999</v>
      </c>
      <c r="AG94" s="415">
        <v>54444.433571360001</v>
      </c>
      <c r="AH94" s="25">
        <f>((AF105-AB94)/AB94)</f>
        <v>1.3656378515974266</v>
      </c>
      <c r="AI94" s="25">
        <f t="shared" si="84"/>
        <v>0</v>
      </c>
      <c r="AJ94" s="26">
        <f t="shared" si="66"/>
        <v>1.4422298779110836</v>
      </c>
      <c r="AK94" s="26">
        <f t="shared" si="67"/>
        <v>1.2076399339468394E-2</v>
      </c>
      <c r="AL94" s="27">
        <f t="shared" si="68"/>
        <v>6.9568706145387002E-2</v>
      </c>
      <c r="AM94" s="27">
        <f t="shared" si="69"/>
        <v>9.903939931931327E-2</v>
      </c>
      <c r="AN94" s="28">
        <f t="shared" si="70"/>
        <v>0.11534401346683791</v>
      </c>
      <c r="AO94" s="85">
        <f t="shared" si="71"/>
        <v>1.3532341809179933E-2</v>
      </c>
      <c r="AP94" s="32"/>
      <c r="AQ94" s="30">
        <v>885354617.76999998</v>
      </c>
      <c r="AR94" s="30">
        <v>1763.14</v>
      </c>
      <c r="AS94" s="31" t="e">
        <f>(#REF!/AQ94)-1</f>
        <v>#REF!</v>
      </c>
      <c r="AT94" s="31" t="e">
        <f>(#REF!/AR94)-1</f>
        <v>#REF!</v>
      </c>
    </row>
    <row r="95" spans="1:46">
      <c r="A95" s="229" t="s">
        <v>157</v>
      </c>
      <c r="B95" s="415">
        <v>755934212.65999997</v>
      </c>
      <c r="C95" s="415">
        <f>106.3507*438.85</f>
        <v>46672.004695000003</v>
      </c>
      <c r="D95" s="415">
        <v>758268224.58000004</v>
      </c>
      <c r="E95" s="415">
        <f>106.3375*440.26</f>
        <v>46816.147750000004</v>
      </c>
      <c r="F95" s="25">
        <f>((D106-B95)/B95)</f>
        <v>-0.88280121235914011</v>
      </c>
      <c r="G95" s="25">
        <f t="shared" si="85"/>
        <v>3.0884264762563881E-3</v>
      </c>
      <c r="H95" s="415">
        <v>761595166.39999998</v>
      </c>
      <c r="I95" s="415">
        <f>106.5706*441.83</f>
        <v>47086.088197999998</v>
      </c>
      <c r="J95" s="25">
        <f>((H106-D95)/D95)</f>
        <v>-0.87434997789499491</v>
      </c>
      <c r="K95" s="25">
        <f t="shared" si="78"/>
        <v>5.7659688157489187E-3</v>
      </c>
      <c r="L95" s="415">
        <v>766221047.96000004</v>
      </c>
      <c r="M95" s="415">
        <v>47317.234220999999</v>
      </c>
      <c r="N95" s="25">
        <f>((L106-H95)/H95)</f>
        <v>-0.87233493432003495</v>
      </c>
      <c r="O95" s="25">
        <f t="shared" si="79"/>
        <v>4.9090088356462617E-3</v>
      </c>
      <c r="P95" s="415">
        <v>777494503.40999997</v>
      </c>
      <c r="Q95" s="415">
        <v>47464.226188000001</v>
      </c>
      <c r="R95" s="25">
        <f>((P106-L95)/L95)</f>
        <v>-0.87101746284166381</v>
      </c>
      <c r="S95" s="25">
        <f t="shared" si="80"/>
        <v>3.1065206878631299E-3</v>
      </c>
      <c r="T95" s="415">
        <v>780384386.80999994</v>
      </c>
      <c r="U95" s="415">
        <f>106.8043*445.04</f>
        <v>47532.185672</v>
      </c>
      <c r="V95" s="25">
        <f>((T106-P95)/P95)</f>
        <v>-0.87221608894435021</v>
      </c>
      <c r="W95" s="25">
        <f t="shared" si="81"/>
        <v>1.4318043178628858E-3</v>
      </c>
      <c r="X95" s="415">
        <v>760295175.13999999</v>
      </c>
      <c r="Y95" s="415">
        <f>106.9263*445.65</f>
        <v>47651.705594999999</v>
      </c>
      <c r="Z95" s="25">
        <f>((X106-T95)/T95)</f>
        <v>-0.87313640333746945</v>
      </c>
      <c r="AA95" s="25">
        <f t="shared" si="82"/>
        <v>2.5145050939747965E-3</v>
      </c>
      <c r="AB95" s="415">
        <v>775249899.63999999</v>
      </c>
      <c r="AC95" s="415">
        <f>107.0481*446.32</f>
        <v>47777.707992000003</v>
      </c>
      <c r="AD95" s="25">
        <f>((AB106-X95)/X95)</f>
        <v>-0.868550884567172</v>
      </c>
      <c r="AE95" s="25">
        <f t="shared" si="83"/>
        <v>2.6442368730915902E-3</v>
      </c>
      <c r="AF95" s="415">
        <v>773912498.41999996</v>
      </c>
      <c r="AG95" s="415">
        <f>107.1676*446.13</f>
        <v>47810.681387999997</v>
      </c>
      <c r="AH95" s="25">
        <f>((AF106-AB95)/AB95)</f>
        <v>-0.87066644362474588</v>
      </c>
      <c r="AI95" s="25">
        <f t="shared" si="84"/>
        <v>6.9014185455516385E-4</v>
      </c>
      <c r="AJ95" s="26">
        <f t="shared" si="66"/>
        <v>-0.87313417598619647</v>
      </c>
      <c r="AK95" s="26">
        <f t="shared" si="67"/>
        <v>3.0188266193748921E-3</v>
      </c>
      <c r="AL95" s="27">
        <f t="shared" si="68"/>
        <v>2.0631583037341673E-2</v>
      </c>
      <c r="AM95" s="27">
        <f t="shared" si="69"/>
        <v>2.1243388997122119E-2</v>
      </c>
      <c r="AN95" s="28">
        <f t="shared" si="70"/>
        <v>4.2759824319994044E-3</v>
      </c>
      <c r="AO95" s="85">
        <f t="shared" si="71"/>
        <v>1.6676837506783239E-3</v>
      </c>
      <c r="AP95" s="32"/>
      <c r="AQ95" s="35">
        <v>113791197</v>
      </c>
      <c r="AR95" s="34">
        <v>81.52</v>
      </c>
      <c r="AS95" s="31" t="e">
        <f>(#REF!/AQ95)-1</f>
        <v>#REF!</v>
      </c>
      <c r="AT95" s="31" t="e">
        <f>(#REF!/AR95)-1</f>
        <v>#REF!</v>
      </c>
    </row>
    <row r="96" spans="1:46">
      <c r="A96" s="229" t="s">
        <v>158</v>
      </c>
      <c r="B96" s="415">
        <f>10721049.86*438.35</f>
        <v>4699572206.1309996</v>
      </c>
      <c r="C96" s="415">
        <f>1.0912*438.35</f>
        <v>478.32751999999999</v>
      </c>
      <c r="D96" s="415">
        <v>4686364872.7271996</v>
      </c>
      <c r="E96" s="415">
        <f>1.0922*439.76</f>
        <v>480.30587200000002</v>
      </c>
      <c r="F96" s="25">
        <f>((D108-B96)/B96)</f>
        <v>-0.43370717482855836</v>
      </c>
      <c r="G96" s="25">
        <f t="shared" si="85"/>
        <v>4.1359777919531566E-3</v>
      </c>
      <c r="H96" s="415">
        <f>10703835.42*441.33</f>
        <v>4723923685.9085999</v>
      </c>
      <c r="I96" s="415">
        <f>1.0933*441.33</f>
        <v>482.50608899999997</v>
      </c>
      <c r="J96" s="25">
        <f>((H108-D96)/D96)</f>
        <v>-0.43366429925150196</v>
      </c>
      <c r="K96" s="25">
        <f t="shared" si="78"/>
        <v>4.5808663359417608E-3</v>
      </c>
      <c r="L96" s="415">
        <f>10591832.39*442.99</f>
        <v>4692075830.4461002</v>
      </c>
      <c r="M96" s="415">
        <f>1.0943*442.99</f>
        <v>484.763957</v>
      </c>
      <c r="N96" s="25">
        <f>((L108-H96)/H96)</f>
        <v>-0.42654920923270245</v>
      </c>
      <c r="O96" s="25">
        <f t="shared" si="79"/>
        <v>4.6794601176525889E-3</v>
      </c>
      <c r="P96" s="415">
        <f>10594851.87*443.87</f>
        <v>4702736899.5368996</v>
      </c>
      <c r="Q96" s="415">
        <f>1.0954*443.87</f>
        <v>486.21519799999999</v>
      </c>
      <c r="R96" s="25">
        <f>((P108-L96)/L96)</f>
        <v>-0.42542105605515407</v>
      </c>
      <c r="S96" s="25">
        <f t="shared" si="80"/>
        <v>2.9937064813586826E-3</v>
      </c>
      <c r="T96" s="415">
        <f>10595588.12*444.54</f>
        <v>4710162742.8647995</v>
      </c>
      <c r="U96" s="415">
        <f>1.0911*444.54</f>
        <v>485.03759400000001</v>
      </c>
      <c r="V96" s="25">
        <f>((T108-P96)/P96)</f>
        <v>-0.42255238305762821</v>
      </c>
      <c r="W96" s="25">
        <f t="shared" si="81"/>
        <v>-2.4219810586833487E-3</v>
      </c>
      <c r="X96" s="415">
        <f>10596801.4*445.15</f>
        <v>4717166143.21</v>
      </c>
      <c r="Y96" s="415">
        <f>1.092*445.15</f>
        <v>486.10380000000004</v>
      </c>
      <c r="Z96" s="25">
        <f>((X108-T96)/T96)</f>
        <v>-0.41523748972955649</v>
      </c>
      <c r="AA96" s="25">
        <f t="shared" si="82"/>
        <v>2.1981924972191381E-3</v>
      </c>
      <c r="AB96" s="415">
        <f>10554877.28*445.96</f>
        <v>4707053071.7887993</v>
      </c>
      <c r="AC96" s="415">
        <f>1.0931*445.96</f>
        <v>487.47887599999996</v>
      </c>
      <c r="AD96" s="25">
        <f>((AB108-X96)/X96)</f>
        <v>-0.41041180738297378</v>
      </c>
      <c r="AE96" s="25">
        <f t="shared" si="83"/>
        <v>2.8287703161339649E-3</v>
      </c>
      <c r="AF96" s="415">
        <f>10656709.8*447.28</f>
        <v>4766533159.3439999</v>
      </c>
      <c r="AG96" s="415">
        <f>1.1036*447.28</f>
        <v>493.61820799999992</v>
      </c>
      <c r="AH96" s="25">
        <f>((AF108-AB96)/AB96)</f>
        <v>-0.40965155009606996</v>
      </c>
      <c r="AI96" s="25">
        <f t="shared" si="84"/>
        <v>1.2594047254675233E-2</v>
      </c>
      <c r="AJ96" s="26">
        <f t="shared" si="66"/>
        <v>-0.4221493712042681</v>
      </c>
      <c r="AK96" s="26">
        <f t="shared" si="67"/>
        <v>3.9486299670313972E-3</v>
      </c>
      <c r="AL96" s="27">
        <f t="shared" si="68"/>
        <v>1.7106710380864327E-2</v>
      </c>
      <c r="AM96" s="27">
        <f t="shared" si="69"/>
        <v>2.7716371537510377E-2</v>
      </c>
      <c r="AN96" s="28">
        <f t="shared" si="70"/>
        <v>9.5479343313955665E-3</v>
      </c>
      <c r="AO96" s="85">
        <f t="shared" si="71"/>
        <v>4.1666508561279464E-3</v>
      </c>
      <c r="AP96" s="32"/>
      <c r="AQ96" s="30">
        <v>1066913090.3099999</v>
      </c>
      <c r="AR96" s="34">
        <v>1.1691</v>
      </c>
      <c r="AS96" s="31" t="e">
        <f>(#REF!/AQ96)-1</f>
        <v>#REF!</v>
      </c>
      <c r="AT96" s="31" t="e">
        <f>(#REF!/AR96)-1</f>
        <v>#REF!</v>
      </c>
    </row>
    <row r="97" spans="1:46" s="347" customFormat="1">
      <c r="A97" s="240" t="s">
        <v>189</v>
      </c>
      <c r="B97" s="415">
        <v>909194645.14350009</v>
      </c>
      <c r="C97" s="415">
        <v>45607.486250000002</v>
      </c>
      <c r="D97" s="415">
        <v>912546876.59619999</v>
      </c>
      <c r="E97" s="415">
        <v>45775.637266000005</v>
      </c>
      <c r="F97" s="25">
        <f>((D97-B97)/B97)</f>
        <v>3.6870338717962972E-3</v>
      </c>
      <c r="G97" s="25">
        <f t="shared" si="85"/>
        <v>3.6869169916156786E-3</v>
      </c>
      <c r="H97" s="415">
        <v>915550369.80809999</v>
      </c>
      <c r="I97" s="415">
        <v>45926.300321999996</v>
      </c>
      <c r="J97" s="25">
        <f>((H97-D97)/D97)</f>
        <v>3.2913303293558203E-3</v>
      </c>
      <c r="K97" s="25">
        <f>((I97-E97)/E97)</f>
        <v>3.2913371609551742E-3</v>
      </c>
      <c r="L97" s="415">
        <v>920833352.35529995</v>
      </c>
      <c r="M97" s="415">
        <v>46191.301809000004</v>
      </c>
      <c r="N97" s="25">
        <f>((L97-H97)/H97)</f>
        <v>5.7702806108934036E-3</v>
      </c>
      <c r="O97" s="25">
        <f>((M97-I97)/I97)</f>
        <v>5.7701466293174379E-3</v>
      </c>
      <c r="P97" s="415">
        <v>923456277.38269997</v>
      </c>
      <c r="Q97" s="415">
        <v>46322.861842999999</v>
      </c>
      <c r="R97" s="25">
        <f>((P97-L97)/L97)</f>
        <v>2.8484253102813019E-3</v>
      </c>
      <c r="S97" s="25">
        <f>((Q97-M97)/M97)</f>
        <v>2.848156013095115E-3</v>
      </c>
      <c r="T97" s="415">
        <v>935483443.64160001</v>
      </c>
      <c r="U97" s="415">
        <v>46415.580311999998</v>
      </c>
      <c r="V97" s="25">
        <f>((T97-P97)/P97)</f>
        <v>1.3024077645546972E-2</v>
      </c>
      <c r="W97" s="25">
        <f>((U97-Q97)/Q97)</f>
        <v>2.001570397663383E-3</v>
      </c>
      <c r="X97" s="415">
        <v>935119899.93900001</v>
      </c>
      <c r="Y97" s="415">
        <v>46649.527874999992</v>
      </c>
      <c r="Z97" s="25">
        <f>((X97-T97)/T97)</f>
        <v>-3.886158596081816E-4</v>
      </c>
      <c r="AA97" s="25">
        <f>((Y97-U97)/U97)</f>
        <v>5.0402809019606479E-3</v>
      </c>
      <c r="AB97" s="415">
        <v>934448994.86399996</v>
      </c>
      <c r="AC97" s="415">
        <v>46774.721279999998</v>
      </c>
      <c r="AD97" s="25">
        <f>((AB97-X97)/X97)</f>
        <v>-7.1745353194153211E-4</v>
      </c>
      <c r="AE97" s="25">
        <f>((AC97-Y97)/Y97)</f>
        <v>2.6837014371392598E-3</v>
      </c>
      <c r="AF97" s="415">
        <v>940953768.01479995</v>
      </c>
      <c r="AG97" s="415">
        <v>46885.336391999997</v>
      </c>
      <c r="AH97" s="25">
        <f>((AF97-AB97)/AB97)</f>
        <v>6.9610788673882592E-3</v>
      </c>
      <c r="AI97" s="25">
        <f>((AG97-AC97)/AC97)</f>
        <v>2.3648481267871599E-3</v>
      </c>
      <c r="AJ97" s="26">
        <f t="shared" si="66"/>
        <v>4.3095196554640428E-3</v>
      </c>
      <c r="AK97" s="26">
        <f t="shared" si="67"/>
        <v>3.4608697073167322E-3</v>
      </c>
      <c r="AL97" s="27">
        <f t="shared" si="68"/>
        <v>3.1129240751508212E-2</v>
      </c>
      <c r="AM97" s="27">
        <f t="shared" si="69"/>
        <v>2.424213385717788E-2</v>
      </c>
      <c r="AN97" s="28">
        <f t="shared" si="70"/>
        <v>4.4079480368799549E-3</v>
      </c>
      <c r="AO97" s="85">
        <f t="shared" si="71"/>
        <v>1.3211123373162788E-3</v>
      </c>
      <c r="AP97" s="32"/>
      <c r="AQ97" s="30"/>
      <c r="AR97" s="34"/>
      <c r="AS97" s="31"/>
      <c r="AT97" s="31"/>
    </row>
    <row r="98" spans="1:46">
      <c r="A98" s="240" t="s">
        <v>261</v>
      </c>
      <c r="B98" s="415">
        <f>77195.11*438.35</f>
        <v>33838476.468500003</v>
      </c>
      <c r="C98" s="415">
        <f>97.68*438.35</f>
        <v>42818.028000000006</v>
      </c>
      <c r="D98" s="415">
        <f>77250.39*440.26</f>
        <v>34010256.701399997</v>
      </c>
      <c r="E98" s="415">
        <f>97.75*440.26</f>
        <v>43035.415000000001</v>
      </c>
      <c r="F98" s="25">
        <f>((D98-B98)/B98)</f>
        <v>5.0764765683201677E-3</v>
      </c>
      <c r="G98" s="25">
        <f t="shared" si="85"/>
        <v>5.0769970069615335E-3</v>
      </c>
      <c r="H98" s="415">
        <f>77305.56*441.83</f>
        <v>34155915.5748</v>
      </c>
      <c r="I98" s="415">
        <f>97.82*441.83</f>
        <v>43219.810599999997</v>
      </c>
      <c r="J98" s="25">
        <f>((H98-D98)/D98)</f>
        <v>4.2827925316425743E-3</v>
      </c>
      <c r="K98" s="25">
        <f>((I98-E98)/E98)</f>
        <v>4.2847408349610712E-3</v>
      </c>
      <c r="L98" s="415">
        <f>77360.71*443.49</f>
        <v>34308701.277900003</v>
      </c>
      <c r="M98" s="415">
        <f>97.89*443.49</f>
        <v>43413.236100000002</v>
      </c>
      <c r="N98" s="25">
        <f>((L98-H98)/H98)</f>
        <v>4.4731842355509146E-3</v>
      </c>
      <c r="O98" s="25">
        <f>((M98-I98)/I98)</f>
        <v>4.4753898111715663E-3</v>
      </c>
      <c r="P98" s="415">
        <f>77415.84*443.49</f>
        <v>34333150.8816</v>
      </c>
      <c r="Q98" s="415">
        <f>97.96*443.49</f>
        <v>43444.280399999996</v>
      </c>
      <c r="R98" s="25">
        <f>((P98-L98)/L98)</f>
        <v>7.1263565187022434E-4</v>
      </c>
      <c r="S98" s="25">
        <f>((Q98-M98)/M98)</f>
        <v>7.1508836449061923E-4</v>
      </c>
      <c r="T98" s="415">
        <f>77470.97*445.04</f>
        <v>34477680.488800004</v>
      </c>
      <c r="U98" s="415">
        <f>98.03*445.04</f>
        <v>43627.271200000003</v>
      </c>
      <c r="V98" s="25">
        <f>((T98-P98)/P98)</f>
        <v>4.2096225801827357E-3</v>
      </c>
      <c r="W98" s="25">
        <f>((U98-Q98)/Q98)</f>
        <v>4.2120803547710936E-3</v>
      </c>
      <c r="X98" s="415">
        <f>77526.08*445.65</f>
        <v>34549497.552000001</v>
      </c>
      <c r="Y98" s="415">
        <f>98.1*445.65</f>
        <v>43718.264999999992</v>
      </c>
      <c r="Z98" s="25">
        <f>((X98-T98)/T98)</f>
        <v>2.0830015877467906E-3</v>
      </c>
      <c r="AA98" s="25">
        <f>((Y98-U98)/U98)</f>
        <v>2.08570917907855E-3</v>
      </c>
      <c r="AB98" s="415">
        <f>77581.17*446.32</f>
        <v>34626027.794399999</v>
      </c>
      <c r="AC98" s="415">
        <f>98.17*446.32</f>
        <v>43815.234400000001</v>
      </c>
      <c r="AD98" s="25">
        <f>((AB98-X98)/X98)</f>
        <v>2.215089880390108E-3</v>
      </c>
      <c r="AE98" s="25">
        <f>((AC98-Y98)/Y98)</f>
        <v>2.2180523403664133E-3</v>
      </c>
      <c r="AF98" s="415">
        <f>77636.25*447.28</f>
        <v>34725141.899999999</v>
      </c>
      <c r="AG98" s="415">
        <f>98.24*447.28</f>
        <v>43940.787199999992</v>
      </c>
      <c r="AH98" s="25">
        <f>((AF98-AB98)/AB98)</f>
        <v>2.8624162779661653E-3</v>
      </c>
      <c r="AI98" s="25">
        <f>((AG98-AC98)/AC98)</f>
        <v>2.8655056105323581E-3</v>
      </c>
      <c r="AJ98" s="26">
        <f t="shared" si="66"/>
        <v>3.2394024142087096E-3</v>
      </c>
      <c r="AK98" s="26">
        <f t="shared" si="67"/>
        <v>3.2416954377916503E-3</v>
      </c>
      <c r="AL98" s="27">
        <f t="shared" si="68"/>
        <v>2.101969429035724E-2</v>
      </c>
      <c r="AM98" s="27">
        <f t="shared" si="69"/>
        <v>2.1037840578509368E-2</v>
      </c>
      <c r="AN98" s="28">
        <f t="shared" si="70"/>
        <v>1.50428896324369E-3</v>
      </c>
      <c r="AO98" s="85">
        <f t="shared" si="71"/>
        <v>1.5037731475283972E-3</v>
      </c>
      <c r="AP98" s="32"/>
      <c r="AQ98" s="30">
        <v>4173976375.3699999</v>
      </c>
      <c r="AR98" s="34">
        <v>299.53579999999999</v>
      </c>
      <c r="AS98" s="31" t="e">
        <f>(#REF!/AQ98)-1</f>
        <v>#REF!</v>
      </c>
      <c r="AT98" s="31" t="e">
        <f>(#REF!/AR98)-1</f>
        <v>#REF!</v>
      </c>
    </row>
    <row r="99" spans="1:46" ht="6.75" customHeight="1">
      <c r="A99" s="231"/>
      <c r="B99" s="98"/>
      <c r="C99" s="98"/>
      <c r="D99" s="98"/>
      <c r="E99" s="98"/>
      <c r="F99" s="25"/>
      <c r="G99" s="25"/>
      <c r="H99" s="98"/>
      <c r="I99" s="98"/>
      <c r="J99" s="25"/>
      <c r="K99" s="25"/>
      <c r="L99" s="98"/>
      <c r="M99" s="98"/>
      <c r="N99" s="25"/>
      <c r="O99" s="25"/>
      <c r="P99" s="98"/>
      <c r="Q99" s="98"/>
      <c r="R99" s="25"/>
      <c r="S99" s="25"/>
      <c r="T99" s="98"/>
      <c r="U99" s="98"/>
      <c r="V99" s="25"/>
      <c r="W99" s="25"/>
      <c r="X99" s="98"/>
      <c r="Y99" s="98"/>
      <c r="Z99" s="25"/>
      <c r="AA99" s="25"/>
      <c r="AB99" s="98"/>
      <c r="AC99" s="98"/>
      <c r="AD99" s="25"/>
      <c r="AE99" s="25"/>
      <c r="AF99" s="98"/>
      <c r="AG99" s="98"/>
      <c r="AH99" s="25"/>
      <c r="AI99" s="25"/>
      <c r="AJ99" s="26"/>
      <c r="AK99" s="26"/>
      <c r="AL99" s="27"/>
      <c r="AM99" s="27"/>
      <c r="AN99" s="28"/>
      <c r="AO99" s="85"/>
      <c r="AP99" s="32"/>
      <c r="AQ99" s="52">
        <v>4131236617.7600002</v>
      </c>
      <c r="AR99" s="50">
        <v>103.24</v>
      </c>
      <c r="AS99" s="31" t="e">
        <f>(#REF!/AQ99)-1</f>
        <v>#REF!</v>
      </c>
      <c r="AT99" s="31" t="e">
        <f>(#REF!/AR99)-1</f>
        <v>#REF!</v>
      </c>
    </row>
    <row r="100" spans="1:46">
      <c r="A100" s="227" t="s">
        <v>216</v>
      </c>
      <c r="B100" s="98"/>
      <c r="C100" s="98"/>
      <c r="D100" s="98"/>
      <c r="E100" s="98"/>
      <c r="F100" s="25"/>
      <c r="G100" s="25"/>
      <c r="H100" s="98"/>
      <c r="I100" s="98"/>
      <c r="J100" s="25"/>
      <c r="K100" s="25"/>
      <c r="L100" s="98"/>
      <c r="M100" s="98"/>
      <c r="N100" s="25"/>
      <c r="O100" s="25"/>
      <c r="P100" s="98"/>
      <c r="Q100" s="98"/>
      <c r="R100" s="25"/>
      <c r="S100" s="25"/>
      <c r="T100" s="98"/>
      <c r="U100" s="98"/>
      <c r="V100" s="25"/>
      <c r="W100" s="25"/>
      <c r="X100" s="98"/>
      <c r="Y100" s="98"/>
      <c r="Z100" s="25"/>
      <c r="AA100" s="25"/>
      <c r="AB100" s="98"/>
      <c r="AC100" s="98"/>
      <c r="AD100" s="25"/>
      <c r="AE100" s="25"/>
      <c r="AF100" s="98"/>
      <c r="AG100" s="98"/>
      <c r="AH100" s="25"/>
      <c r="AI100" s="25"/>
      <c r="AJ100" s="26"/>
      <c r="AK100" s="26"/>
      <c r="AL100" s="27"/>
      <c r="AM100" s="27"/>
      <c r="AN100" s="28"/>
      <c r="AO100" s="85"/>
      <c r="AP100" s="32"/>
      <c r="AQ100" s="47">
        <v>2931134847.0043802</v>
      </c>
      <c r="AR100" s="51">
        <v>2254.1853324818899</v>
      </c>
      <c r="AS100" s="31" t="e">
        <f>(#REF!/AQ100)-1</f>
        <v>#REF!</v>
      </c>
      <c r="AT100" s="31" t="e">
        <f>(#REF!/AR100)-1</f>
        <v>#REF!</v>
      </c>
    </row>
    <row r="101" spans="1:46">
      <c r="A101" s="229" t="s">
        <v>100</v>
      </c>
      <c r="B101" s="415">
        <v>184023639216.23999</v>
      </c>
      <c r="C101" s="414">
        <v>599.35</v>
      </c>
      <c r="D101" s="415">
        <v>183520720316.34</v>
      </c>
      <c r="E101" s="414">
        <v>601.83000000000004</v>
      </c>
      <c r="F101" s="25">
        <f t="shared" ref="F101:G108" si="86">((D101-B101)/B101)</f>
        <v>-2.7329037836765677E-3</v>
      </c>
      <c r="G101" s="25">
        <f t="shared" si="86"/>
        <v>4.1378159672979366E-3</v>
      </c>
      <c r="H101" s="415">
        <v>184315514521.04999</v>
      </c>
      <c r="I101" s="414">
        <v>603.35</v>
      </c>
      <c r="J101" s="25">
        <f>((H101-D101)/D101)</f>
        <v>4.3308145442104932E-3</v>
      </c>
      <c r="K101" s="25">
        <f t="shared" ref="K101:K108" si="87">((I101-E101)/E101)</f>
        <v>2.5256301613412122E-3</v>
      </c>
      <c r="L101" s="415">
        <v>184350112843.91</v>
      </c>
      <c r="M101" s="414">
        <v>603.62</v>
      </c>
      <c r="N101" s="25">
        <f>((L101-H101)/H101)</f>
        <v>1.8771248285810756E-4</v>
      </c>
      <c r="O101" s="25">
        <f t="shared" ref="O101:O108" si="88">((M101-I101)/I101)</f>
        <v>4.4750145023615115E-4</v>
      </c>
      <c r="P101" s="415">
        <v>185401839817.76001</v>
      </c>
      <c r="Q101" s="414">
        <v>605.27</v>
      </c>
      <c r="R101" s="25">
        <f>((P101-L101)/L101)</f>
        <v>5.7050519667460556E-3</v>
      </c>
      <c r="S101" s="25">
        <f t="shared" ref="S101:S108" si="89">((Q101-M101)/M101)</f>
        <v>2.7335078360557589E-3</v>
      </c>
      <c r="T101" s="415">
        <v>185997561419.84</v>
      </c>
      <c r="U101" s="414">
        <v>604.58000000000004</v>
      </c>
      <c r="V101" s="25">
        <f>((T101-P101)/P101)</f>
        <v>3.2131374891724305E-3</v>
      </c>
      <c r="W101" s="25">
        <f t="shared" ref="W101:W108" si="90">((U101-Q101)/Q101)</f>
        <v>-1.1399871131890576E-3</v>
      </c>
      <c r="X101" s="415">
        <v>187126185203.54001</v>
      </c>
      <c r="Y101" s="414">
        <v>606.97</v>
      </c>
      <c r="Z101" s="25">
        <f>((X101-T101)/T101)</f>
        <v>6.067949359574905E-3</v>
      </c>
      <c r="AA101" s="25">
        <f t="shared" ref="AA101:AA108" si="91">((Y101-U101)/U101)</f>
        <v>3.9531575639286552E-3</v>
      </c>
      <c r="AB101" s="415">
        <v>192244531571.39999</v>
      </c>
      <c r="AC101" s="414">
        <v>614.54</v>
      </c>
      <c r="AD101" s="25">
        <f>((AB101-X101)/X101)</f>
        <v>2.7352379156838375E-2</v>
      </c>
      <c r="AE101" s="25">
        <f t="shared" ref="AE101:AE108" si="92">((AC101-Y101)/Y101)</f>
        <v>1.2471786084979383E-2</v>
      </c>
      <c r="AF101" s="415">
        <v>195512142813.51999</v>
      </c>
      <c r="AG101" s="414">
        <v>622.12</v>
      </c>
      <c r="AH101" s="25">
        <f>((AF101-AB101)/AB101)</f>
        <v>1.6997160935661768E-2</v>
      </c>
      <c r="AI101" s="25">
        <f t="shared" ref="AI101:AI108" si="93">((AG101-AC101)/AC101)</f>
        <v>1.2334429003807794E-2</v>
      </c>
      <c r="AJ101" s="26">
        <f t="shared" si="66"/>
        <v>7.6401627689231958E-3</v>
      </c>
      <c r="AK101" s="26">
        <f t="shared" si="67"/>
        <v>4.6829801193072288E-3</v>
      </c>
      <c r="AL101" s="27">
        <f t="shared" si="68"/>
        <v>6.534097335990198E-2</v>
      </c>
      <c r="AM101" s="27">
        <f t="shared" si="69"/>
        <v>3.3713839456324814E-2</v>
      </c>
      <c r="AN101" s="28">
        <f t="shared" si="70"/>
        <v>9.8273035242813986E-3</v>
      </c>
      <c r="AO101" s="85">
        <f t="shared" si="71"/>
        <v>5.0757243155065863E-3</v>
      </c>
      <c r="AP101" s="32"/>
      <c r="AQ101" s="53">
        <v>1131224777.76</v>
      </c>
      <c r="AR101" s="54">
        <v>0.6573</v>
      </c>
      <c r="AS101" s="31" t="e">
        <f>(#REF!/AQ101)-1</f>
        <v>#REF!</v>
      </c>
      <c r="AT101" s="31" t="e">
        <f>(#REF!/AR101)-1</f>
        <v>#REF!</v>
      </c>
    </row>
    <row r="102" spans="1:46">
      <c r="A102" s="229" t="s">
        <v>135</v>
      </c>
      <c r="B102" s="414">
        <v>25318219149.25</v>
      </c>
      <c r="C102" s="414">
        <v>438</v>
      </c>
      <c r="D102" s="414">
        <v>25539891472.290001</v>
      </c>
      <c r="E102" s="414">
        <v>439.88</v>
      </c>
      <c r="F102" s="25">
        <f t="shared" si="86"/>
        <v>8.7554468872099757E-3</v>
      </c>
      <c r="G102" s="25">
        <f t="shared" si="86"/>
        <v>4.2922374429223637E-3</v>
      </c>
      <c r="H102" s="414">
        <v>25935864960.48</v>
      </c>
      <c r="I102" s="414">
        <v>441.33</v>
      </c>
      <c r="J102" s="25">
        <f t="shared" ref="J102:J108" si="94">((H102-D102)/D102)</f>
        <v>1.5504117886311996E-2</v>
      </c>
      <c r="K102" s="25">
        <f t="shared" si="87"/>
        <v>3.2963535509684203E-3</v>
      </c>
      <c r="L102" s="414">
        <v>37485353331.110001</v>
      </c>
      <c r="M102" s="414">
        <v>442.49</v>
      </c>
      <c r="N102" s="25">
        <f t="shared" ref="N102:N108" si="95">((L102-H102)/H102)</f>
        <v>0.44530955062530725</v>
      </c>
      <c r="O102" s="25">
        <f t="shared" si="88"/>
        <v>2.6284186436454017E-3</v>
      </c>
      <c r="P102" s="414">
        <v>37465223203.459999</v>
      </c>
      <c r="Q102" s="414">
        <v>442.76</v>
      </c>
      <c r="R102" s="25">
        <f t="shared" ref="R102:R108" si="96">((P102-L102)/L102)</f>
        <v>-5.3701314943442309E-4</v>
      </c>
      <c r="S102" s="25">
        <f t="shared" si="89"/>
        <v>6.1018328097806008E-4</v>
      </c>
      <c r="T102" s="414">
        <v>26406020362.82</v>
      </c>
      <c r="U102" s="414">
        <v>444.54</v>
      </c>
      <c r="V102" s="25">
        <f t="shared" ref="V102:V108" si="97">((T102-P102)/P102)</f>
        <v>-0.29518582554764167</v>
      </c>
      <c r="W102" s="25">
        <f t="shared" si="90"/>
        <v>4.0202366970820075E-3</v>
      </c>
      <c r="X102" s="414">
        <v>26509406082.650002</v>
      </c>
      <c r="Y102" s="414">
        <v>444.97</v>
      </c>
      <c r="Z102" s="25">
        <f t="shared" ref="Z102:Z108" si="98">((X102-T102)/T102)</f>
        <v>3.9152329055827809E-3</v>
      </c>
      <c r="AA102" s="25">
        <f t="shared" si="91"/>
        <v>9.6729203221308953E-4</v>
      </c>
      <c r="AB102" s="414">
        <v>15227771746.73</v>
      </c>
      <c r="AC102" s="414">
        <v>445.82</v>
      </c>
      <c r="AD102" s="25">
        <f t="shared" ref="AD102:AD108" si="99">((AB102-X102)/X102)</f>
        <v>-0.42557099547030813</v>
      </c>
      <c r="AE102" s="25">
        <f t="shared" si="92"/>
        <v>1.9102411398520482E-3</v>
      </c>
      <c r="AF102" s="414">
        <v>15110572204.91</v>
      </c>
      <c r="AG102" s="414">
        <v>446.8</v>
      </c>
      <c r="AH102" s="25">
        <f t="shared" ref="AH102:AH108" si="100">((AF102-AB102)/AB102)</f>
        <v>-7.6964341053488037E-3</v>
      </c>
      <c r="AI102" s="25">
        <f t="shared" si="93"/>
        <v>2.1981965815800505E-3</v>
      </c>
      <c r="AJ102" s="26">
        <f t="shared" si="66"/>
        <v>-3.1938239996040126E-2</v>
      </c>
      <c r="AK102" s="26">
        <f t="shared" si="67"/>
        <v>2.4903949211551799E-3</v>
      </c>
      <c r="AL102" s="27">
        <f t="shared" si="68"/>
        <v>-0.40835409495359415</v>
      </c>
      <c r="AM102" s="27">
        <f t="shared" si="69"/>
        <v>1.5731563153587379E-2</v>
      </c>
      <c r="AN102" s="28">
        <f t="shared" si="70"/>
        <v>0.25600709206888911</v>
      </c>
      <c r="AO102" s="85">
        <f t="shared" si="71"/>
        <v>1.3380512853363512E-3</v>
      </c>
      <c r="AP102" s="32"/>
      <c r="AQ102" s="30">
        <v>318569106.36000001</v>
      </c>
      <c r="AR102" s="37">
        <v>123.8</v>
      </c>
      <c r="AS102" s="31" t="e">
        <f>(#REF!/AQ102)-1</f>
        <v>#REF!</v>
      </c>
      <c r="AT102" s="31" t="e">
        <f>(#REF!/AR102)-1</f>
        <v>#REF!</v>
      </c>
    </row>
    <row r="103" spans="1:46">
      <c r="A103" s="229" t="s">
        <v>154</v>
      </c>
      <c r="B103" s="414">
        <v>6205676182.8500004</v>
      </c>
      <c r="C103" s="414">
        <v>48144.27</v>
      </c>
      <c r="D103" s="414">
        <v>6275268270.7399998</v>
      </c>
      <c r="E103" s="414">
        <v>49096.7</v>
      </c>
      <c r="F103" s="25">
        <f t="shared" si="86"/>
        <v>1.1214263496752216E-2</v>
      </c>
      <c r="G103" s="25">
        <f t="shared" si="86"/>
        <v>1.97828318925596E-2</v>
      </c>
      <c r="H103" s="414">
        <v>5878891568.79</v>
      </c>
      <c r="I103" s="414">
        <v>49153.71</v>
      </c>
      <c r="J103" s="25">
        <f t="shared" si="94"/>
        <v>-6.3164901458986997E-2</v>
      </c>
      <c r="K103" s="25">
        <f t="shared" si="87"/>
        <v>1.1611778388364604E-3</v>
      </c>
      <c r="L103" s="414">
        <v>5888118112.9099998</v>
      </c>
      <c r="M103" s="414">
        <v>49184.4</v>
      </c>
      <c r="N103" s="25">
        <f t="shared" si="95"/>
        <v>1.5694360088187344E-3</v>
      </c>
      <c r="O103" s="25">
        <f t="shared" si="88"/>
        <v>6.2436792665298971E-4</v>
      </c>
      <c r="P103" s="414">
        <v>5894207559.4899998</v>
      </c>
      <c r="Q103" s="414">
        <v>49237.03</v>
      </c>
      <c r="R103" s="25">
        <f t="shared" si="96"/>
        <v>1.0341923282157844E-3</v>
      </c>
      <c r="S103" s="25">
        <f t="shared" si="89"/>
        <v>1.0700547328014042E-3</v>
      </c>
      <c r="T103" s="414">
        <v>5984349978.1599998</v>
      </c>
      <c r="U103" s="414">
        <v>49898.86</v>
      </c>
      <c r="V103" s="25">
        <f t="shared" si="97"/>
        <v>1.5293390631428613E-2</v>
      </c>
      <c r="W103" s="25">
        <f t="shared" si="90"/>
        <v>1.3441712467222368E-2</v>
      </c>
      <c r="X103" s="414">
        <v>6003391652.4099998</v>
      </c>
      <c r="Y103" s="414">
        <v>49952.13</v>
      </c>
      <c r="Z103" s="25">
        <f t="shared" si="98"/>
        <v>3.1819118733852391E-3</v>
      </c>
      <c r="AA103" s="25">
        <f t="shared" si="91"/>
        <v>1.0675594592741556E-3</v>
      </c>
      <c r="AB103" s="414">
        <v>6011983098.9300003</v>
      </c>
      <c r="AC103" s="414">
        <v>50000.959999999999</v>
      </c>
      <c r="AD103" s="25">
        <f t="shared" si="99"/>
        <v>1.4310987883909773E-3</v>
      </c>
      <c r="AE103" s="25">
        <f t="shared" si="92"/>
        <v>9.7753589286386279E-4</v>
      </c>
      <c r="AF103" s="414">
        <v>5776809306.71</v>
      </c>
      <c r="AG103" s="414">
        <v>50200.74</v>
      </c>
      <c r="AH103" s="25">
        <f t="shared" si="100"/>
        <v>-3.9117507210200908E-2</v>
      </c>
      <c r="AI103" s="25">
        <f t="shared" si="93"/>
        <v>3.9955232859528863E-3</v>
      </c>
      <c r="AJ103" s="26">
        <f t="shared" si="66"/>
        <v>-8.5697644427745415E-3</v>
      </c>
      <c r="AK103" s="26">
        <f t="shared" si="67"/>
        <v>5.2650954370204658E-3</v>
      </c>
      <c r="AL103" s="27">
        <f t="shared" si="68"/>
        <v>-7.943229556482688E-2</v>
      </c>
      <c r="AM103" s="27">
        <f t="shared" si="69"/>
        <v>2.248705106453185E-2</v>
      </c>
      <c r="AN103" s="28">
        <f t="shared" si="70"/>
        <v>2.7536495364402218E-2</v>
      </c>
      <c r="AO103" s="85">
        <f t="shared" si="71"/>
        <v>7.2821982985440776E-3</v>
      </c>
      <c r="AP103" s="32"/>
      <c r="AQ103" s="30">
        <v>1812522091.8199999</v>
      </c>
      <c r="AR103" s="34">
        <v>1.6227</v>
      </c>
      <c r="AS103" s="31" t="e">
        <f>(#REF!/AQ103)-1</f>
        <v>#REF!</v>
      </c>
      <c r="AT103" s="31" t="e">
        <f>(#REF!/AR103)-1</f>
        <v>#REF!</v>
      </c>
    </row>
    <row r="104" spans="1:46">
      <c r="A104" s="229" t="s">
        <v>160</v>
      </c>
      <c r="B104" s="414">
        <v>317256451.11000001</v>
      </c>
      <c r="C104" s="415">
        <v>36147.21</v>
      </c>
      <c r="D104" s="414">
        <v>325539064.86000001</v>
      </c>
      <c r="E104" s="415">
        <v>37088.730000000003</v>
      </c>
      <c r="F104" s="25">
        <f t="shared" si="86"/>
        <v>2.6106998678895987E-2</v>
      </c>
      <c r="G104" s="25">
        <f t="shared" si="86"/>
        <v>2.6046823530778838E-2</v>
      </c>
      <c r="H104" s="414">
        <v>352240644.94</v>
      </c>
      <c r="I104" s="415">
        <v>41295.660000000003</v>
      </c>
      <c r="J104" s="25">
        <f t="shared" si="94"/>
        <v>8.202266014213426E-2</v>
      </c>
      <c r="K104" s="25">
        <f t="shared" si="87"/>
        <v>0.11342879629472349</v>
      </c>
      <c r="L104" s="414">
        <v>345101126.67000002</v>
      </c>
      <c r="M104" s="415">
        <v>40456.86</v>
      </c>
      <c r="N104" s="25">
        <f t="shared" si="95"/>
        <v>-2.0268865539966614E-2</v>
      </c>
      <c r="O104" s="25">
        <f t="shared" si="88"/>
        <v>-2.0312061848630165E-2</v>
      </c>
      <c r="P104" s="414">
        <v>349478224.36000001</v>
      </c>
      <c r="Q104" s="415">
        <v>40971.379999999997</v>
      </c>
      <c r="R104" s="25">
        <f t="shared" si="96"/>
        <v>1.2683521877300504E-2</v>
      </c>
      <c r="S104" s="25">
        <f t="shared" si="89"/>
        <v>1.271774428366405E-2</v>
      </c>
      <c r="T104" s="414">
        <v>348153490.24000001</v>
      </c>
      <c r="U104" s="415">
        <v>40962.730000000003</v>
      </c>
      <c r="V104" s="25">
        <f t="shared" si="97"/>
        <v>-3.7906056162039631E-3</v>
      </c>
      <c r="W104" s="25">
        <f t="shared" si="90"/>
        <v>-2.1112298389739813E-4</v>
      </c>
      <c r="X104" s="414">
        <v>347567577.00999999</v>
      </c>
      <c r="Y104" s="415">
        <v>40893.550000000003</v>
      </c>
      <c r="Z104" s="25">
        <f t="shared" si="98"/>
        <v>-1.6829164331976655E-3</v>
      </c>
      <c r="AA104" s="25">
        <f t="shared" si="91"/>
        <v>-1.6888522810857647E-3</v>
      </c>
      <c r="AB104" s="414">
        <v>347363243.26999998</v>
      </c>
      <c r="AC104" s="415">
        <v>40871.94</v>
      </c>
      <c r="AD104" s="25">
        <f t="shared" si="99"/>
        <v>-5.878964365946326E-4</v>
      </c>
      <c r="AE104" s="25">
        <f t="shared" si="92"/>
        <v>-5.2844519490238882E-4</v>
      </c>
      <c r="AF104" s="414">
        <v>348798581.95999998</v>
      </c>
      <c r="AG104" s="415">
        <v>41040.559999999998</v>
      </c>
      <c r="AH104" s="25">
        <f t="shared" si="100"/>
        <v>4.1320972146852378E-3</v>
      </c>
      <c r="AI104" s="25">
        <f t="shared" si="93"/>
        <v>4.1255687887581391E-3</v>
      </c>
      <c r="AJ104" s="26">
        <f t="shared" si="66"/>
        <v>1.232687423588164E-2</v>
      </c>
      <c r="AK104" s="26">
        <f t="shared" si="67"/>
        <v>1.6697306323676102E-2</v>
      </c>
      <c r="AL104" s="27">
        <f t="shared" si="68"/>
        <v>7.1449234856046706E-2</v>
      </c>
      <c r="AM104" s="27">
        <f t="shared" si="69"/>
        <v>0.10655069612790716</v>
      </c>
      <c r="AN104" s="28">
        <f t="shared" si="70"/>
        <v>3.1167741829273461E-2</v>
      </c>
      <c r="AO104" s="85">
        <f t="shared" si="71"/>
        <v>4.1246031463616883E-2</v>
      </c>
      <c r="AP104" s="32"/>
      <c r="AQ104" s="30"/>
      <c r="AR104" s="34"/>
      <c r="AS104" s="31"/>
      <c r="AT104" s="31"/>
    </row>
    <row r="105" spans="1:46" ht="16.5" customHeight="1">
      <c r="A105" s="229" t="s">
        <v>165</v>
      </c>
      <c r="B105" s="414">
        <v>1755377375.4009001</v>
      </c>
      <c r="C105" s="414">
        <v>496.14909050953418</v>
      </c>
      <c r="D105" s="414">
        <v>1814090146.6509361</v>
      </c>
      <c r="E105" s="414">
        <v>497.37810608164415</v>
      </c>
      <c r="F105" s="25">
        <f t="shared" si="86"/>
        <v>3.3447378365935101E-2</v>
      </c>
      <c r="G105" s="25">
        <f t="shared" si="86"/>
        <v>2.4771093923558348E-3</v>
      </c>
      <c r="H105" s="414">
        <v>1815163384.6646998</v>
      </c>
      <c r="I105" s="414">
        <v>499.12596474436015</v>
      </c>
      <c r="J105" s="25">
        <f t="shared" si="94"/>
        <v>5.9161228329530013E-4</v>
      </c>
      <c r="K105" s="25">
        <f t="shared" si="87"/>
        <v>3.5141447549544712E-3</v>
      </c>
      <c r="L105" s="414">
        <v>1819244109.9330301</v>
      </c>
      <c r="M105" s="414">
        <v>499.4130331599186</v>
      </c>
      <c r="N105" s="25">
        <f t="shared" si="95"/>
        <v>2.2481311064370848E-3</v>
      </c>
      <c r="O105" s="25">
        <f t="shared" si="88"/>
        <v>5.7514222027195199E-4</v>
      </c>
      <c r="P105" s="414">
        <v>1777584515.3012991</v>
      </c>
      <c r="Q105" s="414">
        <v>500.3321524293479</v>
      </c>
      <c r="R105" s="25">
        <f t="shared" si="96"/>
        <v>-2.2899397834666949E-2</v>
      </c>
      <c r="S105" s="25">
        <f t="shared" si="89"/>
        <v>1.8403990452828013E-3</v>
      </c>
      <c r="T105" s="414">
        <v>1779151142.49705</v>
      </c>
      <c r="U105" s="414">
        <v>500.64792225891182</v>
      </c>
      <c r="V105" s="25">
        <f t="shared" si="97"/>
        <v>8.8132360642521109E-4</v>
      </c>
      <c r="W105" s="25">
        <f t="shared" si="90"/>
        <v>6.3112040277785121E-4</v>
      </c>
      <c r="X105" s="414">
        <v>1738223134.779448</v>
      </c>
      <c r="Y105" s="414">
        <v>501.75425325481058</v>
      </c>
      <c r="Z105" s="25">
        <f t="shared" si="98"/>
        <v>-2.3004233164900929E-2</v>
      </c>
      <c r="AA105" s="25">
        <f t="shared" si="91"/>
        <v>2.209798436607944E-3</v>
      </c>
      <c r="AB105" s="414">
        <v>1760305875.208472</v>
      </c>
      <c r="AC105" s="414">
        <v>502.26423131433694</v>
      </c>
      <c r="AD105" s="25">
        <f t="shared" si="99"/>
        <v>1.2704203497916232E-2</v>
      </c>
      <c r="AE105" s="25">
        <f t="shared" si="92"/>
        <v>1.0163901077433898E-3</v>
      </c>
      <c r="AF105" s="414">
        <v>1802094119.86675</v>
      </c>
      <c r="AG105" s="414">
        <v>513.6585995284621</v>
      </c>
      <c r="AH105" s="25">
        <f t="shared" si="100"/>
        <v>2.373919512898804E-2</v>
      </c>
      <c r="AI105" s="25">
        <f t="shared" si="93"/>
        <v>2.2686003708263503E-2</v>
      </c>
      <c r="AJ105" s="26">
        <f t="shared" si="66"/>
        <v>3.4635266236786363E-3</v>
      </c>
      <c r="AK105" s="26">
        <f t="shared" si="67"/>
        <v>4.3687635085322184E-3</v>
      </c>
      <c r="AL105" s="27">
        <f t="shared" si="68"/>
        <v>-6.6126960704419599E-3</v>
      </c>
      <c r="AM105" s="27">
        <f t="shared" si="69"/>
        <v>3.2732629859959152E-2</v>
      </c>
      <c r="AN105" s="28">
        <f t="shared" si="70"/>
        <v>2.0026636379080628E-2</v>
      </c>
      <c r="AO105" s="85">
        <f t="shared" si="71"/>
        <v>7.468827790678958E-3</v>
      </c>
      <c r="AP105" s="32"/>
      <c r="AQ105" s="30"/>
      <c r="AR105" s="34"/>
      <c r="AS105" s="31"/>
      <c r="AT105" s="31"/>
    </row>
    <row r="106" spans="1:46">
      <c r="A106" s="229" t="s">
        <v>175</v>
      </c>
      <c r="B106" s="414">
        <v>86243874.969999999</v>
      </c>
      <c r="C106" s="414">
        <v>337.55</v>
      </c>
      <c r="D106" s="414">
        <v>88594573.260000005</v>
      </c>
      <c r="E106" s="414">
        <v>346.77</v>
      </c>
      <c r="F106" s="25">
        <f t="shared" si="86"/>
        <v>2.7256408537043343E-2</v>
      </c>
      <c r="G106" s="25">
        <f t="shared" si="86"/>
        <v>2.7314471930084343E-2</v>
      </c>
      <c r="H106" s="414">
        <v>95276419.180000007</v>
      </c>
      <c r="I106" s="414">
        <v>372.94</v>
      </c>
      <c r="J106" s="25">
        <f t="shared" si="94"/>
        <v>7.5420487667914773E-2</v>
      </c>
      <c r="K106" s="25">
        <f t="shared" si="87"/>
        <v>7.546788937912742E-2</v>
      </c>
      <c r="L106" s="414">
        <v>97229096.939999998</v>
      </c>
      <c r="M106" s="414">
        <v>380.59</v>
      </c>
      <c r="N106" s="25">
        <f t="shared" si="95"/>
        <v>2.0494869316099232E-2</v>
      </c>
      <c r="O106" s="25">
        <f t="shared" si="88"/>
        <v>2.0512683005309104E-2</v>
      </c>
      <c r="P106" s="414">
        <v>98829134.790000007</v>
      </c>
      <c r="Q106" s="414">
        <v>386.82</v>
      </c>
      <c r="R106" s="25">
        <f t="shared" si="96"/>
        <v>1.6456368518853889E-2</v>
      </c>
      <c r="S106" s="25">
        <f t="shared" si="89"/>
        <v>1.6369321316902753E-2</v>
      </c>
      <c r="T106" s="414">
        <v>99351288.469999999</v>
      </c>
      <c r="U106" s="414">
        <v>388.9</v>
      </c>
      <c r="V106" s="25">
        <f t="shared" si="97"/>
        <v>5.2833982722757401E-3</v>
      </c>
      <c r="W106" s="25">
        <f t="shared" si="90"/>
        <v>5.3771780156144566E-3</v>
      </c>
      <c r="X106" s="414">
        <v>99002370.090000004</v>
      </c>
      <c r="Y106" s="414">
        <v>387.5</v>
      </c>
      <c r="Z106" s="25">
        <f t="shared" si="98"/>
        <v>-3.5119663305157259E-3</v>
      </c>
      <c r="AA106" s="25">
        <f t="shared" si="91"/>
        <v>-3.599897145795776E-3</v>
      </c>
      <c r="AB106" s="414">
        <v>99940128.239999995</v>
      </c>
      <c r="AC106" s="414">
        <v>391.2</v>
      </c>
      <c r="AD106" s="25">
        <f t="shared" si="99"/>
        <v>9.4720777810420494E-3</v>
      </c>
      <c r="AE106" s="25">
        <f t="shared" si="92"/>
        <v>9.5483870967741635E-3</v>
      </c>
      <c r="AF106" s="414">
        <v>100265826.59999999</v>
      </c>
      <c r="AG106" s="414">
        <v>392.45</v>
      </c>
      <c r="AH106" s="25">
        <f t="shared" si="100"/>
        <v>3.2589347816109971E-3</v>
      </c>
      <c r="AI106" s="25">
        <f t="shared" si="93"/>
        <v>3.1952965235173825E-3</v>
      </c>
      <c r="AJ106" s="26">
        <f t="shared" si="66"/>
        <v>1.9266322318040541E-2</v>
      </c>
      <c r="AK106" s="26">
        <f t="shared" si="67"/>
        <v>1.9273166265191731E-2</v>
      </c>
      <c r="AL106" s="27">
        <f t="shared" si="68"/>
        <v>0.13173779059523388</v>
      </c>
      <c r="AM106" s="27">
        <f t="shared" si="69"/>
        <v>0.1317299651065548</v>
      </c>
      <c r="AN106" s="28">
        <f t="shared" si="70"/>
        <v>2.4764817245516026E-2</v>
      </c>
      <c r="AO106" s="85">
        <f t="shared" si="71"/>
        <v>2.4790041100700811E-2</v>
      </c>
      <c r="AP106" s="32"/>
      <c r="AQ106" s="30"/>
      <c r="AR106" s="34"/>
      <c r="AS106" s="31"/>
      <c r="AT106" s="31"/>
    </row>
    <row r="107" spans="1:46" s="331" customFormat="1">
      <c r="A107" s="229" t="s">
        <v>211</v>
      </c>
      <c r="B107" s="415">
        <v>3748003873.1500001</v>
      </c>
      <c r="C107" s="414">
        <f>1.0379*438.35</f>
        <v>454.96346500000004</v>
      </c>
      <c r="D107" s="415">
        <v>3773564315.46</v>
      </c>
      <c r="E107" s="414">
        <f>1.0393*440.26</f>
        <v>457.56221799999992</v>
      </c>
      <c r="F107" s="25">
        <f t="shared" si="86"/>
        <v>6.8197481046138129E-3</v>
      </c>
      <c r="G107" s="25">
        <f t="shared" si="86"/>
        <v>5.7120037100119106E-3</v>
      </c>
      <c r="H107" s="415">
        <v>3749137969.6900001</v>
      </c>
      <c r="I107" s="414">
        <f>1.042*441.83</f>
        <v>460.38686000000001</v>
      </c>
      <c r="J107" s="25">
        <f t="shared" si="94"/>
        <v>-6.4730169484397389E-3</v>
      </c>
      <c r="K107" s="25">
        <f t="shared" si="87"/>
        <v>6.1732413404816944E-3</v>
      </c>
      <c r="L107" s="415">
        <v>3612657463.6300001</v>
      </c>
      <c r="M107" s="414">
        <f>1.0427*443.49</f>
        <v>462.42702300000002</v>
      </c>
      <c r="N107" s="25">
        <f t="shared" si="95"/>
        <v>-3.640316978552937E-2</v>
      </c>
      <c r="O107" s="25">
        <f t="shared" si="88"/>
        <v>4.4314101405935145E-3</v>
      </c>
      <c r="P107" s="415">
        <v>3613444201.4000001</v>
      </c>
      <c r="Q107" s="414">
        <f>1.0442*443.49</f>
        <v>463.09225800000002</v>
      </c>
      <c r="R107" s="25">
        <f t="shared" si="96"/>
        <v>2.1777258926991279E-4</v>
      </c>
      <c r="S107" s="25">
        <f t="shared" si="89"/>
        <v>1.4385729356478278E-3</v>
      </c>
      <c r="T107" s="415">
        <v>3631547717.52</v>
      </c>
      <c r="U107" s="414">
        <f>1.0457*445.04</f>
        <v>465.37832800000007</v>
      </c>
      <c r="V107" s="25">
        <f t="shared" si="97"/>
        <v>5.0100444647756901E-3</v>
      </c>
      <c r="W107" s="25">
        <f t="shared" si="90"/>
        <v>4.9365325386200951E-3</v>
      </c>
      <c r="X107" s="415">
        <v>3667698075.3099999</v>
      </c>
      <c r="Y107" s="414">
        <f>1.0472*445.65</f>
        <v>466.68467999999996</v>
      </c>
      <c r="Z107" s="25">
        <f t="shared" si="98"/>
        <v>9.9545319522022415E-3</v>
      </c>
      <c r="AA107" s="25">
        <f t="shared" si="91"/>
        <v>2.8070752791906762E-3</v>
      </c>
      <c r="AB107" s="415">
        <v>3673811200.7800002</v>
      </c>
      <c r="AC107" s="414">
        <f>1.0483*446.32</f>
        <v>467.87725599999999</v>
      </c>
      <c r="AD107" s="25">
        <f t="shared" si="99"/>
        <v>1.6667471925108164E-3</v>
      </c>
      <c r="AE107" s="25">
        <f t="shared" si="92"/>
        <v>2.5554213607355421E-3</v>
      </c>
      <c r="AF107" s="415">
        <v>3642476081.23</v>
      </c>
      <c r="AG107" s="414">
        <f>1.0483*446.13</f>
        <v>467.67807900000003</v>
      </c>
      <c r="AH107" s="25">
        <f t="shared" si="100"/>
        <v>-8.5293222317323544E-3</v>
      </c>
      <c r="AI107" s="25">
        <f t="shared" si="93"/>
        <v>-4.2570353109868477E-4</v>
      </c>
      <c r="AJ107" s="26">
        <f t="shared" si="66"/>
        <v>-3.4670830827911231E-3</v>
      </c>
      <c r="AK107" s="26">
        <f t="shared" si="67"/>
        <v>3.4535692217728215E-3</v>
      </c>
      <c r="AL107" s="27">
        <f t="shared" si="68"/>
        <v>-3.4738571618599876E-2</v>
      </c>
      <c r="AM107" s="27">
        <f t="shared" si="69"/>
        <v>2.2108164970911368E-2</v>
      </c>
      <c r="AN107" s="28">
        <f t="shared" si="70"/>
        <v>1.4722201034002003E-2</v>
      </c>
      <c r="AO107" s="85">
        <f t="shared" si="71"/>
        <v>2.2673485759782744E-3</v>
      </c>
      <c r="AP107" s="32"/>
      <c r="AQ107" s="30"/>
      <c r="AR107" s="34"/>
      <c r="AS107" s="31"/>
      <c r="AT107" s="31"/>
    </row>
    <row r="108" spans="1:46" s="99" customFormat="1">
      <c r="A108" s="229" t="s">
        <v>251</v>
      </c>
      <c r="B108" s="415">
        <v>2657340328.1876597</v>
      </c>
      <c r="C108" s="414">
        <v>54382.886736750006</v>
      </c>
      <c r="D108" s="415">
        <v>2661334021.7071085</v>
      </c>
      <c r="E108" s="414">
        <v>54659.608585200003</v>
      </c>
      <c r="F108" s="25">
        <f t="shared" si="86"/>
        <v>1.5028912469681696E-3</v>
      </c>
      <c r="G108" s="25">
        <f t="shared" si="86"/>
        <v>5.0883994038330169E-3</v>
      </c>
      <c r="H108" s="415">
        <v>2654055734.1591043</v>
      </c>
      <c r="I108" s="414">
        <v>54699.370667099996</v>
      </c>
      <c r="J108" s="25">
        <f t="shared" si="94"/>
        <v>-2.7348267780890972E-3</v>
      </c>
      <c r="K108" s="25">
        <f t="shared" si="87"/>
        <v>7.2744907856437356E-4</v>
      </c>
      <c r="L108" s="415">
        <v>2708937773.2086535</v>
      </c>
      <c r="M108" s="414">
        <v>55149.631282800001</v>
      </c>
      <c r="N108" s="25">
        <f t="shared" si="95"/>
        <v>2.0678555594439169E-2</v>
      </c>
      <c r="O108" s="25">
        <f t="shared" si="88"/>
        <v>8.2315502026574974E-3</v>
      </c>
      <c r="P108" s="415">
        <v>2695967975.5668564</v>
      </c>
      <c r="Q108" s="414">
        <v>55201.092268050001</v>
      </c>
      <c r="R108" s="25">
        <f t="shared" si="96"/>
        <v>-4.7877798338773724E-3</v>
      </c>
      <c r="S108" s="25">
        <f t="shared" si="89"/>
        <v>9.331156719092949E-4</v>
      </c>
      <c r="T108" s="415">
        <v>2715584215.7445407</v>
      </c>
      <c r="U108" s="414">
        <v>55342.379548800011</v>
      </c>
      <c r="V108" s="25">
        <f t="shared" si="97"/>
        <v>7.2761399079897381E-3</v>
      </c>
      <c r="W108" s="25">
        <f t="shared" si="90"/>
        <v>2.5595015414538436E-3</v>
      </c>
      <c r="X108" s="415">
        <v>2754326589.2999377</v>
      </c>
      <c r="Y108" s="414">
        <v>55467.428393249997</v>
      </c>
      <c r="Z108" s="25">
        <f t="shared" si="98"/>
        <v>1.4266680933986394E-2</v>
      </c>
      <c r="AA108" s="25">
        <f t="shared" si="91"/>
        <v>2.2595494713001998E-3</v>
      </c>
      <c r="AB108" s="415">
        <v>2781185460.6494122</v>
      </c>
      <c r="AC108" s="414">
        <v>55586.649913200003</v>
      </c>
      <c r="AD108" s="25">
        <f t="shared" si="99"/>
        <v>9.7515201914748616E-3</v>
      </c>
      <c r="AE108" s="25">
        <f t="shared" si="92"/>
        <v>2.1493969236279662E-3</v>
      </c>
      <c r="AF108" s="415">
        <v>2778801484.5460501</v>
      </c>
      <c r="AG108" s="414">
        <v>55736.887310099992</v>
      </c>
      <c r="AH108" s="25">
        <f t="shared" si="100"/>
        <v>-8.5717983827134656E-4</v>
      </c>
      <c r="AI108" s="25">
        <f t="shared" si="93"/>
        <v>2.7027604134192058E-3</v>
      </c>
      <c r="AJ108" s="26">
        <f t="shared" si="66"/>
        <v>5.6370001780775645E-3</v>
      </c>
      <c r="AK108" s="26">
        <f t="shared" si="67"/>
        <v>3.0814653383456751E-3</v>
      </c>
      <c r="AL108" s="27">
        <f t="shared" si="68"/>
        <v>4.4138564299265319E-2</v>
      </c>
      <c r="AM108" s="27">
        <f t="shared" si="69"/>
        <v>1.9708862774251178E-2</v>
      </c>
      <c r="AN108" s="28">
        <f t="shared" si="70"/>
        <v>8.9312020380228271E-3</v>
      </c>
      <c r="AO108" s="85">
        <f t="shared" si="71"/>
        <v>2.4688955929166876E-3</v>
      </c>
      <c r="AP108" s="32"/>
      <c r="AQ108" s="30"/>
      <c r="AR108" s="34"/>
      <c r="AS108" s="31"/>
      <c r="AT108" s="31"/>
    </row>
    <row r="109" spans="1:46" s="125" customFormat="1">
      <c r="A109" s="231" t="s">
        <v>47</v>
      </c>
      <c r="B109" s="82">
        <f>SUM(B91:B108)</f>
        <v>325873301139.4115</v>
      </c>
      <c r="C109" s="98"/>
      <c r="D109" s="82">
        <f>SUM(D91:D108)</f>
        <v>325559432299.45282</v>
      </c>
      <c r="E109" s="98"/>
      <c r="F109" s="25"/>
      <c r="G109" s="25"/>
      <c r="H109" s="82">
        <f>SUM(H91:H108)</f>
        <v>326189434068.44525</v>
      </c>
      <c r="I109" s="98"/>
      <c r="J109" s="25"/>
      <c r="K109" s="25"/>
      <c r="L109" s="82">
        <f>SUM(L91:L108)</f>
        <v>335619156968.651</v>
      </c>
      <c r="M109" s="98"/>
      <c r="N109" s="25"/>
      <c r="O109" s="25"/>
      <c r="P109" s="82">
        <f>SUM(P91:P108)</f>
        <v>337593361628.04932</v>
      </c>
      <c r="Q109" s="98"/>
      <c r="R109" s="25"/>
      <c r="S109" s="25"/>
      <c r="T109" s="82">
        <f>SUM(T91:T108)</f>
        <v>326922367413.83118</v>
      </c>
      <c r="U109" s="98"/>
      <c r="V109" s="25"/>
      <c r="W109" s="25"/>
      <c r="X109" s="82">
        <f>SUM(X91:X108)</f>
        <v>328523247840.62286</v>
      </c>
      <c r="Y109" s="98"/>
      <c r="Z109" s="25"/>
      <c r="AA109" s="25"/>
      <c r="AB109" s="82">
        <f>SUM(AB91:AB108)</f>
        <v>324899490879.42987</v>
      </c>
      <c r="AC109" s="98"/>
      <c r="AD109" s="25"/>
      <c r="AE109" s="25"/>
      <c r="AF109" s="82">
        <f>SUM(AF91:AF108)</f>
        <v>328659495248.42633</v>
      </c>
      <c r="AG109" s="98"/>
      <c r="AH109" s="25"/>
      <c r="AI109" s="25"/>
      <c r="AJ109" s="26" t="e">
        <f t="shared" si="66"/>
        <v>#DIV/0!</v>
      </c>
      <c r="AK109" s="26"/>
      <c r="AL109" s="27">
        <f t="shared" si="68"/>
        <v>9.5222642670111362E-3</v>
      </c>
      <c r="AM109" s="27"/>
      <c r="AN109" s="28" t="e">
        <f t="shared" si="70"/>
        <v>#DIV/0!</v>
      </c>
      <c r="AO109" s="85"/>
      <c r="AP109" s="32"/>
      <c r="AQ109" s="30"/>
      <c r="AR109" s="34"/>
      <c r="AS109" s="31"/>
      <c r="AT109" s="31"/>
    </row>
    <row r="110" spans="1:46" s="125" customFormat="1" ht="8.25" customHeight="1">
      <c r="A110" s="231"/>
      <c r="B110" s="98"/>
      <c r="C110" s="98"/>
      <c r="D110" s="98"/>
      <c r="E110" s="98"/>
      <c r="F110" s="25"/>
      <c r="G110" s="25"/>
      <c r="H110" s="98"/>
      <c r="I110" s="98"/>
      <c r="J110" s="25"/>
      <c r="K110" s="25"/>
      <c r="L110" s="98"/>
      <c r="M110" s="98"/>
      <c r="N110" s="25"/>
      <c r="O110" s="25"/>
      <c r="P110" s="98"/>
      <c r="Q110" s="98"/>
      <c r="R110" s="25"/>
      <c r="S110" s="25"/>
      <c r="T110" s="98"/>
      <c r="U110" s="98"/>
      <c r="V110" s="25"/>
      <c r="W110" s="25"/>
      <c r="X110" s="98"/>
      <c r="Y110" s="98"/>
      <c r="Z110" s="25"/>
      <c r="AA110" s="25"/>
      <c r="AB110" s="98"/>
      <c r="AC110" s="98"/>
      <c r="AD110" s="25"/>
      <c r="AE110" s="25"/>
      <c r="AF110" s="98"/>
      <c r="AG110" s="98"/>
      <c r="AH110" s="25"/>
      <c r="AI110" s="25"/>
      <c r="AJ110" s="26"/>
      <c r="AK110" s="26"/>
      <c r="AL110" s="27"/>
      <c r="AM110" s="27"/>
      <c r="AN110" s="28"/>
      <c r="AO110" s="85"/>
      <c r="AP110" s="32"/>
      <c r="AQ110" s="30"/>
      <c r="AR110" s="34"/>
      <c r="AS110" s="31"/>
      <c r="AT110" s="31"/>
    </row>
    <row r="111" spans="1:46">
      <c r="A111" s="233" t="s">
        <v>235</v>
      </c>
      <c r="B111" s="98"/>
      <c r="C111" s="98"/>
      <c r="D111" s="98"/>
      <c r="E111" s="98"/>
      <c r="F111" s="25"/>
      <c r="G111" s="25"/>
      <c r="H111" s="98"/>
      <c r="I111" s="98"/>
      <c r="J111" s="25"/>
      <c r="K111" s="25"/>
      <c r="L111" s="98"/>
      <c r="M111" s="98"/>
      <c r="N111" s="25"/>
      <c r="O111" s="25"/>
      <c r="P111" s="98"/>
      <c r="Q111" s="98"/>
      <c r="R111" s="25"/>
      <c r="S111" s="25"/>
      <c r="T111" s="98"/>
      <c r="U111" s="98"/>
      <c r="V111" s="25"/>
      <c r="W111" s="25"/>
      <c r="X111" s="98"/>
      <c r="Y111" s="98"/>
      <c r="Z111" s="25"/>
      <c r="AA111" s="25"/>
      <c r="AB111" s="98"/>
      <c r="AC111" s="98"/>
      <c r="AD111" s="25"/>
      <c r="AE111" s="25"/>
      <c r="AF111" s="98"/>
      <c r="AG111" s="98"/>
      <c r="AH111" s="25"/>
      <c r="AI111" s="25"/>
      <c r="AJ111" s="26"/>
      <c r="AK111" s="26"/>
      <c r="AL111" s="27"/>
      <c r="AM111" s="27"/>
      <c r="AN111" s="28"/>
      <c r="AO111" s="85"/>
      <c r="AP111" s="32"/>
      <c r="AQ111" s="56">
        <f>SUM(AQ94:AQ103)</f>
        <v>16564722721.154379</v>
      </c>
      <c r="AR111" s="57"/>
      <c r="AS111" s="31" t="e">
        <f>(#REF!/AQ111)-1</f>
        <v>#REF!</v>
      </c>
      <c r="AT111" s="31" t="e">
        <f>(#REF!/AR111)-1</f>
        <v>#REF!</v>
      </c>
    </row>
    <row r="112" spans="1:46">
      <c r="A112" s="229" t="s">
        <v>152</v>
      </c>
      <c r="B112" s="415">
        <v>2407061947.8800001</v>
      </c>
      <c r="C112" s="416">
        <v>77</v>
      </c>
      <c r="D112" s="415">
        <v>2411635234.02</v>
      </c>
      <c r="E112" s="416">
        <v>77</v>
      </c>
      <c r="F112" s="25">
        <f t="shared" ref="F112:G115" si="101">((D112-B112)/B112)</f>
        <v>1.8999453437530973E-3</v>
      </c>
      <c r="G112" s="25">
        <f t="shared" si="101"/>
        <v>0</v>
      </c>
      <c r="H112" s="415">
        <v>2414591007.48</v>
      </c>
      <c r="I112" s="416">
        <v>77</v>
      </c>
      <c r="J112" s="25">
        <f t="shared" ref="J112:K115" si="102">((H112-D112)/D112)</f>
        <v>1.2256304014405214E-3</v>
      </c>
      <c r="K112" s="25">
        <f t="shared" si="102"/>
        <v>0</v>
      </c>
      <c r="L112" s="415">
        <v>2417319319.6799998</v>
      </c>
      <c r="M112" s="416">
        <v>77</v>
      </c>
      <c r="N112" s="25">
        <f t="shared" ref="N112:O115" si="103">((L112-H112)/H112)</f>
        <v>1.1299272595433154E-3</v>
      </c>
      <c r="O112" s="25">
        <f t="shared" si="103"/>
        <v>0</v>
      </c>
      <c r="P112" s="415">
        <v>2420699563.4000001</v>
      </c>
      <c r="Q112" s="416">
        <v>77</v>
      </c>
      <c r="R112" s="25">
        <f t="shared" ref="R112:S115" si="104">((P112-L112)/L112)</f>
        <v>1.3983438979206675E-3</v>
      </c>
      <c r="S112" s="25">
        <f t="shared" si="104"/>
        <v>0</v>
      </c>
      <c r="T112" s="415">
        <v>2276617355.4099998</v>
      </c>
      <c r="U112" s="416">
        <v>77</v>
      </c>
      <c r="V112" s="25">
        <f t="shared" ref="V112:V115" si="105">((T112-P112)/P112)</f>
        <v>-5.9520896425341273E-2</v>
      </c>
      <c r="W112" s="25">
        <f t="shared" ref="W112:W115" si="106">((U112-Q112)/Q112)</f>
        <v>0</v>
      </c>
      <c r="X112" s="415">
        <v>2279365774.0100002</v>
      </c>
      <c r="Y112" s="416">
        <v>77</v>
      </c>
      <c r="Z112" s="25">
        <f t="shared" ref="Z112:Z115" si="107">((X112-T112)/T112)</f>
        <v>1.2072378318074512E-3</v>
      </c>
      <c r="AA112" s="25">
        <f t="shared" ref="AA112:AA115" si="108">((Y112-U112)/U112)</f>
        <v>0</v>
      </c>
      <c r="AB112" s="415">
        <v>2282747522.1900001</v>
      </c>
      <c r="AC112" s="416">
        <v>77</v>
      </c>
      <c r="AD112" s="25">
        <f t="shared" ref="AD112:AD115" si="109">((AB112-X112)/X112)</f>
        <v>1.4836355878286482E-3</v>
      </c>
      <c r="AE112" s="25">
        <f t="shared" ref="AE112:AE115" si="110">((AC112-Y112)/Y112)</f>
        <v>0</v>
      </c>
      <c r="AF112" s="415">
        <v>2285687216.0500002</v>
      </c>
      <c r="AG112" s="416">
        <v>77</v>
      </c>
      <c r="AH112" s="25">
        <f t="shared" ref="AH112:AH115" si="111">((AF112-AB112)/AB112)</f>
        <v>1.2877875592566096E-3</v>
      </c>
      <c r="AI112" s="25">
        <f t="shared" ref="AI112:AI115" si="112">((AG112-AC112)/AC112)</f>
        <v>0</v>
      </c>
      <c r="AJ112" s="26">
        <f t="shared" si="66"/>
        <v>-6.2360485679738703E-3</v>
      </c>
      <c r="AK112" s="26">
        <f t="shared" si="67"/>
        <v>0</v>
      </c>
      <c r="AL112" s="27">
        <f t="shared" si="68"/>
        <v>-5.2225152541022828E-2</v>
      </c>
      <c r="AM112" s="27">
        <f t="shared" si="69"/>
        <v>0</v>
      </c>
      <c r="AN112" s="28">
        <f t="shared" si="70"/>
        <v>2.1531676848427831E-2</v>
      </c>
      <c r="AO112" s="85">
        <f t="shared" si="71"/>
        <v>0</v>
      </c>
      <c r="AP112" s="32"/>
      <c r="AQ112" s="42"/>
      <c r="AR112" s="15"/>
      <c r="AS112" s="31" t="e">
        <f>(#REF!/AQ112)-1</f>
        <v>#REF!</v>
      </c>
      <c r="AT112" s="31" t="e">
        <f>(#REF!/AR112)-1</f>
        <v>#REF!</v>
      </c>
    </row>
    <row r="113" spans="1:46">
      <c r="A113" s="229" t="s">
        <v>26</v>
      </c>
      <c r="B113" s="415">
        <v>9875292732.6000004</v>
      </c>
      <c r="C113" s="416">
        <v>36.6</v>
      </c>
      <c r="D113" s="415">
        <v>9882048277.5200005</v>
      </c>
      <c r="E113" s="416">
        <v>36.6</v>
      </c>
      <c r="F113" s="25">
        <f t="shared" si="101"/>
        <v>6.8408553578355074E-4</v>
      </c>
      <c r="G113" s="25">
        <f t="shared" si="101"/>
        <v>0</v>
      </c>
      <c r="H113" s="415">
        <v>9883357154.2999992</v>
      </c>
      <c r="I113" s="416">
        <v>36.6</v>
      </c>
      <c r="J113" s="25">
        <f t="shared" si="102"/>
        <v>1.3244994795018903E-4</v>
      </c>
      <c r="K113" s="25">
        <f t="shared" si="102"/>
        <v>0</v>
      </c>
      <c r="L113" s="415">
        <v>9901770496.9899998</v>
      </c>
      <c r="M113" s="416">
        <v>36.6</v>
      </c>
      <c r="N113" s="25">
        <f t="shared" si="103"/>
        <v>1.8630655962877305E-3</v>
      </c>
      <c r="O113" s="25">
        <f t="shared" si="103"/>
        <v>0</v>
      </c>
      <c r="P113" s="415">
        <v>9904421607.9799995</v>
      </c>
      <c r="Q113" s="416">
        <v>36.6</v>
      </c>
      <c r="R113" s="25">
        <f t="shared" si="104"/>
        <v>2.677411065834814E-4</v>
      </c>
      <c r="S113" s="25">
        <f t="shared" si="104"/>
        <v>0</v>
      </c>
      <c r="T113" s="415">
        <v>9903489184.5699997</v>
      </c>
      <c r="U113" s="416">
        <v>36.6</v>
      </c>
      <c r="V113" s="25">
        <f t="shared" si="105"/>
        <v>-9.4142136401846341E-5</v>
      </c>
      <c r="W113" s="25">
        <f t="shared" si="106"/>
        <v>0</v>
      </c>
      <c r="X113" s="415">
        <v>9898473915.8199997</v>
      </c>
      <c r="Y113" s="416">
        <v>36.6</v>
      </c>
      <c r="Z113" s="25">
        <f t="shared" si="107"/>
        <v>-5.0641432090560293E-4</v>
      </c>
      <c r="AA113" s="25">
        <f t="shared" si="108"/>
        <v>0</v>
      </c>
      <c r="AB113" s="415">
        <v>9930183903.9500008</v>
      </c>
      <c r="AC113" s="416">
        <v>36.6</v>
      </c>
      <c r="AD113" s="25">
        <f t="shared" si="109"/>
        <v>3.2035229268343414E-3</v>
      </c>
      <c r="AE113" s="25">
        <f t="shared" si="110"/>
        <v>0</v>
      </c>
      <c r="AF113" s="415">
        <v>9934574413.0900002</v>
      </c>
      <c r="AG113" s="416">
        <v>36.6</v>
      </c>
      <c r="AH113" s="25">
        <f t="shared" si="111"/>
        <v>4.4213774714211944E-4</v>
      </c>
      <c r="AI113" s="25">
        <f t="shared" si="112"/>
        <v>0</v>
      </c>
      <c r="AJ113" s="26">
        <f t="shared" si="66"/>
        <v>7.4905580040924538E-4</v>
      </c>
      <c r="AK113" s="26">
        <f t="shared" si="67"/>
        <v>0</v>
      </c>
      <c r="AL113" s="27">
        <f t="shared" si="68"/>
        <v>5.3153085367421068E-3</v>
      </c>
      <c r="AM113" s="27">
        <f t="shared" si="69"/>
        <v>0</v>
      </c>
      <c r="AN113" s="28">
        <f t="shared" si="70"/>
        <v>1.2108380288436398E-3</v>
      </c>
      <c r="AO113" s="85">
        <f t="shared" si="71"/>
        <v>0</v>
      </c>
      <c r="AP113" s="32"/>
      <c r="AQ113" s="30">
        <v>640873657.65999997</v>
      </c>
      <c r="AR113" s="34">
        <v>11.5358</v>
      </c>
      <c r="AS113" s="31" t="e">
        <f>(#REF!/AQ113)-1</f>
        <v>#REF!</v>
      </c>
      <c r="AT113" s="31" t="e">
        <f>(#REF!/AR113)-1</f>
        <v>#REF!</v>
      </c>
    </row>
    <row r="114" spans="1:46">
      <c r="A114" s="229" t="s">
        <v>200</v>
      </c>
      <c r="B114" s="415">
        <v>25647087454.970001</v>
      </c>
      <c r="C114" s="416">
        <v>9.59</v>
      </c>
      <c r="D114" s="415">
        <v>25666212440.34</v>
      </c>
      <c r="E114" s="416">
        <v>9.6</v>
      </c>
      <c r="F114" s="25">
        <f t="shared" si="101"/>
        <v>7.4569813837839158E-4</v>
      </c>
      <c r="G114" s="25">
        <f t="shared" si="101"/>
        <v>1.0427528675703635E-3</v>
      </c>
      <c r="H114" s="415">
        <v>25900081406.959999</v>
      </c>
      <c r="I114" s="416">
        <v>9.69</v>
      </c>
      <c r="J114" s="25">
        <f t="shared" si="102"/>
        <v>9.1119391754282877E-3</v>
      </c>
      <c r="K114" s="25">
        <f t="shared" si="102"/>
        <v>9.3749999999999858E-3</v>
      </c>
      <c r="L114" s="415">
        <v>25882104419.389999</v>
      </c>
      <c r="M114" s="416">
        <v>9.6999999999999993</v>
      </c>
      <c r="N114" s="25">
        <f t="shared" si="103"/>
        <v>-6.9409000255763018E-4</v>
      </c>
      <c r="O114" s="25">
        <f t="shared" si="103"/>
        <v>1.0319917440660255E-3</v>
      </c>
      <c r="P114" s="415">
        <v>25885498633.91</v>
      </c>
      <c r="Q114" s="416">
        <v>9.6999999999999993</v>
      </c>
      <c r="R114" s="25">
        <f t="shared" si="104"/>
        <v>1.3114136567108611E-4</v>
      </c>
      <c r="S114" s="25">
        <f t="shared" si="104"/>
        <v>0</v>
      </c>
      <c r="T114" s="415">
        <v>25890058694.57</v>
      </c>
      <c r="U114" s="416">
        <v>9.6999999999999993</v>
      </c>
      <c r="V114" s="25">
        <f t="shared" si="105"/>
        <v>1.7616275137254526E-4</v>
      </c>
      <c r="W114" s="25">
        <f t="shared" si="106"/>
        <v>0</v>
      </c>
      <c r="X114" s="415">
        <v>25923148673.009998</v>
      </c>
      <c r="Y114" s="416">
        <v>9.7200000000000006</v>
      </c>
      <c r="Z114" s="25">
        <f t="shared" si="107"/>
        <v>1.2780959220821963E-3</v>
      </c>
      <c r="AA114" s="25">
        <f t="shared" si="108"/>
        <v>2.061855670103232E-3</v>
      </c>
      <c r="AB114" s="415">
        <v>25916377320.380001</v>
      </c>
      <c r="AC114" s="416">
        <v>9.7100000000000009</v>
      </c>
      <c r="AD114" s="25">
        <f t="shared" si="109"/>
        <v>-2.6120872566098722E-4</v>
      </c>
      <c r="AE114" s="25">
        <f t="shared" si="110"/>
        <v>-1.0288065843621179E-3</v>
      </c>
      <c r="AF114" s="415">
        <v>25927345090.549999</v>
      </c>
      <c r="AG114" s="416">
        <v>9.7200000000000006</v>
      </c>
      <c r="AH114" s="25">
        <f t="shared" si="111"/>
        <v>4.2319842910194799E-4</v>
      </c>
      <c r="AI114" s="25">
        <f t="shared" si="112"/>
        <v>1.0298661174047154E-3</v>
      </c>
      <c r="AJ114" s="26">
        <f t="shared" si="66"/>
        <v>1.3638671317269797E-3</v>
      </c>
      <c r="AK114" s="26">
        <f t="shared" si="67"/>
        <v>1.6890824768477754E-3</v>
      </c>
      <c r="AL114" s="27">
        <f t="shared" si="68"/>
        <v>1.0174179412602877E-2</v>
      </c>
      <c r="AM114" s="27">
        <f t="shared" si="69"/>
        <v>1.2500000000000105E-2</v>
      </c>
      <c r="AN114" s="28">
        <f t="shared" si="70"/>
        <v>3.1873249246138977E-3</v>
      </c>
      <c r="AO114" s="85">
        <f t="shared" si="71"/>
        <v>3.2423378824112748E-3</v>
      </c>
      <c r="AP114" s="32"/>
      <c r="AQ114" s="30">
        <v>2128320668.46</v>
      </c>
      <c r="AR114" s="37">
        <v>1.04</v>
      </c>
      <c r="AS114" s="31" t="e">
        <f>(#REF!/AQ114)-1</f>
        <v>#REF!</v>
      </c>
      <c r="AT114" s="31" t="e">
        <f>(#REF!/AR114)-1</f>
        <v>#REF!</v>
      </c>
    </row>
    <row r="115" spans="1:46">
      <c r="A115" s="229" t="s">
        <v>177</v>
      </c>
      <c r="B115" s="415">
        <v>7511812185.1700001</v>
      </c>
      <c r="C115" s="416">
        <v>101.31</v>
      </c>
      <c r="D115" s="415">
        <v>7511812185.1700001</v>
      </c>
      <c r="E115" s="416">
        <v>101.31</v>
      </c>
      <c r="F115" s="25">
        <f t="shared" si="101"/>
        <v>0</v>
      </c>
      <c r="G115" s="25">
        <f t="shared" si="101"/>
        <v>0</v>
      </c>
      <c r="H115" s="415">
        <v>7511812185.1700001</v>
      </c>
      <c r="I115" s="416">
        <v>101.31</v>
      </c>
      <c r="J115" s="25">
        <f t="shared" si="102"/>
        <v>0</v>
      </c>
      <c r="K115" s="25">
        <f t="shared" si="102"/>
        <v>0</v>
      </c>
      <c r="L115" s="415">
        <v>7511812185.1700001</v>
      </c>
      <c r="M115" s="416">
        <v>101.31</v>
      </c>
      <c r="N115" s="25">
        <f t="shared" si="103"/>
        <v>0</v>
      </c>
      <c r="O115" s="25">
        <f t="shared" si="103"/>
        <v>0</v>
      </c>
      <c r="P115" s="415">
        <v>7511812185.1700001</v>
      </c>
      <c r="Q115" s="416">
        <v>101.31</v>
      </c>
      <c r="R115" s="25">
        <f t="shared" si="104"/>
        <v>0</v>
      </c>
      <c r="S115" s="25">
        <f t="shared" si="104"/>
        <v>0</v>
      </c>
      <c r="T115" s="415">
        <v>7511812185.1700001</v>
      </c>
      <c r="U115" s="416">
        <v>101.31</v>
      </c>
      <c r="V115" s="25">
        <f t="shared" si="105"/>
        <v>0</v>
      </c>
      <c r="W115" s="25">
        <f t="shared" si="106"/>
        <v>0</v>
      </c>
      <c r="X115" s="415">
        <v>7511812185.1700001</v>
      </c>
      <c r="Y115" s="416">
        <v>101.31</v>
      </c>
      <c r="Z115" s="25">
        <f t="shared" si="107"/>
        <v>0</v>
      </c>
      <c r="AA115" s="25">
        <f t="shared" si="108"/>
        <v>0</v>
      </c>
      <c r="AB115" s="415">
        <v>7511812185.1700001</v>
      </c>
      <c r="AC115" s="416">
        <v>101.31</v>
      </c>
      <c r="AD115" s="25">
        <f t="shared" si="109"/>
        <v>0</v>
      </c>
      <c r="AE115" s="25">
        <f t="shared" si="110"/>
        <v>0</v>
      </c>
      <c r="AF115" s="415">
        <v>7511812185.1700001</v>
      </c>
      <c r="AG115" s="416">
        <v>101.31</v>
      </c>
      <c r="AH115" s="25">
        <f t="shared" si="111"/>
        <v>0</v>
      </c>
      <c r="AI115" s="25">
        <f t="shared" si="112"/>
        <v>0</v>
      </c>
      <c r="AJ115" s="26">
        <f t="shared" si="66"/>
        <v>0</v>
      </c>
      <c r="AK115" s="26">
        <f t="shared" si="67"/>
        <v>0</v>
      </c>
      <c r="AL115" s="27">
        <f t="shared" si="68"/>
        <v>0</v>
      </c>
      <c r="AM115" s="27">
        <f t="shared" si="69"/>
        <v>0</v>
      </c>
      <c r="AN115" s="28">
        <f t="shared" si="70"/>
        <v>0</v>
      </c>
      <c r="AO115" s="85">
        <f t="shared" si="71"/>
        <v>0</v>
      </c>
      <c r="AP115" s="32"/>
      <c r="AQ115" s="30">
        <v>1789192828.73</v>
      </c>
      <c r="AR115" s="34">
        <v>0.79</v>
      </c>
      <c r="AS115" s="31" t="e">
        <f>(#REF!/AQ115)-1</f>
        <v>#REF!</v>
      </c>
      <c r="AT115" s="31" t="e">
        <f>(#REF!/AR115)-1</f>
        <v>#REF!</v>
      </c>
    </row>
    <row r="116" spans="1:46">
      <c r="A116" s="231" t="s">
        <v>47</v>
      </c>
      <c r="B116" s="73">
        <f>SUM(B112:B115)</f>
        <v>45441254320.619995</v>
      </c>
      <c r="C116" s="98"/>
      <c r="D116" s="73">
        <f>SUM(D112:D115)</f>
        <v>45471708137.050003</v>
      </c>
      <c r="E116" s="98"/>
      <c r="F116" s="25">
        <f>((D116-B116)/B116)</f>
        <v>6.7017992538530844E-4</v>
      </c>
      <c r="G116" s="25"/>
      <c r="H116" s="73">
        <f>SUM(H112:H115)</f>
        <v>45709841753.909996</v>
      </c>
      <c r="I116" s="98"/>
      <c r="J116" s="25">
        <f>((H116-D116)/D116)</f>
        <v>5.2369622038887847E-3</v>
      </c>
      <c r="K116" s="25"/>
      <c r="L116" s="73">
        <f>SUM(L112:L115)</f>
        <v>45713006421.229996</v>
      </c>
      <c r="M116" s="98"/>
      <c r="N116" s="25">
        <f>((L116-H116)/H116)</f>
        <v>6.9233827958483166E-5</v>
      </c>
      <c r="O116" s="25"/>
      <c r="P116" s="73">
        <f>SUM(P112:P115)</f>
        <v>45722431990.459999</v>
      </c>
      <c r="Q116" s="98"/>
      <c r="R116" s="25">
        <f>((P116-L116)/L116)</f>
        <v>2.0619009704043315E-4</v>
      </c>
      <c r="S116" s="25"/>
      <c r="T116" s="73">
        <f>SUM(T112:T115)</f>
        <v>45581977419.720001</v>
      </c>
      <c r="U116" s="98"/>
      <c r="V116" s="25">
        <f>((T116-P116)/P116)</f>
        <v>-3.0718963236536444E-3</v>
      </c>
      <c r="W116" s="25"/>
      <c r="X116" s="73">
        <f>SUM(X112:X115)</f>
        <v>45612800548.009995</v>
      </c>
      <c r="Y116" s="98"/>
      <c r="Z116" s="25">
        <f>((X116-T116)/T116)</f>
        <v>6.762130568881017E-4</v>
      </c>
      <c r="AA116" s="25"/>
      <c r="AB116" s="73">
        <f>SUM(AB112:AB115)</f>
        <v>45641120931.690002</v>
      </c>
      <c r="AC116" s="98"/>
      <c r="AD116" s="25">
        <f>((AB116-X116)/X116)</f>
        <v>6.2088675415137391E-4</v>
      </c>
      <c r="AE116" s="25"/>
      <c r="AF116" s="73">
        <f>SUM(AF112:AF115)</f>
        <v>45659418904.860001</v>
      </c>
      <c r="AG116" s="98"/>
      <c r="AH116" s="25">
        <f>((AF116-AB116)/AB116)</f>
        <v>4.0090981107550615E-4</v>
      </c>
      <c r="AI116" s="25"/>
      <c r="AJ116" s="26">
        <f t="shared" si="66"/>
        <v>6.0108491909179323E-4</v>
      </c>
      <c r="AK116" s="26"/>
      <c r="AL116" s="27">
        <f t="shared" si="68"/>
        <v>4.1280782161128501E-3</v>
      </c>
      <c r="AM116" s="27"/>
      <c r="AN116" s="28">
        <f t="shared" si="70"/>
        <v>2.2510898140489233E-3</v>
      </c>
      <c r="AO116" s="85"/>
      <c r="AP116" s="32"/>
      <c r="AQ116" s="30">
        <v>204378030.47999999</v>
      </c>
      <c r="AR116" s="34">
        <v>22.9087</v>
      </c>
      <c r="AS116" s="31" t="e">
        <f>(#REF!/AQ116)-1</f>
        <v>#REF!</v>
      </c>
      <c r="AT116" s="31" t="e">
        <f>(#REF!/AR116)-1</f>
        <v>#REF!</v>
      </c>
    </row>
    <row r="117" spans="1:46">
      <c r="A117" s="233" t="s">
        <v>245</v>
      </c>
      <c r="B117" s="98"/>
      <c r="C117" s="98"/>
      <c r="D117" s="98"/>
      <c r="E117" s="98"/>
      <c r="F117" s="25"/>
      <c r="G117" s="25"/>
      <c r="H117" s="98"/>
      <c r="I117" s="98"/>
      <c r="J117" s="25"/>
      <c r="K117" s="25"/>
      <c r="L117" s="98"/>
      <c r="M117" s="98"/>
      <c r="N117" s="25"/>
      <c r="O117" s="25"/>
      <c r="P117" s="98"/>
      <c r="Q117" s="98"/>
      <c r="R117" s="25"/>
      <c r="S117" s="25"/>
      <c r="T117" s="98"/>
      <c r="U117" s="98"/>
      <c r="V117" s="25"/>
      <c r="W117" s="25"/>
      <c r="X117" s="98"/>
      <c r="Y117" s="98"/>
      <c r="Z117" s="25"/>
      <c r="AA117" s="25"/>
      <c r="AB117" s="98"/>
      <c r="AC117" s="98"/>
      <c r="AD117" s="25"/>
      <c r="AE117" s="25"/>
      <c r="AF117" s="98"/>
      <c r="AG117" s="98"/>
      <c r="AH117" s="25"/>
      <c r="AI117" s="25"/>
      <c r="AJ117" s="26"/>
      <c r="AK117" s="26"/>
      <c r="AL117" s="27"/>
      <c r="AM117" s="27"/>
      <c r="AN117" s="28"/>
      <c r="AO117" s="85"/>
      <c r="AP117" s="32"/>
      <c r="AQ117" s="30">
        <v>160273731.87</v>
      </c>
      <c r="AR117" s="34">
        <v>133.94</v>
      </c>
      <c r="AS117" s="31" t="e">
        <f>(#REF!/AQ117)-1</f>
        <v>#REF!</v>
      </c>
      <c r="AT117" s="31" t="e">
        <f>(#REF!/AR117)-1</f>
        <v>#REF!</v>
      </c>
    </row>
    <row r="118" spans="1:46" s="99" customFormat="1">
      <c r="A118" s="229" t="s">
        <v>27</v>
      </c>
      <c r="B118" s="415">
        <v>1492582550.1400001</v>
      </c>
      <c r="C118" s="414">
        <v>3476.47</v>
      </c>
      <c r="D118" s="415">
        <v>1455136758.1600001</v>
      </c>
      <c r="E118" s="414">
        <v>3463.18</v>
      </c>
      <c r="F118" s="25">
        <f t="shared" ref="F118:F141" si="113">((D118-B118)/B118)</f>
        <v>-2.5087920247015956E-2</v>
      </c>
      <c r="G118" s="25">
        <f t="shared" ref="G118:G141" si="114">((E118-C118)/C118)</f>
        <v>-3.8228432864370939E-3</v>
      </c>
      <c r="H118" s="415">
        <v>1447995439.8800001</v>
      </c>
      <c r="I118" s="414">
        <v>3453.1</v>
      </c>
      <c r="J118" s="25">
        <f t="shared" ref="J118:J141" si="115">((H118-D118)/D118)</f>
        <v>-4.9076612489880799E-3</v>
      </c>
      <c r="K118" s="25">
        <f t="shared" ref="K118:K141" si="116">((I118-E118)/E118)</f>
        <v>-2.9106197194485785E-3</v>
      </c>
      <c r="L118" s="415">
        <v>1459511332.6099999</v>
      </c>
      <c r="M118" s="414">
        <v>3502.43</v>
      </c>
      <c r="N118" s="25">
        <f t="shared" ref="N118:N141" si="117">((L118-H118)/H118)</f>
        <v>7.9529896385268587E-3</v>
      </c>
      <c r="O118" s="25">
        <f t="shared" ref="O118:O141" si="118">((M118-I118)/I118)</f>
        <v>1.4285714285714264E-2</v>
      </c>
      <c r="P118" s="415">
        <v>1474881748.27</v>
      </c>
      <c r="Q118" s="414">
        <v>3542.34</v>
      </c>
      <c r="R118" s="25">
        <f t="shared" ref="R118:R141" si="119">((P118-L118)/L118)</f>
        <v>1.0531206792696592E-2</v>
      </c>
      <c r="S118" s="25">
        <f t="shared" ref="S118:S141" si="120">((Q118-M118)/M118)</f>
        <v>1.1394945794776857E-2</v>
      </c>
      <c r="T118" s="415">
        <v>1492622722.8299999</v>
      </c>
      <c r="U118" s="414">
        <v>3587.83</v>
      </c>
      <c r="V118" s="25">
        <f t="shared" ref="V118:V141" si="121">((T118-P118)/P118)</f>
        <v>1.2028743715087444E-2</v>
      </c>
      <c r="W118" s="25">
        <f t="shared" ref="W118:W141" si="122">((U118-Q118)/Q118)</f>
        <v>1.2841793842488236E-2</v>
      </c>
      <c r="X118" s="415">
        <v>1497231356.8599999</v>
      </c>
      <c r="Y118" s="414">
        <v>3583.1</v>
      </c>
      <c r="Z118" s="25">
        <f t="shared" ref="Z118:Z141" si="123">((X118-T118)/T118)</f>
        <v>3.0876081138990303E-3</v>
      </c>
      <c r="AA118" s="25">
        <f t="shared" ref="AA118:AA141" si="124">((Y118-U118)/U118)</f>
        <v>-1.3183456295309472E-3</v>
      </c>
      <c r="AB118" s="415">
        <v>1509525251.3199999</v>
      </c>
      <c r="AC118" s="414">
        <v>3610.44</v>
      </c>
      <c r="AD118" s="25">
        <f t="shared" ref="AD118:AD141" si="125">((AB118-X118)/X118)</f>
        <v>8.2110853500843364E-3</v>
      </c>
      <c r="AE118" s="25">
        <f t="shared" ref="AE118:AE141" si="126">((AC118-Y118)/Y118)</f>
        <v>7.6302642962797988E-3</v>
      </c>
      <c r="AF118" s="415">
        <v>1524578969.77</v>
      </c>
      <c r="AG118" s="414">
        <v>3646.76</v>
      </c>
      <c r="AH118" s="25">
        <f t="shared" ref="AH118:AH141" si="127">((AF118-AB118)/AB118)</f>
        <v>9.9724853471887063E-3</v>
      </c>
      <c r="AI118" s="25">
        <f t="shared" ref="AI118:AI141" si="128">((AG118-AC118)/AC118)</f>
        <v>1.0059715713320306E-2</v>
      </c>
      <c r="AJ118" s="26">
        <f t="shared" si="66"/>
        <v>2.723567182684866E-3</v>
      </c>
      <c r="AK118" s="26">
        <f t="shared" si="67"/>
        <v>6.0200781621453543E-3</v>
      </c>
      <c r="AL118" s="27">
        <f t="shared" si="68"/>
        <v>4.7722120426542308E-2</v>
      </c>
      <c r="AM118" s="27">
        <f t="shared" si="69"/>
        <v>5.3009084136545141E-2</v>
      </c>
      <c r="AN118" s="28">
        <f t="shared" si="70"/>
        <v>1.2475112837865046E-2</v>
      </c>
      <c r="AO118" s="85">
        <f t="shared" si="71"/>
        <v>7.4942840065129086E-3</v>
      </c>
      <c r="AP118" s="32"/>
      <c r="AQ118" s="30"/>
      <c r="AR118" s="34"/>
      <c r="AS118" s="31"/>
      <c r="AT118" s="31"/>
    </row>
    <row r="119" spans="1:46" s="114" customFormat="1">
      <c r="A119" s="229" t="s">
        <v>230</v>
      </c>
      <c r="B119" s="415">
        <v>187208093.5</v>
      </c>
      <c r="C119" s="414">
        <v>142.81</v>
      </c>
      <c r="D119" s="415">
        <v>185639969.84</v>
      </c>
      <c r="E119" s="414">
        <v>142.81</v>
      </c>
      <c r="F119" s="25">
        <f t="shared" si="113"/>
        <v>-8.3763668048892157E-3</v>
      </c>
      <c r="G119" s="25">
        <f t="shared" si="114"/>
        <v>0</v>
      </c>
      <c r="H119" s="415">
        <v>185087817.69999999</v>
      </c>
      <c r="I119" s="414">
        <v>144.47999999999999</v>
      </c>
      <c r="J119" s="25">
        <f t="shared" si="115"/>
        <v>-2.9743171175685185E-3</v>
      </c>
      <c r="K119" s="25">
        <f t="shared" si="116"/>
        <v>1.1693858973461155E-2</v>
      </c>
      <c r="L119" s="415">
        <v>186435705.84999999</v>
      </c>
      <c r="M119" s="414">
        <v>144.47999999999999</v>
      </c>
      <c r="N119" s="25">
        <f t="shared" si="117"/>
        <v>7.2824249956025388E-3</v>
      </c>
      <c r="O119" s="25">
        <f t="shared" si="118"/>
        <v>0</v>
      </c>
      <c r="P119" s="415">
        <v>188938756.72999999</v>
      </c>
      <c r="Q119" s="414">
        <v>145.65</v>
      </c>
      <c r="R119" s="25">
        <f t="shared" si="119"/>
        <v>1.342581276793549E-2</v>
      </c>
      <c r="S119" s="25">
        <f t="shared" si="120"/>
        <v>8.0980066445183827E-3</v>
      </c>
      <c r="T119" s="415">
        <v>190344140.19</v>
      </c>
      <c r="U119" s="414">
        <v>146.03</v>
      </c>
      <c r="V119" s="25">
        <f t="shared" si="121"/>
        <v>7.4383016185945901E-3</v>
      </c>
      <c r="W119" s="25">
        <f t="shared" si="122"/>
        <v>2.6089941640919699E-3</v>
      </c>
      <c r="X119" s="415">
        <v>190156447.19999999</v>
      </c>
      <c r="Y119" s="414">
        <v>147.44</v>
      </c>
      <c r="Z119" s="25">
        <f t="shared" si="123"/>
        <v>-9.8607180558674362E-4</v>
      </c>
      <c r="AA119" s="25">
        <f t="shared" si="124"/>
        <v>9.6555502294048932E-3</v>
      </c>
      <c r="AB119" s="415">
        <v>189754188.46000001</v>
      </c>
      <c r="AC119" s="414">
        <v>147.44</v>
      </c>
      <c r="AD119" s="25">
        <f t="shared" si="125"/>
        <v>-2.1154094216794968E-3</v>
      </c>
      <c r="AE119" s="25">
        <f t="shared" si="126"/>
        <v>0</v>
      </c>
      <c r="AF119" s="415">
        <v>191758710.68000001</v>
      </c>
      <c r="AG119" s="414">
        <v>147.44</v>
      </c>
      <c r="AH119" s="25">
        <f t="shared" si="127"/>
        <v>1.0563783789270876E-2</v>
      </c>
      <c r="AI119" s="25">
        <f t="shared" si="128"/>
        <v>0</v>
      </c>
      <c r="AJ119" s="26">
        <f t="shared" si="66"/>
        <v>3.0322697527099401E-3</v>
      </c>
      <c r="AK119" s="26">
        <f t="shared" si="67"/>
        <v>4.0070512514345496E-3</v>
      </c>
      <c r="AL119" s="27">
        <f t="shared" si="68"/>
        <v>3.2960255516490573E-2</v>
      </c>
      <c r="AM119" s="27">
        <f t="shared" si="69"/>
        <v>3.2420698830614068E-2</v>
      </c>
      <c r="AN119" s="28">
        <f t="shared" si="70"/>
        <v>7.663532570178465E-3</v>
      </c>
      <c r="AO119" s="85">
        <f t="shared" si="71"/>
        <v>4.9843880872996581E-3</v>
      </c>
      <c r="AP119" s="32"/>
      <c r="AQ119" s="30"/>
      <c r="AR119" s="34"/>
      <c r="AS119" s="31"/>
      <c r="AT119" s="31"/>
    </row>
    <row r="120" spans="1:46" s="125" customFormat="1">
      <c r="A120" s="229" t="s">
        <v>81</v>
      </c>
      <c r="B120" s="414">
        <v>1017448597.1</v>
      </c>
      <c r="C120" s="414">
        <v>1.3371</v>
      </c>
      <c r="D120" s="414">
        <v>1017843790.03</v>
      </c>
      <c r="E120" s="414">
        <v>1.3386</v>
      </c>
      <c r="F120" s="25">
        <f t="shared" si="113"/>
        <v>3.8841562229910469E-4</v>
      </c>
      <c r="G120" s="25">
        <f t="shared" si="114"/>
        <v>1.1218308279111935E-3</v>
      </c>
      <c r="H120" s="414">
        <v>1028577964.0700001</v>
      </c>
      <c r="I120" s="414">
        <v>1.3308</v>
      </c>
      <c r="J120" s="25">
        <f t="shared" si="115"/>
        <v>1.0545993545516157E-2</v>
      </c>
      <c r="K120" s="25">
        <f t="shared" si="116"/>
        <v>-5.8269834155087619E-3</v>
      </c>
      <c r="L120" s="414">
        <v>1024997321.97</v>
      </c>
      <c r="M120" s="414">
        <v>1.3262</v>
      </c>
      <c r="N120" s="25">
        <f t="shared" si="117"/>
        <v>-3.4811577003183228E-3</v>
      </c>
      <c r="O120" s="25">
        <f t="shared" si="118"/>
        <v>-3.4565674782085494E-3</v>
      </c>
      <c r="P120" s="414">
        <v>1031174933.52</v>
      </c>
      <c r="Q120" s="414">
        <v>1.3369</v>
      </c>
      <c r="R120" s="25">
        <f t="shared" si="119"/>
        <v>6.0269538442567373E-3</v>
      </c>
      <c r="S120" s="25">
        <f t="shared" si="120"/>
        <v>8.0681646810435315E-3</v>
      </c>
      <c r="T120" s="414">
        <v>1036521675.13</v>
      </c>
      <c r="U120" s="414">
        <v>1.3472</v>
      </c>
      <c r="V120" s="25">
        <f t="shared" si="121"/>
        <v>5.1850965691616208E-3</v>
      </c>
      <c r="W120" s="25">
        <f t="shared" si="122"/>
        <v>7.7043907547310764E-3</v>
      </c>
      <c r="X120" s="414">
        <v>1037333414.83</v>
      </c>
      <c r="Y120" s="414">
        <v>1.3504</v>
      </c>
      <c r="Z120" s="25">
        <f t="shared" si="123"/>
        <v>7.8313818174447695E-4</v>
      </c>
      <c r="AA120" s="25">
        <f t="shared" si="124"/>
        <v>2.3752969121140824E-3</v>
      </c>
      <c r="AB120" s="414">
        <v>1038313429.66</v>
      </c>
      <c r="AC120" s="414">
        <v>1.3514999999999999</v>
      </c>
      <c r="AD120" s="25">
        <f t="shared" si="125"/>
        <v>9.4474429917070608E-4</v>
      </c>
      <c r="AE120" s="25">
        <f t="shared" si="126"/>
        <v>8.145734597155501E-4</v>
      </c>
      <c r="AF120" s="414">
        <v>1049974333.03</v>
      </c>
      <c r="AG120" s="414">
        <v>1.3669</v>
      </c>
      <c r="AH120" s="25">
        <f t="shared" si="127"/>
        <v>1.1230619807949914E-2</v>
      </c>
      <c r="AI120" s="25">
        <f t="shared" si="128"/>
        <v>1.1394746577876494E-2</v>
      </c>
      <c r="AJ120" s="26">
        <f t="shared" si="66"/>
        <v>3.9529755212225487E-3</v>
      </c>
      <c r="AK120" s="26">
        <f t="shared" si="67"/>
        <v>2.7744315399593272E-3</v>
      </c>
      <c r="AL120" s="27">
        <f t="shared" si="68"/>
        <v>3.1567263380418112E-2</v>
      </c>
      <c r="AM120" s="27">
        <f t="shared" si="69"/>
        <v>2.114149111011504E-2</v>
      </c>
      <c r="AN120" s="28">
        <f t="shared" si="70"/>
        <v>5.2005665799396148E-3</v>
      </c>
      <c r="AO120" s="85">
        <f t="shared" si="71"/>
        <v>5.9302983427857283E-3</v>
      </c>
      <c r="AP120" s="32"/>
      <c r="AQ120" s="30"/>
      <c r="AR120" s="34"/>
      <c r="AS120" s="31"/>
      <c r="AT120" s="31"/>
    </row>
    <row r="121" spans="1:46">
      <c r="A121" s="229" t="s">
        <v>9</v>
      </c>
      <c r="B121" s="414">
        <v>4375631299.6000004</v>
      </c>
      <c r="C121" s="414">
        <v>491.64679999999998</v>
      </c>
      <c r="D121" s="414">
        <v>4391303126.6099997</v>
      </c>
      <c r="E121" s="414">
        <v>493.435</v>
      </c>
      <c r="F121" s="25">
        <f t="shared" si="113"/>
        <v>3.5816150715056636E-3</v>
      </c>
      <c r="G121" s="25">
        <f t="shared" si="114"/>
        <v>3.637163915233492E-3</v>
      </c>
      <c r="H121" s="414">
        <v>4378193742.9300003</v>
      </c>
      <c r="I121" s="414">
        <v>491.55709999999999</v>
      </c>
      <c r="J121" s="25">
        <f t="shared" si="115"/>
        <v>-2.9853060246650613E-3</v>
      </c>
      <c r="K121" s="25">
        <f t="shared" si="116"/>
        <v>-3.8057697569082271E-3</v>
      </c>
      <c r="L121" s="414">
        <v>4404854686.9899998</v>
      </c>
      <c r="M121" s="414">
        <v>495.0299</v>
      </c>
      <c r="N121" s="25">
        <f t="shared" si="117"/>
        <v>6.0894847568251451E-3</v>
      </c>
      <c r="O121" s="25">
        <f t="shared" si="118"/>
        <v>7.0648964281057212E-3</v>
      </c>
      <c r="P121" s="414">
        <v>4494604868.8900003</v>
      </c>
      <c r="Q121" s="414">
        <v>505.96800000000002</v>
      </c>
      <c r="R121" s="25">
        <f t="shared" si="119"/>
        <v>2.0375287785334456E-2</v>
      </c>
      <c r="S121" s="25">
        <f t="shared" si="120"/>
        <v>2.2095837039338474E-2</v>
      </c>
      <c r="T121" s="414">
        <v>4545285716.6999998</v>
      </c>
      <c r="U121" s="414">
        <v>511.32979999999998</v>
      </c>
      <c r="V121" s="25">
        <f t="shared" si="121"/>
        <v>1.1275929539611731E-2</v>
      </c>
      <c r="W121" s="25">
        <f t="shared" si="122"/>
        <v>1.0597112860892308E-2</v>
      </c>
      <c r="X121" s="414">
        <v>4555555435.6400003</v>
      </c>
      <c r="Y121" s="414">
        <v>512.8759</v>
      </c>
      <c r="Z121" s="25">
        <f t="shared" si="123"/>
        <v>2.2594220869918444E-3</v>
      </c>
      <c r="AA121" s="25">
        <f t="shared" si="124"/>
        <v>3.0236845182894175E-3</v>
      </c>
      <c r="AB121" s="414">
        <v>4568848372.5600004</v>
      </c>
      <c r="AC121" s="414">
        <v>514.95939999999996</v>
      </c>
      <c r="AD121" s="25">
        <f t="shared" si="125"/>
        <v>2.9179618397361419E-3</v>
      </c>
      <c r="AE121" s="25">
        <f t="shared" si="126"/>
        <v>4.0623862419738544E-3</v>
      </c>
      <c r="AF121" s="414">
        <v>4492268069.9899998</v>
      </c>
      <c r="AG121" s="414">
        <v>506.26119999999997</v>
      </c>
      <c r="AH121" s="25">
        <f t="shared" si="127"/>
        <v>-1.67614016323968E-2</v>
      </c>
      <c r="AI121" s="25">
        <f t="shared" si="128"/>
        <v>-1.6891040342209476E-2</v>
      </c>
      <c r="AJ121" s="26">
        <f t="shared" si="66"/>
        <v>3.3441241778678888E-3</v>
      </c>
      <c r="AK121" s="26">
        <f t="shared" si="67"/>
        <v>3.7230338630894447E-3</v>
      </c>
      <c r="AL121" s="27">
        <f t="shared" si="68"/>
        <v>2.2992023203359017E-2</v>
      </c>
      <c r="AM121" s="27">
        <f t="shared" si="69"/>
        <v>2.599369724482449E-2</v>
      </c>
      <c r="AN121" s="28">
        <f t="shared" si="70"/>
        <v>1.0731925166891301E-2</v>
      </c>
      <c r="AO121" s="85">
        <f t="shared" si="71"/>
        <v>1.1200863911233492E-2</v>
      </c>
      <c r="AP121" s="32"/>
      <c r="AQ121" s="58">
        <f>SUM(AQ113:AQ117)</f>
        <v>4923038917.1999998</v>
      </c>
      <c r="AR121" s="15"/>
      <c r="AS121" s="31" t="e">
        <f>(#REF!/AQ121)-1</f>
        <v>#REF!</v>
      </c>
      <c r="AT121" s="31" t="e">
        <f>(#REF!/AR121)-1</f>
        <v>#REF!</v>
      </c>
    </row>
    <row r="122" spans="1:46">
      <c r="A122" s="229" t="s">
        <v>17</v>
      </c>
      <c r="B122" s="414">
        <v>2433270163.4299998</v>
      </c>
      <c r="C122" s="414">
        <v>13.4885</v>
      </c>
      <c r="D122" s="414">
        <v>2451494290.5599999</v>
      </c>
      <c r="E122" s="414">
        <v>13.4862</v>
      </c>
      <c r="F122" s="25">
        <f t="shared" si="113"/>
        <v>7.4895617444759683E-3</v>
      </c>
      <c r="G122" s="25">
        <f t="shared" si="114"/>
        <v>-1.7051562442080059E-4</v>
      </c>
      <c r="H122" s="414">
        <v>2451494290.5599999</v>
      </c>
      <c r="I122" s="414">
        <v>13.432</v>
      </c>
      <c r="J122" s="25">
        <f t="shared" si="115"/>
        <v>0</v>
      </c>
      <c r="K122" s="25">
        <f t="shared" si="116"/>
        <v>-4.0189230472631133E-3</v>
      </c>
      <c r="L122" s="414">
        <v>2465604232.6500001</v>
      </c>
      <c r="M122" s="414">
        <v>13.5398</v>
      </c>
      <c r="N122" s="25">
        <f t="shared" si="117"/>
        <v>5.7556495825152381E-3</v>
      </c>
      <c r="O122" s="25">
        <f t="shared" si="118"/>
        <v>8.0256104824299596E-3</v>
      </c>
      <c r="P122" s="414">
        <v>2470783840</v>
      </c>
      <c r="Q122" s="414">
        <v>13.718999999999999</v>
      </c>
      <c r="R122" s="25">
        <f t="shared" si="119"/>
        <v>2.1007456433642345E-3</v>
      </c>
      <c r="S122" s="25">
        <f t="shared" si="120"/>
        <v>1.3235055170681975E-2</v>
      </c>
      <c r="T122" s="414">
        <v>2502689547.6199999</v>
      </c>
      <c r="U122" s="414">
        <v>13.623100000000001</v>
      </c>
      <c r="V122" s="25">
        <f t="shared" si="121"/>
        <v>1.2913192608544779E-2</v>
      </c>
      <c r="W122" s="25">
        <f t="shared" si="122"/>
        <v>-6.9903054158465304E-3</v>
      </c>
      <c r="X122" s="414">
        <v>2499880961.2199998</v>
      </c>
      <c r="Y122" s="414">
        <v>13.782999999999999</v>
      </c>
      <c r="Z122" s="25">
        <f t="shared" si="123"/>
        <v>-1.1222272465520129E-3</v>
      </c>
      <c r="AA122" s="25">
        <f t="shared" si="124"/>
        <v>1.1737416593873538E-2</v>
      </c>
      <c r="AB122" s="414">
        <v>2507940931.1100001</v>
      </c>
      <c r="AC122" s="414">
        <v>13.674099999999999</v>
      </c>
      <c r="AD122" s="25">
        <f t="shared" si="125"/>
        <v>3.2241414751472373E-3</v>
      </c>
      <c r="AE122" s="25">
        <f t="shared" si="126"/>
        <v>-7.9010375099760732E-3</v>
      </c>
      <c r="AF122" s="414">
        <v>2510042259.3699999</v>
      </c>
      <c r="AG122" s="414">
        <v>13.8705</v>
      </c>
      <c r="AH122" s="25">
        <f t="shared" si="127"/>
        <v>8.3786991708361975E-4</v>
      </c>
      <c r="AI122" s="25">
        <f t="shared" si="128"/>
        <v>1.4362919680271504E-2</v>
      </c>
      <c r="AJ122" s="26">
        <f t="shared" si="66"/>
        <v>3.8998667155723831E-3</v>
      </c>
      <c r="AK122" s="26">
        <f t="shared" si="67"/>
        <v>3.5350275412188072E-3</v>
      </c>
      <c r="AL122" s="27">
        <f t="shared" si="68"/>
        <v>2.3882563804228037E-2</v>
      </c>
      <c r="AM122" s="27">
        <f t="shared" si="69"/>
        <v>2.8495795702273407E-2</v>
      </c>
      <c r="AN122" s="28">
        <f t="shared" si="70"/>
        <v>4.6455745130377646E-3</v>
      </c>
      <c r="AO122" s="85">
        <f t="shared" si="71"/>
        <v>9.3437354328081857E-3</v>
      </c>
      <c r="AP122" s="32"/>
      <c r="AQ122" s="14" t="e">
        <f>SUM(AQ21,AQ53,#REF!,#REF!,AQ92,AQ111,AQ121)</f>
        <v>#REF!</v>
      </c>
      <c r="AR122" s="15"/>
      <c r="AS122" s="31" t="e">
        <f>(#REF!/AQ122)-1</f>
        <v>#REF!</v>
      </c>
      <c r="AT122" s="31" t="e">
        <f>(#REF!/AR122)-1</f>
        <v>#REF!</v>
      </c>
    </row>
    <row r="123" spans="1:46" ht="15" customHeight="1">
      <c r="A123" s="230" t="s">
        <v>138</v>
      </c>
      <c r="B123" s="414">
        <v>4695141972.0100002</v>
      </c>
      <c r="C123" s="414">
        <v>192.04</v>
      </c>
      <c r="D123" s="414">
        <v>4682905106.3000002</v>
      </c>
      <c r="E123" s="414">
        <v>191.55</v>
      </c>
      <c r="F123" s="25">
        <f t="shared" si="113"/>
        <v>-2.6062823622693158E-3</v>
      </c>
      <c r="G123" s="25">
        <f t="shared" si="114"/>
        <v>-2.5515517600498889E-3</v>
      </c>
      <c r="H123" s="414">
        <v>4669570709.5200005</v>
      </c>
      <c r="I123" s="414">
        <v>191.02</v>
      </c>
      <c r="J123" s="25">
        <f t="shared" si="115"/>
        <v>-2.8474625210877578E-3</v>
      </c>
      <c r="K123" s="25">
        <f t="shared" si="116"/>
        <v>-2.7669015922735635E-3</v>
      </c>
      <c r="L123" s="414">
        <v>4691795082.2399998</v>
      </c>
      <c r="M123" s="414">
        <v>192.15</v>
      </c>
      <c r="N123" s="25">
        <f t="shared" si="117"/>
        <v>4.7594038301400571E-3</v>
      </c>
      <c r="O123" s="25">
        <f t="shared" si="118"/>
        <v>5.9156109307925628E-3</v>
      </c>
      <c r="P123" s="414">
        <v>4740977303.1099997</v>
      </c>
      <c r="Q123" s="414">
        <v>194.05</v>
      </c>
      <c r="R123" s="25">
        <f t="shared" si="119"/>
        <v>1.0482602076158632E-2</v>
      </c>
      <c r="S123" s="25">
        <f t="shared" si="120"/>
        <v>9.888108248764016E-3</v>
      </c>
      <c r="T123" s="414">
        <v>4786773599.6700001</v>
      </c>
      <c r="U123" s="414">
        <v>195.94</v>
      </c>
      <c r="V123" s="25">
        <f t="shared" si="121"/>
        <v>9.6596742890877867E-3</v>
      </c>
      <c r="W123" s="25">
        <f t="shared" si="122"/>
        <v>9.7397577943828199E-3</v>
      </c>
      <c r="X123" s="414">
        <v>4800142310.7399998</v>
      </c>
      <c r="Y123" s="414">
        <v>196.52</v>
      </c>
      <c r="Z123" s="25">
        <f t="shared" si="123"/>
        <v>2.7928438209238334E-3</v>
      </c>
      <c r="AA123" s="25">
        <f t="shared" si="124"/>
        <v>2.9600898234153953E-3</v>
      </c>
      <c r="AB123" s="414">
        <v>4814244609.0100002</v>
      </c>
      <c r="AC123" s="414">
        <v>197.13</v>
      </c>
      <c r="AD123" s="25">
        <f t="shared" si="125"/>
        <v>2.9378917034287716E-3</v>
      </c>
      <c r="AE123" s="25">
        <f t="shared" si="126"/>
        <v>3.1040097699978893E-3</v>
      </c>
      <c r="AF123" s="414">
        <v>4860065363.0200005</v>
      </c>
      <c r="AG123" s="414">
        <v>199.02</v>
      </c>
      <c r="AH123" s="25">
        <f t="shared" si="127"/>
        <v>9.51774530198265E-3</v>
      </c>
      <c r="AI123" s="25">
        <f t="shared" si="128"/>
        <v>9.5875817988130413E-3</v>
      </c>
      <c r="AJ123" s="26">
        <f t="shared" si="66"/>
        <v>4.3370520172955817E-3</v>
      </c>
      <c r="AK123" s="26">
        <f t="shared" si="67"/>
        <v>4.4845881267302837E-3</v>
      </c>
      <c r="AL123" s="27">
        <f t="shared" si="68"/>
        <v>3.783127197723124E-2</v>
      </c>
      <c r="AM123" s="27">
        <f t="shared" si="69"/>
        <v>3.8997650743931078E-2</v>
      </c>
      <c r="AN123" s="28">
        <f t="shared" si="70"/>
        <v>5.3088259037503598E-3</v>
      </c>
      <c r="AO123" s="85">
        <f t="shared" si="71"/>
        <v>5.2266442109520066E-3</v>
      </c>
      <c r="AP123" s="32"/>
      <c r="AQ123" s="59"/>
      <c r="AR123" s="60"/>
      <c r="AS123" s="31" t="e">
        <f>(#REF!/AQ123)-1</f>
        <v>#REF!</v>
      </c>
      <c r="AT123" s="31" t="e">
        <f>(#REF!/AR123)-1</f>
        <v>#REF!</v>
      </c>
    </row>
    <row r="124" spans="1:46" ht="17.25" customHeight="1">
      <c r="A124" s="229" t="s">
        <v>136</v>
      </c>
      <c r="B124" s="414">
        <v>4626309644.2700005</v>
      </c>
      <c r="C124" s="414">
        <v>187.96809999999999</v>
      </c>
      <c r="D124" s="414">
        <v>4599577931.9899998</v>
      </c>
      <c r="E124" s="414">
        <v>186.8698</v>
      </c>
      <c r="F124" s="25">
        <f t="shared" si="113"/>
        <v>-5.7781934923248667E-3</v>
      </c>
      <c r="G124" s="25">
        <f t="shared" si="114"/>
        <v>-5.8430127239674961E-3</v>
      </c>
      <c r="H124" s="414">
        <v>4590547690.4700003</v>
      </c>
      <c r="I124" s="414">
        <v>186.48820000000001</v>
      </c>
      <c r="J124" s="25">
        <f t="shared" si="115"/>
        <v>-1.9632761208793316E-3</v>
      </c>
      <c r="K124" s="25">
        <f t="shared" si="116"/>
        <v>-2.0420635116000108E-3</v>
      </c>
      <c r="L124" s="414">
        <v>4636996240.8400002</v>
      </c>
      <c r="M124" s="414">
        <v>188.3837</v>
      </c>
      <c r="N124" s="25">
        <f t="shared" si="117"/>
        <v>1.0118302542946522E-2</v>
      </c>
      <c r="O124" s="25">
        <f t="shared" si="118"/>
        <v>1.0164181969690298E-2</v>
      </c>
      <c r="P124" s="414">
        <v>4700703699.2399998</v>
      </c>
      <c r="Q124" s="414">
        <v>190.9682</v>
      </c>
      <c r="R124" s="25">
        <f t="shared" si="119"/>
        <v>1.3738949762111279E-2</v>
      </c>
      <c r="S124" s="25">
        <f t="shared" si="120"/>
        <v>1.3719339836726805E-2</v>
      </c>
      <c r="T124" s="414">
        <v>4732269905.7700005</v>
      </c>
      <c r="U124" s="414">
        <v>192.2655</v>
      </c>
      <c r="V124" s="25">
        <f t="shared" si="121"/>
        <v>6.7152087324934447E-3</v>
      </c>
      <c r="W124" s="25">
        <f t="shared" si="122"/>
        <v>6.7932776242327622E-3</v>
      </c>
      <c r="X124" s="414">
        <v>4740975489.0100002</v>
      </c>
      <c r="Y124" s="414">
        <v>192.61680000000001</v>
      </c>
      <c r="Z124" s="25">
        <f t="shared" si="123"/>
        <v>1.8396210303611713E-3</v>
      </c>
      <c r="AA124" s="25">
        <f t="shared" si="124"/>
        <v>1.8271608790969209E-3</v>
      </c>
      <c r="AB124" s="414">
        <v>4783341375.6199999</v>
      </c>
      <c r="AC124" s="414">
        <v>194.339</v>
      </c>
      <c r="AD124" s="25">
        <f t="shared" si="125"/>
        <v>8.9361117154491774E-3</v>
      </c>
      <c r="AE124" s="25">
        <f t="shared" si="126"/>
        <v>8.9410684841612284E-3</v>
      </c>
      <c r="AF124" s="414">
        <v>4869885766.9099998</v>
      </c>
      <c r="AG124" s="414">
        <v>197.87049999999999</v>
      </c>
      <c r="AH124" s="25">
        <f t="shared" si="127"/>
        <v>1.8092873682632026E-2</v>
      </c>
      <c r="AI124" s="25">
        <f t="shared" si="128"/>
        <v>1.8171854337009012E-2</v>
      </c>
      <c r="AJ124" s="26">
        <f t="shared" si="66"/>
        <v>6.4624497315986778E-3</v>
      </c>
      <c r="AK124" s="26">
        <f t="shared" si="67"/>
        <v>6.4664758619186902E-3</v>
      </c>
      <c r="AL124" s="27">
        <f t="shared" si="68"/>
        <v>5.8767964999573742E-2</v>
      </c>
      <c r="AM124" s="27">
        <f t="shared" si="69"/>
        <v>5.8868260146904397E-2</v>
      </c>
      <c r="AN124" s="28">
        <f t="shared" si="70"/>
        <v>8.0174729929914194E-3</v>
      </c>
      <c r="AO124" s="85">
        <f t="shared" si="71"/>
        <v>8.061950797296007E-3</v>
      </c>
      <c r="AP124" s="32"/>
      <c r="AQ124" s="494" t="s">
        <v>91</v>
      </c>
      <c r="AR124" s="494"/>
      <c r="AS124" s="31" t="e">
        <f>(#REF!/AQ124)-1</f>
        <v>#REF!</v>
      </c>
      <c r="AT124" s="31" t="e">
        <f>(#REF!/AR124)-1</f>
        <v>#REF!</v>
      </c>
    </row>
    <row r="125" spans="1:46" ht="16.5" customHeight="1">
      <c r="A125" s="229" t="s">
        <v>11</v>
      </c>
      <c r="B125" s="415">
        <v>2189592210.098</v>
      </c>
      <c r="C125" s="414">
        <v>4032.5264796800102</v>
      </c>
      <c r="D125" s="415">
        <v>2181913060.3150001</v>
      </c>
      <c r="E125" s="414">
        <v>4018.29648068815</v>
      </c>
      <c r="F125" s="25">
        <f t="shared" si="113"/>
        <v>-3.5071141318393233E-3</v>
      </c>
      <c r="G125" s="25">
        <f t="shared" si="114"/>
        <v>-3.5288048481678757E-3</v>
      </c>
      <c r="H125" s="415">
        <v>2166212484.7094002</v>
      </c>
      <c r="I125" s="414">
        <v>3989.12942182706</v>
      </c>
      <c r="J125" s="25">
        <f t="shared" si="115"/>
        <v>-7.195784236853694E-3</v>
      </c>
      <c r="K125" s="25">
        <f t="shared" si="116"/>
        <v>-7.258563175033577E-3</v>
      </c>
      <c r="L125" s="415">
        <v>2132140160.8108001</v>
      </c>
      <c r="M125" s="414">
        <v>4018.5594916931</v>
      </c>
      <c r="N125" s="25">
        <f t="shared" si="117"/>
        <v>-1.5728985101464293E-2</v>
      </c>
      <c r="O125" s="25">
        <f t="shared" si="118"/>
        <v>7.3775670714039407E-3</v>
      </c>
      <c r="P125" s="415">
        <v>2144846454.8896999</v>
      </c>
      <c r="Q125" s="414">
        <v>4044.3409353910301</v>
      </c>
      <c r="R125" s="25">
        <f t="shared" si="119"/>
        <v>5.9594084443622937E-3</v>
      </c>
      <c r="S125" s="25">
        <f t="shared" si="120"/>
        <v>6.4155933864420483E-3</v>
      </c>
      <c r="T125" s="415">
        <v>2171105348.1532998</v>
      </c>
      <c r="U125" s="414">
        <v>4093.9521694227501</v>
      </c>
      <c r="V125" s="25">
        <f t="shared" si="121"/>
        <v>1.2242784654228431E-2</v>
      </c>
      <c r="W125" s="25">
        <f t="shared" si="122"/>
        <v>1.2266827852613583E-2</v>
      </c>
      <c r="X125" s="415">
        <v>2177554317.3712001</v>
      </c>
      <c r="Y125" s="414">
        <v>4107.2719063138002</v>
      </c>
      <c r="Z125" s="25">
        <f t="shared" si="123"/>
        <v>2.9703621813587464E-3</v>
      </c>
      <c r="AA125" s="25">
        <f t="shared" si="124"/>
        <v>3.2535155125977353E-3</v>
      </c>
      <c r="AB125" s="415">
        <v>2189093996.7656002</v>
      </c>
      <c r="AC125" s="414">
        <v>4129.9164908289604</v>
      </c>
      <c r="AD125" s="25">
        <f t="shared" si="125"/>
        <v>5.2993761406287766E-3</v>
      </c>
      <c r="AE125" s="25">
        <f t="shared" si="126"/>
        <v>5.513290824586117E-3</v>
      </c>
      <c r="AF125" s="415">
        <v>2214925494.7624998</v>
      </c>
      <c r="AG125" s="414">
        <v>4179.5624774555499</v>
      </c>
      <c r="AH125" s="25">
        <f t="shared" si="127"/>
        <v>1.1800086261743808E-2</v>
      </c>
      <c r="AI125" s="25">
        <f t="shared" si="128"/>
        <v>1.202106307399561E-2</v>
      </c>
      <c r="AJ125" s="26">
        <f t="shared" si="66"/>
        <v>1.4800167765205928E-3</v>
      </c>
      <c r="AK125" s="26">
        <f t="shared" si="67"/>
        <v>4.5075612123046983E-3</v>
      </c>
      <c r="AL125" s="27">
        <f t="shared" si="68"/>
        <v>1.5130041177137364E-2</v>
      </c>
      <c r="AM125" s="27">
        <f t="shared" si="69"/>
        <v>4.0132926363806387E-2</v>
      </c>
      <c r="AN125" s="28">
        <f t="shared" si="70"/>
        <v>9.6769633313819811E-3</v>
      </c>
      <c r="AO125" s="85">
        <f t="shared" si="71"/>
        <v>6.9090565270319097E-3</v>
      </c>
      <c r="AP125" s="32"/>
      <c r="AQ125" s="61" t="s">
        <v>79</v>
      </c>
      <c r="AR125" s="62" t="s">
        <v>80</v>
      </c>
      <c r="AS125" s="31" t="e">
        <f>(#REF!/AQ125)-1</f>
        <v>#REF!</v>
      </c>
      <c r="AT125" s="31" t="e">
        <f>(#REF!/AR125)-1</f>
        <v>#REF!</v>
      </c>
    </row>
    <row r="126" spans="1:46" ht="14.25" customHeight="1">
      <c r="A126" s="229" t="s">
        <v>172</v>
      </c>
      <c r="B126" s="414">
        <v>1838587762.2410817</v>
      </c>
      <c r="C126" s="414">
        <v>1.2742</v>
      </c>
      <c r="D126" s="414">
        <v>1798666390.79</v>
      </c>
      <c r="E126" s="414">
        <v>1.2425999999999999</v>
      </c>
      <c r="F126" s="25">
        <f t="shared" si="113"/>
        <v>-2.1713062748998722E-2</v>
      </c>
      <c r="G126" s="25">
        <f t="shared" si="114"/>
        <v>-2.4799874431015598E-2</v>
      </c>
      <c r="H126" s="414">
        <v>1781535693.4000001</v>
      </c>
      <c r="I126" s="414">
        <v>1.2303999999999999</v>
      </c>
      <c r="J126" s="25">
        <f t="shared" si="115"/>
        <v>-9.5241104619049558E-3</v>
      </c>
      <c r="K126" s="25">
        <f t="shared" si="116"/>
        <v>-9.818123289876057E-3</v>
      </c>
      <c r="L126" s="414">
        <v>1806209818.892</v>
      </c>
      <c r="M126" s="414">
        <v>1.2474000000000001</v>
      </c>
      <c r="N126" s="25">
        <f t="shared" si="117"/>
        <v>1.3849919248550186E-2</v>
      </c>
      <c r="O126" s="25">
        <f t="shared" si="118"/>
        <v>1.3816644993498153E-2</v>
      </c>
      <c r="P126" s="414">
        <v>1813342752.0999999</v>
      </c>
      <c r="Q126" s="414">
        <v>1.2565999999999999</v>
      </c>
      <c r="R126" s="25">
        <f t="shared" si="119"/>
        <v>3.949116616128001E-3</v>
      </c>
      <c r="S126" s="25">
        <f t="shared" si="120"/>
        <v>7.3753407086739418E-3</v>
      </c>
      <c r="T126" s="414">
        <v>1814220374.72</v>
      </c>
      <c r="U126" s="414">
        <v>1.2621</v>
      </c>
      <c r="V126" s="25">
        <f t="shared" si="121"/>
        <v>4.8398054862146988E-4</v>
      </c>
      <c r="W126" s="25">
        <f t="shared" si="122"/>
        <v>4.3768900206908011E-3</v>
      </c>
      <c r="X126" s="414">
        <v>2043776397.8199999</v>
      </c>
      <c r="Y126" s="414">
        <v>1.2864</v>
      </c>
      <c r="Z126" s="25">
        <f t="shared" si="123"/>
        <v>0.12653149876316913</v>
      </c>
      <c r="AA126" s="25">
        <f t="shared" si="124"/>
        <v>1.9253624910862837E-2</v>
      </c>
      <c r="AB126" s="414">
        <v>1873366835.0999999</v>
      </c>
      <c r="AC126" s="414">
        <v>1.3032999999999999</v>
      </c>
      <c r="AD126" s="25">
        <f t="shared" si="125"/>
        <v>-8.3379748832488665E-2</v>
      </c>
      <c r="AE126" s="25">
        <f t="shared" si="126"/>
        <v>1.3137437810945207E-2</v>
      </c>
      <c r="AF126" s="414">
        <v>1876623077.8399999</v>
      </c>
      <c r="AG126" s="414">
        <v>1.306</v>
      </c>
      <c r="AH126" s="25">
        <f t="shared" si="127"/>
        <v>1.7381767836336186E-3</v>
      </c>
      <c r="AI126" s="25">
        <f t="shared" si="128"/>
        <v>2.0716642369371188E-3</v>
      </c>
      <c r="AJ126" s="26">
        <f t="shared" si="66"/>
        <v>3.9919712395887581E-3</v>
      </c>
      <c r="AK126" s="26">
        <f t="shared" si="67"/>
        <v>3.1767006200895506E-3</v>
      </c>
      <c r="AL126" s="27">
        <f t="shared" si="68"/>
        <v>4.3341381953415088E-2</v>
      </c>
      <c r="AM126" s="27">
        <f t="shared" si="69"/>
        <v>5.1022050539192121E-2</v>
      </c>
      <c r="AN126" s="28">
        <f t="shared" si="70"/>
        <v>5.8073540907290749E-2</v>
      </c>
      <c r="AO126" s="85">
        <f t="shared" si="71"/>
        <v>1.4356365113703735E-2</v>
      </c>
      <c r="AP126" s="32"/>
      <c r="AQ126" s="55">
        <v>1901056000</v>
      </c>
      <c r="AR126" s="49">
        <v>12.64</v>
      </c>
      <c r="AS126" s="31" t="e">
        <f>(#REF!/AQ126)-1</f>
        <v>#REF!</v>
      </c>
      <c r="AT126" s="31" t="e">
        <f>(#REF!/AR126)-1</f>
        <v>#REF!</v>
      </c>
    </row>
    <row r="127" spans="1:46">
      <c r="A127" s="229" t="s">
        <v>32</v>
      </c>
      <c r="B127" s="415">
        <v>1105948837.75</v>
      </c>
      <c r="C127" s="414">
        <v>552.20000000000005</v>
      </c>
      <c r="D127" s="415">
        <v>1104082410.6800001</v>
      </c>
      <c r="E127" s="414">
        <v>552.20000000000005</v>
      </c>
      <c r="F127" s="25">
        <f t="shared" si="113"/>
        <v>-1.6876251471063435E-3</v>
      </c>
      <c r="G127" s="25">
        <f t="shared" si="114"/>
        <v>0</v>
      </c>
      <c r="H127" s="415">
        <v>1103445188.95</v>
      </c>
      <c r="I127" s="414">
        <v>552.20000000000005</v>
      </c>
      <c r="J127" s="25">
        <f t="shared" si="115"/>
        <v>-5.7715051325521677E-4</v>
      </c>
      <c r="K127" s="25">
        <f t="shared" si="116"/>
        <v>0</v>
      </c>
      <c r="L127" s="415">
        <v>1103445188.95</v>
      </c>
      <c r="M127" s="414">
        <v>552.20000000000005</v>
      </c>
      <c r="N127" s="25">
        <f t="shared" si="117"/>
        <v>0</v>
      </c>
      <c r="O127" s="25">
        <f t="shared" si="118"/>
        <v>0</v>
      </c>
      <c r="P127" s="415">
        <v>1102073844.8800001</v>
      </c>
      <c r="Q127" s="414">
        <v>552.20000000000005</v>
      </c>
      <c r="R127" s="25">
        <f t="shared" si="119"/>
        <v>-1.2427840401432683E-3</v>
      </c>
      <c r="S127" s="25">
        <f t="shared" si="120"/>
        <v>0</v>
      </c>
      <c r="T127" s="415">
        <v>1102073844.8800001</v>
      </c>
      <c r="U127" s="414">
        <v>552.20000000000005</v>
      </c>
      <c r="V127" s="25">
        <f t="shared" si="121"/>
        <v>0</v>
      </c>
      <c r="W127" s="25">
        <f t="shared" si="122"/>
        <v>0</v>
      </c>
      <c r="X127" s="415">
        <v>1120125502.5599999</v>
      </c>
      <c r="Y127" s="414">
        <v>552.20000000000005</v>
      </c>
      <c r="Z127" s="25">
        <f t="shared" si="123"/>
        <v>1.6379716988896866E-2</v>
      </c>
      <c r="AA127" s="25">
        <f t="shared" si="124"/>
        <v>0</v>
      </c>
      <c r="AB127" s="415">
        <v>1129719082.3</v>
      </c>
      <c r="AC127" s="414">
        <v>552.20000000000005</v>
      </c>
      <c r="AD127" s="25">
        <f t="shared" si="125"/>
        <v>8.5647364675425081E-3</v>
      </c>
      <c r="AE127" s="25">
        <f t="shared" si="126"/>
        <v>0</v>
      </c>
      <c r="AF127" s="415">
        <v>1129719082.3</v>
      </c>
      <c r="AG127" s="414">
        <v>552.20000000000005</v>
      </c>
      <c r="AH127" s="25">
        <f t="shared" si="127"/>
        <v>0</v>
      </c>
      <c r="AI127" s="25">
        <f t="shared" si="128"/>
        <v>0</v>
      </c>
      <c r="AJ127" s="26">
        <f t="shared" si="66"/>
        <v>2.6796117194918183E-3</v>
      </c>
      <c r="AK127" s="26">
        <f t="shared" si="67"/>
        <v>0</v>
      </c>
      <c r="AL127" s="27">
        <f t="shared" si="68"/>
        <v>2.3219889540863493E-2</v>
      </c>
      <c r="AM127" s="27">
        <f t="shared" si="69"/>
        <v>0</v>
      </c>
      <c r="AN127" s="28">
        <f t="shared" si="70"/>
        <v>6.4246509763948292E-3</v>
      </c>
      <c r="AO127" s="85">
        <f t="shared" si="71"/>
        <v>0</v>
      </c>
      <c r="AP127" s="32"/>
      <c r="AQ127" s="55">
        <v>106884243.56</v>
      </c>
      <c r="AR127" s="49">
        <v>2.92</v>
      </c>
      <c r="AS127" s="31" t="e">
        <f>(#REF!/AQ127)-1</f>
        <v>#REF!</v>
      </c>
      <c r="AT127" s="31" t="e">
        <f>(#REF!/AR127)-1</f>
        <v>#REF!</v>
      </c>
    </row>
    <row r="128" spans="1:46">
      <c r="A128" s="229" t="s">
        <v>57</v>
      </c>
      <c r="B128" s="415">
        <v>2137385052.3800001</v>
      </c>
      <c r="C128" s="414">
        <v>2.94</v>
      </c>
      <c r="D128" s="415">
        <v>2128434057.8499999</v>
      </c>
      <c r="E128" s="414">
        <v>2.93</v>
      </c>
      <c r="F128" s="25">
        <f t="shared" si="113"/>
        <v>-4.1878249873756653E-3</v>
      </c>
      <c r="G128" s="25">
        <f t="shared" si="114"/>
        <v>-3.4013605442176145E-3</v>
      </c>
      <c r="H128" s="415">
        <v>2123288105.1099999</v>
      </c>
      <c r="I128" s="414">
        <v>2.92</v>
      </c>
      <c r="J128" s="25">
        <f t="shared" si="115"/>
        <v>-2.4177177211673179E-3</v>
      </c>
      <c r="K128" s="25">
        <f t="shared" si="116"/>
        <v>-3.412969283276529E-3</v>
      </c>
      <c r="L128" s="415">
        <v>2161985931.98</v>
      </c>
      <c r="M128" s="414">
        <v>2.97</v>
      </c>
      <c r="N128" s="25">
        <f t="shared" si="117"/>
        <v>1.8225424414552226E-2</v>
      </c>
      <c r="O128" s="25">
        <f t="shared" si="118"/>
        <v>1.7123287671232969E-2</v>
      </c>
      <c r="P128" s="415">
        <v>2123148778.6199999</v>
      </c>
      <c r="Q128" s="414">
        <v>3.03</v>
      </c>
      <c r="R128" s="25">
        <f t="shared" si="119"/>
        <v>-1.796364758230971E-2</v>
      </c>
      <c r="S128" s="25">
        <f t="shared" si="120"/>
        <v>2.0202020202020068E-2</v>
      </c>
      <c r="T128" s="415">
        <v>2118845770</v>
      </c>
      <c r="U128" s="414">
        <v>3.03</v>
      </c>
      <c r="V128" s="25">
        <f t="shared" si="121"/>
        <v>-2.0267108284313202E-3</v>
      </c>
      <c r="W128" s="25">
        <f t="shared" si="122"/>
        <v>0</v>
      </c>
      <c r="X128" s="415">
        <v>2132474309.5599999</v>
      </c>
      <c r="Y128" s="414">
        <v>3.05</v>
      </c>
      <c r="Z128" s="25">
        <f t="shared" si="123"/>
        <v>6.4320583182417958E-3</v>
      </c>
      <c r="AA128" s="25">
        <f t="shared" si="124"/>
        <v>6.6006600660066068E-3</v>
      </c>
      <c r="AB128" s="415">
        <v>2143978335.8199999</v>
      </c>
      <c r="AC128" s="414">
        <v>3.07</v>
      </c>
      <c r="AD128" s="25">
        <f t="shared" si="125"/>
        <v>5.3946845729520897E-3</v>
      </c>
      <c r="AE128" s="25">
        <f t="shared" si="126"/>
        <v>6.5573770491803339E-3</v>
      </c>
      <c r="AF128" s="415">
        <v>2166805695.2600002</v>
      </c>
      <c r="AG128" s="414">
        <v>3.09</v>
      </c>
      <c r="AH128" s="25">
        <f t="shared" si="127"/>
        <v>1.0647196876301269E-2</v>
      </c>
      <c r="AI128" s="25">
        <f t="shared" si="128"/>
        <v>6.5146579804560324E-3</v>
      </c>
      <c r="AJ128" s="26">
        <f t="shared" si="66"/>
        <v>1.7629328828454207E-3</v>
      </c>
      <c r="AK128" s="26">
        <f t="shared" si="67"/>
        <v>6.2729591426752343E-3</v>
      </c>
      <c r="AL128" s="27">
        <f t="shared" si="68"/>
        <v>1.8028107222058248E-2</v>
      </c>
      <c r="AM128" s="27">
        <f t="shared" si="69"/>
        <v>5.4607508532423105E-2</v>
      </c>
      <c r="AN128" s="28">
        <f t="shared" si="70"/>
        <v>1.0963073486002794E-2</v>
      </c>
      <c r="AO128" s="85">
        <f t="shared" si="71"/>
        <v>8.772967882112185E-3</v>
      </c>
      <c r="AP128" s="32"/>
      <c r="AQ128" s="55">
        <v>84059843.040000007</v>
      </c>
      <c r="AR128" s="49">
        <v>7.19</v>
      </c>
      <c r="AS128" s="31" t="e">
        <f>(#REF!/AQ128)-1</f>
        <v>#REF!</v>
      </c>
      <c r="AT128" s="31" t="e">
        <f>(#REF!/AR128)-1</f>
        <v>#REF!</v>
      </c>
    </row>
    <row r="129" spans="1:46">
      <c r="A129" s="230" t="s">
        <v>53</v>
      </c>
      <c r="B129" s="414">
        <v>156353641.58000001</v>
      </c>
      <c r="C129" s="414">
        <v>1.7888999999999999</v>
      </c>
      <c r="D129" s="414">
        <v>157021149.38</v>
      </c>
      <c r="E129" s="414">
        <v>1.6432</v>
      </c>
      <c r="F129" s="25">
        <f t="shared" si="113"/>
        <v>4.2692181215264156E-3</v>
      </c>
      <c r="G129" s="25">
        <f t="shared" si="114"/>
        <v>-8.14466990888255E-2</v>
      </c>
      <c r="H129" s="414">
        <v>156497948.69999999</v>
      </c>
      <c r="I129" s="414">
        <v>1.64</v>
      </c>
      <c r="J129" s="25">
        <f t="shared" si="115"/>
        <v>-3.3320395505055957E-3</v>
      </c>
      <c r="K129" s="25">
        <f t="shared" si="116"/>
        <v>-1.9474196689387121E-3</v>
      </c>
      <c r="L129" s="414">
        <v>157470473.05000001</v>
      </c>
      <c r="M129" s="414">
        <v>1.6488</v>
      </c>
      <c r="N129" s="25">
        <f t="shared" si="117"/>
        <v>6.2142945519644624E-3</v>
      </c>
      <c r="O129" s="25">
        <f t="shared" si="118"/>
        <v>5.3658536585366717E-3</v>
      </c>
      <c r="P129" s="414">
        <v>151960691.87</v>
      </c>
      <c r="Q129" s="414">
        <v>1.5928</v>
      </c>
      <c r="R129" s="25">
        <f t="shared" si="119"/>
        <v>-3.4989297188753231E-2</v>
      </c>
      <c r="S129" s="25">
        <f t="shared" si="120"/>
        <v>-3.396409509946631E-2</v>
      </c>
      <c r="T129" s="414">
        <v>152973713.81</v>
      </c>
      <c r="U129" s="414">
        <v>1.592595</v>
      </c>
      <c r="V129" s="25">
        <f t="shared" si="121"/>
        <v>6.6663419831401007E-3</v>
      </c>
      <c r="W129" s="25">
        <f t="shared" si="122"/>
        <v>-1.2870416875942413E-4</v>
      </c>
      <c r="X129" s="414">
        <v>151700165.49000001</v>
      </c>
      <c r="Y129" s="414">
        <v>1.5785629999999999</v>
      </c>
      <c r="Z129" s="25">
        <f t="shared" si="123"/>
        <v>-8.3252755540850314E-3</v>
      </c>
      <c r="AA129" s="25">
        <f t="shared" si="124"/>
        <v>-8.8107773790574787E-3</v>
      </c>
      <c r="AB129" s="414">
        <v>153185347.52000001</v>
      </c>
      <c r="AC129" s="414">
        <v>1.58941</v>
      </c>
      <c r="AD129" s="25">
        <f t="shared" si="125"/>
        <v>9.7902466039030359E-3</v>
      </c>
      <c r="AE129" s="25">
        <f t="shared" si="126"/>
        <v>6.8714394040656291E-3</v>
      </c>
      <c r="AF129" s="414">
        <v>153185347.52000001</v>
      </c>
      <c r="AG129" s="414">
        <v>1.58941</v>
      </c>
      <c r="AH129" s="25">
        <f t="shared" si="127"/>
        <v>0</v>
      </c>
      <c r="AI129" s="25">
        <f t="shared" si="128"/>
        <v>0</v>
      </c>
      <c r="AJ129" s="26">
        <f t="shared" si="66"/>
        <v>-2.463313879101231E-3</v>
      </c>
      <c r="AK129" s="26">
        <f t="shared" si="67"/>
        <v>-1.425755029280564E-2</v>
      </c>
      <c r="AL129" s="27">
        <f t="shared" si="68"/>
        <v>-2.4428568222470012E-2</v>
      </c>
      <c r="AM129" s="27">
        <f t="shared" si="69"/>
        <v>-3.2734907497565725E-2</v>
      </c>
      <c r="AN129" s="28">
        <f t="shared" si="70"/>
        <v>1.4408593766984281E-2</v>
      </c>
      <c r="AO129" s="85">
        <f t="shared" si="71"/>
        <v>3.0043659889039908E-2</v>
      </c>
      <c r="AP129" s="32"/>
      <c r="AQ129" s="55">
        <v>82672021.189999998</v>
      </c>
      <c r="AR129" s="49">
        <v>18.53</v>
      </c>
      <c r="AS129" s="31" t="e">
        <f>(#REF!/AQ129)-1</f>
        <v>#REF!</v>
      </c>
      <c r="AT129" s="31" t="e">
        <f>(#REF!/AR129)-1</f>
        <v>#REF!</v>
      </c>
    </row>
    <row r="130" spans="1:46">
      <c r="A130" s="229" t="s">
        <v>231</v>
      </c>
      <c r="B130" s="414">
        <v>625604295.10000002</v>
      </c>
      <c r="C130" s="414">
        <v>1.1436999999999999</v>
      </c>
      <c r="D130" s="414">
        <v>626367509.72000003</v>
      </c>
      <c r="E130" s="414">
        <v>1.1451</v>
      </c>
      <c r="F130" s="25">
        <f t="shared" si="113"/>
        <v>1.2199638429240777E-3</v>
      </c>
      <c r="G130" s="25">
        <f t="shared" si="114"/>
        <v>1.2240972282941925E-3</v>
      </c>
      <c r="H130" s="414">
        <v>624359942.82000005</v>
      </c>
      <c r="I130" s="414">
        <v>1.1411</v>
      </c>
      <c r="J130" s="25">
        <f t="shared" si="115"/>
        <v>-3.2050942439485765E-3</v>
      </c>
      <c r="K130" s="25">
        <f t="shared" si="116"/>
        <v>-3.4931447035193462E-3</v>
      </c>
      <c r="L130" s="414">
        <v>623144755.87</v>
      </c>
      <c r="M130" s="414">
        <v>1.1388</v>
      </c>
      <c r="N130" s="25">
        <f t="shared" si="117"/>
        <v>-1.9462923013790785E-3</v>
      </c>
      <c r="O130" s="25">
        <f t="shared" si="118"/>
        <v>-2.0155989834370071E-3</v>
      </c>
      <c r="P130" s="414">
        <v>629848394.17999995</v>
      </c>
      <c r="Q130" s="414">
        <v>1.1501999999999999</v>
      </c>
      <c r="R130" s="25">
        <f t="shared" si="119"/>
        <v>1.0757754513460836E-2</v>
      </c>
      <c r="S130" s="25">
        <f t="shared" si="120"/>
        <v>1.0010537407797554E-2</v>
      </c>
      <c r="T130" s="414">
        <v>633226339.67999995</v>
      </c>
      <c r="U130" s="414">
        <v>1.1564000000000001</v>
      </c>
      <c r="V130" s="25">
        <f t="shared" si="121"/>
        <v>5.3631088547867927E-3</v>
      </c>
      <c r="W130" s="25">
        <f t="shared" si="122"/>
        <v>5.3903668927144897E-3</v>
      </c>
      <c r="X130" s="414">
        <v>635219881.27999997</v>
      </c>
      <c r="Y130" s="414">
        <v>1.1600999999999999</v>
      </c>
      <c r="Z130" s="25">
        <f t="shared" si="123"/>
        <v>3.1482291166338048E-3</v>
      </c>
      <c r="AA130" s="25">
        <f t="shared" si="124"/>
        <v>3.1995849187130875E-3</v>
      </c>
      <c r="AB130" s="414">
        <v>636991918.25999999</v>
      </c>
      <c r="AC130" s="414">
        <v>1.1633</v>
      </c>
      <c r="AD130" s="25">
        <f t="shared" si="125"/>
        <v>2.7896434482328788E-3</v>
      </c>
      <c r="AE130" s="25">
        <f t="shared" si="126"/>
        <v>2.7583828980261116E-3</v>
      </c>
      <c r="AF130" s="414">
        <v>638597826.76999998</v>
      </c>
      <c r="AG130" s="414">
        <v>1.1661999999999999</v>
      </c>
      <c r="AH130" s="25">
        <f t="shared" si="127"/>
        <v>2.5210814516872871E-3</v>
      </c>
      <c r="AI130" s="25">
        <f t="shared" si="128"/>
        <v>2.4929081062493789E-3</v>
      </c>
      <c r="AJ130" s="26">
        <f t="shared" si="66"/>
        <v>2.5810493352997526E-3</v>
      </c>
      <c r="AK130" s="26">
        <f t="shared" si="67"/>
        <v>2.4458917206048075E-3</v>
      </c>
      <c r="AL130" s="27">
        <f t="shared" si="68"/>
        <v>1.9525784559718259E-2</v>
      </c>
      <c r="AM130" s="27">
        <f t="shared" si="69"/>
        <v>1.8426338311064445E-2</v>
      </c>
      <c r="AN130" s="28">
        <f t="shared" si="70"/>
        <v>4.3226314212582223E-3</v>
      </c>
      <c r="AO130" s="85">
        <f t="shared" si="71"/>
        <v>4.195772495808125E-3</v>
      </c>
      <c r="AP130" s="32"/>
      <c r="AQ130" s="55">
        <v>541500000</v>
      </c>
      <c r="AR130" s="49">
        <v>3610</v>
      </c>
      <c r="AS130" s="31" t="e">
        <f>(#REF!/AQ130)-1</f>
        <v>#REF!</v>
      </c>
      <c r="AT130" s="31" t="e">
        <f>(#REF!/AR130)-1</f>
        <v>#REF!</v>
      </c>
    </row>
    <row r="131" spans="1:46">
      <c r="A131" s="229" t="s">
        <v>118</v>
      </c>
      <c r="B131" s="414">
        <v>118500370.42</v>
      </c>
      <c r="C131" s="414">
        <v>1.1591</v>
      </c>
      <c r="D131" s="414">
        <v>118320774.23</v>
      </c>
      <c r="E131" s="414">
        <v>1.157</v>
      </c>
      <c r="F131" s="25">
        <f t="shared" si="113"/>
        <v>-1.5155749249007083E-3</v>
      </c>
      <c r="G131" s="25">
        <f t="shared" si="114"/>
        <v>-1.8117504960745326E-3</v>
      </c>
      <c r="H131" s="414">
        <v>117562714.84</v>
      </c>
      <c r="I131" s="414">
        <v>1.1505000000000001</v>
      </c>
      <c r="J131" s="25">
        <f t="shared" si="115"/>
        <v>-6.4068156664224742E-3</v>
      </c>
      <c r="K131" s="25">
        <f t="shared" si="116"/>
        <v>-5.6179775280898441E-3</v>
      </c>
      <c r="L131" s="414">
        <v>117338203.59999999</v>
      </c>
      <c r="M131" s="414">
        <v>1.1559999999999999</v>
      </c>
      <c r="N131" s="25">
        <f t="shared" si="117"/>
        <v>-1.9097146600056307E-3</v>
      </c>
      <c r="O131" s="25">
        <f t="shared" si="118"/>
        <v>4.780530204258877E-3</v>
      </c>
      <c r="P131" s="414">
        <v>119358434.73999999</v>
      </c>
      <c r="Q131" s="414">
        <v>1.1758999999999999</v>
      </c>
      <c r="R131" s="25">
        <f t="shared" si="119"/>
        <v>1.7217164384814229E-2</v>
      </c>
      <c r="S131" s="25">
        <f t="shared" si="120"/>
        <v>1.7214532871972346E-2</v>
      </c>
      <c r="T131" s="414">
        <v>120306845.08</v>
      </c>
      <c r="U131" s="414">
        <v>1.1854</v>
      </c>
      <c r="V131" s="25">
        <f t="shared" si="121"/>
        <v>7.94590128519981E-3</v>
      </c>
      <c r="W131" s="25">
        <f t="shared" si="122"/>
        <v>8.0789182753636061E-3</v>
      </c>
      <c r="X131" s="414">
        <v>121581773.8</v>
      </c>
      <c r="Y131" s="414">
        <v>1.1979</v>
      </c>
      <c r="Z131" s="25">
        <f t="shared" si="123"/>
        <v>1.0597308234225692E-2</v>
      </c>
      <c r="AA131" s="25">
        <f t="shared" si="124"/>
        <v>1.0544963725324747E-2</v>
      </c>
      <c r="AB131" s="414">
        <v>122646167.03</v>
      </c>
      <c r="AC131" s="414">
        <v>1.1956</v>
      </c>
      <c r="AD131" s="25">
        <f t="shared" si="125"/>
        <v>8.7545459877145185E-3</v>
      </c>
      <c r="AE131" s="25">
        <f t="shared" si="126"/>
        <v>-1.9200267134151172E-3</v>
      </c>
      <c r="AF131" s="414">
        <v>122813955.59999999</v>
      </c>
      <c r="AG131" s="414">
        <v>1.2089000000000001</v>
      </c>
      <c r="AH131" s="25">
        <f t="shared" si="127"/>
        <v>1.3680702305107564E-3</v>
      </c>
      <c r="AI131" s="25">
        <f t="shared" si="128"/>
        <v>1.112412177985956E-2</v>
      </c>
      <c r="AJ131" s="26">
        <f t="shared" si="66"/>
        <v>4.5063606088920237E-3</v>
      </c>
      <c r="AK131" s="26">
        <f t="shared" si="67"/>
        <v>5.2991640148999557E-3</v>
      </c>
      <c r="AL131" s="27">
        <f t="shared" si="68"/>
        <v>3.7974577154691679E-2</v>
      </c>
      <c r="AM131" s="27">
        <f t="shared" si="69"/>
        <v>4.4857389801210075E-2</v>
      </c>
      <c r="AN131" s="28">
        <f t="shared" si="70"/>
        <v>7.8823283998884532E-3</v>
      </c>
      <c r="AO131" s="85">
        <f t="shared" si="71"/>
        <v>7.8675316220482485E-3</v>
      </c>
      <c r="AP131" s="32"/>
      <c r="AQ131" s="55">
        <v>551092000</v>
      </c>
      <c r="AR131" s="49">
        <v>8.86</v>
      </c>
      <c r="AS131" s="31" t="e">
        <f>(#REF!/AQ131)-1</f>
        <v>#REF!</v>
      </c>
      <c r="AT131" s="31" t="e">
        <f>(#REF!/AR131)-1</f>
        <v>#REF!</v>
      </c>
    </row>
    <row r="132" spans="1:46">
      <c r="A132" s="229" t="s">
        <v>120</v>
      </c>
      <c r="B132" s="414">
        <v>230120844.64332822</v>
      </c>
      <c r="C132" s="414">
        <v>153.45186795682835</v>
      </c>
      <c r="D132" s="414">
        <v>214211794.36314559</v>
      </c>
      <c r="E132" s="414">
        <v>143.11000000000001</v>
      </c>
      <c r="F132" s="25">
        <f t="shared" si="113"/>
        <v>-6.9133460312300624E-2</v>
      </c>
      <c r="G132" s="25">
        <f t="shared" si="114"/>
        <v>-6.7394865207752869E-2</v>
      </c>
      <c r="H132" s="414">
        <v>160735450.53</v>
      </c>
      <c r="I132" s="414">
        <v>108.22</v>
      </c>
      <c r="J132" s="25">
        <f t="shared" si="115"/>
        <v>-0.24964238776922365</v>
      </c>
      <c r="K132" s="25">
        <f t="shared" si="116"/>
        <v>-0.24379847669624771</v>
      </c>
      <c r="L132" s="414">
        <v>162322760.46000001</v>
      </c>
      <c r="M132" s="414">
        <v>109.3</v>
      </c>
      <c r="N132" s="25">
        <f t="shared" si="117"/>
        <v>9.8752946208574468E-3</v>
      </c>
      <c r="O132" s="25">
        <f t="shared" si="118"/>
        <v>9.9796710404730943E-3</v>
      </c>
      <c r="P132" s="414">
        <v>163352923.97</v>
      </c>
      <c r="Q132" s="414">
        <v>110.01</v>
      </c>
      <c r="R132" s="25">
        <f t="shared" si="119"/>
        <v>6.3463897920454969E-3</v>
      </c>
      <c r="S132" s="25">
        <f t="shared" si="120"/>
        <v>6.4958828911254162E-3</v>
      </c>
      <c r="T132" s="414">
        <v>164074283.39147699</v>
      </c>
      <c r="U132" s="414">
        <v>110.52</v>
      </c>
      <c r="V132" s="25">
        <f t="shared" si="121"/>
        <v>4.4159565923011495E-3</v>
      </c>
      <c r="W132" s="25">
        <f t="shared" si="122"/>
        <v>4.6359421870738196E-3</v>
      </c>
      <c r="X132" s="414">
        <v>163556601.88</v>
      </c>
      <c r="Y132" s="414">
        <v>110.22</v>
      </c>
      <c r="Z132" s="25">
        <f t="shared" si="123"/>
        <v>-3.1551654578421584E-3</v>
      </c>
      <c r="AA132" s="25">
        <f t="shared" si="124"/>
        <v>-2.7144408251899852E-3</v>
      </c>
      <c r="AB132" s="414">
        <v>163939410.14725342</v>
      </c>
      <c r="AC132" s="414">
        <v>110.51460673354813</v>
      </c>
      <c r="AD132" s="25">
        <f t="shared" si="125"/>
        <v>2.3405247043117934E-3</v>
      </c>
      <c r="AE132" s="25">
        <f t="shared" si="126"/>
        <v>2.6728972377802209E-3</v>
      </c>
      <c r="AF132" s="414">
        <v>166601005.91</v>
      </c>
      <c r="AG132" s="414">
        <v>112.29</v>
      </c>
      <c r="AH132" s="25">
        <f t="shared" si="127"/>
        <v>1.6235240570622266E-2</v>
      </c>
      <c r="AI132" s="25">
        <f t="shared" si="128"/>
        <v>1.6064783822941731E-2</v>
      </c>
      <c r="AJ132" s="26">
        <f t="shared" si="66"/>
        <v>-3.5339700907403536E-2</v>
      </c>
      <c r="AK132" s="26">
        <f t="shared" si="67"/>
        <v>-3.4257325693724541E-2</v>
      </c>
      <c r="AL132" s="27">
        <f t="shared" si="68"/>
        <v>-0.2222603502981387</v>
      </c>
      <c r="AM132" s="27">
        <f t="shared" si="69"/>
        <v>-0.21535881489763123</v>
      </c>
      <c r="AN132" s="28">
        <f t="shared" si="70"/>
        <v>9.0668876661402387E-2</v>
      </c>
      <c r="AO132" s="85">
        <f t="shared" si="71"/>
        <v>8.866237913953845E-2</v>
      </c>
      <c r="AP132" s="32"/>
      <c r="AQ132" s="30">
        <v>913647681</v>
      </c>
      <c r="AR132" s="34">
        <v>81</v>
      </c>
      <c r="AS132" s="31" t="e">
        <f>(#REF!/AQ132)-1</f>
        <v>#REF!</v>
      </c>
      <c r="AT132" s="31" t="e">
        <f>(#REF!/AR132)-1</f>
        <v>#REF!</v>
      </c>
    </row>
    <row r="133" spans="1:46">
      <c r="A133" s="229" t="s">
        <v>126</v>
      </c>
      <c r="B133" s="414">
        <v>153743878.44999999</v>
      </c>
      <c r="C133" s="414">
        <v>3.5579999999999998</v>
      </c>
      <c r="D133" s="414">
        <v>178116022.72999999</v>
      </c>
      <c r="E133" s="414">
        <v>4.1098999999999997</v>
      </c>
      <c r="F133" s="25">
        <f t="shared" si="113"/>
        <v>0.15852432321672058</v>
      </c>
      <c r="G133" s="25">
        <f t="shared" si="114"/>
        <v>0.15511523327712193</v>
      </c>
      <c r="H133" s="414">
        <v>153621079.44999999</v>
      </c>
      <c r="I133" s="414">
        <v>3.5529999999999999</v>
      </c>
      <c r="J133" s="25">
        <f t="shared" si="115"/>
        <v>-0.13752240199710192</v>
      </c>
      <c r="K133" s="25">
        <f t="shared" si="116"/>
        <v>-0.13550208034258734</v>
      </c>
      <c r="L133" s="414">
        <v>155851333.63</v>
      </c>
      <c r="M133" s="414">
        <v>3.6053000000000002</v>
      </c>
      <c r="N133" s="25">
        <f t="shared" si="117"/>
        <v>1.4517891606964668E-2</v>
      </c>
      <c r="O133" s="25">
        <f t="shared" si="118"/>
        <v>1.4719954967633052E-2</v>
      </c>
      <c r="P133" s="414">
        <v>159734488.81999999</v>
      </c>
      <c r="Q133" s="414">
        <v>3.6545999999999998</v>
      </c>
      <c r="R133" s="25">
        <f t="shared" si="119"/>
        <v>2.4915764912341595E-2</v>
      </c>
      <c r="S133" s="25">
        <f t="shared" si="120"/>
        <v>1.3674312817241194E-2</v>
      </c>
      <c r="T133" s="414">
        <v>162696073.19999999</v>
      </c>
      <c r="U133" s="414">
        <v>3.7271999999999998</v>
      </c>
      <c r="V133" s="25">
        <f t="shared" si="121"/>
        <v>1.854066959413703E-2</v>
      </c>
      <c r="W133" s="25">
        <f t="shared" si="122"/>
        <v>1.9865375143654572E-2</v>
      </c>
      <c r="X133" s="414">
        <v>161853728.00999999</v>
      </c>
      <c r="Y133" s="414">
        <v>3.7077</v>
      </c>
      <c r="Z133" s="25">
        <f t="shared" si="123"/>
        <v>-5.1774156157076675E-3</v>
      </c>
      <c r="AA133" s="25">
        <f t="shared" si="124"/>
        <v>-5.2318094011590075E-3</v>
      </c>
      <c r="AB133" s="414">
        <v>162985612.05000001</v>
      </c>
      <c r="AC133" s="414">
        <v>3.7338</v>
      </c>
      <c r="AD133" s="25">
        <f t="shared" si="125"/>
        <v>6.9932528210291762E-3</v>
      </c>
      <c r="AE133" s="25">
        <f t="shared" si="126"/>
        <v>7.0394044825633174E-3</v>
      </c>
      <c r="AF133" s="414">
        <v>164546313.91</v>
      </c>
      <c r="AG133" s="414">
        <v>3.7696999999999998</v>
      </c>
      <c r="AH133" s="25">
        <f t="shared" si="127"/>
        <v>9.5757032806135008E-3</v>
      </c>
      <c r="AI133" s="25">
        <f t="shared" si="128"/>
        <v>9.6148695698751469E-3</v>
      </c>
      <c r="AJ133" s="26">
        <f t="shared" si="66"/>
        <v>1.129597347737462E-2</v>
      </c>
      <c r="AK133" s="26">
        <f t="shared" si="67"/>
        <v>9.9119075642928565E-3</v>
      </c>
      <c r="AL133" s="27">
        <f t="shared" si="68"/>
        <v>-7.6184661054159358E-2</v>
      </c>
      <c r="AM133" s="27">
        <f t="shared" si="69"/>
        <v>-8.2775736635927855E-2</v>
      </c>
      <c r="AN133" s="28">
        <f t="shared" si="70"/>
        <v>7.9610037258081578E-2</v>
      </c>
      <c r="AO133" s="85">
        <f t="shared" si="71"/>
        <v>7.801396383805384E-2</v>
      </c>
      <c r="AP133" s="32"/>
      <c r="AQ133" s="63">
        <f>SUM(AQ126:AQ132)</f>
        <v>4180911788.79</v>
      </c>
      <c r="AR133" s="64"/>
      <c r="AS133" s="31" t="e">
        <f>(#REF!/AQ133)-1</f>
        <v>#REF!</v>
      </c>
      <c r="AT133" s="31" t="e">
        <f>(#REF!/AR133)-1</f>
        <v>#REF!</v>
      </c>
    </row>
    <row r="134" spans="1:46">
      <c r="A134" s="229" t="s">
        <v>168</v>
      </c>
      <c r="B134" s="414">
        <v>329542868.05000001</v>
      </c>
      <c r="C134" s="414">
        <v>129.51</v>
      </c>
      <c r="D134" s="414">
        <v>329665843.60000002</v>
      </c>
      <c r="E134" s="414">
        <v>129.53</v>
      </c>
      <c r="F134" s="25">
        <f t="shared" si="113"/>
        <v>3.7317011509820753E-4</v>
      </c>
      <c r="G134" s="25">
        <f t="shared" si="114"/>
        <v>1.5442822948042803E-4</v>
      </c>
      <c r="H134" s="414">
        <v>329496895.98000002</v>
      </c>
      <c r="I134" s="414">
        <v>129.36000000000001</v>
      </c>
      <c r="J134" s="25">
        <f t="shared" si="115"/>
        <v>-5.1248142105069676E-4</v>
      </c>
      <c r="K134" s="25">
        <f t="shared" si="116"/>
        <v>-1.3124372732184629E-3</v>
      </c>
      <c r="L134" s="414">
        <v>334352457.66000003</v>
      </c>
      <c r="M134" s="414">
        <v>131.06</v>
      </c>
      <c r="N134" s="25">
        <f t="shared" si="117"/>
        <v>1.4736289595561874E-2</v>
      </c>
      <c r="O134" s="25">
        <f t="shared" si="118"/>
        <v>1.3141620284477337E-2</v>
      </c>
      <c r="P134" s="414">
        <v>341606067.75999999</v>
      </c>
      <c r="Q134" s="414">
        <v>133.88</v>
      </c>
      <c r="R134" s="25">
        <f t="shared" si="119"/>
        <v>2.1694502115417659E-2</v>
      </c>
      <c r="S134" s="25">
        <f t="shared" si="120"/>
        <v>2.1516862505722517E-2</v>
      </c>
      <c r="T134" s="414">
        <v>337352815.27999997</v>
      </c>
      <c r="U134" s="414">
        <v>136.1</v>
      </c>
      <c r="V134" s="25">
        <f t="shared" si="121"/>
        <v>-1.2450752142342507E-2</v>
      </c>
      <c r="W134" s="25">
        <f t="shared" si="122"/>
        <v>1.6582013743651022E-2</v>
      </c>
      <c r="X134" s="414">
        <v>335983174.85000002</v>
      </c>
      <c r="Y134" s="414">
        <v>135.34</v>
      </c>
      <c r="Z134" s="25">
        <f t="shared" si="123"/>
        <v>-4.05996442882256E-3</v>
      </c>
      <c r="AA134" s="25">
        <f t="shared" si="124"/>
        <v>-5.5841293166788456E-3</v>
      </c>
      <c r="AB134" s="414">
        <v>337803586.26999998</v>
      </c>
      <c r="AC134" s="414">
        <v>136.16</v>
      </c>
      <c r="AD134" s="25">
        <f t="shared" si="125"/>
        <v>5.4181624446303939E-3</v>
      </c>
      <c r="AE134" s="25">
        <f t="shared" si="126"/>
        <v>6.0588148367075011E-3</v>
      </c>
      <c r="AF134" s="414">
        <v>343008605</v>
      </c>
      <c r="AG134" s="414">
        <v>137.94</v>
      </c>
      <c r="AH134" s="25">
        <f t="shared" si="127"/>
        <v>1.5408417617685523E-2</v>
      </c>
      <c r="AI134" s="25">
        <f t="shared" si="128"/>
        <v>1.3072855464159821E-2</v>
      </c>
      <c r="AJ134" s="26">
        <f t="shared" ref="AJ134:AJ169" si="129">AVERAGE(F134,J134,N134,R134,V134,Z134,AD134,AH134)</f>
        <v>5.0759179870222357E-3</v>
      </c>
      <c r="AK134" s="26">
        <f t="shared" ref="AK134:AK169" si="130">AVERAGE(G134,K134,O134,S134,W134,AA134,AE134,AI134)</f>
        <v>7.953753559287664E-3</v>
      </c>
      <c r="AL134" s="27">
        <f t="shared" ref="AL134:AL169" si="131">((AF134-D134)/D134)</f>
        <v>4.0473593667742579E-2</v>
      </c>
      <c r="AM134" s="27">
        <f t="shared" ref="AM134:AM169" si="132">((AG134-E134)/E134)</f>
        <v>6.4927043928047531E-2</v>
      </c>
      <c r="AN134" s="28">
        <f t="shared" ref="AN134:AN169" si="133">STDEV(F134,J134,N134,R134,V134,Z134,AD134,AH134)</f>
        <v>1.1466549840824581E-2</v>
      </c>
      <c r="AO134" s="85">
        <f t="shared" ref="AO134:AO169" si="134">STDEV(G134,K134,O134,S134,W134,AA134,AE134,AI134)</f>
        <v>9.5997083083887921E-3</v>
      </c>
      <c r="AP134" s="32"/>
      <c r="AQ134" s="86"/>
      <c r="AR134" s="87"/>
      <c r="AS134" s="31"/>
      <c r="AT134" s="31"/>
    </row>
    <row r="135" spans="1:46" s="99" customFormat="1">
      <c r="A135" s="229" t="s">
        <v>141</v>
      </c>
      <c r="B135" s="415">
        <v>147108817.81999999</v>
      </c>
      <c r="C135" s="414">
        <v>138.91652400000001</v>
      </c>
      <c r="D135" s="415">
        <v>145720256.02000001</v>
      </c>
      <c r="E135" s="414">
        <v>138.92119600000001</v>
      </c>
      <c r="F135" s="25">
        <f t="shared" si="113"/>
        <v>-9.4390113426035694E-3</v>
      </c>
      <c r="G135" s="25">
        <f t="shared" si="114"/>
        <v>3.3631708204844971E-5</v>
      </c>
      <c r="H135" s="415">
        <v>145576046.65000001</v>
      </c>
      <c r="I135" s="414">
        <v>138.96761799999999</v>
      </c>
      <c r="J135" s="25">
        <f t="shared" si="115"/>
        <v>-9.8963159919381516E-4</v>
      </c>
      <c r="K135" s="25">
        <f t="shared" si="116"/>
        <v>3.3416067048529024E-4</v>
      </c>
      <c r="L135" s="415">
        <v>147974734.41</v>
      </c>
      <c r="M135" s="414">
        <v>141.25619900000001</v>
      </c>
      <c r="N135" s="25">
        <f t="shared" si="117"/>
        <v>1.6477214591264562E-2</v>
      </c>
      <c r="O135" s="25">
        <f t="shared" si="118"/>
        <v>1.6468448066800874E-2</v>
      </c>
      <c r="P135" s="415">
        <v>149325915.99000001</v>
      </c>
      <c r="Q135" s="414">
        <v>142.689491</v>
      </c>
      <c r="R135" s="25">
        <f t="shared" si="119"/>
        <v>9.1311640827564239E-3</v>
      </c>
      <c r="S135" s="25">
        <f t="shared" si="120"/>
        <v>1.0146754692160408E-2</v>
      </c>
      <c r="T135" s="415">
        <v>151332619.27000001</v>
      </c>
      <c r="U135" s="414">
        <v>144.62056699999999</v>
      </c>
      <c r="V135" s="25">
        <f t="shared" si="121"/>
        <v>1.343841266062875E-2</v>
      </c>
      <c r="W135" s="25">
        <f t="shared" si="122"/>
        <v>1.3533414314302867E-2</v>
      </c>
      <c r="X135" s="415">
        <v>150713592.40000001</v>
      </c>
      <c r="Y135" s="414">
        <v>144.135232</v>
      </c>
      <c r="Z135" s="25">
        <f t="shared" si="123"/>
        <v>-4.0905052260779831E-3</v>
      </c>
      <c r="AA135" s="25">
        <f t="shared" si="124"/>
        <v>-3.355919632094874E-3</v>
      </c>
      <c r="AB135" s="415">
        <v>152722136.65000001</v>
      </c>
      <c r="AC135" s="414">
        <v>146.068544</v>
      </c>
      <c r="AD135" s="25">
        <f t="shared" si="125"/>
        <v>1.3326895192500235E-2</v>
      </c>
      <c r="AE135" s="25">
        <f t="shared" si="126"/>
        <v>1.3413181310174051E-2</v>
      </c>
      <c r="AF135" s="415">
        <v>154452128.09</v>
      </c>
      <c r="AG135" s="414">
        <v>147.69995700000001</v>
      </c>
      <c r="AH135" s="25">
        <f t="shared" si="127"/>
        <v>1.1327705845058302E-2</v>
      </c>
      <c r="AI135" s="25">
        <f t="shared" si="128"/>
        <v>1.116881811322778E-2</v>
      </c>
      <c r="AJ135" s="26">
        <f t="shared" si="129"/>
        <v>6.1477805255416131E-3</v>
      </c>
      <c r="AK135" s="26">
        <f t="shared" si="130"/>
        <v>7.7178111554076544E-3</v>
      </c>
      <c r="AL135" s="27">
        <f t="shared" si="131"/>
        <v>5.9922157073355325E-2</v>
      </c>
      <c r="AM135" s="27">
        <f t="shared" si="132"/>
        <v>6.3192379944670238E-2</v>
      </c>
      <c r="AN135" s="28">
        <f t="shared" si="133"/>
        <v>9.6053232556957482E-3</v>
      </c>
      <c r="AO135" s="85">
        <f t="shared" si="134"/>
        <v>7.5293119131511514E-3</v>
      </c>
      <c r="AP135" s="32"/>
      <c r="AQ135" s="86"/>
      <c r="AR135" s="87"/>
      <c r="AS135" s="31"/>
      <c r="AT135" s="31"/>
    </row>
    <row r="136" spans="1:46" s="127" customFormat="1">
      <c r="A136" s="229" t="s">
        <v>155</v>
      </c>
      <c r="B136" s="415">
        <v>981294504.92999995</v>
      </c>
      <c r="C136" s="414">
        <v>2.2713000000000001</v>
      </c>
      <c r="D136" s="415">
        <v>973361019.60000002</v>
      </c>
      <c r="E136" s="414">
        <v>2.2528999999999999</v>
      </c>
      <c r="F136" s="25">
        <f t="shared" si="113"/>
        <v>-8.0847139061130825E-3</v>
      </c>
      <c r="G136" s="25">
        <f t="shared" si="114"/>
        <v>-8.1010874829393707E-3</v>
      </c>
      <c r="H136" s="415">
        <v>966732671.38</v>
      </c>
      <c r="I136" s="414">
        <v>2.2372000000000001</v>
      </c>
      <c r="J136" s="25">
        <f t="shared" si="115"/>
        <v>-6.8097530993422454E-3</v>
      </c>
      <c r="K136" s="25">
        <f t="shared" si="116"/>
        <v>-6.9687957743352243E-3</v>
      </c>
      <c r="L136" s="415">
        <v>974490596.61000001</v>
      </c>
      <c r="M136" s="414">
        <v>2.2551000000000001</v>
      </c>
      <c r="N136" s="25">
        <f t="shared" si="117"/>
        <v>8.0248919475594711E-3</v>
      </c>
      <c r="O136" s="25">
        <f t="shared" si="118"/>
        <v>8.0010727695333569E-3</v>
      </c>
      <c r="P136" s="415">
        <v>994255529.05999994</v>
      </c>
      <c r="Q136" s="414">
        <v>2.3012999999999999</v>
      </c>
      <c r="R136" s="25">
        <f t="shared" si="119"/>
        <v>2.0282322393624937E-2</v>
      </c>
      <c r="S136" s="25">
        <f t="shared" si="120"/>
        <v>2.0486896368231915E-2</v>
      </c>
      <c r="T136" s="415">
        <v>1002379557.9</v>
      </c>
      <c r="U136" s="414">
        <v>2.3203</v>
      </c>
      <c r="V136" s="25">
        <f t="shared" si="121"/>
        <v>8.170966720879835E-3</v>
      </c>
      <c r="W136" s="25">
        <f t="shared" si="122"/>
        <v>8.2562030156868409E-3</v>
      </c>
      <c r="X136" s="415">
        <v>994615836.30999994</v>
      </c>
      <c r="Y136" s="414">
        <v>2.3050999999999999</v>
      </c>
      <c r="Z136" s="25">
        <f t="shared" si="123"/>
        <v>-7.7452912210870953E-3</v>
      </c>
      <c r="AA136" s="25">
        <f t="shared" si="124"/>
        <v>-6.5508770417618848E-3</v>
      </c>
      <c r="AB136" s="415">
        <v>999690945.16999996</v>
      </c>
      <c r="AC136" s="414">
        <v>2.3170000000000002</v>
      </c>
      <c r="AD136" s="25">
        <f t="shared" si="125"/>
        <v>5.1025819967119588E-3</v>
      </c>
      <c r="AE136" s="25">
        <f t="shared" si="126"/>
        <v>5.1624658366232461E-3</v>
      </c>
      <c r="AF136" s="415">
        <v>1013780046.33</v>
      </c>
      <c r="AG136" s="414">
        <v>2.3515999999999999</v>
      </c>
      <c r="AH136" s="25">
        <f t="shared" si="127"/>
        <v>1.409345681089889E-2</v>
      </c>
      <c r="AI136" s="25">
        <f t="shared" si="128"/>
        <v>1.4933103150625697E-2</v>
      </c>
      <c r="AJ136" s="26">
        <f t="shared" si="129"/>
        <v>4.1293077053915841E-3</v>
      </c>
      <c r="AK136" s="26">
        <f t="shared" si="130"/>
        <v>4.4023726052080719E-3</v>
      </c>
      <c r="AL136" s="27">
        <f t="shared" si="131"/>
        <v>4.15252161491017E-2</v>
      </c>
      <c r="AM136" s="27">
        <f t="shared" si="132"/>
        <v>4.3810200186426389E-2</v>
      </c>
      <c r="AN136" s="28">
        <f t="shared" si="133"/>
        <v>1.0707230353011861E-2</v>
      </c>
      <c r="AO136" s="85">
        <f t="shared" si="134"/>
        <v>1.0714491163506609E-2</v>
      </c>
      <c r="AP136" s="32"/>
      <c r="AQ136" s="86"/>
      <c r="AR136" s="87"/>
      <c r="AS136" s="31"/>
      <c r="AT136" s="31"/>
    </row>
    <row r="137" spans="1:46" s="127" customFormat="1">
      <c r="A137" s="229" t="s">
        <v>174</v>
      </c>
      <c r="B137" s="415">
        <v>18682211.960000001</v>
      </c>
      <c r="C137" s="414">
        <v>1.1499999999999999</v>
      </c>
      <c r="D137" s="415">
        <v>18721177.239999998</v>
      </c>
      <c r="E137" s="414">
        <v>1.1599999999999999</v>
      </c>
      <c r="F137" s="25">
        <f t="shared" si="113"/>
        <v>2.0856887869287115E-3</v>
      </c>
      <c r="G137" s="25">
        <f t="shared" si="114"/>
        <v>8.6956521739130523E-3</v>
      </c>
      <c r="H137" s="415">
        <v>18204124.190000001</v>
      </c>
      <c r="I137" s="414">
        <v>1.1499999999999999</v>
      </c>
      <c r="J137" s="25">
        <f t="shared" si="115"/>
        <v>-2.7618618389833538E-2</v>
      </c>
      <c r="K137" s="25">
        <f t="shared" si="116"/>
        <v>-8.6206896551724223E-3</v>
      </c>
      <c r="L137" s="415">
        <v>18323710.399999999</v>
      </c>
      <c r="M137" s="414">
        <v>1.1599999999999999</v>
      </c>
      <c r="N137" s="25">
        <f t="shared" si="117"/>
        <v>6.5691822771506347E-3</v>
      </c>
      <c r="O137" s="25">
        <f t="shared" si="118"/>
        <v>8.6956521739130523E-3</v>
      </c>
      <c r="P137" s="415">
        <v>18599704.030000001</v>
      </c>
      <c r="Q137" s="414">
        <v>1.18</v>
      </c>
      <c r="R137" s="25">
        <f t="shared" si="119"/>
        <v>1.506210390664124E-2</v>
      </c>
      <c r="S137" s="25">
        <f t="shared" si="120"/>
        <v>1.7241379310344845E-2</v>
      </c>
      <c r="T137" s="415">
        <v>18926050.640000001</v>
      </c>
      <c r="U137" s="414">
        <v>1.2</v>
      </c>
      <c r="V137" s="25">
        <f t="shared" si="121"/>
        <v>1.754579586178498E-2</v>
      </c>
      <c r="W137" s="25">
        <f t="shared" si="122"/>
        <v>1.6949152542372899E-2</v>
      </c>
      <c r="X137" s="415">
        <v>18855213.879999999</v>
      </c>
      <c r="Y137" s="414">
        <v>1.19</v>
      </c>
      <c r="Z137" s="25">
        <f t="shared" si="123"/>
        <v>-3.7428178412610247E-3</v>
      </c>
      <c r="AA137" s="25">
        <f t="shared" si="124"/>
        <v>-8.3333333333333419E-3</v>
      </c>
      <c r="AB137" s="415">
        <v>18943783.559999999</v>
      </c>
      <c r="AC137" s="414">
        <v>1.2</v>
      </c>
      <c r="AD137" s="25">
        <f t="shared" si="125"/>
        <v>4.6973574823220045E-3</v>
      </c>
      <c r="AE137" s="25">
        <f t="shared" si="126"/>
        <v>8.4033613445378234E-3</v>
      </c>
      <c r="AF137" s="415">
        <v>19183986.309999999</v>
      </c>
      <c r="AG137" s="414">
        <v>1.2</v>
      </c>
      <c r="AH137" s="25">
        <f t="shared" si="127"/>
        <v>1.2679766385591032E-2</v>
      </c>
      <c r="AI137" s="25">
        <f t="shared" si="128"/>
        <v>0</v>
      </c>
      <c r="AJ137" s="26">
        <f t="shared" si="129"/>
        <v>3.409807308665505E-3</v>
      </c>
      <c r="AK137" s="26">
        <f t="shared" si="130"/>
        <v>5.3788968195719895E-3</v>
      </c>
      <c r="AL137" s="27">
        <f t="shared" si="131"/>
        <v>2.472115209780474E-2</v>
      </c>
      <c r="AM137" s="27">
        <f t="shared" si="132"/>
        <v>3.4482758620689689E-2</v>
      </c>
      <c r="AN137" s="28">
        <f t="shared" si="133"/>
        <v>1.438675136084989E-2</v>
      </c>
      <c r="AO137" s="85">
        <f t="shared" si="134"/>
        <v>1.013258276470002E-2</v>
      </c>
      <c r="AP137" s="32"/>
      <c r="AQ137" s="86"/>
      <c r="AR137" s="87"/>
      <c r="AS137" s="31"/>
      <c r="AT137" s="31"/>
    </row>
    <row r="138" spans="1:46" ht="15.75" customHeight="1" thickBot="1">
      <c r="A138" s="229" t="s">
        <v>232</v>
      </c>
      <c r="B138" s="415">
        <v>202183831.97999999</v>
      </c>
      <c r="C138" s="414">
        <v>1.0106999999999999</v>
      </c>
      <c r="D138" s="415">
        <v>201133515.21000001</v>
      </c>
      <c r="E138" s="414">
        <v>1.0046999999999999</v>
      </c>
      <c r="F138" s="25">
        <f t="shared" si="113"/>
        <v>-5.1948603392969533E-3</v>
      </c>
      <c r="G138" s="25">
        <f t="shared" si="114"/>
        <v>-5.9364796675571447E-3</v>
      </c>
      <c r="H138" s="415">
        <v>201151128.09999999</v>
      </c>
      <c r="I138" s="414">
        <v>1.0051000000000001</v>
      </c>
      <c r="J138" s="25">
        <f t="shared" si="115"/>
        <v>8.7568150845453993E-5</v>
      </c>
      <c r="K138" s="25">
        <f t="shared" si="116"/>
        <v>3.9812879466525133E-4</v>
      </c>
      <c r="L138" s="415">
        <v>203742621.50999999</v>
      </c>
      <c r="M138" s="414">
        <v>1.018</v>
      </c>
      <c r="N138" s="25">
        <f t="shared" si="117"/>
        <v>1.2883315318578104E-2</v>
      </c>
      <c r="O138" s="25">
        <f t="shared" si="118"/>
        <v>1.2834543826484838E-2</v>
      </c>
      <c r="P138" s="415">
        <v>206311528.99000001</v>
      </c>
      <c r="Q138" s="414">
        <v>1.0308999999999999</v>
      </c>
      <c r="R138" s="25">
        <f t="shared" si="119"/>
        <v>1.2608591471735497E-2</v>
      </c>
      <c r="S138" s="25">
        <f t="shared" si="120"/>
        <v>1.2671905697445885E-2</v>
      </c>
      <c r="T138" s="415">
        <v>208480799.34</v>
      </c>
      <c r="U138" s="414">
        <v>1.0411999999999999</v>
      </c>
      <c r="V138" s="25">
        <f t="shared" si="121"/>
        <v>1.0514537702375031E-2</v>
      </c>
      <c r="W138" s="25">
        <f t="shared" si="122"/>
        <v>9.9912697642836126E-3</v>
      </c>
      <c r="X138" s="415">
        <v>208480799.34</v>
      </c>
      <c r="Y138" s="414">
        <v>1.0411999999999999</v>
      </c>
      <c r="Z138" s="25">
        <f t="shared" si="123"/>
        <v>0</v>
      </c>
      <c r="AA138" s="25">
        <f t="shared" si="124"/>
        <v>0</v>
      </c>
      <c r="AB138" s="415">
        <v>207311163.88999999</v>
      </c>
      <c r="AC138" s="414">
        <v>1.0353000000000001</v>
      </c>
      <c r="AD138" s="25">
        <f t="shared" si="125"/>
        <v>-5.6102789978875849E-3</v>
      </c>
      <c r="AE138" s="25">
        <f t="shared" si="126"/>
        <v>-5.666538609296768E-3</v>
      </c>
      <c r="AF138" s="415">
        <v>210978508.15000001</v>
      </c>
      <c r="AG138" s="414">
        <v>1.0537000000000001</v>
      </c>
      <c r="AH138" s="25">
        <f t="shared" si="127"/>
        <v>1.7690047131016667E-2</v>
      </c>
      <c r="AI138" s="25">
        <f t="shared" si="128"/>
        <v>1.7772626291896038E-2</v>
      </c>
      <c r="AJ138" s="26">
        <f t="shared" si="129"/>
        <v>5.3723650546707771E-3</v>
      </c>
      <c r="AK138" s="26">
        <f t="shared" si="130"/>
        <v>5.2581820122402142E-3</v>
      </c>
      <c r="AL138" s="27">
        <f t="shared" si="131"/>
        <v>4.8947550733755195E-2</v>
      </c>
      <c r="AM138" s="27">
        <f t="shared" si="132"/>
        <v>4.8770777346471741E-2</v>
      </c>
      <c r="AN138" s="28">
        <f t="shared" si="133"/>
        <v>9.071310233021837E-3</v>
      </c>
      <c r="AO138" s="85">
        <f t="shared" si="134"/>
        <v>9.159823443817364E-3</v>
      </c>
      <c r="AP138" s="32"/>
      <c r="AQ138" s="66" t="e">
        <f>SUM(AQ122,AQ133)</f>
        <v>#REF!</v>
      </c>
      <c r="AR138" s="67"/>
      <c r="AS138" s="31" t="e">
        <f>(#REF!/AQ138)-1</f>
        <v>#REF!</v>
      </c>
      <c r="AT138" s="31" t="e">
        <f>(#REF!/AR138)-1</f>
        <v>#REF!</v>
      </c>
    </row>
    <row r="139" spans="1:46" s="347" customFormat="1" ht="15.75" customHeight="1">
      <c r="A139" s="229" t="s">
        <v>198</v>
      </c>
      <c r="B139" s="414">
        <v>3687726.18</v>
      </c>
      <c r="C139" s="414">
        <v>101.61799999999999</v>
      </c>
      <c r="D139" s="414">
        <v>3687726.18</v>
      </c>
      <c r="E139" s="414">
        <v>101.61799999999999</v>
      </c>
      <c r="F139" s="25">
        <f t="shared" si="113"/>
        <v>0</v>
      </c>
      <c r="G139" s="25">
        <f t="shared" si="114"/>
        <v>0</v>
      </c>
      <c r="H139" s="414">
        <v>3686174.23</v>
      </c>
      <c r="I139" s="414">
        <v>101.57299999999999</v>
      </c>
      <c r="J139" s="25">
        <f t="shared" si="115"/>
        <v>-4.2084198344688006E-4</v>
      </c>
      <c r="K139" s="25">
        <f t="shared" si="116"/>
        <v>-4.4283493081935982E-4</v>
      </c>
      <c r="L139" s="414">
        <v>3686174.23</v>
      </c>
      <c r="M139" s="414">
        <v>101.57299999999999</v>
      </c>
      <c r="N139" s="25">
        <f t="shared" si="117"/>
        <v>0</v>
      </c>
      <c r="O139" s="25">
        <f t="shared" si="118"/>
        <v>0</v>
      </c>
      <c r="P139" s="414">
        <v>3686174.23</v>
      </c>
      <c r="Q139" s="414">
        <v>101.57299999999999</v>
      </c>
      <c r="R139" s="25">
        <f t="shared" si="119"/>
        <v>0</v>
      </c>
      <c r="S139" s="25">
        <f t="shared" si="120"/>
        <v>0</v>
      </c>
      <c r="T139" s="414">
        <v>3686174.23</v>
      </c>
      <c r="U139" s="414">
        <v>101.57299999999999</v>
      </c>
      <c r="V139" s="25">
        <f t="shared" si="121"/>
        <v>0</v>
      </c>
      <c r="W139" s="25">
        <f t="shared" si="122"/>
        <v>0</v>
      </c>
      <c r="X139" s="414">
        <v>3686174.23</v>
      </c>
      <c r="Y139" s="414">
        <v>101.57299999999999</v>
      </c>
      <c r="Z139" s="25">
        <f t="shared" si="123"/>
        <v>0</v>
      </c>
      <c r="AA139" s="25">
        <f t="shared" si="124"/>
        <v>0</v>
      </c>
      <c r="AB139" s="414">
        <v>3686174.23</v>
      </c>
      <c r="AC139" s="414">
        <v>102.041</v>
      </c>
      <c r="AD139" s="25">
        <f t="shared" si="125"/>
        <v>0</v>
      </c>
      <c r="AE139" s="25">
        <f t="shared" si="126"/>
        <v>4.6075236529393004E-3</v>
      </c>
      <c r="AF139" s="414">
        <v>3734808.11</v>
      </c>
      <c r="AG139" s="414">
        <v>102.99</v>
      </c>
      <c r="AH139" s="25">
        <f t="shared" si="127"/>
        <v>1.3193592316986028E-2</v>
      </c>
      <c r="AI139" s="25">
        <f t="shared" si="128"/>
        <v>9.3001832596701136E-3</v>
      </c>
      <c r="AJ139" s="26">
        <f t="shared" si="129"/>
        <v>1.5965937916923936E-3</v>
      </c>
      <c r="AK139" s="26">
        <f t="shared" si="130"/>
        <v>1.6831089977237569E-3</v>
      </c>
      <c r="AL139" s="27">
        <f t="shared" si="131"/>
        <v>1.2767197915979678E-2</v>
      </c>
      <c r="AM139" s="27">
        <f t="shared" si="132"/>
        <v>1.3501545001869748E-2</v>
      </c>
      <c r="AN139" s="28">
        <f t="shared" si="133"/>
        <v>4.6882084960416332E-3</v>
      </c>
      <c r="AO139" s="85">
        <f t="shared" si="134"/>
        <v>3.4899025460410731E-3</v>
      </c>
      <c r="AP139" s="32"/>
      <c r="AQ139" s="426"/>
      <c r="AR139" s="427"/>
      <c r="AS139" s="31"/>
      <c r="AT139" s="31"/>
    </row>
    <row r="140" spans="1:46" s="347" customFormat="1" ht="15.75" customHeight="1">
      <c r="A140" s="229" t="s">
        <v>259</v>
      </c>
      <c r="B140" s="408">
        <v>159637342.28999999</v>
      </c>
      <c r="C140" s="414">
        <v>101.76</v>
      </c>
      <c r="D140" s="408">
        <v>159917695.16</v>
      </c>
      <c r="E140" s="414">
        <v>102</v>
      </c>
      <c r="F140" s="25">
        <f t="shared" si="113"/>
        <v>1.7561860275192433E-3</v>
      </c>
      <c r="G140" s="25">
        <f t="shared" si="114"/>
        <v>2.3584905660376855E-3</v>
      </c>
      <c r="H140" s="408">
        <v>160061808.68000001</v>
      </c>
      <c r="I140" s="414">
        <v>102.16</v>
      </c>
      <c r="J140" s="25">
        <f t="shared" ref="J140" si="135">((H140-D140)/D140)</f>
        <v>9.0117306815748585E-4</v>
      </c>
      <c r="K140" s="25">
        <f t="shared" ref="K140" si="136">((I140-E140)/E140)</f>
        <v>1.5686274509803587E-3</v>
      </c>
      <c r="L140" s="408">
        <v>160557196.61000001</v>
      </c>
      <c r="M140" s="414">
        <v>102.54</v>
      </c>
      <c r="N140" s="25">
        <f t="shared" ref="N140" si="137">((L140-H140)/H140)</f>
        <v>3.0949789589745321E-3</v>
      </c>
      <c r="O140" s="25">
        <f t="shared" ref="O140" si="138">((M140-I140)/I140)</f>
        <v>3.7196554424433212E-3</v>
      </c>
      <c r="P140" s="408">
        <v>161086568.09</v>
      </c>
      <c r="Q140" s="414">
        <v>102.98</v>
      </c>
      <c r="R140" s="25">
        <f t="shared" ref="R140" si="139">((P140-L140)/L140)</f>
        <v>3.2970897049594992E-3</v>
      </c>
      <c r="S140" s="25">
        <f t="shared" ref="S140" si="140">((Q140-M140)/M140)</f>
        <v>4.291008386970916E-3</v>
      </c>
      <c r="T140" s="408">
        <v>161529601.97999999</v>
      </c>
      <c r="U140" s="414">
        <v>103.33</v>
      </c>
      <c r="V140" s="25">
        <f t="shared" ref="V140" si="141">((T140-P140)/P140)</f>
        <v>2.7502844914571653E-3</v>
      </c>
      <c r="W140" s="25">
        <f t="shared" ref="W140" si="142">((U140-Q140)/Q140)</f>
        <v>3.3987181977082376E-3</v>
      </c>
      <c r="X140" s="408">
        <v>161928701.69999999</v>
      </c>
      <c r="Y140" s="414">
        <v>103.65</v>
      </c>
      <c r="Z140" s="25">
        <f t="shared" ref="Z140" si="143">((X140-T140)/T140)</f>
        <v>2.4707528224418821E-3</v>
      </c>
      <c r="AA140" s="25">
        <f t="shared" ref="AA140" si="144">((Y140-U140)/U140)</f>
        <v>3.0968740927127397E-3</v>
      </c>
      <c r="AB140" s="408">
        <v>162390088.83000001</v>
      </c>
      <c r="AC140" s="414">
        <v>104.01</v>
      </c>
      <c r="AD140" s="25">
        <f t="shared" ref="AD140" si="145">((AB140-X140)/X140)</f>
        <v>2.8493227275719277E-3</v>
      </c>
      <c r="AE140" s="25">
        <f t="shared" ref="AE140" si="146">((AC140-Y140)/Y140)</f>
        <v>3.4732272069464489E-3</v>
      </c>
      <c r="AF140" s="408">
        <v>162789541.87</v>
      </c>
      <c r="AG140" s="414">
        <v>104.33</v>
      </c>
      <c r="AH140" s="25">
        <f t="shared" si="127"/>
        <v>2.4598363291626979E-3</v>
      </c>
      <c r="AI140" s="25">
        <f t="shared" si="128"/>
        <v>3.0766272473799938E-3</v>
      </c>
      <c r="AJ140" s="26">
        <f t="shared" si="129"/>
        <v>2.4474530162805542E-3</v>
      </c>
      <c r="AK140" s="26">
        <f t="shared" si="130"/>
        <v>3.1229035738974628E-3</v>
      </c>
      <c r="AL140" s="27">
        <f t="shared" si="131"/>
        <v>1.7958279770895171E-2</v>
      </c>
      <c r="AM140" s="27">
        <f t="shared" si="132"/>
        <v>2.2843137254901943E-2</v>
      </c>
      <c r="AN140" s="28">
        <f t="shared" si="133"/>
        <v>7.8046748550795802E-4</v>
      </c>
      <c r="AO140" s="85">
        <f t="shared" si="134"/>
        <v>8.3856191071049176E-4</v>
      </c>
      <c r="AP140" s="32"/>
      <c r="AQ140" s="426"/>
      <c r="AR140" s="427"/>
      <c r="AS140" s="31"/>
      <c r="AT140" s="31"/>
    </row>
    <row r="141" spans="1:46">
      <c r="A141" s="229" t="s">
        <v>284</v>
      </c>
      <c r="B141" s="408"/>
      <c r="C141" s="414"/>
      <c r="D141" s="408"/>
      <c r="E141" s="414"/>
      <c r="F141" s="25" t="e">
        <f t="shared" si="113"/>
        <v>#DIV/0!</v>
      </c>
      <c r="G141" s="25" t="e">
        <f t="shared" si="114"/>
        <v>#DIV/0!</v>
      </c>
      <c r="H141" s="408"/>
      <c r="I141" s="414"/>
      <c r="J141" s="25" t="e">
        <f t="shared" si="115"/>
        <v>#DIV/0!</v>
      </c>
      <c r="K141" s="25" t="e">
        <f t="shared" si="116"/>
        <v>#DIV/0!</v>
      </c>
      <c r="L141" s="408"/>
      <c r="M141" s="414"/>
      <c r="N141" s="25" t="e">
        <f t="shared" si="117"/>
        <v>#DIV/0!</v>
      </c>
      <c r="O141" s="25" t="e">
        <f t="shared" si="118"/>
        <v>#DIV/0!</v>
      </c>
      <c r="P141" s="408"/>
      <c r="Q141" s="414"/>
      <c r="R141" s="25" t="e">
        <f t="shared" si="119"/>
        <v>#DIV/0!</v>
      </c>
      <c r="S141" s="25" t="e">
        <f t="shared" si="120"/>
        <v>#DIV/0!</v>
      </c>
      <c r="T141" s="408"/>
      <c r="U141" s="414"/>
      <c r="V141" s="25" t="e">
        <f t="shared" si="121"/>
        <v>#DIV/0!</v>
      </c>
      <c r="W141" s="25" t="e">
        <f t="shared" si="122"/>
        <v>#DIV/0!</v>
      </c>
      <c r="X141" s="408"/>
      <c r="Y141" s="414"/>
      <c r="Z141" s="25" t="e">
        <f t="shared" si="123"/>
        <v>#DIV/0!</v>
      </c>
      <c r="AA141" s="25" t="e">
        <f t="shared" si="124"/>
        <v>#DIV/0!</v>
      </c>
      <c r="AB141" s="408"/>
      <c r="AC141" s="414"/>
      <c r="AD141" s="25" t="e">
        <f t="shared" si="125"/>
        <v>#DIV/0!</v>
      </c>
      <c r="AE141" s="25" t="e">
        <f t="shared" si="126"/>
        <v>#DIV/0!</v>
      </c>
      <c r="AF141" s="408">
        <v>55313800.840000004</v>
      </c>
      <c r="AG141" s="414">
        <v>103.3537</v>
      </c>
      <c r="AH141" s="25" t="e">
        <f t="shared" si="127"/>
        <v>#DIV/0!</v>
      </c>
      <c r="AI141" s="25" t="e">
        <f t="shared" si="128"/>
        <v>#DIV/0!</v>
      </c>
      <c r="AJ141" s="26" t="e">
        <f t="shared" si="129"/>
        <v>#DIV/0!</v>
      </c>
      <c r="AK141" s="26" t="e">
        <f t="shared" si="130"/>
        <v>#DIV/0!</v>
      </c>
      <c r="AL141" s="27" t="e">
        <f t="shared" si="131"/>
        <v>#DIV/0!</v>
      </c>
      <c r="AM141" s="27" t="e">
        <f t="shared" si="132"/>
        <v>#DIV/0!</v>
      </c>
      <c r="AN141" s="28" t="e">
        <f t="shared" si="133"/>
        <v>#DIV/0!</v>
      </c>
      <c r="AO141" s="85" t="e">
        <f t="shared" si="134"/>
        <v>#DIV/0!</v>
      </c>
    </row>
    <row r="142" spans="1:46">
      <c r="A142" s="231" t="s">
        <v>47</v>
      </c>
      <c r="B142" s="244">
        <f>SUM(B118:B141)</f>
        <v>29225566515.922413</v>
      </c>
      <c r="C142" s="98"/>
      <c r="D142" s="244">
        <f>SUM(D118:D141)</f>
        <v>29123241376.55814</v>
      </c>
      <c r="E142" s="98"/>
      <c r="F142" s="25">
        <f>((D142-B142)/B142)</f>
        <v>-3.5012200467876373E-3</v>
      </c>
      <c r="G142" s="25"/>
      <c r="H142" s="244">
        <f>SUM(H118:H141)</f>
        <v>28963635112.849403</v>
      </c>
      <c r="I142" s="98"/>
      <c r="J142" s="25">
        <f>((H142-D142)/D142)</f>
        <v>-5.4803743046681124E-3</v>
      </c>
      <c r="K142" s="25"/>
      <c r="L142" s="244">
        <f>SUM(L118:L141)</f>
        <v>29133230721.822796</v>
      </c>
      <c r="M142" s="98"/>
      <c r="N142" s="25">
        <f>((L142-H142)/H142)</f>
        <v>5.8554669782507106E-3</v>
      </c>
      <c r="O142" s="25"/>
      <c r="P142" s="244">
        <f>SUM(P118:P141)</f>
        <v>29384603401.979706</v>
      </c>
      <c r="Q142" s="98"/>
      <c r="R142" s="25">
        <f>((P142-L142)/L142)</f>
        <v>8.628383256121832E-3</v>
      </c>
      <c r="S142" s="25"/>
      <c r="T142" s="244">
        <f>SUM(T118:T141)</f>
        <v>29609717519.464787</v>
      </c>
      <c r="U142" s="98"/>
      <c r="V142" s="25">
        <f>((T142-P142)/P142)</f>
        <v>7.66095476619277E-3</v>
      </c>
      <c r="W142" s="25"/>
      <c r="X142" s="244">
        <f>SUM(X118:X141)</f>
        <v>29903381585.981205</v>
      </c>
      <c r="Y142" s="98"/>
      <c r="Z142" s="25">
        <f>((X142-T142)/T142)</f>
        <v>9.9178273593245204E-3</v>
      </c>
      <c r="AA142" s="25"/>
      <c r="AB142" s="244">
        <f>SUM(AB118:AB141)</f>
        <v>29870422741.332851</v>
      </c>
      <c r="AC142" s="98"/>
      <c r="AD142" s="25">
        <f>((AB142-X142)/X142)</f>
        <v>-1.1021778441206388E-3</v>
      </c>
      <c r="AE142" s="25"/>
      <c r="AF142" s="244">
        <f>SUM(AF118:AF141)</f>
        <v>30095632697.342506</v>
      </c>
      <c r="AG142" s="98"/>
      <c r="AH142" s="25">
        <f>((AF142-AB142)/AB142)</f>
        <v>7.5395637336602983E-3</v>
      </c>
      <c r="AI142" s="25"/>
      <c r="AJ142" s="26">
        <f t="shared" si="129"/>
        <v>3.6898029872467182E-3</v>
      </c>
      <c r="AK142" s="26"/>
      <c r="AL142" s="27">
        <f t="shared" si="131"/>
        <v>3.3388842547143915E-2</v>
      </c>
      <c r="AM142" s="27"/>
      <c r="AN142" s="28">
        <f t="shared" si="133"/>
        <v>6.0618798540982731E-3</v>
      </c>
      <c r="AO142" s="85"/>
    </row>
    <row r="143" spans="1:46" s="131" customFormat="1" ht="8.25" customHeight="1">
      <c r="A143" s="231"/>
      <c r="B143" s="98"/>
      <c r="C143" s="98"/>
      <c r="D143" s="98"/>
      <c r="E143" s="98"/>
      <c r="F143" s="25"/>
      <c r="G143" s="25"/>
      <c r="H143" s="98"/>
      <c r="I143" s="98"/>
      <c r="J143" s="25"/>
      <c r="K143" s="25"/>
      <c r="L143" s="98"/>
      <c r="M143" s="98"/>
      <c r="N143" s="25"/>
      <c r="O143" s="25"/>
      <c r="P143" s="98"/>
      <c r="Q143" s="98"/>
      <c r="R143" s="25"/>
      <c r="S143" s="25"/>
      <c r="T143" s="98"/>
      <c r="U143" s="98"/>
      <c r="V143" s="25"/>
      <c r="W143" s="25"/>
      <c r="X143" s="98"/>
      <c r="Y143" s="98"/>
      <c r="Z143" s="25"/>
      <c r="AA143" s="25"/>
      <c r="AB143" s="98"/>
      <c r="AC143" s="98"/>
      <c r="AD143" s="25"/>
      <c r="AE143" s="25"/>
      <c r="AF143" s="98"/>
      <c r="AG143" s="98"/>
      <c r="AH143" s="25"/>
      <c r="AI143" s="25"/>
      <c r="AJ143" s="26"/>
      <c r="AK143" s="26"/>
      <c r="AL143" s="27"/>
      <c r="AM143" s="27"/>
      <c r="AN143" s="28"/>
      <c r="AO143" s="85"/>
    </row>
    <row r="144" spans="1:46" s="131" customFormat="1">
      <c r="A144" s="233" t="s">
        <v>72</v>
      </c>
      <c r="B144" s="98"/>
      <c r="C144" s="98"/>
      <c r="D144" s="98"/>
      <c r="E144" s="98"/>
      <c r="F144" s="25"/>
      <c r="G144" s="25"/>
      <c r="H144" s="98"/>
      <c r="I144" s="98"/>
      <c r="J144" s="25"/>
      <c r="K144" s="25"/>
      <c r="L144" s="98"/>
      <c r="M144" s="98"/>
      <c r="N144" s="25"/>
      <c r="O144" s="25"/>
      <c r="P144" s="98"/>
      <c r="Q144" s="98"/>
      <c r="R144" s="25"/>
      <c r="S144" s="25"/>
      <c r="T144" s="98"/>
      <c r="U144" s="98"/>
      <c r="V144" s="25"/>
      <c r="W144" s="25"/>
      <c r="X144" s="98"/>
      <c r="Y144" s="98"/>
      <c r="Z144" s="25"/>
      <c r="AA144" s="25"/>
      <c r="AB144" s="98"/>
      <c r="AC144" s="98"/>
      <c r="AD144" s="25"/>
      <c r="AE144" s="25"/>
      <c r="AF144" s="98"/>
      <c r="AG144" s="98"/>
      <c r="AH144" s="25"/>
      <c r="AI144" s="25"/>
      <c r="AJ144" s="26"/>
      <c r="AK144" s="26"/>
      <c r="AL144" s="27"/>
      <c r="AM144" s="27"/>
      <c r="AN144" s="28"/>
      <c r="AO144" s="85"/>
    </row>
    <row r="145" spans="1:41" s="131" customFormat="1">
      <c r="A145" s="230" t="s">
        <v>207</v>
      </c>
      <c r="B145" s="408">
        <v>565960381.60000002</v>
      </c>
      <c r="C145" s="409">
        <v>15.3706</v>
      </c>
      <c r="D145" s="408">
        <v>569700887.41999996</v>
      </c>
      <c r="E145" s="409">
        <v>15.4108</v>
      </c>
      <c r="F145" s="25">
        <f t="shared" ref="F145:G147" si="147">((D145-B145)/B145)</f>
        <v>6.60913014692888E-3</v>
      </c>
      <c r="G145" s="25">
        <f t="shared" si="147"/>
        <v>2.615382613560984E-3</v>
      </c>
      <c r="H145" s="408">
        <v>569700887.41999996</v>
      </c>
      <c r="I145" s="409">
        <v>15.3041</v>
      </c>
      <c r="J145" s="25">
        <f t="shared" ref="J145:K147" si="148">((H145-D145)/D145)</f>
        <v>0</v>
      </c>
      <c r="K145" s="25">
        <f t="shared" si="148"/>
        <v>-6.9237158356477285E-3</v>
      </c>
      <c r="L145" s="408">
        <v>568423598.36000001</v>
      </c>
      <c r="M145" s="409">
        <v>15.4412</v>
      </c>
      <c r="N145" s="25">
        <f t="shared" ref="N145:O147" si="149">((L145-H145)/H145)</f>
        <v>-2.2420345275998991E-3</v>
      </c>
      <c r="O145" s="25">
        <f t="shared" si="149"/>
        <v>8.9583837010997203E-3</v>
      </c>
      <c r="P145" s="408">
        <v>568847528.21000004</v>
      </c>
      <c r="Q145" s="409">
        <v>15.515700000000001</v>
      </c>
      <c r="R145" s="25">
        <f t="shared" ref="R145:S147" si="150">((P145-L145)/L145)</f>
        <v>7.4579917375551346E-4</v>
      </c>
      <c r="S145" s="25">
        <f t="shared" si="150"/>
        <v>4.8247545527549968E-3</v>
      </c>
      <c r="T145" s="408">
        <v>574861650.04999995</v>
      </c>
      <c r="U145" s="409">
        <v>15.389699999999999</v>
      </c>
      <c r="V145" s="25">
        <f t="shared" ref="V145:V147" si="151">((T145-P145)/P145)</f>
        <v>1.0572467210896793E-2</v>
      </c>
      <c r="W145" s="25">
        <f t="shared" ref="W145:W147" si="152">((U145-Q145)/Q145)</f>
        <v>-8.120806666795646E-3</v>
      </c>
      <c r="X145" s="408">
        <v>576930127.47000003</v>
      </c>
      <c r="Y145" s="409">
        <v>15.6256</v>
      </c>
      <c r="Z145" s="25">
        <f t="shared" ref="Z145:Z147" si="153">((X145-T145)/T145)</f>
        <v>3.5982177969606523E-3</v>
      </c>
      <c r="AA145" s="25">
        <f t="shared" ref="AA145:AA147" si="154">((Y145-U145)/U145)</f>
        <v>1.532843395257873E-2</v>
      </c>
      <c r="AB145" s="408">
        <v>579606198.36000001</v>
      </c>
      <c r="AC145" s="409">
        <v>15.615</v>
      </c>
      <c r="AD145" s="25">
        <f t="shared" ref="AD145:AD147" si="155">((AB145-X145)/X145)</f>
        <v>4.6384661895458729E-3</v>
      </c>
      <c r="AE145" s="25">
        <f t="shared" ref="AE145:AE147" si="156">((AC145-Y145)/Y145)</f>
        <v>-6.783739504403136E-4</v>
      </c>
      <c r="AF145" s="408">
        <v>574921326.77999997</v>
      </c>
      <c r="AG145" s="409">
        <v>15.7354</v>
      </c>
      <c r="AH145" s="25">
        <f t="shared" ref="AH145:AH147" si="157">((AF145-AB145)/AB145)</f>
        <v>-8.0828527942867438E-3</v>
      </c>
      <c r="AI145" s="25">
        <f t="shared" ref="AI145:AI147" si="158">((AG145-AC145)/AC145)</f>
        <v>7.7105347422350345E-3</v>
      </c>
      <c r="AJ145" s="26">
        <f t="shared" si="129"/>
        <v>1.9798991495251338E-3</v>
      </c>
      <c r="AK145" s="26">
        <f t="shared" si="130"/>
        <v>2.9643241386682227E-3</v>
      </c>
      <c r="AL145" s="27">
        <f t="shared" si="131"/>
        <v>9.1634741585918493E-3</v>
      </c>
      <c r="AM145" s="27">
        <f t="shared" si="132"/>
        <v>2.1063150517818686E-2</v>
      </c>
      <c r="AN145" s="28">
        <f t="shared" si="133"/>
        <v>5.7255772449692453E-3</v>
      </c>
      <c r="AO145" s="85">
        <f t="shared" si="134"/>
        <v>8.0074264370354267E-3</v>
      </c>
    </row>
    <row r="146" spans="1:41">
      <c r="A146" s="230" t="s">
        <v>30</v>
      </c>
      <c r="B146" s="408">
        <v>1689084243.23</v>
      </c>
      <c r="C146" s="409">
        <v>1.35</v>
      </c>
      <c r="D146" s="408">
        <v>1688160088.95</v>
      </c>
      <c r="E146" s="409">
        <v>1.35</v>
      </c>
      <c r="F146" s="25">
        <f t="shared" si="147"/>
        <v>-5.471333260635543E-4</v>
      </c>
      <c r="G146" s="25">
        <f t="shared" si="147"/>
        <v>0</v>
      </c>
      <c r="H146" s="408">
        <v>1669632672.98</v>
      </c>
      <c r="I146" s="409">
        <v>1.34</v>
      </c>
      <c r="J146" s="25">
        <f t="shared" si="148"/>
        <v>-1.0974916473427404E-2</v>
      </c>
      <c r="K146" s="25">
        <f t="shared" si="148"/>
        <v>-7.4074074074074138E-3</v>
      </c>
      <c r="L146" s="408">
        <v>1694942370.23</v>
      </c>
      <c r="M146" s="409">
        <v>1.36</v>
      </c>
      <c r="N146" s="25">
        <f t="shared" si="149"/>
        <v>1.5158841618034853E-2</v>
      </c>
      <c r="O146" s="25">
        <f t="shared" si="149"/>
        <v>1.492537313432837E-2</v>
      </c>
      <c r="P146" s="408">
        <v>1699072050.1800001</v>
      </c>
      <c r="Q146" s="409">
        <v>1.36</v>
      </c>
      <c r="R146" s="25">
        <f t="shared" si="150"/>
        <v>2.4364721907563494E-3</v>
      </c>
      <c r="S146" s="25">
        <f t="shared" si="150"/>
        <v>0</v>
      </c>
      <c r="T146" s="408">
        <v>1734606746.7</v>
      </c>
      <c r="U146" s="409">
        <v>1.39</v>
      </c>
      <c r="V146" s="25">
        <f t="shared" si="151"/>
        <v>2.0914178722577084E-2</v>
      </c>
      <c r="W146" s="25">
        <f t="shared" si="152"/>
        <v>2.205882352941162E-2</v>
      </c>
      <c r="X146" s="408">
        <v>1736961296.45</v>
      </c>
      <c r="Y146" s="409">
        <v>1.39</v>
      </c>
      <c r="Z146" s="25">
        <f t="shared" si="153"/>
        <v>1.3573968592474402E-3</v>
      </c>
      <c r="AA146" s="25">
        <f t="shared" si="154"/>
        <v>0</v>
      </c>
      <c r="AB146" s="408">
        <v>1736961296.45</v>
      </c>
      <c r="AC146" s="409">
        <v>1.4</v>
      </c>
      <c r="AD146" s="25">
        <f t="shared" si="155"/>
        <v>0</v>
      </c>
      <c r="AE146" s="25">
        <f t="shared" si="156"/>
        <v>7.1942446043165541E-3</v>
      </c>
      <c r="AF146" s="408">
        <v>1761117722.8800001</v>
      </c>
      <c r="AG146" s="409">
        <v>1.41</v>
      </c>
      <c r="AH146" s="25">
        <f t="shared" si="157"/>
        <v>1.3907291129267503E-2</v>
      </c>
      <c r="AI146" s="25">
        <f t="shared" si="158"/>
        <v>7.1428571428571496E-3</v>
      </c>
      <c r="AJ146" s="26">
        <f t="shared" si="129"/>
        <v>5.2815163400490341E-3</v>
      </c>
      <c r="AK146" s="26">
        <f t="shared" si="130"/>
        <v>5.4892363754382853E-3</v>
      </c>
      <c r="AL146" s="27">
        <f t="shared" si="131"/>
        <v>4.321724841592374E-2</v>
      </c>
      <c r="AM146" s="27">
        <f t="shared" si="132"/>
        <v>4.4444444444444314E-2</v>
      </c>
      <c r="AN146" s="28">
        <f t="shared" si="133"/>
        <v>1.0460659963051675E-2</v>
      </c>
      <c r="AO146" s="85">
        <f t="shared" si="134"/>
        <v>9.4563053711455517E-3</v>
      </c>
    </row>
    <row r="147" spans="1:41">
      <c r="A147" s="230" t="s">
        <v>31</v>
      </c>
      <c r="B147" s="409">
        <v>542704107.73000002</v>
      </c>
      <c r="C147" s="409">
        <v>42.2532</v>
      </c>
      <c r="D147" s="409">
        <v>549637613.16999996</v>
      </c>
      <c r="E147" s="409">
        <v>42.616100000000003</v>
      </c>
      <c r="F147" s="25">
        <f t="shared" si="147"/>
        <v>1.2775848461883057E-2</v>
      </c>
      <c r="G147" s="25">
        <f t="shared" si="147"/>
        <v>8.5886986074428292E-3</v>
      </c>
      <c r="H147" s="409">
        <v>543093365.07000005</v>
      </c>
      <c r="I147" s="409">
        <v>42.582999999999998</v>
      </c>
      <c r="J147" s="25">
        <f t="shared" si="148"/>
        <v>-1.1906477910520661E-2</v>
      </c>
      <c r="K147" s="25">
        <f t="shared" si="148"/>
        <v>-7.7670176294885186E-4</v>
      </c>
      <c r="L147" s="409">
        <v>542660107.27999997</v>
      </c>
      <c r="M147" s="409">
        <v>42.572400000000002</v>
      </c>
      <c r="N147" s="25">
        <f t="shared" si="149"/>
        <v>-7.9775931334428638E-4</v>
      </c>
      <c r="O147" s="25">
        <f t="shared" si="149"/>
        <v>-2.4892562759778813E-4</v>
      </c>
      <c r="P147" s="409">
        <v>552180734.58000004</v>
      </c>
      <c r="Q147" s="409">
        <v>43.339199999999998</v>
      </c>
      <c r="R147" s="25">
        <f t="shared" si="150"/>
        <v>1.7544365565622184E-2</v>
      </c>
      <c r="S147" s="25">
        <f t="shared" si="150"/>
        <v>1.8011669532373001E-2</v>
      </c>
      <c r="T147" s="409">
        <v>553533324.59000003</v>
      </c>
      <c r="U147" s="409">
        <v>43.549599999999998</v>
      </c>
      <c r="V147" s="25">
        <f t="shared" si="151"/>
        <v>2.4495421974995162E-3</v>
      </c>
      <c r="W147" s="25">
        <f t="shared" si="152"/>
        <v>4.8547273599881847E-3</v>
      </c>
      <c r="X147" s="409">
        <v>556106078.00999999</v>
      </c>
      <c r="Y147" s="409">
        <v>43.763599999999997</v>
      </c>
      <c r="Z147" s="25">
        <f t="shared" si="153"/>
        <v>4.647874492300144E-3</v>
      </c>
      <c r="AA147" s="25">
        <f t="shared" si="154"/>
        <v>4.9139372118228103E-3</v>
      </c>
      <c r="AB147" s="409">
        <v>556660561.27999997</v>
      </c>
      <c r="AC147" s="409">
        <v>44.286799999999999</v>
      </c>
      <c r="AD147" s="25">
        <f t="shared" si="155"/>
        <v>9.9708183730732409E-4</v>
      </c>
      <c r="AE147" s="25">
        <f t="shared" si="156"/>
        <v>1.195514080194506E-2</v>
      </c>
      <c r="AF147" s="409">
        <v>552018160.54999995</v>
      </c>
      <c r="AG147" s="409">
        <v>43.912300000000002</v>
      </c>
      <c r="AH147" s="25">
        <f t="shared" si="157"/>
        <v>-8.3397334981396218E-3</v>
      </c>
      <c r="AI147" s="25">
        <f t="shared" si="158"/>
        <v>-8.4562442985268212E-3</v>
      </c>
      <c r="AJ147" s="26">
        <f t="shared" si="129"/>
        <v>2.1713427290759573E-3</v>
      </c>
      <c r="AK147" s="26">
        <f t="shared" si="130"/>
        <v>4.855287728062303E-3</v>
      </c>
      <c r="AL147" s="27">
        <f t="shared" si="131"/>
        <v>4.3311216753714136E-3</v>
      </c>
      <c r="AM147" s="27">
        <f t="shared" si="132"/>
        <v>3.0415734898313052E-2</v>
      </c>
      <c r="AN147" s="28">
        <f t="shared" si="133"/>
        <v>9.8114961032150592E-3</v>
      </c>
      <c r="AO147" s="85">
        <f t="shared" si="134"/>
        <v>8.2150495800922905E-3</v>
      </c>
    </row>
    <row r="148" spans="1:41">
      <c r="A148" s="231" t="s">
        <v>47</v>
      </c>
      <c r="B148" s="244">
        <f>SUM(B145:B147)</f>
        <v>2797748732.5599999</v>
      </c>
      <c r="C148" s="98"/>
      <c r="D148" s="244">
        <f>SUM(D145:D147)</f>
        <v>2807498589.54</v>
      </c>
      <c r="E148" s="98"/>
      <c r="F148" s="25">
        <f>((D148-B148)/B148)</f>
        <v>3.4848937170561031E-3</v>
      </c>
      <c r="G148" s="25"/>
      <c r="H148" s="244">
        <f>SUM(H145:H147)</f>
        <v>2782426925.4700003</v>
      </c>
      <c r="I148" s="98"/>
      <c r="J148" s="25">
        <f>((H148-D148)/D148)</f>
        <v>-8.9302499254710621E-3</v>
      </c>
      <c r="K148" s="25"/>
      <c r="L148" s="244">
        <f>SUM(L145:L147)</f>
        <v>2806026075.8699999</v>
      </c>
      <c r="M148" s="98"/>
      <c r="N148" s="25">
        <f>((L148-H148)/H148)</f>
        <v>8.4814987175317498E-3</v>
      </c>
      <c r="O148" s="25"/>
      <c r="P148" s="244">
        <f>SUM(P145:P147)</f>
        <v>2820100312.9700003</v>
      </c>
      <c r="Q148" s="98"/>
      <c r="R148" s="25">
        <f>((P148-L148)/L148)</f>
        <v>5.0157185711956391E-3</v>
      </c>
      <c r="S148" s="25"/>
      <c r="T148" s="244">
        <f>SUM(T145:T147)</f>
        <v>2863001721.3400002</v>
      </c>
      <c r="U148" s="98"/>
      <c r="V148" s="25">
        <f>((T148-P148)/P148)</f>
        <v>1.5212724232783794E-2</v>
      </c>
      <c r="W148" s="25"/>
      <c r="X148" s="244">
        <f>SUM(X145:X147)</f>
        <v>2869997501.9300003</v>
      </c>
      <c r="Y148" s="98"/>
      <c r="Z148" s="25">
        <f>((X148-T148)/T148)</f>
        <v>2.4435125336654865E-3</v>
      </c>
      <c r="AA148" s="25"/>
      <c r="AB148" s="244">
        <f>SUM(AB145:AB147)</f>
        <v>2873228056.0900002</v>
      </c>
      <c r="AC148" s="98"/>
      <c r="AD148" s="25">
        <f>((AB148-X148)/X148)</f>
        <v>1.1256296069342856E-3</v>
      </c>
      <c r="AE148" s="25"/>
      <c r="AF148" s="244">
        <f>SUM(AF145:AF147)</f>
        <v>2888057210.21</v>
      </c>
      <c r="AG148" s="98"/>
      <c r="AH148" s="25">
        <f>((AF148-AB148)/AB148)</f>
        <v>5.1611476118536767E-3</v>
      </c>
      <c r="AI148" s="25"/>
      <c r="AJ148" s="26">
        <f t="shared" si="129"/>
        <v>3.9993593831937095E-3</v>
      </c>
      <c r="AK148" s="26"/>
      <c r="AL148" s="27">
        <f t="shared" si="131"/>
        <v>2.8694091234859484E-2</v>
      </c>
      <c r="AM148" s="27"/>
      <c r="AN148" s="28">
        <f t="shared" si="133"/>
        <v>6.827782700034403E-3</v>
      </c>
      <c r="AO148" s="85"/>
    </row>
    <row r="149" spans="1:41" ht="8.25" customHeight="1">
      <c r="A149" s="231"/>
      <c r="B149" s="98"/>
      <c r="C149" s="98"/>
      <c r="D149" s="98"/>
      <c r="E149" s="98"/>
      <c r="F149" s="25"/>
      <c r="G149" s="25"/>
      <c r="H149" s="98"/>
      <c r="I149" s="98"/>
      <c r="J149" s="25"/>
      <c r="K149" s="25"/>
      <c r="L149" s="98"/>
      <c r="M149" s="98"/>
      <c r="N149" s="25"/>
      <c r="O149" s="25"/>
      <c r="P149" s="98"/>
      <c r="Q149" s="98"/>
      <c r="R149" s="25"/>
      <c r="S149" s="25"/>
      <c r="T149" s="98"/>
      <c r="U149" s="98"/>
      <c r="V149" s="25"/>
      <c r="W149" s="25"/>
      <c r="X149" s="98"/>
      <c r="Y149" s="98"/>
      <c r="Z149" s="25"/>
      <c r="AA149" s="25"/>
      <c r="AB149" s="98"/>
      <c r="AC149" s="98"/>
      <c r="AD149" s="25"/>
      <c r="AE149" s="25"/>
      <c r="AF149" s="98"/>
      <c r="AG149" s="98"/>
      <c r="AH149" s="25"/>
      <c r="AI149" s="25"/>
      <c r="AJ149" s="26"/>
      <c r="AK149" s="26"/>
      <c r="AL149" s="27"/>
      <c r="AM149" s="27"/>
      <c r="AN149" s="28"/>
      <c r="AO149" s="85"/>
    </row>
    <row r="150" spans="1:41">
      <c r="A150" s="234" t="s">
        <v>217</v>
      </c>
      <c r="B150" s="98"/>
      <c r="C150" s="98"/>
      <c r="D150" s="98"/>
      <c r="E150" s="98"/>
      <c r="F150" s="25"/>
      <c r="G150" s="25"/>
      <c r="H150" s="98"/>
      <c r="I150" s="98"/>
      <c r="J150" s="25"/>
      <c r="K150" s="25"/>
      <c r="L150" s="98"/>
      <c r="M150" s="98"/>
      <c r="N150" s="25"/>
      <c r="O150" s="25"/>
      <c r="P150" s="98"/>
      <c r="Q150" s="98"/>
      <c r="R150" s="25"/>
      <c r="S150" s="25"/>
      <c r="T150" s="98"/>
      <c r="U150" s="98"/>
      <c r="V150" s="25"/>
      <c r="W150" s="25"/>
      <c r="X150" s="98"/>
      <c r="Y150" s="98"/>
      <c r="Z150" s="25"/>
      <c r="AA150" s="25"/>
      <c r="AB150" s="98"/>
      <c r="AC150" s="98"/>
      <c r="AD150" s="25"/>
      <c r="AE150" s="25"/>
      <c r="AF150" s="98"/>
      <c r="AG150" s="98"/>
      <c r="AH150" s="25"/>
      <c r="AI150" s="25"/>
      <c r="AJ150" s="26"/>
      <c r="AK150" s="26"/>
      <c r="AL150" s="27"/>
      <c r="AM150" s="27"/>
      <c r="AN150" s="28"/>
      <c r="AO150" s="85"/>
    </row>
    <row r="151" spans="1:41">
      <c r="A151" s="235" t="s">
        <v>218</v>
      </c>
      <c r="B151" s="98"/>
      <c r="C151" s="98"/>
      <c r="D151" s="98"/>
      <c r="E151" s="98"/>
      <c r="F151" s="25"/>
      <c r="G151" s="25"/>
      <c r="H151" s="98"/>
      <c r="I151" s="98"/>
      <c r="J151" s="25"/>
      <c r="K151" s="25"/>
      <c r="L151" s="98"/>
      <c r="M151" s="98"/>
      <c r="N151" s="25"/>
      <c r="O151" s="25"/>
      <c r="P151" s="98"/>
      <c r="Q151" s="98"/>
      <c r="R151" s="25"/>
      <c r="S151" s="25"/>
      <c r="T151" s="98"/>
      <c r="U151" s="98"/>
      <c r="V151" s="25"/>
      <c r="W151" s="25"/>
      <c r="X151" s="98"/>
      <c r="Y151" s="98"/>
      <c r="Z151" s="25"/>
      <c r="AA151" s="25"/>
      <c r="AB151" s="98"/>
      <c r="AC151" s="98"/>
      <c r="AD151" s="25"/>
      <c r="AE151" s="25"/>
      <c r="AF151" s="98"/>
      <c r="AG151" s="98"/>
      <c r="AH151" s="25"/>
      <c r="AI151" s="25"/>
      <c r="AJ151" s="26"/>
      <c r="AK151" s="26"/>
      <c r="AL151" s="27"/>
      <c r="AM151" s="27"/>
      <c r="AN151" s="28"/>
      <c r="AO151" s="85"/>
    </row>
    <row r="152" spans="1:41">
      <c r="A152" s="230" t="s">
        <v>29</v>
      </c>
      <c r="B152" s="397">
        <v>3314051296.0999999</v>
      </c>
      <c r="C152" s="399">
        <v>1.68</v>
      </c>
      <c r="D152" s="397">
        <v>3344830977.3600001</v>
      </c>
      <c r="E152" s="399">
        <v>1.67</v>
      </c>
      <c r="F152" s="25">
        <f>((D145-B152)/B152)</f>
        <v>-0.82809533211195963</v>
      </c>
      <c r="G152" s="25">
        <f>((E152-C152)/C152)</f>
        <v>-5.9523809523809581E-3</v>
      </c>
      <c r="H152" s="397">
        <v>3333031206.0100002</v>
      </c>
      <c r="I152" s="399">
        <v>1.66</v>
      </c>
      <c r="J152" s="25">
        <f>((H145-D152)/D152)</f>
        <v>-0.82967722695822077</v>
      </c>
      <c r="K152" s="25">
        <f>((I152-E152)/E152)</f>
        <v>-5.988023952095814E-3</v>
      </c>
      <c r="L152" s="397">
        <v>3345580287.71</v>
      </c>
      <c r="M152" s="399">
        <v>1.67</v>
      </c>
      <c r="N152" s="25">
        <f>((L145-H152)/H152)</f>
        <v>-0.82945746282391852</v>
      </c>
      <c r="O152" s="25">
        <f>((M152-I152)/I152)</f>
        <v>6.0240963855421742E-3</v>
      </c>
      <c r="P152" s="397">
        <v>3406790787.6799998</v>
      </c>
      <c r="Q152" s="399">
        <v>1.7</v>
      </c>
      <c r="R152" s="25">
        <f>((P145-L152)/L152)</f>
        <v>-0.82997044479857107</v>
      </c>
      <c r="S152" s="25">
        <f>((Q152-M152)/M152)</f>
        <v>1.7964071856287442E-2</v>
      </c>
      <c r="T152" s="397">
        <v>3463625217.4200001</v>
      </c>
      <c r="U152" s="399">
        <v>1.72</v>
      </c>
      <c r="V152" s="25">
        <f>((T145-P152)/P152)</f>
        <v>-0.83126006676756448</v>
      </c>
      <c r="W152" s="25">
        <f>((U152-Q152)/Q152)</f>
        <v>1.1764705882352951E-2</v>
      </c>
      <c r="X152" s="397">
        <v>3454548650.4899998</v>
      </c>
      <c r="Y152" s="399">
        <v>1.72</v>
      </c>
      <c r="Z152" s="25">
        <f>((X145-T152)/T152)</f>
        <v>-0.8334317106341701</v>
      </c>
      <c r="AA152" s="25">
        <f>((Y152-U152)/U152)</f>
        <v>0</v>
      </c>
      <c r="AB152" s="397">
        <v>3463289246.5599999</v>
      </c>
      <c r="AC152" s="399">
        <v>1.73</v>
      </c>
      <c r="AD152" s="25">
        <f>((AB145-X152)/X152)</f>
        <v>-0.83221941359031437</v>
      </c>
      <c r="AE152" s="25">
        <f>((AC152-Y152)/Y152)</f>
        <v>5.8139534883720981E-3</v>
      </c>
      <c r="AF152" s="397">
        <v>3454548650.4899998</v>
      </c>
      <c r="AG152" s="399">
        <v>1.72</v>
      </c>
      <c r="AH152" s="25">
        <f>((AF145-AB152)/AB152)</f>
        <v>-0.83399557881252473</v>
      </c>
      <c r="AI152" s="25">
        <f>((AG152-AC152)/AC152)</f>
        <v>-5.7803468208092535E-3</v>
      </c>
      <c r="AJ152" s="26">
        <f t="shared" si="129"/>
        <v>-0.83101340456215544</v>
      </c>
      <c r="AK152" s="26">
        <f t="shared" si="130"/>
        <v>2.9807594859085802E-3</v>
      </c>
      <c r="AL152" s="27">
        <f t="shared" si="131"/>
        <v>3.2802157679308906E-2</v>
      </c>
      <c r="AM152" s="27">
        <f t="shared" si="132"/>
        <v>2.994011976047907E-2</v>
      </c>
      <c r="AN152" s="28">
        <f t="shared" si="133"/>
        <v>2.0724762522223361E-3</v>
      </c>
      <c r="AO152" s="85">
        <f t="shared" si="134"/>
        <v>8.9827472484177266E-3</v>
      </c>
    </row>
    <row r="153" spans="1:41">
      <c r="A153" s="229" t="s">
        <v>71</v>
      </c>
      <c r="B153" s="397">
        <v>284739649.08999997</v>
      </c>
      <c r="C153" s="399">
        <v>253.82</v>
      </c>
      <c r="D153" s="397">
        <v>287173671.91000003</v>
      </c>
      <c r="E153" s="399">
        <v>254.47</v>
      </c>
      <c r="F153" s="25">
        <f>((D146-B153)/B153)</f>
        <v>4.9287847489634631</v>
      </c>
      <c r="G153" s="25">
        <f>((E153-C153)/C153)</f>
        <v>2.5608699078087057E-3</v>
      </c>
      <c r="H153" s="397">
        <v>284615545.44</v>
      </c>
      <c r="I153" s="399">
        <v>252.19</v>
      </c>
      <c r="J153" s="25">
        <f>((H146-D153)/D153)</f>
        <v>4.8140172177875042</v>
      </c>
      <c r="K153" s="25">
        <f>((I153-E153)/E153)</f>
        <v>-8.9597987975006919E-3</v>
      </c>
      <c r="L153" s="397">
        <v>282839908.00999999</v>
      </c>
      <c r="M153" s="399">
        <v>252.6</v>
      </c>
      <c r="N153" s="25">
        <f>((L146-H153)/H153)</f>
        <v>4.9551995573878864</v>
      </c>
      <c r="O153" s="25">
        <f>((M153-I153)/I153)</f>
        <v>1.6257583567944667E-3</v>
      </c>
      <c r="P153" s="397">
        <v>286540594.16000003</v>
      </c>
      <c r="Q153" s="399">
        <v>255.99</v>
      </c>
      <c r="R153" s="25">
        <f>((P146-L153)/L153)</f>
        <v>5.0071864049677473</v>
      </c>
      <c r="S153" s="25">
        <f>((Q153-M153)/M153)</f>
        <v>1.3420427553444239E-2</v>
      </c>
      <c r="T153" s="397">
        <v>284288078.87</v>
      </c>
      <c r="U153" s="399">
        <v>255.89</v>
      </c>
      <c r="V153" s="25">
        <f>((T146-P153)/P153)</f>
        <v>5.0536160741378975</v>
      </c>
      <c r="W153" s="25">
        <f>((U153-Q153)/Q153)</f>
        <v>-3.9064025938522103E-4</v>
      </c>
      <c r="X153" s="397">
        <v>287179911.73000002</v>
      </c>
      <c r="Y153" s="399">
        <v>258.16000000000003</v>
      </c>
      <c r="Z153" s="25">
        <f>((X146-T153)/T153)</f>
        <v>5.1098632885140507</v>
      </c>
      <c r="AA153" s="25">
        <f>((Y153-U153)/U153)</f>
        <v>8.8709992574936055E-3</v>
      </c>
      <c r="AB153" s="397">
        <v>287042549.93000001</v>
      </c>
      <c r="AC153" s="399">
        <v>258.49</v>
      </c>
      <c r="AD153" s="25">
        <f>((AB146-X153)/X153)</f>
        <v>5.0483384300328478</v>
      </c>
      <c r="AE153" s="25">
        <f>((AC153-Y153)/Y153)</f>
        <v>1.2782770374960646E-3</v>
      </c>
      <c r="AF153" s="397">
        <v>289562971.23000002</v>
      </c>
      <c r="AG153" s="399">
        <v>258.95999999999998</v>
      </c>
      <c r="AH153" s="25">
        <f>((AF146-AB153)/AB153)</f>
        <v>5.1353890679604026</v>
      </c>
      <c r="AI153" s="25">
        <f>((AG153-AC153)/AC153)</f>
        <v>1.8182521567564332E-3</v>
      </c>
      <c r="AJ153" s="26">
        <f t="shared" si="129"/>
        <v>5.0065493487189752</v>
      </c>
      <c r="AK153" s="26">
        <f t="shared" si="130"/>
        <v>2.52801815161345E-3</v>
      </c>
      <c r="AL153" s="27">
        <f t="shared" si="131"/>
        <v>8.3200500383920888E-3</v>
      </c>
      <c r="AM153" s="27">
        <f t="shared" si="132"/>
        <v>1.7644516052972771E-2</v>
      </c>
      <c r="AN153" s="28">
        <f t="shared" si="133"/>
        <v>0.10487285410402347</v>
      </c>
      <c r="AO153" s="85">
        <f t="shared" si="134"/>
        <v>6.5710106817541995E-3</v>
      </c>
    </row>
    <row r="154" spans="1:41" ht="8.25" customHeight="1">
      <c r="A154" s="231"/>
      <c r="B154" s="98"/>
      <c r="C154" s="98"/>
      <c r="D154" s="98"/>
      <c r="E154" s="98"/>
      <c r="F154" s="25"/>
      <c r="G154" s="25"/>
      <c r="H154" s="98"/>
      <c r="I154" s="98"/>
      <c r="J154" s="25"/>
      <c r="K154" s="25"/>
      <c r="L154" s="98"/>
      <c r="M154" s="98"/>
      <c r="N154" s="25"/>
      <c r="O154" s="25"/>
      <c r="P154" s="98"/>
      <c r="Q154" s="98"/>
      <c r="R154" s="25"/>
      <c r="S154" s="25"/>
      <c r="T154" s="98"/>
      <c r="U154" s="98"/>
      <c r="V154" s="25"/>
      <c r="W154" s="25"/>
      <c r="X154" s="98"/>
      <c r="Y154" s="98"/>
      <c r="Z154" s="25"/>
      <c r="AA154" s="25"/>
      <c r="AB154" s="98"/>
      <c r="AC154" s="98"/>
      <c r="AD154" s="25"/>
      <c r="AE154" s="25"/>
      <c r="AF154" s="98"/>
      <c r="AG154" s="98"/>
      <c r="AH154" s="25"/>
      <c r="AI154" s="25"/>
      <c r="AJ154" s="26"/>
      <c r="AK154" s="26"/>
      <c r="AL154" s="27"/>
      <c r="AM154" s="27"/>
      <c r="AN154" s="28"/>
      <c r="AO154" s="85"/>
    </row>
    <row r="155" spans="1:41">
      <c r="A155" s="235" t="s">
        <v>219</v>
      </c>
      <c r="B155" s="98"/>
      <c r="C155" s="98"/>
      <c r="D155" s="98"/>
      <c r="E155" s="98"/>
      <c r="F155" s="25"/>
      <c r="G155" s="25"/>
      <c r="H155" s="98"/>
      <c r="I155" s="98"/>
      <c r="J155" s="25"/>
      <c r="K155" s="25"/>
      <c r="L155" s="98"/>
      <c r="M155" s="98"/>
      <c r="N155" s="25"/>
      <c r="O155" s="25"/>
      <c r="P155" s="98"/>
      <c r="Q155" s="98"/>
      <c r="R155" s="25"/>
      <c r="S155" s="25"/>
      <c r="T155" s="98"/>
      <c r="U155" s="98"/>
      <c r="V155" s="25"/>
      <c r="W155" s="25"/>
      <c r="X155" s="98"/>
      <c r="Y155" s="98"/>
      <c r="Z155" s="25"/>
      <c r="AA155" s="25"/>
      <c r="AB155" s="98"/>
      <c r="AC155" s="98"/>
      <c r="AD155" s="25"/>
      <c r="AE155" s="25"/>
      <c r="AF155" s="98"/>
      <c r="AG155" s="98"/>
      <c r="AH155" s="25"/>
      <c r="AI155" s="25"/>
      <c r="AJ155" s="26"/>
      <c r="AK155" s="26"/>
      <c r="AL155" s="27"/>
      <c r="AM155" s="27"/>
      <c r="AN155" s="28"/>
      <c r="AO155" s="85"/>
    </row>
    <row r="156" spans="1:41">
      <c r="A156" s="229" t="s">
        <v>142</v>
      </c>
      <c r="B156" s="415">
        <v>6251650366.1899996</v>
      </c>
      <c r="C156" s="416">
        <v>120.18</v>
      </c>
      <c r="D156" s="415">
        <v>6215269627.5699997</v>
      </c>
      <c r="E156" s="416">
        <v>120.25</v>
      </c>
      <c r="F156" s="25">
        <f>((D156-B156)/B156)</f>
        <v>-5.8193815215184103E-3</v>
      </c>
      <c r="G156" s="25">
        <f>((E156-C156)/C156)</f>
        <v>5.8245964386747519E-4</v>
      </c>
      <c r="H156" s="415">
        <v>6212546608.3999996</v>
      </c>
      <c r="I156" s="416">
        <v>120.3</v>
      </c>
      <c r="J156" s="25">
        <f>((H156-D156)/D156)</f>
        <v>-4.3811762532733469E-4</v>
      </c>
      <c r="K156" s="25">
        <f t="shared" ref="K156:K162" si="159">((I156-E156)/E156)</f>
        <v>4.1580041580039219E-4</v>
      </c>
      <c r="L156" s="415">
        <v>6157790994.5299997</v>
      </c>
      <c r="M156" s="416">
        <v>120.35</v>
      </c>
      <c r="N156" s="25">
        <f>((L156-H156)/H156)</f>
        <v>-8.8137147809828394E-3</v>
      </c>
      <c r="O156" s="25">
        <f t="shared" ref="O156:O162" si="160">((M156-I156)/I156)</f>
        <v>4.1562759767246183E-4</v>
      </c>
      <c r="P156" s="415">
        <v>6115397165.8100004</v>
      </c>
      <c r="Q156" s="416">
        <v>120.38</v>
      </c>
      <c r="R156" s="25">
        <f>((P156-L156)/L156)</f>
        <v>-6.8845838966697616E-3</v>
      </c>
      <c r="S156" s="25">
        <f t="shared" ref="S156:S162" si="161">((Q156-M156)/M156)</f>
        <v>2.4927295388451297E-4</v>
      </c>
      <c r="T156" s="415">
        <v>9289037481.3600006</v>
      </c>
      <c r="U156" s="416">
        <v>120.43</v>
      </c>
      <c r="V156" s="25">
        <f>((T156-P156)/P156)</f>
        <v>0.5189589865549874</v>
      </c>
      <c r="W156" s="25">
        <f t="shared" ref="W156:W162" si="162">((U156-Q156)/Q156)</f>
        <v>4.1535138727372795E-4</v>
      </c>
      <c r="X156" s="415">
        <v>9020042335.6900005</v>
      </c>
      <c r="Y156" s="416">
        <v>120.53</v>
      </c>
      <c r="Z156" s="25">
        <f>((X156-T156)/T156)</f>
        <v>-2.8958344307446666E-2</v>
      </c>
      <c r="AA156" s="25">
        <f t="shared" ref="AA156:AA162" si="163">((Y156-U156)/U156)</f>
        <v>8.3035788424806365E-4</v>
      </c>
      <c r="AB156" s="415">
        <v>9027716586.2600002</v>
      </c>
      <c r="AC156" s="416">
        <v>120.68</v>
      </c>
      <c r="AD156" s="25">
        <f>((AB156-X156)/X156)</f>
        <v>8.507998393349716E-4</v>
      </c>
      <c r="AE156" s="25">
        <f t="shared" ref="AE156:AE162" si="164">((AC156-Y156)/Y156)</f>
        <v>1.2445034431262398E-3</v>
      </c>
      <c r="AF156" s="415">
        <v>8841100329.3799992</v>
      </c>
      <c r="AG156" s="416">
        <v>120.84</v>
      </c>
      <c r="AH156" s="25">
        <f>((AF156-AB156)/AB156)</f>
        <v>-2.0671479337757145E-2</v>
      </c>
      <c r="AI156" s="25">
        <f t="shared" ref="AI156:AI162" si="165">((AG156-AC156)/AC156)</f>
        <v>1.3258203513423648E-3</v>
      </c>
      <c r="AJ156" s="26">
        <f t="shared" si="129"/>
        <v>5.6028020615577524E-2</v>
      </c>
      <c r="AK156" s="26">
        <f t="shared" si="130"/>
        <v>6.8489920965190488E-4</v>
      </c>
      <c r="AL156" s="27">
        <f t="shared" si="131"/>
        <v>0.42248057753797358</v>
      </c>
      <c r="AM156" s="27">
        <f t="shared" si="132"/>
        <v>4.906444906444935E-3</v>
      </c>
      <c r="AN156" s="28">
        <f t="shared" si="133"/>
        <v>0.18732365909943408</v>
      </c>
      <c r="AO156" s="85">
        <f t="shared" si="134"/>
        <v>4.0759512890939343E-4</v>
      </c>
    </row>
    <row r="157" spans="1:41">
      <c r="A157" s="229" t="s">
        <v>204</v>
      </c>
      <c r="B157" s="415">
        <v>6899706268.2799997</v>
      </c>
      <c r="C157" s="415">
        <v>125.05</v>
      </c>
      <c r="D157" s="415">
        <v>6907060544.4099998</v>
      </c>
      <c r="E157" s="415">
        <v>125.33</v>
      </c>
      <c r="F157" s="25">
        <f>((D152-B157)/B157)</f>
        <v>-0.51522125039768985</v>
      </c>
      <c r="G157" s="25">
        <f t="shared" ref="G157:G162" si="166">((E157-C157)/C157)</f>
        <v>2.2391043582567064E-3</v>
      </c>
      <c r="H157" s="415">
        <v>6915657137.2700005</v>
      </c>
      <c r="I157" s="415">
        <v>125.61</v>
      </c>
      <c r="J157" s="25">
        <f>((H152-D157)/D157)</f>
        <v>-0.51744578108447614</v>
      </c>
      <c r="K157" s="25">
        <f t="shared" si="159"/>
        <v>2.2341019707971047E-3</v>
      </c>
      <c r="L157" s="415">
        <v>6986375155.8699999</v>
      </c>
      <c r="M157" s="415">
        <v>121.2</v>
      </c>
      <c r="N157" s="25">
        <f>((L152-H157)/H157)</f>
        <v>-0.51623103613972843</v>
      </c>
      <c r="O157" s="25">
        <f t="shared" si="160"/>
        <v>-3.5108669691903481E-2</v>
      </c>
      <c r="P157" s="415">
        <v>7048880764.04</v>
      </c>
      <c r="Q157" s="415">
        <v>121.46</v>
      </c>
      <c r="R157" s="25">
        <f>((P152-L157)/L157)</f>
        <v>-0.51236646878065362</v>
      </c>
      <c r="S157" s="25">
        <f t="shared" si="161"/>
        <v>2.1452145214520702E-3</v>
      </c>
      <c r="T157" s="415">
        <v>7020763774.9399996</v>
      </c>
      <c r="U157" s="415">
        <v>121.73</v>
      </c>
      <c r="V157" s="25">
        <f>((T152-P157)/P157)</f>
        <v>-0.50862763417849965</v>
      </c>
      <c r="W157" s="25">
        <f t="shared" si="162"/>
        <v>2.2229540589495328E-3</v>
      </c>
      <c r="X157" s="415">
        <v>7036061274.4799995</v>
      </c>
      <c r="Y157" s="415">
        <v>122.01</v>
      </c>
      <c r="Z157" s="25">
        <f>((X152-T157)/T157)</f>
        <v>-0.50795258732095383</v>
      </c>
      <c r="AA157" s="25">
        <f t="shared" si="163"/>
        <v>2.3001725129384795E-3</v>
      </c>
      <c r="AB157" s="415">
        <v>7063174979.1899996</v>
      </c>
      <c r="AC157" s="415">
        <v>122.29</v>
      </c>
      <c r="AD157" s="25">
        <f>((AB152-X157)/X157)</f>
        <v>-0.5077801185271863</v>
      </c>
      <c r="AE157" s="25">
        <f t="shared" si="164"/>
        <v>2.2948938611589307E-3</v>
      </c>
      <c r="AF157" s="415">
        <v>7077799426.8599997</v>
      </c>
      <c r="AG157" s="415">
        <v>122.57</v>
      </c>
      <c r="AH157" s="25">
        <f>((AF152-AB157)/AB157)</f>
        <v>-0.51090711179207327</v>
      </c>
      <c r="AI157" s="25">
        <f t="shared" si="165"/>
        <v>2.28963938179726E-3</v>
      </c>
      <c r="AJ157" s="26">
        <f t="shared" si="129"/>
        <v>-0.51206649852765762</v>
      </c>
      <c r="AK157" s="26">
        <f t="shared" si="130"/>
        <v>-2.4228236283191746E-3</v>
      </c>
      <c r="AL157" s="27">
        <f t="shared" si="131"/>
        <v>2.4719470946028069E-2</v>
      </c>
      <c r="AM157" s="27">
        <f t="shared" si="132"/>
        <v>-2.2021862283571413E-2</v>
      </c>
      <c r="AN157" s="28">
        <f t="shared" si="133"/>
        <v>3.8691043703797338E-3</v>
      </c>
      <c r="AO157" s="85">
        <f t="shared" si="134"/>
        <v>1.3207174147949832E-2</v>
      </c>
    </row>
    <row r="158" spans="1:41">
      <c r="A158" s="229" t="s">
        <v>178</v>
      </c>
      <c r="B158" s="415">
        <v>1830732231.5699999</v>
      </c>
      <c r="C158" s="416">
        <v>1.0895999999999999</v>
      </c>
      <c r="D158" s="415">
        <v>2142329826.21</v>
      </c>
      <c r="E158" s="416">
        <v>1.0911</v>
      </c>
      <c r="F158" s="25">
        <f>((D153-B158)/B158)</f>
        <v>-0.84313726116914123</v>
      </c>
      <c r="G158" s="25">
        <f t="shared" si="166"/>
        <v>1.376651982378907E-3</v>
      </c>
      <c r="H158" s="415">
        <v>2146724648.4000001</v>
      </c>
      <c r="I158" s="416">
        <v>1.0925</v>
      </c>
      <c r="J158" s="25">
        <f>((H153-D158)/D158)</f>
        <v>-0.86714671944631705</v>
      </c>
      <c r="K158" s="25">
        <f t="shared" si="159"/>
        <v>1.2831087892952689E-3</v>
      </c>
      <c r="L158" s="415">
        <v>2156847328.5500002</v>
      </c>
      <c r="M158" s="416">
        <v>1.0939000000000001</v>
      </c>
      <c r="N158" s="25">
        <f>((L153-H158)/H158)</f>
        <v>-0.86824583757362328</v>
      </c>
      <c r="O158" s="25">
        <f t="shared" si="160"/>
        <v>1.2814645308925107E-3</v>
      </c>
      <c r="P158" s="415">
        <v>2069038416.5799999</v>
      </c>
      <c r="Q158" s="416">
        <v>1.0952999999999999</v>
      </c>
      <c r="R158" s="25">
        <f>((P153-L158)/L158)</f>
        <v>-0.86714841130983766</v>
      </c>
      <c r="S158" s="25">
        <f t="shared" si="161"/>
        <v>1.2798244812138638E-3</v>
      </c>
      <c r="T158" s="415">
        <v>2211040674.2199998</v>
      </c>
      <c r="U158" s="416">
        <v>1.0967</v>
      </c>
      <c r="V158" s="25">
        <f>((T153-P158)/P158)</f>
        <v>-0.86259893649538344</v>
      </c>
      <c r="W158" s="25">
        <f t="shared" si="162"/>
        <v>1.2781886241213074E-3</v>
      </c>
      <c r="X158" s="415">
        <v>2211040674.2199998</v>
      </c>
      <c r="Y158" s="416">
        <v>1.0967</v>
      </c>
      <c r="Z158" s="25">
        <f>((X153-T158)/T158)</f>
        <v>-0.87011550032596752</v>
      </c>
      <c r="AA158" s="25">
        <f t="shared" si="163"/>
        <v>0</v>
      </c>
      <c r="AB158" s="415">
        <v>2197559000.52</v>
      </c>
      <c r="AC158" s="416">
        <v>1.1001000000000001</v>
      </c>
      <c r="AD158" s="25">
        <f>((AB153-X158)/X158)</f>
        <v>-0.87017762573216273</v>
      </c>
      <c r="AE158" s="25">
        <f t="shared" si="164"/>
        <v>3.1002097200693622E-3</v>
      </c>
      <c r="AF158" s="415">
        <v>2199242850.0300002</v>
      </c>
      <c r="AG158" s="416">
        <v>1.1015999999999999</v>
      </c>
      <c r="AH158" s="25">
        <f>((AF153-AB158)/AB158)</f>
        <v>-0.86823426758440536</v>
      </c>
      <c r="AI158" s="25">
        <f t="shared" si="165"/>
        <v>1.3635124079627622E-3</v>
      </c>
      <c r="AJ158" s="26">
        <f t="shared" si="129"/>
        <v>-0.86460056995460477</v>
      </c>
      <c r="AK158" s="26">
        <f t="shared" si="130"/>
        <v>1.3703700669917477E-3</v>
      </c>
      <c r="AL158" s="27">
        <f t="shared" si="131"/>
        <v>2.6565948493881129E-2</v>
      </c>
      <c r="AM158" s="27">
        <f t="shared" si="132"/>
        <v>9.6233159197140084E-3</v>
      </c>
      <c r="AN158" s="28">
        <f t="shared" si="133"/>
        <v>8.9893927647840891E-3</v>
      </c>
      <c r="AO158" s="85">
        <f t="shared" si="134"/>
        <v>8.3687859524568943E-4</v>
      </c>
    </row>
    <row r="159" spans="1:41" s="331" customFormat="1">
      <c r="A159" s="229" t="s">
        <v>191</v>
      </c>
      <c r="B159" s="415">
        <v>335485546.10000002</v>
      </c>
      <c r="C159" s="416">
        <v>100.9</v>
      </c>
      <c r="D159" s="415">
        <v>333687152.68000001</v>
      </c>
      <c r="E159" s="416">
        <v>101.54681737882456</v>
      </c>
      <c r="F159" s="25">
        <f t="shared" ref="F159:F164" si="167">((D159-B159)/B159)</f>
        <v>-5.3605690048535194E-3</v>
      </c>
      <c r="G159" s="25">
        <f t="shared" si="166"/>
        <v>6.4104794729886103E-3</v>
      </c>
      <c r="H159" s="415">
        <v>334189809.64999998</v>
      </c>
      <c r="I159" s="416">
        <v>101.71</v>
      </c>
      <c r="J159" s="25">
        <f t="shared" ref="J159:J164" si="168">((H159-D159)/D159)</f>
        <v>1.5063719593724006E-3</v>
      </c>
      <c r="K159" s="25">
        <f t="shared" si="159"/>
        <v>1.6069693308720628E-3</v>
      </c>
      <c r="L159" s="415">
        <v>336130966.94000006</v>
      </c>
      <c r="M159" s="416">
        <v>101.92270571999394</v>
      </c>
      <c r="N159" s="25">
        <f t="shared" ref="N159:N164" si="169">((L159-H159)/H159)</f>
        <v>5.8085472206141553E-3</v>
      </c>
      <c r="O159" s="25">
        <f t="shared" si="160"/>
        <v>2.0912960376949035E-3</v>
      </c>
      <c r="P159" s="415">
        <v>346326388.81</v>
      </c>
      <c r="Q159" s="416">
        <v>102.08618846379034</v>
      </c>
      <c r="R159" s="25">
        <f t="shared" ref="R159:R164" si="170">((P159-L159)/L159)</f>
        <v>3.0331694704641258E-2</v>
      </c>
      <c r="S159" s="25">
        <f t="shared" si="161"/>
        <v>1.6039874789580224E-3</v>
      </c>
      <c r="T159" s="415">
        <v>339160453.45000005</v>
      </c>
      <c r="U159" s="416">
        <v>102.19452908680779</v>
      </c>
      <c r="V159" s="25">
        <f t="shared" ref="V159:V164" si="171">((T159-P159)/P159)</f>
        <v>-2.0691277337030467E-2</v>
      </c>
      <c r="W159" s="25">
        <f t="shared" si="162"/>
        <v>1.0612662167897738E-3</v>
      </c>
      <c r="X159" s="415">
        <v>340382061.31999999</v>
      </c>
      <c r="Y159" s="416">
        <v>102.35582544802806</v>
      </c>
      <c r="Z159" s="25">
        <f t="shared" ref="Z159:Z164" si="172">((X159-T159)/T159)</f>
        <v>3.601858228379913E-3</v>
      </c>
      <c r="AA159" s="25">
        <f t="shared" si="163"/>
        <v>1.5783267721039664E-3</v>
      </c>
      <c r="AB159" s="415">
        <v>318956090.85000002</v>
      </c>
      <c r="AC159" s="416">
        <v>102.31</v>
      </c>
      <c r="AD159" s="25">
        <f t="shared" ref="AD159:AD164" si="173">((AB159-X159)/X159)</f>
        <v>-6.2946826242576234E-2</v>
      </c>
      <c r="AE159" s="25">
        <f t="shared" si="164"/>
        <v>-4.4770727828600881E-4</v>
      </c>
      <c r="AF159" s="415">
        <v>320822861.08000004</v>
      </c>
      <c r="AG159" s="416">
        <v>102.72</v>
      </c>
      <c r="AH159" s="25">
        <f t="shared" ref="AH159:AH164" si="174">((AF159-AB159)/AB159)</f>
        <v>5.852749903678533E-3</v>
      </c>
      <c r="AI159" s="25">
        <f t="shared" si="165"/>
        <v>4.0074284038705563E-3</v>
      </c>
      <c r="AJ159" s="26">
        <f t="shared" si="129"/>
        <v>-5.2371813209717453E-3</v>
      </c>
      <c r="AK159" s="26">
        <f t="shared" si="130"/>
        <v>2.2390058043739859E-3</v>
      </c>
      <c r="AL159" s="27">
        <f t="shared" si="131"/>
        <v>-3.8551953518979463E-2</v>
      </c>
      <c r="AM159" s="27">
        <f t="shared" si="132"/>
        <v>1.1553120535514536E-2</v>
      </c>
      <c r="AN159" s="28">
        <f t="shared" si="133"/>
        <v>2.7263243679458968E-2</v>
      </c>
      <c r="AO159" s="85">
        <f t="shared" si="134"/>
        <v>2.0837823480858494E-3</v>
      </c>
    </row>
    <row r="160" spans="1:41" s="347" customFormat="1">
      <c r="A160" s="229" t="s">
        <v>252</v>
      </c>
      <c r="B160" s="415">
        <v>470315252.16000003</v>
      </c>
      <c r="C160" s="415">
        <v>1015.44</v>
      </c>
      <c r="D160" s="415">
        <v>470898838.80000001</v>
      </c>
      <c r="E160" s="415">
        <v>1016.7</v>
      </c>
      <c r="F160" s="25">
        <f t="shared" si="167"/>
        <v>1.2408414086504068E-3</v>
      </c>
      <c r="G160" s="25">
        <f t="shared" si="166"/>
        <v>1.2408414086504283E-3</v>
      </c>
      <c r="H160" s="415">
        <v>470014048.69999999</v>
      </c>
      <c r="I160" s="415">
        <v>1014.31</v>
      </c>
      <c r="J160" s="25">
        <f t="shared" si="168"/>
        <v>-1.8789388019192197E-3</v>
      </c>
      <c r="K160" s="25">
        <f t="shared" si="159"/>
        <v>-2.3507425986034228E-3</v>
      </c>
      <c r="L160" s="415">
        <v>470624055.06999999</v>
      </c>
      <c r="M160" s="415">
        <v>1015.63</v>
      </c>
      <c r="N160" s="25">
        <f t="shared" si="169"/>
        <v>1.2978470998626659E-3</v>
      </c>
      <c r="O160" s="25">
        <f t="shared" si="160"/>
        <v>1.301377290966322E-3</v>
      </c>
      <c r="P160" s="415">
        <v>470916747.48000002</v>
      </c>
      <c r="Q160" s="415">
        <v>1016.26</v>
      </c>
      <c r="R160" s="25">
        <f t="shared" si="170"/>
        <v>6.2192403224372271E-4</v>
      </c>
      <c r="S160" s="25">
        <f t="shared" si="161"/>
        <v>6.2030463850023675E-4</v>
      </c>
      <c r="T160" s="415">
        <v>471779194.93000001</v>
      </c>
      <c r="U160" s="415">
        <v>1017.26</v>
      </c>
      <c r="V160" s="25">
        <f t="shared" si="171"/>
        <v>1.831422336570471E-3</v>
      </c>
      <c r="W160" s="25">
        <f t="shared" si="162"/>
        <v>9.8400015744002528E-4</v>
      </c>
      <c r="X160" s="415">
        <v>472371363.92000002</v>
      </c>
      <c r="Y160" s="415">
        <v>1018.26</v>
      </c>
      <c r="Z160" s="25">
        <f t="shared" si="172"/>
        <v>1.2551825013985033E-3</v>
      </c>
      <c r="AA160" s="25">
        <f t="shared" si="163"/>
        <v>9.8303285295794581E-4</v>
      </c>
      <c r="AB160" s="415">
        <v>475332960.52999997</v>
      </c>
      <c r="AC160" s="415">
        <v>1019.25</v>
      </c>
      <c r="AD160" s="25">
        <f t="shared" si="173"/>
        <v>6.2696362146574267E-3</v>
      </c>
      <c r="AE160" s="25">
        <f t="shared" si="164"/>
        <v>9.7224677390844098E-4</v>
      </c>
      <c r="AF160" s="415">
        <v>474407970.60000002</v>
      </c>
      <c r="AG160" s="415">
        <v>1017.22</v>
      </c>
      <c r="AH160" s="25">
        <f t="shared" si="174"/>
        <v>-1.9459831461478634E-3</v>
      </c>
      <c r="AI160" s="25">
        <f t="shared" si="165"/>
        <v>-1.9916605347068657E-3</v>
      </c>
      <c r="AJ160" s="26">
        <f t="shared" si="129"/>
        <v>1.0864914556645141E-3</v>
      </c>
      <c r="AK160" s="26">
        <f t="shared" si="130"/>
        <v>2.1992499863913886E-4</v>
      </c>
      <c r="AL160" s="27">
        <f t="shared" si="131"/>
        <v>7.4519865220784905E-3</v>
      </c>
      <c r="AM160" s="27">
        <f t="shared" si="132"/>
        <v>5.11458640700287E-4</v>
      </c>
      <c r="AN160" s="28">
        <f t="shared" si="133"/>
        <v>2.5557320759804982E-3</v>
      </c>
      <c r="AO160" s="85">
        <f t="shared" si="134"/>
        <v>1.4930165150176217E-3</v>
      </c>
    </row>
    <row r="161" spans="1:41" s="347" customFormat="1">
      <c r="A161" s="229" t="s">
        <v>255</v>
      </c>
      <c r="B161" s="415">
        <v>50860520.869999997</v>
      </c>
      <c r="C161" s="415">
        <v>101.77</v>
      </c>
      <c r="D161" s="415">
        <v>52452893.920000002</v>
      </c>
      <c r="E161" s="415">
        <v>101.78</v>
      </c>
      <c r="F161" s="25">
        <f t="shared" si="167"/>
        <v>3.1308626470226801E-2</v>
      </c>
      <c r="G161" s="25">
        <f t="shared" si="166"/>
        <v>9.826078412110756E-5</v>
      </c>
      <c r="H161" s="415">
        <v>51755874.840000004</v>
      </c>
      <c r="I161" s="415">
        <v>101.92</v>
      </c>
      <c r="J161" s="25">
        <f t="shared" si="168"/>
        <v>-1.3288477106012041E-2</v>
      </c>
      <c r="K161" s="25">
        <f t="shared" si="159"/>
        <v>1.3755158184319176E-3</v>
      </c>
      <c r="L161" s="415">
        <v>51892591.939999998</v>
      </c>
      <c r="M161" s="415">
        <v>101.98</v>
      </c>
      <c r="N161" s="25">
        <f t="shared" si="169"/>
        <v>2.6415764475558818E-3</v>
      </c>
      <c r="O161" s="25">
        <f t="shared" si="160"/>
        <v>5.8869701726846813E-4</v>
      </c>
      <c r="P161" s="415">
        <v>49890575.619999997</v>
      </c>
      <c r="Q161" s="415">
        <v>101.83</v>
      </c>
      <c r="R161" s="25">
        <f t="shared" si="170"/>
        <v>-3.8580002369409498E-2</v>
      </c>
      <c r="S161" s="25">
        <f t="shared" si="161"/>
        <v>-1.4708766424789731E-3</v>
      </c>
      <c r="T161" s="415">
        <v>49989348.740000002</v>
      </c>
      <c r="U161" s="415">
        <v>101.85</v>
      </c>
      <c r="V161" s="25">
        <f t="shared" si="171"/>
        <v>1.979795157152063E-3</v>
      </c>
      <c r="W161" s="25">
        <f t="shared" si="162"/>
        <v>1.9640577432972623E-4</v>
      </c>
      <c r="X161" s="415">
        <v>49634106.729999997</v>
      </c>
      <c r="Y161" s="415">
        <v>101.98</v>
      </c>
      <c r="Z161" s="25">
        <f t="shared" si="172"/>
        <v>-7.106354032489149E-3</v>
      </c>
      <c r="AA161" s="25">
        <f t="shared" si="163"/>
        <v>1.2763868433972477E-3</v>
      </c>
      <c r="AB161" s="415">
        <v>49511866.82</v>
      </c>
      <c r="AC161" s="415">
        <v>101.72</v>
      </c>
      <c r="AD161" s="25">
        <f t="shared" si="173"/>
        <v>-2.4628207910531775E-3</v>
      </c>
      <c r="AE161" s="25">
        <f t="shared" si="164"/>
        <v>-2.5495195136301736E-3</v>
      </c>
      <c r="AF161" s="415">
        <v>50786895.060000002</v>
      </c>
      <c r="AG161" s="415">
        <v>101.92</v>
      </c>
      <c r="AH161" s="25">
        <f t="shared" si="174"/>
        <v>2.5751972645979136E-2</v>
      </c>
      <c r="AI161" s="25">
        <f t="shared" si="165"/>
        <v>1.9661816751868153E-3</v>
      </c>
      <c r="AJ161" s="26">
        <f t="shared" si="129"/>
        <v>3.0539552743751811E-5</v>
      </c>
      <c r="AK161" s="26">
        <f t="shared" si="130"/>
        <v>1.8513146957826695E-4</v>
      </c>
      <c r="AL161" s="27">
        <f t="shared" si="131"/>
        <v>-3.1761810178499286E-2</v>
      </c>
      <c r="AM161" s="27">
        <f t="shared" si="132"/>
        <v>1.3755158184319176E-3</v>
      </c>
      <c r="AN161" s="28">
        <f t="shared" si="133"/>
        <v>2.1960517170576576E-2</v>
      </c>
      <c r="AO161" s="85">
        <f t="shared" si="134"/>
        <v>1.5199253115187215E-3</v>
      </c>
    </row>
    <row r="162" spans="1:41">
      <c r="A162" s="229" t="s">
        <v>260</v>
      </c>
      <c r="B162" s="408">
        <v>50898349.149999999</v>
      </c>
      <c r="C162" s="409">
        <v>98.8</v>
      </c>
      <c r="D162" s="408">
        <v>50887528.829999998</v>
      </c>
      <c r="E162" s="409">
        <v>98.9</v>
      </c>
      <c r="F162" s="25">
        <f t="shared" si="167"/>
        <v>-2.1258685557978059E-4</v>
      </c>
      <c r="G162" s="25">
        <f t="shared" si="166"/>
        <v>1.0121457489879406E-3</v>
      </c>
      <c r="H162" s="408">
        <v>50876693.439999998</v>
      </c>
      <c r="I162" s="409">
        <v>99</v>
      </c>
      <c r="J162" s="25">
        <f t="shared" si="168"/>
        <v>-2.1292820164638747E-4</v>
      </c>
      <c r="K162" s="25">
        <f t="shared" si="159"/>
        <v>1.0111223458037846E-3</v>
      </c>
      <c r="L162" s="408">
        <v>50865842.990000002</v>
      </c>
      <c r="M162" s="409">
        <v>99.09</v>
      </c>
      <c r="N162" s="25">
        <f t="shared" si="169"/>
        <v>-2.1326955952417984E-4</v>
      </c>
      <c r="O162" s="25">
        <f t="shared" si="160"/>
        <v>9.0909090909094357E-4</v>
      </c>
      <c r="P162" s="408">
        <v>50857717.020000003</v>
      </c>
      <c r="Q162" s="409">
        <v>99.19</v>
      </c>
      <c r="R162" s="25">
        <f t="shared" si="170"/>
        <v>-1.5975298004195738E-4</v>
      </c>
      <c r="S162" s="25">
        <f t="shared" si="161"/>
        <v>1.009183570491415E-3</v>
      </c>
      <c r="T162" s="408">
        <v>50856423.020000003</v>
      </c>
      <c r="U162" s="409">
        <v>99.31</v>
      </c>
      <c r="V162" s="25">
        <f t="shared" si="171"/>
        <v>-2.5443532974378878E-5</v>
      </c>
      <c r="W162" s="25">
        <f t="shared" si="162"/>
        <v>1.2097993749370355E-3</v>
      </c>
      <c r="X162" s="408">
        <v>50900719.969999999</v>
      </c>
      <c r="Y162" s="409">
        <v>99.52</v>
      </c>
      <c r="Z162" s="25">
        <f t="shared" si="172"/>
        <v>8.7101977232207489E-4</v>
      </c>
      <c r="AA162" s="25">
        <f t="shared" si="163"/>
        <v>2.1145906756620055E-3</v>
      </c>
      <c r="AB162" s="408">
        <v>50944985.340000004</v>
      </c>
      <c r="AC162" s="409">
        <v>99.72</v>
      </c>
      <c r="AD162" s="25">
        <f t="shared" si="173"/>
        <v>8.6964133368042746E-4</v>
      </c>
      <c r="AE162" s="25">
        <f t="shared" si="164"/>
        <v>2.0096463022508324E-3</v>
      </c>
      <c r="AF162" s="408">
        <v>50989219.140000001</v>
      </c>
      <c r="AG162" s="409">
        <v>99.92</v>
      </c>
      <c r="AH162" s="25">
        <f t="shared" si="174"/>
        <v>8.6826602667144893E-4</v>
      </c>
      <c r="AI162" s="25">
        <f t="shared" si="165"/>
        <v>2.0056157240273048E-3</v>
      </c>
      <c r="AJ162" s="26">
        <f t="shared" si="129"/>
        <v>2.2311825036340838E-4</v>
      </c>
      <c r="AK162" s="26">
        <f t="shared" si="130"/>
        <v>1.4101493314064078E-3</v>
      </c>
      <c r="AL162" s="27">
        <f t="shared" si="131"/>
        <v>1.9983346084601447E-3</v>
      </c>
      <c r="AM162" s="27">
        <f t="shared" si="132"/>
        <v>1.0313447927199151E-2</v>
      </c>
      <c r="AN162" s="28">
        <f t="shared" si="133"/>
        <v>5.3888340114076534E-4</v>
      </c>
      <c r="AO162" s="85">
        <f t="shared" si="134"/>
        <v>5.3181858160774947E-4</v>
      </c>
    </row>
    <row r="163" spans="1:41">
      <c r="A163" s="231" t="s">
        <v>47</v>
      </c>
      <c r="B163" s="82">
        <f>SUM(B152:B162)</f>
        <v>19488439479.509998</v>
      </c>
      <c r="C163" s="98"/>
      <c r="D163" s="82">
        <f>SUM(D152:D162)</f>
        <v>19804591061.689999</v>
      </c>
      <c r="E163" s="98"/>
      <c r="F163" s="25">
        <f t="shared" si="167"/>
        <v>1.6222519125371725E-2</v>
      </c>
      <c r="G163" s="25"/>
      <c r="H163" s="82">
        <f>SUM(H152:H162)</f>
        <v>19799411572.150002</v>
      </c>
      <c r="I163" s="98"/>
      <c r="J163" s="25">
        <f t="shared" si="168"/>
        <v>-2.6152973943583747E-4</v>
      </c>
      <c r="K163" s="25"/>
      <c r="L163" s="82">
        <f>SUM(L152:L162)</f>
        <v>19838947131.609997</v>
      </c>
      <c r="M163" s="98"/>
      <c r="N163" s="25">
        <f t="shared" si="169"/>
        <v>1.9968047694713452E-3</v>
      </c>
      <c r="O163" s="25"/>
      <c r="P163" s="82">
        <f>SUM(P152:P162)</f>
        <v>19844639157.199997</v>
      </c>
      <c r="Q163" s="98"/>
      <c r="R163" s="25">
        <f t="shared" si="170"/>
        <v>2.8691167692719316E-4</v>
      </c>
      <c r="S163" s="25"/>
      <c r="T163" s="82">
        <f>SUM(T152:T162)</f>
        <v>23180540646.950005</v>
      </c>
      <c r="U163" s="98"/>
      <c r="V163" s="25">
        <f t="shared" si="171"/>
        <v>0.16810088927919264</v>
      </c>
      <c r="W163" s="25"/>
      <c r="X163" s="82">
        <f>SUM(X152:X162)</f>
        <v>22922161098.549999</v>
      </c>
      <c r="Y163" s="98"/>
      <c r="Z163" s="25">
        <f t="shared" si="172"/>
        <v>-1.1146398711541779E-2</v>
      </c>
      <c r="AA163" s="25"/>
      <c r="AB163" s="82">
        <f>SUM(AB152:AB162)</f>
        <v>22933528265.999996</v>
      </c>
      <c r="AC163" s="98"/>
      <c r="AD163" s="25">
        <f t="shared" si="173"/>
        <v>4.9590295614474183E-4</v>
      </c>
      <c r="AE163" s="25"/>
      <c r="AF163" s="82">
        <f>SUM(AF152:AF162)</f>
        <v>22759261173.869999</v>
      </c>
      <c r="AG163" s="98"/>
      <c r="AH163" s="25">
        <f t="shared" si="174"/>
        <v>-7.5987911719783731E-3</v>
      </c>
      <c r="AI163" s="25"/>
      <c r="AJ163" s="26">
        <f t="shared" si="129"/>
        <v>2.1012038523018958E-2</v>
      </c>
      <c r="AK163" s="26"/>
      <c r="AL163" s="27">
        <f t="shared" si="131"/>
        <v>0.14919117001590174</v>
      </c>
      <c r="AM163" s="27"/>
      <c r="AN163" s="28">
        <f t="shared" si="133"/>
        <v>5.9970707964974786E-2</v>
      </c>
      <c r="AO163" s="85"/>
    </row>
    <row r="164" spans="1:41">
      <c r="A164" s="231" t="s">
        <v>33</v>
      </c>
      <c r="B164" s="348">
        <f>SUM(B21,B53,B87,B109,B116,B142,B148,B163)</f>
        <v>1384120833399.6692</v>
      </c>
      <c r="C164" s="98"/>
      <c r="D164" s="348">
        <f>SUM(D21,D53,D87,D109,D116,D142,D148,D163)</f>
        <v>1374458022985.5962</v>
      </c>
      <c r="E164" s="98"/>
      <c r="F164" s="25">
        <f t="shared" si="167"/>
        <v>-6.9811899228041105E-3</v>
      </c>
      <c r="G164" s="25"/>
      <c r="H164" s="348">
        <f>SUM(H21,H53,H87,H109,H116,H142,H148,H163)</f>
        <v>1366619804891.1321</v>
      </c>
      <c r="I164" s="98"/>
      <c r="J164" s="25">
        <f t="shared" si="168"/>
        <v>-5.7027700834674762E-3</v>
      </c>
      <c r="K164" s="25"/>
      <c r="L164" s="348">
        <f>SUM(L21,L53,L87,L109,L116,L142,L148,L163)</f>
        <v>1376487936718.6252</v>
      </c>
      <c r="M164" s="98"/>
      <c r="N164" s="25">
        <f t="shared" si="169"/>
        <v>7.2208318598743571E-3</v>
      </c>
      <c r="O164" s="25"/>
      <c r="P164" s="348">
        <f>SUM(P21,P53,P87,P109,P116,P142,P148,P163)</f>
        <v>1379080530789.1563</v>
      </c>
      <c r="Q164" s="98"/>
      <c r="R164" s="25">
        <f t="shared" si="170"/>
        <v>1.8834847740921183E-3</v>
      </c>
      <c r="S164" s="25"/>
      <c r="T164" s="348">
        <f>SUM(T21,T53,T87,T109,T116,T142,T148,T163)</f>
        <v>1373683133199.6379</v>
      </c>
      <c r="U164" s="98"/>
      <c r="V164" s="25">
        <f t="shared" si="171"/>
        <v>-3.9137653451098596E-3</v>
      </c>
      <c r="W164" s="25"/>
      <c r="X164" s="348">
        <f>SUM(X21,X53,X87,X109,X116,X142,X148,X163)</f>
        <v>1375005958206.6445</v>
      </c>
      <c r="Y164" s="98"/>
      <c r="Z164" s="25">
        <f t="shared" si="172"/>
        <v>9.629768139653973E-4</v>
      </c>
      <c r="AA164" s="25"/>
      <c r="AB164" s="348">
        <f>SUM(AB21,AB53,AB87,AB109,AB116,AB142,AB148,AB163)</f>
        <v>1370504867164.7903</v>
      </c>
      <c r="AC164" s="98"/>
      <c r="AD164" s="25">
        <f t="shared" si="173"/>
        <v>-3.2735065728186435E-3</v>
      </c>
      <c r="AE164" s="25"/>
      <c r="AF164" s="348">
        <f>SUM(AF21,AF53,AF87,AF109,AF116,AF142,AF148,AF163)</f>
        <v>1383214658043.2046</v>
      </c>
      <c r="AG164" s="98"/>
      <c r="AH164" s="25">
        <f t="shared" si="174"/>
        <v>9.273802073178683E-3</v>
      </c>
      <c r="AI164" s="25"/>
      <c r="AJ164" s="26">
        <f t="shared" si="129"/>
        <v>-6.6267050386191809E-5</v>
      </c>
      <c r="AK164" s="26"/>
      <c r="AL164" s="27">
        <f t="shared" si="131"/>
        <v>6.3709730753269897E-3</v>
      </c>
      <c r="AM164" s="27"/>
      <c r="AN164" s="28">
        <f t="shared" si="133"/>
        <v>5.9746551619059944E-3</v>
      </c>
      <c r="AO164" s="85"/>
    </row>
    <row r="165" spans="1:41" s="131" customFormat="1" ht="6" customHeight="1">
      <c r="A165" s="231"/>
      <c r="B165" s="98"/>
      <c r="C165" s="98"/>
      <c r="D165" s="98"/>
      <c r="E165" s="98"/>
      <c r="F165" s="25"/>
      <c r="G165" s="25"/>
      <c r="H165" s="98"/>
      <c r="I165" s="98"/>
      <c r="J165" s="25"/>
      <c r="K165" s="25"/>
      <c r="L165" s="98"/>
      <c r="M165" s="98"/>
      <c r="N165" s="25"/>
      <c r="O165" s="25"/>
      <c r="P165" s="98"/>
      <c r="Q165" s="98"/>
      <c r="R165" s="25"/>
      <c r="S165" s="25"/>
      <c r="T165" s="98"/>
      <c r="U165" s="98"/>
      <c r="V165" s="25"/>
      <c r="W165" s="25"/>
      <c r="X165" s="98"/>
      <c r="Y165" s="98"/>
      <c r="Z165" s="25"/>
      <c r="AA165" s="25"/>
      <c r="AB165" s="98"/>
      <c r="AC165" s="98"/>
      <c r="AD165" s="25"/>
      <c r="AE165" s="25"/>
      <c r="AF165" s="98"/>
      <c r="AG165" s="98"/>
      <c r="AH165" s="25"/>
      <c r="AI165" s="25"/>
      <c r="AJ165" s="26"/>
      <c r="AK165" s="26"/>
      <c r="AL165" s="27"/>
      <c r="AM165" s="27"/>
      <c r="AN165" s="28"/>
      <c r="AO165" s="85"/>
    </row>
    <row r="166" spans="1:41" s="131" customFormat="1">
      <c r="A166" s="235" t="s">
        <v>220</v>
      </c>
      <c r="B166" s="98"/>
      <c r="C166" s="98"/>
      <c r="D166" s="98"/>
      <c r="E166" s="98"/>
      <c r="F166" s="25"/>
      <c r="G166" s="25"/>
      <c r="H166" s="98"/>
      <c r="I166" s="98"/>
      <c r="J166" s="25"/>
      <c r="K166" s="25"/>
      <c r="L166" s="98"/>
      <c r="M166" s="98"/>
      <c r="N166" s="25"/>
      <c r="O166" s="25"/>
      <c r="P166" s="98"/>
      <c r="Q166" s="98"/>
      <c r="R166" s="25"/>
      <c r="S166" s="25"/>
      <c r="T166" s="98"/>
      <c r="U166" s="98"/>
      <c r="V166" s="25"/>
      <c r="W166" s="25"/>
      <c r="X166" s="98"/>
      <c r="Y166" s="98"/>
      <c r="Z166" s="25"/>
      <c r="AA166" s="25"/>
      <c r="AB166" s="98"/>
      <c r="AC166" s="98"/>
      <c r="AD166" s="25"/>
      <c r="AE166" s="25"/>
      <c r="AF166" s="98"/>
      <c r="AG166" s="98"/>
      <c r="AH166" s="25"/>
      <c r="AI166" s="25"/>
      <c r="AJ166" s="26"/>
      <c r="AK166" s="26"/>
      <c r="AL166" s="27"/>
      <c r="AM166" s="27"/>
      <c r="AN166" s="28"/>
      <c r="AO166" s="85"/>
    </row>
    <row r="167" spans="1:41" s="131" customFormat="1">
      <c r="A167" s="236" t="s">
        <v>128</v>
      </c>
      <c r="B167" s="415">
        <v>90849121065</v>
      </c>
      <c r="C167" s="416">
        <v>107.59</v>
      </c>
      <c r="D167" s="415">
        <v>90849121065</v>
      </c>
      <c r="E167" s="416">
        <v>107.59</v>
      </c>
      <c r="F167" s="25">
        <f t="shared" ref="F167:G169" si="175">((D167-B167)/B167)</f>
        <v>0</v>
      </c>
      <c r="G167" s="25">
        <f t="shared" si="175"/>
        <v>0</v>
      </c>
      <c r="H167" s="415">
        <v>90849121065</v>
      </c>
      <c r="I167" s="416">
        <v>107.59</v>
      </c>
      <c r="J167" s="25">
        <f t="shared" ref="J167:K169" si="176">((H167-D167)/D167)</f>
        <v>0</v>
      </c>
      <c r="K167" s="25">
        <f t="shared" si="176"/>
        <v>0</v>
      </c>
      <c r="L167" s="415">
        <v>90849121065</v>
      </c>
      <c r="M167" s="416">
        <v>107.59</v>
      </c>
      <c r="N167" s="25">
        <f t="shared" ref="N167:O169" si="177">((L167-H167)/H167)</f>
        <v>0</v>
      </c>
      <c r="O167" s="25">
        <f t="shared" si="177"/>
        <v>0</v>
      </c>
      <c r="P167" s="415">
        <v>90849121065</v>
      </c>
      <c r="Q167" s="416">
        <v>107.59</v>
      </c>
      <c r="R167" s="25">
        <f t="shared" ref="R167:S169" si="178">((P167-L167)/L167)</f>
        <v>0</v>
      </c>
      <c r="S167" s="25">
        <f t="shared" si="178"/>
        <v>0</v>
      </c>
      <c r="T167" s="415">
        <v>90849121065</v>
      </c>
      <c r="U167" s="416">
        <v>107.59</v>
      </c>
      <c r="V167" s="25">
        <f t="shared" ref="V167:W169" si="179">((T167-P167)/P167)</f>
        <v>0</v>
      </c>
      <c r="W167" s="25">
        <f t="shared" si="179"/>
        <v>0</v>
      </c>
      <c r="X167" s="415">
        <v>90849121065</v>
      </c>
      <c r="Y167" s="416">
        <v>107.59</v>
      </c>
      <c r="Z167" s="25">
        <f t="shared" ref="Z167:Z169" si="180">((X167-T167)/T167)</f>
        <v>0</v>
      </c>
      <c r="AA167" s="25">
        <f t="shared" ref="AA167:AA169" si="181">((Y167-U167)/U167)</f>
        <v>0</v>
      </c>
      <c r="AB167" s="415">
        <v>90849121065</v>
      </c>
      <c r="AC167" s="416">
        <v>107.59</v>
      </c>
      <c r="AD167" s="25">
        <f t="shared" ref="AD167:AD169" si="182">((AB167-X167)/X167)</f>
        <v>0</v>
      </c>
      <c r="AE167" s="25">
        <f t="shared" ref="AE167:AE169" si="183">((AC167-Y167)/Y167)</f>
        <v>0</v>
      </c>
      <c r="AF167" s="415">
        <v>90849121065</v>
      </c>
      <c r="AG167" s="416">
        <v>107.59</v>
      </c>
      <c r="AH167" s="25">
        <f t="shared" ref="AH167:AH169" si="184">((AF167-AB167)/AB167)</f>
        <v>0</v>
      </c>
      <c r="AI167" s="25">
        <f t="shared" ref="AI167:AI169" si="185">((AG167-AC167)/AC167)</f>
        <v>0</v>
      </c>
      <c r="AJ167" s="26">
        <f t="shared" si="129"/>
        <v>0</v>
      </c>
      <c r="AK167" s="26">
        <f t="shared" si="130"/>
        <v>0</v>
      </c>
      <c r="AL167" s="27">
        <f t="shared" si="131"/>
        <v>0</v>
      </c>
      <c r="AM167" s="27">
        <f t="shared" si="132"/>
        <v>0</v>
      </c>
      <c r="AN167" s="28">
        <f t="shared" si="133"/>
        <v>0</v>
      </c>
      <c r="AO167" s="85">
        <f t="shared" si="134"/>
        <v>0</v>
      </c>
    </row>
    <row r="168" spans="1:41" s="347" customFormat="1">
      <c r="A168" s="236" t="s">
        <v>221</v>
      </c>
      <c r="B168" s="415">
        <v>6896454159.6700001</v>
      </c>
      <c r="C168" s="417">
        <v>102.25</v>
      </c>
      <c r="D168" s="415">
        <v>6911862754.1999998</v>
      </c>
      <c r="E168" s="417">
        <v>102.47</v>
      </c>
      <c r="F168" s="25">
        <f t="shared" si="175"/>
        <v>2.2342778148382622E-3</v>
      </c>
      <c r="G168" s="25">
        <f t="shared" si="175"/>
        <v>2.1515892420537787E-3</v>
      </c>
      <c r="H168" s="415">
        <v>6930376936.8100004</v>
      </c>
      <c r="I168" s="417">
        <v>102.75</v>
      </c>
      <c r="J168" s="25">
        <f t="shared" si="176"/>
        <v>2.6786096987748273E-3</v>
      </c>
      <c r="K168" s="25">
        <f t="shared" si="176"/>
        <v>2.7325070752415451E-3</v>
      </c>
      <c r="L168" s="415">
        <v>7026820686.7799997</v>
      </c>
      <c r="M168" s="417">
        <v>104.18</v>
      </c>
      <c r="N168" s="25">
        <f t="shared" si="177"/>
        <v>1.3916090113042486E-2</v>
      </c>
      <c r="O168" s="25">
        <f t="shared" si="177"/>
        <v>1.3917274939172816E-2</v>
      </c>
      <c r="P168" s="415">
        <v>7044036499.2799997</v>
      </c>
      <c r="Q168" s="417">
        <v>104.43</v>
      </c>
      <c r="R168" s="25">
        <f t="shared" si="178"/>
        <v>2.4500144898231416E-3</v>
      </c>
      <c r="S168" s="25">
        <f t="shared" si="178"/>
        <v>2.3996928393165673E-3</v>
      </c>
      <c r="T168" s="415">
        <v>7061324269.3400002</v>
      </c>
      <c r="U168" s="417">
        <v>104.69</v>
      </c>
      <c r="V168" s="25">
        <f t="shared" si="179"/>
        <v>2.4542419764246644E-3</v>
      </c>
      <c r="W168" s="25">
        <f t="shared" si="179"/>
        <v>2.4897060231733304E-3</v>
      </c>
      <c r="X168" s="415">
        <v>7078529283.0600004</v>
      </c>
      <c r="Y168" s="417">
        <v>104.94</v>
      </c>
      <c r="Z168" s="25">
        <f t="shared" si="180"/>
        <v>2.4365137563082577E-3</v>
      </c>
      <c r="AA168" s="25">
        <f t="shared" si="181"/>
        <v>2.3880026745629955E-3</v>
      </c>
      <c r="AB168" s="415">
        <v>7095735367.2700005</v>
      </c>
      <c r="AC168" s="417">
        <v>105.2</v>
      </c>
      <c r="AD168" s="25">
        <f t="shared" si="182"/>
        <v>2.4307428170392427E-3</v>
      </c>
      <c r="AE168" s="25">
        <f t="shared" si="183"/>
        <v>2.4776062511912057E-3</v>
      </c>
      <c r="AF168" s="415">
        <v>7112935899.8199997</v>
      </c>
      <c r="AG168" s="417">
        <v>105.45</v>
      </c>
      <c r="AH168" s="25">
        <f t="shared" si="184"/>
        <v>2.4240662397499945E-3</v>
      </c>
      <c r="AI168" s="25">
        <f t="shared" si="185"/>
        <v>2.3764258555133079E-3</v>
      </c>
      <c r="AJ168" s="26">
        <f t="shared" si="129"/>
        <v>3.8780696132501087E-3</v>
      </c>
      <c r="AK168" s="26">
        <f t="shared" si="130"/>
        <v>3.8666006125281931E-3</v>
      </c>
      <c r="AL168" s="27">
        <f t="shared" si="131"/>
        <v>2.9091021157475618E-2</v>
      </c>
      <c r="AM168" s="27">
        <f t="shared" si="132"/>
        <v>2.9081682443642079E-2</v>
      </c>
      <c r="AN168" s="28">
        <f t="shared" si="133"/>
        <v>4.0577298657889305E-3</v>
      </c>
      <c r="AO168" s="85">
        <f t="shared" si="134"/>
        <v>4.0642574739546541E-3</v>
      </c>
    </row>
    <row r="169" spans="1:41" s="131" customFormat="1">
      <c r="A169" s="236" t="s">
        <v>274</v>
      </c>
      <c r="B169" s="415">
        <v>0</v>
      </c>
      <c r="C169" s="417">
        <v>0</v>
      </c>
      <c r="D169" s="415">
        <v>0</v>
      </c>
      <c r="E169" s="417">
        <v>0</v>
      </c>
      <c r="F169" s="25" t="e">
        <f t="shared" si="175"/>
        <v>#DIV/0!</v>
      </c>
      <c r="G169" s="25" t="e">
        <f t="shared" si="175"/>
        <v>#DIV/0!</v>
      </c>
      <c r="H169" s="415">
        <v>0</v>
      </c>
      <c r="I169" s="417">
        <v>0</v>
      </c>
      <c r="J169" s="25" t="e">
        <f t="shared" si="176"/>
        <v>#DIV/0!</v>
      </c>
      <c r="K169" s="25" t="e">
        <f t="shared" si="176"/>
        <v>#DIV/0!</v>
      </c>
      <c r="L169" s="415">
        <v>0</v>
      </c>
      <c r="M169" s="417">
        <v>0</v>
      </c>
      <c r="N169" s="25" t="e">
        <f t="shared" si="177"/>
        <v>#DIV/0!</v>
      </c>
      <c r="O169" s="25" t="e">
        <f t="shared" si="177"/>
        <v>#DIV/0!</v>
      </c>
      <c r="P169" s="415">
        <v>0</v>
      </c>
      <c r="Q169" s="417">
        <v>0</v>
      </c>
      <c r="R169" s="25" t="e">
        <f t="shared" si="178"/>
        <v>#DIV/0!</v>
      </c>
      <c r="S169" s="25" t="e">
        <f t="shared" si="178"/>
        <v>#DIV/0!</v>
      </c>
      <c r="T169" s="415">
        <v>2099675747</v>
      </c>
      <c r="U169" s="417">
        <v>1000000</v>
      </c>
      <c r="V169" s="25" t="e">
        <f t="shared" si="179"/>
        <v>#DIV/0!</v>
      </c>
      <c r="W169" s="25" t="e">
        <f t="shared" si="179"/>
        <v>#DIV/0!</v>
      </c>
      <c r="X169" s="415">
        <v>2103584422.22</v>
      </c>
      <c r="Y169" s="417">
        <v>1000000</v>
      </c>
      <c r="Z169" s="25">
        <f t="shared" si="180"/>
        <v>1.8615613508822554E-3</v>
      </c>
      <c r="AA169" s="25">
        <f t="shared" si="181"/>
        <v>0</v>
      </c>
      <c r="AB169" s="415">
        <v>2104457498.4200001</v>
      </c>
      <c r="AC169" s="417">
        <v>1000000</v>
      </c>
      <c r="AD169" s="25">
        <f t="shared" si="182"/>
        <v>4.1504214937979723E-4</v>
      </c>
      <c r="AE169" s="25">
        <f t="shared" si="183"/>
        <v>0</v>
      </c>
      <c r="AF169" s="415">
        <v>2093955874</v>
      </c>
      <c r="AG169" s="417">
        <v>1000000</v>
      </c>
      <c r="AH169" s="25">
        <f t="shared" si="184"/>
        <v>-4.9901812832449993E-3</v>
      </c>
      <c r="AI169" s="25">
        <f t="shared" si="185"/>
        <v>0</v>
      </c>
      <c r="AJ169" s="26" t="e">
        <f t="shared" si="129"/>
        <v>#DIV/0!</v>
      </c>
      <c r="AK169" s="26" t="e">
        <f t="shared" si="130"/>
        <v>#DIV/0!</v>
      </c>
      <c r="AL169" s="27" t="e">
        <f t="shared" si="131"/>
        <v>#DIV/0!</v>
      </c>
      <c r="AM169" s="27" t="e">
        <f t="shared" si="132"/>
        <v>#DIV/0!</v>
      </c>
      <c r="AN169" s="28" t="e">
        <f t="shared" si="133"/>
        <v>#DIV/0!</v>
      </c>
      <c r="AO169" s="85" t="e">
        <f t="shared" si="134"/>
        <v>#DIV/0!</v>
      </c>
    </row>
    <row r="170" spans="1:41" s="131" customFormat="1">
      <c r="A170" s="231" t="s">
        <v>47</v>
      </c>
      <c r="B170" s="83">
        <f>SUM(B167:B169)</f>
        <v>97745575224.669998</v>
      </c>
      <c r="C170" s="98"/>
      <c r="D170" s="83">
        <f>SUM(D167:D169)</f>
        <v>97760983819.199997</v>
      </c>
      <c r="E170" s="98"/>
      <c r="F170" s="25"/>
      <c r="G170" s="25"/>
      <c r="H170" s="83">
        <f>SUM(H167:H169)</f>
        <v>97779498001.809998</v>
      </c>
      <c r="I170" s="98"/>
      <c r="J170" s="25"/>
      <c r="K170" s="25"/>
      <c r="L170" s="83">
        <f>SUM(L167:L169)</f>
        <v>97875941751.779999</v>
      </c>
      <c r="M170" s="98"/>
      <c r="N170" s="25"/>
      <c r="O170" s="25"/>
      <c r="P170" s="83">
        <f>SUM(P167:P169)</f>
        <v>97893157564.279999</v>
      </c>
      <c r="Q170" s="98"/>
      <c r="R170" s="25"/>
      <c r="S170" s="25"/>
      <c r="T170" s="83">
        <f>SUM(T167:T169)</f>
        <v>100010121081.34</v>
      </c>
      <c r="U170" s="98"/>
      <c r="V170" s="25"/>
      <c r="W170" s="25"/>
      <c r="X170" s="83">
        <f>SUM(X167:X169)</f>
        <v>100031234770.28</v>
      </c>
      <c r="Y170" s="98"/>
      <c r="Z170" s="25"/>
      <c r="AA170" s="25"/>
      <c r="AB170" s="83">
        <f>SUM(AB167:AB169)</f>
        <v>100049313930.69</v>
      </c>
      <c r="AC170" s="98"/>
      <c r="AD170" s="25"/>
      <c r="AE170" s="25"/>
      <c r="AF170" s="83">
        <f>SUM(AF167:AF169)</f>
        <v>100056012838.82001</v>
      </c>
      <c r="AG170" s="98"/>
      <c r="AH170" s="25"/>
      <c r="AI170" s="25"/>
      <c r="AJ170" s="26"/>
      <c r="AK170" s="26"/>
      <c r="AL170" s="27"/>
      <c r="AM170" s="27"/>
      <c r="AN170" s="28"/>
      <c r="AO170" s="85"/>
    </row>
    <row r="171" spans="1:41" ht="6" customHeight="1">
      <c r="A171" s="230"/>
      <c r="B171" s="98"/>
      <c r="C171" s="98"/>
      <c r="D171" s="98"/>
      <c r="E171" s="98"/>
      <c r="F171" s="25"/>
      <c r="G171" s="25"/>
      <c r="H171" s="98"/>
      <c r="I171" s="98"/>
      <c r="J171" s="25"/>
      <c r="K171" s="25"/>
      <c r="L171" s="98"/>
      <c r="M171" s="98"/>
      <c r="N171" s="25"/>
      <c r="O171" s="25"/>
      <c r="P171" s="98"/>
      <c r="Q171" s="98"/>
      <c r="R171" s="25"/>
      <c r="S171" s="25"/>
      <c r="T171" s="98"/>
      <c r="U171" s="98"/>
      <c r="V171" s="25"/>
      <c r="W171" s="25"/>
      <c r="X171" s="98"/>
      <c r="Y171" s="98"/>
      <c r="Z171" s="25"/>
      <c r="AA171" s="25"/>
      <c r="AB171" s="98"/>
      <c r="AC171" s="98"/>
      <c r="AD171" s="25"/>
      <c r="AE171" s="25"/>
      <c r="AF171" s="98"/>
      <c r="AG171" s="98"/>
      <c r="AH171" s="25"/>
      <c r="AI171" s="25"/>
      <c r="AJ171" s="26"/>
      <c r="AK171" s="26"/>
      <c r="AL171" s="27"/>
      <c r="AM171" s="27"/>
      <c r="AN171" s="28"/>
      <c r="AO171" s="85"/>
    </row>
    <row r="172" spans="1:41" ht="25.5">
      <c r="A172" s="226" t="s">
        <v>51</v>
      </c>
      <c r="B172" s="88" t="s">
        <v>79</v>
      </c>
      <c r="C172" s="89" t="s">
        <v>80</v>
      </c>
      <c r="D172" s="88" t="s">
        <v>79</v>
      </c>
      <c r="E172" s="89" t="s">
        <v>80</v>
      </c>
      <c r="F172" s="430" t="s">
        <v>78</v>
      </c>
      <c r="G172" s="430" t="s">
        <v>4</v>
      </c>
      <c r="H172" s="88" t="s">
        <v>79</v>
      </c>
      <c r="I172" s="89" t="s">
        <v>80</v>
      </c>
      <c r="J172" s="431" t="s">
        <v>78</v>
      </c>
      <c r="K172" s="431" t="s">
        <v>4</v>
      </c>
      <c r="L172" s="88" t="s">
        <v>79</v>
      </c>
      <c r="M172" s="89" t="s">
        <v>80</v>
      </c>
      <c r="N172" s="432" t="s">
        <v>78</v>
      </c>
      <c r="O172" s="432" t="s">
        <v>4</v>
      </c>
      <c r="P172" s="88" t="s">
        <v>79</v>
      </c>
      <c r="Q172" s="89" t="s">
        <v>80</v>
      </c>
      <c r="R172" s="433" t="s">
        <v>78</v>
      </c>
      <c r="S172" s="433" t="s">
        <v>4</v>
      </c>
      <c r="T172" s="88" t="s">
        <v>79</v>
      </c>
      <c r="U172" s="89" t="s">
        <v>80</v>
      </c>
      <c r="V172" s="434" t="s">
        <v>78</v>
      </c>
      <c r="W172" s="434" t="s">
        <v>4</v>
      </c>
      <c r="X172" s="88" t="s">
        <v>79</v>
      </c>
      <c r="Y172" s="89" t="s">
        <v>80</v>
      </c>
      <c r="Z172" s="435" t="s">
        <v>78</v>
      </c>
      <c r="AA172" s="435" t="s">
        <v>4</v>
      </c>
      <c r="AB172" s="88" t="s">
        <v>79</v>
      </c>
      <c r="AC172" s="89" t="s">
        <v>80</v>
      </c>
      <c r="AD172" s="436" t="s">
        <v>78</v>
      </c>
      <c r="AE172" s="436" t="s">
        <v>4</v>
      </c>
      <c r="AF172" s="88" t="s">
        <v>79</v>
      </c>
      <c r="AG172" s="89" t="s">
        <v>80</v>
      </c>
      <c r="AH172" s="444" t="s">
        <v>78</v>
      </c>
      <c r="AI172" s="444" t="s">
        <v>4</v>
      </c>
      <c r="AJ172" s="352" t="s">
        <v>84</v>
      </c>
      <c r="AK172" s="352" t="s">
        <v>84</v>
      </c>
      <c r="AL172" s="352" t="s">
        <v>84</v>
      </c>
      <c r="AM172" s="352" t="s">
        <v>84</v>
      </c>
      <c r="AN172" s="17" t="s">
        <v>84</v>
      </c>
      <c r="AO172" s="18" t="s">
        <v>84</v>
      </c>
    </row>
    <row r="173" spans="1:41">
      <c r="A173" s="230" t="s">
        <v>35</v>
      </c>
      <c r="B173" s="413">
        <v>2292171000</v>
      </c>
      <c r="C173" s="417">
        <v>16.260000000000002</v>
      </c>
      <c r="D173" s="413">
        <v>2273943000</v>
      </c>
      <c r="E173" s="417">
        <v>16.440000000000001</v>
      </c>
      <c r="F173" s="25">
        <f t="shared" ref="F173:F184" si="186">((D173-B173)/B173)</f>
        <v>-7.9522862823061622E-3</v>
      </c>
      <c r="G173" s="25">
        <f t="shared" ref="G173:G184" si="187">((E173-C173)/C173)</f>
        <v>1.1070110701106993E-2</v>
      </c>
      <c r="H173" s="413">
        <v>2273943000</v>
      </c>
      <c r="I173" s="417">
        <v>16.309999999999999</v>
      </c>
      <c r="J173" s="25">
        <f t="shared" ref="J173:J184" si="188">((H173-D173)/D173)</f>
        <v>0</v>
      </c>
      <c r="K173" s="25">
        <f t="shared" ref="K173:K184" si="189">((I173-E173)/E173)</f>
        <v>-7.9075425790755809E-3</v>
      </c>
      <c r="L173" s="413">
        <v>2430400000</v>
      </c>
      <c r="M173" s="417">
        <v>16.52</v>
      </c>
      <c r="N173" s="25">
        <f t="shared" ref="N173:N184" si="190">((L173-H173)/H173)</f>
        <v>6.8804275217100863E-2</v>
      </c>
      <c r="O173" s="25">
        <f t="shared" ref="O173:O184" si="191">((M173-I173)/I173)</f>
        <v>1.2875536480686749E-2</v>
      </c>
      <c r="P173" s="413">
        <v>2567110000</v>
      </c>
      <c r="Q173" s="417">
        <v>17.579999999999998</v>
      </c>
      <c r="R173" s="25">
        <f t="shared" ref="R173:R184" si="192">((P173-L173)/L173)</f>
        <v>5.6250000000000001E-2</v>
      </c>
      <c r="S173" s="25">
        <f t="shared" ref="S173:S184" si="193">((Q173-M173)/M173)</f>
        <v>6.4164648910411543E-2</v>
      </c>
      <c r="T173" s="413">
        <v>2567110000</v>
      </c>
      <c r="U173" s="417">
        <v>17.8</v>
      </c>
      <c r="V173" s="25">
        <f t="shared" ref="V173:V184" si="194">((T173-P173)/P173)</f>
        <v>0</v>
      </c>
      <c r="W173" s="25">
        <f t="shared" ref="W173:W184" si="195">((U173-Q173)/Q173)</f>
        <v>1.2514220705347124E-2</v>
      </c>
      <c r="X173" s="413">
        <v>2657217138.5799999</v>
      </c>
      <c r="Y173" s="417">
        <v>18.13</v>
      </c>
      <c r="Z173" s="25">
        <f t="shared" ref="Z173:Z184" si="196">((X173-T173)/T173)</f>
        <v>3.5100614535411384E-2</v>
      </c>
      <c r="AA173" s="25">
        <f t="shared" ref="AA173:AA184" si="197">((Y173-U173)/U173)</f>
        <v>1.8539325842696533E-2</v>
      </c>
      <c r="AB173" s="413">
        <v>2712934000</v>
      </c>
      <c r="AC173" s="417">
        <v>18.3</v>
      </c>
      <c r="AD173" s="25">
        <f t="shared" ref="AD173:AD184" si="198">((AB173-X173)/X173)</f>
        <v>2.096812511520034E-2</v>
      </c>
      <c r="AE173" s="25">
        <f t="shared" ref="AE173:AE184" si="199">((AC173-Y173)/Y173)</f>
        <v>9.3767236624380419E-3</v>
      </c>
      <c r="AF173" s="413">
        <v>2731162000</v>
      </c>
      <c r="AG173" s="417">
        <v>18.41</v>
      </c>
      <c r="AH173" s="25">
        <f t="shared" ref="AH173:AH184" si="200">((AF173-AB173)/AB173)</f>
        <v>6.7189249720044789E-3</v>
      </c>
      <c r="AI173" s="25">
        <f t="shared" ref="AI173:AI184" si="201">((AG173-AC173)/AC173)</f>
        <v>6.0109289617486022E-3</v>
      </c>
      <c r="AJ173" s="26">
        <f t="shared" ref="AJ173" si="202">AVERAGE(F173,J173,N173,R173,V173,Z173,AD173,AH173)</f>
        <v>2.2486206694676367E-2</v>
      </c>
      <c r="AK173" s="26">
        <f t="shared" ref="AK173" si="203">AVERAGE(G173,K173,O173,S173,W173,AA173,AE173,AI173)</f>
        <v>1.5830494085669999E-2</v>
      </c>
      <c r="AL173" s="27">
        <f t="shared" ref="AL173" si="204">((AF173-D173)/D173)</f>
        <v>0.20106880427521709</v>
      </c>
      <c r="AM173" s="27">
        <f t="shared" ref="AM173" si="205">((AG173-E173)/E173)</f>
        <v>0.11982968369829676</v>
      </c>
      <c r="AN173" s="28">
        <f t="shared" ref="AN173" si="206">STDEV(F173,J173,N173,R173,V173,Z173,AD173,AH173)</f>
        <v>2.8367871861190087E-2</v>
      </c>
      <c r="AO173" s="85">
        <f t="shared" ref="AO173" si="207">STDEV(G173,K173,O173,S173,W173,AA173,AE173,AI173)</f>
        <v>2.1001661098432177E-2</v>
      </c>
    </row>
    <row r="174" spans="1:41">
      <c r="A174" s="230" t="s">
        <v>65</v>
      </c>
      <c r="B174" s="81">
        <v>305883052.87</v>
      </c>
      <c r="C174" s="417">
        <v>3.83</v>
      </c>
      <c r="D174" s="81">
        <v>298214675.5</v>
      </c>
      <c r="E174" s="417">
        <v>3.76</v>
      </c>
      <c r="F174" s="25">
        <f t="shared" si="186"/>
        <v>-2.506963788300837E-2</v>
      </c>
      <c r="G174" s="25">
        <f t="shared" si="187"/>
        <v>-1.8276762402088847E-2</v>
      </c>
      <c r="H174" s="81">
        <v>298214675.5</v>
      </c>
      <c r="I174" s="417">
        <v>3.77</v>
      </c>
      <c r="J174" s="25">
        <f t="shared" si="188"/>
        <v>0</v>
      </c>
      <c r="K174" s="25">
        <f t="shared" si="189"/>
        <v>2.6595744680851679E-3</v>
      </c>
      <c r="L174" s="81">
        <v>328036143.05000001</v>
      </c>
      <c r="M174" s="417">
        <v>3.92</v>
      </c>
      <c r="N174" s="25">
        <f t="shared" si="190"/>
        <v>0.10000000000000003</v>
      </c>
      <c r="O174" s="25">
        <f t="shared" si="191"/>
        <v>3.9787798408488041E-2</v>
      </c>
      <c r="P174" s="81">
        <v>314915600.12</v>
      </c>
      <c r="Q174" s="417">
        <v>4.04</v>
      </c>
      <c r="R174" s="25">
        <f t="shared" si="192"/>
        <v>-3.9997247888627151E-2</v>
      </c>
      <c r="S174" s="25">
        <f t="shared" si="193"/>
        <v>3.0612244897959211E-2</v>
      </c>
      <c r="T174" s="81">
        <v>339964730.06999999</v>
      </c>
      <c r="U174" s="417">
        <v>4.09</v>
      </c>
      <c r="V174" s="25">
        <f t="shared" si="194"/>
        <v>7.9542359732115223E-2</v>
      </c>
      <c r="W174" s="25">
        <f t="shared" si="195"/>
        <v>1.2376237623762332E-2</v>
      </c>
      <c r="X174" s="81">
        <v>343372897.79000002</v>
      </c>
      <c r="Y174" s="417">
        <v>4.08</v>
      </c>
      <c r="Z174" s="25">
        <f t="shared" si="196"/>
        <v>1.0025062656641688E-2</v>
      </c>
      <c r="AA174" s="25">
        <f t="shared" si="197"/>
        <v>-2.4449877750610726E-3</v>
      </c>
      <c r="AB174" s="81">
        <v>355301484.81</v>
      </c>
      <c r="AC174" s="417">
        <v>4.2</v>
      </c>
      <c r="AD174" s="25">
        <f t="shared" si="198"/>
        <v>3.4739454094292743E-2</v>
      </c>
      <c r="AE174" s="25">
        <f t="shared" si="199"/>
        <v>2.9411764705882377E-2</v>
      </c>
      <c r="AF174" s="81">
        <v>360413736.38999999</v>
      </c>
      <c r="AG174" s="417">
        <v>4.28</v>
      </c>
      <c r="AH174" s="25">
        <f t="shared" si="200"/>
        <v>1.4388489208633046E-2</v>
      </c>
      <c r="AI174" s="25">
        <f t="shared" si="201"/>
        <v>1.9047619047619063E-2</v>
      </c>
      <c r="AJ174" s="26">
        <f t="shared" ref="AJ174:AJ186" si="208">AVERAGE(F174,J174,N174,R174,V174,Z174,AD174,AH174)</f>
        <v>2.1703559990005901E-2</v>
      </c>
      <c r="AK174" s="26">
        <f t="shared" ref="AK174:AK184" si="209">AVERAGE(G174,K174,O174,S174,W174,AA174,AE174,AI174)</f>
        <v>1.4146686121830784E-2</v>
      </c>
      <c r="AL174" s="27">
        <f t="shared" ref="AL174:AL186" si="210">((AF174-D174)/D174)</f>
        <v>0.20857142857142852</v>
      </c>
      <c r="AM174" s="27">
        <f t="shared" ref="AM174:AM184" si="211">((AG174-E174)/E174)</f>
        <v>0.13829787234042568</v>
      </c>
      <c r="AN174" s="28">
        <f t="shared" ref="AN174:AN186" si="212">STDEV(F174,J174,N174,R174,V174,Z174,AD174,AH174)</f>
        <v>4.8257135102091266E-2</v>
      </c>
      <c r="AO174" s="85">
        <f t="shared" ref="AO174:AO184" si="213">STDEV(G174,K174,O174,S174,W174,AA174,AE174,AI174)</f>
        <v>1.9446905415741057E-2</v>
      </c>
    </row>
    <row r="175" spans="1:41">
      <c r="A175" s="230" t="s">
        <v>55</v>
      </c>
      <c r="B175" s="413">
        <v>146896555.52000001</v>
      </c>
      <c r="C175" s="417">
        <v>5.75</v>
      </c>
      <c r="D175" s="413">
        <v>143044373.12</v>
      </c>
      <c r="E175" s="417">
        <v>5.62</v>
      </c>
      <c r="F175" s="25">
        <f t="shared" si="186"/>
        <v>-2.6223776223776262E-2</v>
      </c>
      <c r="G175" s="25">
        <f t="shared" si="187"/>
        <v>-2.2608695652173893E-2</v>
      </c>
      <c r="H175" s="413">
        <v>140476251.52000001</v>
      </c>
      <c r="I175" s="417">
        <v>5.51</v>
      </c>
      <c r="J175" s="25">
        <f t="shared" si="188"/>
        <v>-1.7953321364452383E-2</v>
      </c>
      <c r="K175" s="25">
        <f t="shared" si="189"/>
        <v>-1.9572953736654859E-2</v>
      </c>
      <c r="L175" s="413">
        <v>138935378.56</v>
      </c>
      <c r="M175" s="417">
        <v>5.56</v>
      </c>
      <c r="N175" s="25">
        <f t="shared" si="190"/>
        <v>-1.0968921389396768E-2</v>
      </c>
      <c r="O175" s="25">
        <f t="shared" si="191"/>
        <v>9.0744101633393505E-3</v>
      </c>
      <c r="P175" s="413">
        <v>141760312.31999999</v>
      </c>
      <c r="Q175" s="417">
        <v>5.57</v>
      </c>
      <c r="R175" s="25">
        <f t="shared" si="192"/>
        <v>2.0332717190388101E-2</v>
      </c>
      <c r="S175" s="25">
        <f t="shared" si="193"/>
        <v>1.7985611510792582E-3</v>
      </c>
      <c r="T175" s="413">
        <v>141760312.31999999</v>
      </c>
      <c r="U175" s="417">
        <v>5.53</v>
      </c>
      <c r="V175" s="25">
        <f t="shared" si="194"/>
        <v>0</v>
      </c>
      <c r="W175" s="25">
        <f t="shared" si="195"/>
        <v>-7.1813285457809758E-3</v>
      </c>
      <c r="X175" s="413">
        <v>143301185.28</v>
      </c>
      <c r="Y175" s="417">
        <v>5.62</v>
      </c>
      <c r="Z175" s="25">
        <f t="shared" si="196"/>
        <v>1.0869565217391363E-2</v>
      </c>
      <c r="AA175" s="25">
        <f t="shared" si="197"/>
        <v>1.6274864376130172E-2</v>
      </c>
      <c r="AB175" s="413">
        <v>143301185.28</v>
      </c>
      <c r="AC175" s="417">
        <v>5.61</v>
      </c>
      <c r="AD175" s="25">
        <f t="shared" si="198"/>
        <v>0</v>
      </c>
      <c r="AE175" s="25">
        <f t="shared" si="199"/>
        <v>-1.7793594306049442E-3</v>
      </c>
      <c r="AF175" s="413">
        <v>144328433.91999999</v>
      </c>
      <c r="AG175" s="417">
        <v>5.67</v>
      </c>
      <c r="AH175" s="25">
        <f t="shared" si="200"/>
        <v>7.1684587813619074E-3</v>
      </c>
      <c r="AI175" s="25">
        <f t="shared" si="201"/>
        <v>1.0695187165775331E-2</v>
      </c>
      <c r="AJ175" s="26">
        <f t="shared" si="208"/>
        <v>-2.0969097235605054E-3</v>
      </c>
      <c r="AK175" s="26">
        <f t="shared" si="209"/>
        <v>-1.6624143136113204E-3</v>
      </c>
      <c r="AL175" s="27">
        <f t="shared" si="210"/>
        <v>8.9766606822260873E-3</v>
      </c>
      <c r="AM175" s="27">
        <f t="shared" si="211"/>
        <v>8.8967971530248789E-3</v>
      </c>
      <c r="AN175" s="28">
        <f t="shared" si="212"/>
        <v>1.5483183589421752E-2</v>
      </c>
      <c r="AO175" s="85">
        <f t="shared" si="213"/>
        <v>1.4100254541440406E-2</v>
      </c>
    </row>
    <row r="176" spans="1:41">
      <c r="A176" s="230" t="s">
        <v>56</v>
      </c>
      <c r="B176" s="81">
        <v>198003897.63</v>
      </c>
      <c r="C176" s="417">
        <v>18.989999999999998</v>
      </c>
      <c r="D176" s="81">
        <v>209477807.69999999</v>
      </c>
      <c r="E176" s="417">
        <v>20</v>
      </c>
      <c r="F176" s="25">
        <f t="shared" si="186"/>
        <v>5.7947900053163179E-2</v>
      </c>
      <c r="G176" s="25">
        <f t="shared" si="187"/>
        <v>5.3185887309110141E-2</v>
      </c>
      <c r="H176" s="81">
        <v>209477807.69999999</v>
      </c>
      <c r="I176" s="417">
        <v>19.940000000000001</v>
      </c>
      <c r="J176" s="25">
        <f t="shared" si="188"/>
        <v>0</v>
      </c>
      <c r="K176" s="25">
        <f t="shared" si="189"/>
        <v>-2.9999999999999359E-3</v>
      </c>
      <c r="L176" s="81">
        <v>209477807.69999999</v>
      </c>
      <c r="M176" s="417">
        <v>19.86</v>
      </c>
      <c r="N176" s="25">
        <f t="shared" si="190"/>
        <v>0</v>
      </c>
      <c r="O176" s="25">
        <f t="shared" si="191"/>
        <v>-4.0120361083250677E-3</v>
      </c>
      <c r="P176" s="81">
        <v>227688692.49000001</v>
      </c>
      <c r="Q176" s="417">
        <v>21.73</v>
      </c>
      <c r="R176" s="25">
        <f t="shared" si="192"/>
        <v>8.6934673366834275E-2</v>
      </c>
      <c r="S176" s="25">
        <f t="shared" si="193"/>
        <v>9.4159113796576085E-2</v>
      </c>
      <c r="T176" s="81">
        <v>227688692.49000001</v>
      </c>
      <c r="U176" s="417">
        <v>21.47</v>
      </c>
      <c r="V176" s="25">
        <f t="shared" si="194"/>
        <v>0</v>
      </c>
      <c r="W176" s="25">
        <f t="shared" si="195"/>
        <v>-1.1965025310630536E-2</v>
      </c>
      <c r="X176" s="81">
        <v>244215333.59999999</v>
      </c>
      <c r="Y176" s="417">
        <v>23.29</v>
      </c>
      <c r="Z176" s="25">
        <f t="shared" si="196"/>
        <v>7.2584373555247272E-2</v>
      </c>
      <c r="AA176" s="25">
        <f t="shared" si="197"/>
        <v>8.4769445738239427E-2</v>
      </c>
      <c r="AB176" s="81">
        <v>252531286.77000001</v>
      </c>
      <c r="AC176" s="417">
        <v>24.09</v>
      </c>
      <c r="AD176" s="25">
        <f t="shared" si="198"/>
        <v>3.4051724137931103E-2</v>
      </c>
      <c r="AE176" s="25">
        <f t="shared" si="199"/>
        <v>3.4349506225848037E-2</v>
      </c>
      <c r="AF176" s="81">
        <v>252531286.77000001</v>
      </c>
      <c r="AG176" s="417">
        <v>24.1</v>
      </c>
      <c r="AH176" s="25">
        <f t="shared" si="200"/>
        <v>0</v>
      </c>
      <c r="AI176" s="25">
        <f t="shared" si="201"/>
        <v>4.1511000415116493E-4</v>
      </c>
      <c r="AJ176" s="26">
        <f t="shared" si="208"/>
        <v>3.1439833889146979E-2</v>
      </c>
      <c r="AK176" s="26">
        <f t="shared" si="209"/>
        <v>3.0987750206871167E-2</v>
      </c>
      <c r="AL176" s="27">
        <f t="shared" si="210"/>
        <v>0.2055276381909549</v>
      </c>
      <c r="AM176" s="27">
        <f t="shared" si="211"/>
        <v>0.20500000000000007</v>
      </c>
      <c r="AN176" s="28">
        <f t="shared" si="212"/>
        <v>3.6714929846289573E-2</v>
      </c>
      <c r="AO176" s="85">
        <f t="shared" si="213"/>
        <v>4.2336964777853314E-2</v>
      </c>
    </row>
    <row r="177" spans="1:41">
      <c r="A177" s="230" t="s">
        <v>99</v>
      </c>
      <c r="B177" s="413">
        <v>594694245.87</v>
      </c>
      <c r="C177" s="417">
        <v>135.86000000000001</v>
      </c>
      <c r="D177" s="413">
        <v>594694245.87</v>
      </c>
      <c r="E177" s="417">
        <v>135.80000000000001</v>
      </c>
      <c r="F177" s="25">
        <f t="shared" si="186"/>
        <v>0</v>
      </c>
      <c r="G177" s="25">
        <f t="shared" si="187"/>
        <v>-4.4163109082881105E-4</v>
      </c>
      <c r="H177" s="413">
        <v>594694245.87</v>
      </c>
      <c r="I177" s="417">
        <v>135.81</v>
      </c>
      <c r="J177" s="25">
        <f t="shared" si="188"/>
        <v>0</v>
      </c>
      <c r="K177" s="25">
        <f t="shared" si="189"/>
        <v>7.3637702503614904E-5</v>
      </c>
      <c r="L177" s="413">
        <v>584133168.87</v>
      </c>
      <c r="M177" s="417">
        <v>136.56</v>
      </c>
      <c r="N177" s="25">
        <f t="shared" si="190"/>
        <v>-1.7758835020422661E-2</v>
      </c>
      <c r="O177" s="25">
        <f t="shared" si="191"/>
        <v>5.5224210293792798E-3</v>
      </c>
      <c r="P177" s="413">
        <v>584133168.87</v>
      </c>
      <c r="Q177" s="417">
        <v>136.91</v>
      </c>
      <c r="R177" s="25">
        <f t="shared" si="192"/>
        <v>0</v>
      </c>
      <c r="S177" s="25">
        <f t="shared" si="193"/>
        <v>2.5629759812536199E-3</v>
      </c>
      <c r="T177" s="413">
        <v>584133168.87</v>
      </c>
      <c r="U177" s="417">
        <v>137.72</v>
      </c>
      <c r="V177" s="25">
        <f t="shared" si="194"/>
        <v>0</v>
      </c>
      <c r="W177" s="25">
        <f t="shared" si="195"/>
        <v>5.9162953765247413E-3</v>
      </c>
      <c r="X177" s="413">
        <v>584133168.87</v>
      </c>
      <c r="Y177" s="417">
        <v>138.27000000000001</v>
      </c>
      <c r="Z177" s="25">
        <f t="shared" si="196"/>
        <v>0</v>
      </c>
      <c r="AA177" s="25">
        <f t="shared" si="197"/>
        <v>3.9936102236422548E-3</v>
      </c>
      <c r="AB177" s="413">
        <v>584133168.87</v>
      </c>
      <c r="AC177" s="417">
        <v>143.34</v>
      </c>
      <c r="AD177" s="25">
        <f t="shared" si="198"/>
        <v>0</v>
      </c>
      <c r="AE177" s="25">
        <f t="shared" si="199"/>
        <v>3.6667389889346876E-2</v>
      </c>
      <c r="AF177" s="413">
        <v>584133168.87</v>
      </c>
      <c r="AG177" s="417">
        <v>145.02000000000001</v>
      </c>
      <c r="AH177" s="25">
        <f t="shared" si="200"/>
        <v>0</v>
      </c>
      <c r="AI177" s="25">
        <f t="shared" si="201"/>
        <v>1.1720385098367566E-2</v>
      </c>
      <c r="AJ177" s="26">
        <f t="shared" si="208"/>
        <v>-2.2198543775528326E-3</v>
      </c>
      <c r="AK177" s="26">
        <f t="shared" si="209"/>
        <v>8.2518855262736432E-3</v>
      </c>
      <c r="AL177" s="27">
        <f t="shared" si="210"/>
        <v>-1.7758835020422661E-2</v>
      </c>
      <c r="AM177" s="27">
        <f t="shared" si="211"/>
        <v>6.7893961708394679E-2</v>
      </c>
      <c r="AN177" s="28">
        <f t="shared" si="212"/>
        <v>6.2786963344570014E-3</v>
      </c>
      <c r="AO177" s="85">
        <f t="shared" si="213"/>
        <v>1.2102738204225383E-2</v>
      </c>
    </row>
    <row r="178" spans="1:41">
      <c r="A178" s="230" t="s">
        <v>37</v>
      </c>
      <c r="B178" s="413">
        <v>533980000</v>
      </c>
      <c r="C178" s="417">
        <v>10000</v>
      </c>
      <c r="D178" s="413">
        <v>533980000</v>
      </c>
      <c r="E178" s="417">
        <v>10000</v>
      </c>
      <c r="F178" s="25">
        <f t="shared" si="186"/>
        <v>0</v>
      </c>
      <c r="G178" s="25">
        <f t="shared" si="187"/>
        <v>0</v>
      </c>
      <c r="H178" s="413">
        <v>640770660.20000005</v>
      </c>
      <c r="I178" s="417">
        <v>11999.9</v>
      </c>
      <c r="J178" s="25">
        <f t="shared" si="188"/>
        <v>0.19999000000000008</v>
      </c>
      <c r="K178" s="25">
        <f t="shared" si="189"/>
        <v>0.19998999999999997</v>
      </c>
      <c r="L178" s="413">
        <v>640722602</v>
      </c>
      <c r="M178" s="417">
        <v>11999</v>
      </c>
      <c r="N178" s="25">
        <f t="shared" si="190"/>
        <v>-7.5000625005282792E-5</v>
      </c>
      <c r="O178" s="25">
        <f t="shared" si="191"/>
        <v>-7.5000625005178058E-5</v>
      </c>
      <c r="P178" s="413">
        <v>659459960.20000005</v>
      </c>
      <c r="Q178" s="417">
        <v>12349.9</v>
      </c>
      <c r="R178" s="25">
        <f t="shared" si="192"/>
        <v>2.9244103675306349E-2</v>
      </c>
      <c r="S178" s="25">
        <f t="shared" si="193"/>
        <v>2.9244103675306245E-2</v>
      </c>
      <c r="T178" s="413">
        <v>539319800</v>
      </c>
      <c r="U178" s="417">
        <v>10100</v>
      </c>
      <c r="V178" s="25">
        <f t="shared" si="194"/>
        <v>-0.18217961279038702</v>
      </c>
      <c r="W178" s="25">
        <f t="shared" si="195"/>
        <v>-0.18217961279038694</v>
      </c>
      <c r="X178" s="413">
        <v>624752862.13999999</v>
      </c>
      <c r="Y178" s="417">
        <v>11699.93</v>
      </c>
      <c r="Z178" s="25">
        <f t="shared" si="196"/>
        <v>0.15840891089108908</v>
      </c>
      <c r="AA178" s="25">
        <f t="shared" si="197"/>
        <v>0.15840891089108913</v>
      </c>
      <c r="AB178" s="413">
        <v>611407100</v>
      </c>
      <c r="AC178" s="417">
        <v>11450</v>
      </c>
      <c r="AD178" s="25">
        <f t="shared" si="198"/>
        <v>-2.1361666266379351E-2</v>
      </c>
      <c r="AE178" s="25">
        <f t="shared" si="199"/>
        <v>-2.1361666266379396E-2</v>
      </c>
      <c r="AF178" s="413">
        <v>539330479.60000002</v>
      </c>
      <c r="AG178" s="417">
        <v>10100.200000000001</v>
      </c>
      <c r="AH178" s="25">
        <f t="shared" si="200"/>
        <v>-0.11788646288209603</v>
      </c>
      <c r="AI178" s="25">
        <f t="shared" si="201"/>
        <v>-0.117886462882096</v>
      </c>
      <c r="AJ178" s="26">
        <f t="shared" si="208"/>
        <v>8.2675340003159764E-3</v>
      </c>
      <c r="AK178" s="26">
        <f t="shared" si="209"/>
        <v>8.2675340003159799E-3</v>
      </c>
      <c r="AL178" s="27">
        <f t="shared" si="210"/>
        <v>1.0020000000000044E-2</v>
      </c>
      <c r="AM178" s="27">
        <f t="shared" si="211"/>
        <v>1.0020000000000072E-2</v>
      </c>
      <c r="AN178" s="28">
        <f t="shared" si="212"/>
        <v>0.12702122413202063</v>
      </c>
      <c r="AO178" s="85">
        <f t="shared" si="213"/>
        <v>0.1270212241320206</v>
      </c>
    </row>
    <row r="179" spans="1:41">
      <c r="A179" s="230" t="s">
        <v>52</v>
      </c>
      <c r="B179" s="413">
        <v>470770850.38</v>
      </c>
      <c r="C179" s="417">
        <v>14.09</v>
      </c>
      <c r="D179" s="413">
        <v>481194745.72000003</v>
      </c>
      <c r="E179" s="417">
        <v>14.41</v>
      </c>
      <c r="F179" s="25">
        <f t="shared" si="186"/>
        <v>2.2142185166277827E-2</v>
      </c>
      <c r="G179" s="25">
        <f t="shared" si="187"/>
        <v>2.2711142654364819E-2</v>
      </c>
      <c r="H179" s="413">
        <v>478037269.06</v>
      </c>
      <c r="I179" s="417">
        <v>14.31</v>
      </c>
      <c r="J179" s="25">
        <f t="shared" si="188"/>
        <v>-6.5617438429747821E-3</v>
      </c>
      <c r="K179" s="25">
        <f t="shared" si="189"/>
        <v>-6.9396252602359227E-3</v>
      </c>
      <c r="L179" s="413">
        <v>479628596.87</v>
      </c>
      <c r="M179" s="417">
        <v>14.36</v>
      </c>
      <c r="N179" s="25">
        <f t="shared" si="190"/>
        <v>3.3288781293750336E-3</v>
      </c>
      <c r="O179" s="25">
        <f t="shared" si="191"/>
        <v>3.4940600978336082E-3</v>
      </c>
      <c r="P179" s="413">
        <v>482976600.81</v>
      </c>
      <c r="Q179" s="417">
        <v>14.46</v>
      </c>
      <c r="R179" s="25">
        <f t="shared" si="192"/>
        <v>6.980409345582559E-3</v>
      </c>
      <c r="S179" s="25">
        <f t="shared" si="193"/>
        <v>6.9637883008357541E-3</v>
      </c>
      <c r="T179" s="413">
        <v>493650370.24000001</v>
      </c>
      <c r="U179" s="417">
        <v>14.78</v>
      </c>
      <c r="V179" s="25">
        <f t="shared" si="194"/>
        <v>2.2099972156205974E-2</v>
      </c>
      <c r="W179" s="25">
        <f t="shared" si="195"/>
        <v>2.2130013831258542E-2</v>
      </c>
      <c r="X179" s="413">
        <v>505948331.72000003</v>
      </c>
      <c r="Y179" s="417">
        <v>15.15</v>
      </c>
      <c r="Z179" s="25">
        <f t="shared" si="196"/>
        <v>2.4912290603612976E-2</v>
      </c>
      <c r="AA179" s="25">
        <f t="shared" si="197"/>
        <v>2.5033829499323479E-2</v>
      </c>
      <c r="AB179" s="413">
        <v>511286749.37</v>
      </c>
      <c r="AC179" s="417">
        <v>15.31</v>
      </c>
      <c r="AD179" s="25">
        <f t="shared" si="198"/>
        <v>1.055130991706549E-2</v>
      </c>
      <c r="AE179" s="25">
        <f t="shared" si="199"/>
        <v>1.056105610561057E-2</v>
      </c>
      <c r="AF179" s="413">
        <v>505948331.72000003</v>
      </c>
      <c r="AG179" s="417">
        <v>15.15</v>
      </c>
      <c r="AH179" s="25">
        <f t="shared" si="200"/>
        <v>-1.0441142189931375E-2</v>
      </c>
      <c r="AI179" s="25">
        <f t="shared" si="201"/>
        <v>-1.0450685826257357E-2</v>
      </c>
      <c r="AJ179" s="26">
        <f t="shared" si="208"/>
        <v>9.1265199106517116E-3</v>
      </c>
      <c r="AK179" s="26">
        <f t="shared" si="209"/>
        <v>9.1879474253416873E-3</v>
      </c>
      <c r="AL179" s="27">
        <f t="shared" si="210"/>
        <v>5.1441929115335225E-2</v>
      </c>
      <c r="AM179" s="27">
        <f t="shared" si="211"/>
        <v>5.1353226925746023E-2</v>
      </c>
      <c r="AN179" s="28">
        <f t="shared" si="212"/>
        <v>1.3396012459015953E-2</v>
      </c>
      <c r="AO179" s="85">
        <f t="shared" si="213"/>
        <v>1.3556722379040716E-2</v>
      </c>
    </row>
    <row r="180" spans="1:41">
      <c r="A180" s="230" t="s">
        <v>45</v>
      </c>
      <c r="B180" s="413">
        <v>392584595.77999997</v>
      </c>
      <c r="C180" s="417">
        <v>100</v>
      </c>
      <c r="D180" s="413">
        <v>396967533.72000003</v>
      </c>
      <c r="E180" s="417">
        <v>100</v>
      </c>
      <c r="F180" s="25">
        <f t="shared" si="186"/>
        <v>1.1164314614260124E-2</v>
      </c>
      <c r="G180" s="25">
        <f t="shared" si="187"/>
        <v>0</v>
      </c>
      <c r="H180" s="413">
        <v>393438414.56999999</v>
      </c>
      <c r="I180" s="417">
        <v>110</v>
      </c>
      <c r="J180" s="25">
        <f t="shared" si="188"/>
        <v>-8.8901959234008558E-3</v>
      </c>
      <c r="K180" s="25">
        <f t="shared" si="189"/>
        <v>0.1</v>
      </c>
      <c r="L180" s="413">
        <v>396162259.86000001</v>
      </c>
      <c r="M180" s="417">
        <v>145</v>
      </c>
      <c r="N180" s="25">
        <f t="shared" si="190"/>
        <v>6.9231808311778333E-3</v>
      </c>
      <c r="O180" s="25">
        <f t="shared" si="191"/>
        <v>0.31818181818181818</v>
      </c>
      <c r="P180" s="413">
        <v>420775212.83999997</v>
      </c>
      <c r="Q180" s="417">
        <v>170</v>
      </c>
      <c r="R180" s="25">
        <f t="shared" si="192"/>
        <v>6.2128464707107499E-2</v>
      </c>
      <c r="S180" s="25">
        <f t="shared" si="193"/>
        <v>0.17241379310344829</v>
      </c>
      <c r="T180" s="413">
        <v>425925709.5</v>
      </c>
      <c r="U180" s="417">
        <v>250</v>
      </c>
      <c r="V180" s="25">
        <f t="shared" si="194"/>
        <v>1.2240494456023258E-2</v>
      </c>
      <c r="W180" s="25">
        <f t="shared" si="195"/>
        <v>0.47058823529411764</v>
      </c>
      <c r="X180" s="413">
        <v>433160662.58999997</v>
      </c>
      <c r="Y180" s="417">
        <v>101.53</v>
      </c>
      <c r="Z180" s="25">
        <f t="shared" si="196"/>
        <v>1.6986420233925732E-2</v>
      </c>
      <c r="AA180" s="25">
        <f t="shared" si="197"/>
        <v>-0.59387999999999996</v>
      </c>
      <c r="AB180" s="413">
        <v>434714270.49000001</v>
      </c>
      <c r="AC180" s="417">
        <v>101.89</v>
      </c>
      <c r="AD180" s="25">
        <f t="shared" si="198"/>
        <v>3.586678187050826E-3</v>
      </c>
      <c r="AE180" s="25">
        <f t="shared" si="199"/>
        <v>3.5457500246232586E-3</v>
      </c>
      <c r="AF180" s="413">
        <v>437443348.13</v>
      </c>
      <c r="AG180" s="417">
        <v>102.53</v>
      </c>
      <c r="AH180" s="25">
        <f t="shared" si="200"/>
        <v>6.2778653135169256E-3</v>
      </c>
      <c r="AI180" s="25">
        <f t="shared" si="201"/>
        <v>6.2812837373638292E-3</v>
      </c>
      <c r="AJ180" s="26">
        <f t="shared" si="208"/>
        <v>1.380215280245767E-2</v>
      </c>
      <c r="AK180" s="26">
        <f t="shared" si="209"/>
        <v>5.9641360042671406E-2</v>
      </c>
      <c r="AL180" s="27">
        <f t="shared" si="210"/>
        <v>0.10196253086669166</v>
      </c>
      <c r="AM180" s="27">
        <f t="shared" si="211"/>
        <v>2.530000000000001E-2</v>
      </c>
      <c r="AN180" s="28">
        <f t="shared" si="212"/>
        <v>2.0970055924683879E-2</v>
      </c>
      <c r="AO180" s="85">
        <f t="shared" si="213"/>
        <v>0.31321106970898988</v>
      </c>
    </row>
    <row r="181" spans="1:41">
      <c r="A181" s="230" t="s">
        <v>101</v>
      </c>
      <c r="B181" s="413">
        <v>561429597.00999999</v>
      </c>
      <c r="C181" s="417">
        <v>60</v>
      </c>
      <c r="D181" s="413">
        <v>558635479.25</v>
      </c>
      <c r="E181" s="417">
        <v>64.8</v>
      </c>
      <c r="F181" s="25">
        <f t="shared" si="186"/>
        <v>-4.9767909901447943E-3</v>
      </c>
      <c r="G181" s="25">
        <f t="shared" si="187"/>
        <v>7.9999999999999946E-2</v>
      </c>
      <c r="H181" s="413">
        <v>555435632.96000004</v>
      </c>
      <c r="I181" s="417">
        <v>71.25</v>
      </c>
      <c r="J181" s="25">
        <f t="shared" si="188"/>
        <v>-5.7279682527431632E-3</v>
      </c>
      <c r="K181" s="25">
        <f t="shared" si="189"/>
        <v>9.953703703703709E-2</v>
      </c>
      <c r="L181" s="413">
        <v>571117748.25</v>
      </c>
      <c r="M181" s="417">
        <v>78.349999999999994</v>
      </c>
      <c r="N181" s="25">
        <f t="shared" si="190"/>
        <v>2.8233902111082811E-2</v>
      </c>
      <c r="O181" s="25">
        <f t="shared" si="191"/>
        <v>9.964912280701746E-2</v>
      </c>
      <c r="P181" s="413">
        <v>585649671.78999996</v>
      </c>
      <c r="Q181" s="417">
        <v>70.52</v>
      </c>
      <c r="R181" s="25">
        <f t="shared" si="192"/>
        <v>2.544470660302223E-2</v>
      </c>
      <c r="S181" s="25">
        <f t="shared" si="193"/>
        <v>-9.9936183790682823E-2</v>
      </c>
      <c r="T181" s="413">
        <v>596361457.29999995</v>
      </c>
      <c r="U181" s="417">
        <v>70.52</v>
      </c>
      <c r="V181" s="25">
        <f t="shared" si="194"/>
        <v>1.829043202100689E-2</v>
      </c>
      <c r="W181" s="25">
        <f t="shared" si="195"/>
        <v>0</v>
      </c>
      <c r="X181" s="413">
        <v>592753865.23000002</v>
      </c>
      <c r="Y181" s="417">
        <v>129.62</v>
      </c>
      <c r="Z181" s="25">
        <f t="shared" si="196"/>
        <v>-6.0493380748198357E-3</v>
      </c>
      <c r="AA181" s="25">
        <f t="shared" si="197"/>
        <v>0.83806012478729452</v>
      </c>
      <c r="AB181" s="413">
        <v>594912643.71000004</v>
      </c>
      <c r="AC181" s="417">
        <v>130.09</v>
      </c>
      <c r="AD181" s="25">
        <f t="shared" si="198"/>
        <v>3.6419475378070645E-3</v>
      </c>
      <c r="AE181" s="25">
        <f t="shared" si="199"/>
        <v>3.625983644499297E-3</v>
      </c>
      <c r="AF181" s="413">
        <v>611428907.62</v>
      </c>
      <c r="AG181" s="417">
        <v>133.71</v>
      </c>
      <c r="AH181" s="25">
        <f t="shared" si="200"/>
        <v>2.7762502755028166E-2</v>
      </c>
      <c r="AI181" s="25">
        <f t="shared" si="201"/>
        <v>2.7826889076793024E-2</v>
      </c>
      <c r="AJ181" s="26">
        <f t="shared" si="208"/>
        <v>1.0827424213779921E-2</v>
      </c>
      <c r="AK181" s="26">
        <f t="shared" si="209"/>
        <v>0.13109537169524482</v>
      </c>
      <c r="AL181" s="27">
        <f t="shared" si="210"/>
        <v>9.4504252470462846E-2</v>
      </c>
      <c r="AM181" s="27">
        <f t="shared" si="211"/>
        <v>1.0634259259259262</v>
      </c>
      <c r="AN181" s="28">
        <f t="shared" si="212"/>
        <v>1.5672789004716567E-2</v>
      </c>
      <c r="AO181" s="85">
        <f t="shared" si="213"/>
        <v>0.29322567970792651</v>
      </c>
    </row>
    <row r="182" spans="1:41">
      <c r="A182" s="230" t="s">
        <v>153</v>
      </c>
      <c r="B182" s="413">
        <v>459859551.38165236</v>
      </c>
      <c r="C182" s="417">
        <v>108.34721392425462</v>
      </c>
      <c r="D182" s="413">
        <v>465441323.94759482</v>
      </c>
      <c r="E182" s="417">
        <v>109.68</v>
      </c>
      <c r="F182" s="25">
        <f t="shared" si="186"/>
        <v>1.2137994196645428E-2</v>
      </c>
      <c r="G182" s="25">
        <f t="shared" si="187"/>
        <v>1.2301064581846452E-2</v>
      </c>
      <c r="H182" s="413">
        <v>461182296.47000003</v>
      </c>
      <c r="I182" s="417">
        <v>108.76</v>
      </c>
      <c r="J182" s="25">
        <f t="shared" si="188"/>
        <v>-9.150514272072514E-3</v>
      </c>
      <c r="K182" s="25">
        <f t="shared" si="189"/>
        <v>-8.388037928519344E-3</v>
      </c>
      <c r="L182" s="413">
        <v>467342325.49000001</v>
      </c>
      <c r="M182" s="417">
        <v>110.23</v>
      </c>
      <c r="N182" s="25">
        <f t="shared" si="190"/>
        <v>1.3357037048365302E-2</v>
      </c>
      <c r="O182" s="25">
        <f t="shared" si="191"/>
        <v>1.3515998528870898E-2</v>
      </c>
      <c r="P182" s="413">
        <v>498052201.73000002</v>
      </c>
      <c r="Q182" s="417">
        <v>117.35</v>
      </c>
      <c r="R182" s="25">
        <f t="shared" si="192"/>
        <v>6.571173755298379E-2</v>
      </c>
      <c r="S182" s="25">
        <f t="shared" si="193"/>
        <v>6.4592216275061148E-2</v>
      </c>
      <c r="T182" s="413">
        <v>503946313.0154174</v>
      </c>
      <c r="U182" s="417">
        <v>118.76</v>
      </c>
      <c r="V182" s="25">
        <f t="shared" si="194"/>
        <v>1.1834324323723491E-2</v>
      </c>
      <c r="W182" s="25">
        <f t="shared" si="195"/>
        <v>1.2015338730294084E-2</v>
      </c>
      <c r="X182" s="413">
        <v>511856842.75</v>
      </c>
      <c r="Y182" s="417">
        <v>120.64</v>
      </c>
      <c r="Z182" s="25">
        <f t="shared" si="196"/>
        <v>1.5697167595589877E-2</v>
      </c>
      <c r="AA182" s="25">
        <f t="shared" si="197"/>
        <v>1.5830245874031621E-2</v>
      </c>
      <c r="AB182" s="413">
        <v>516852013.23148328</v>
      </c>
      <c r="AC182" s="417">
        <v>121.84337630252101</v>
      </c>
      <c r="AD182" s="25">
        <f t="shared" si="198"/>
        <v>9.7589209800268521E-3</v>
      </c>
      <c r="AE182" s="25">
        <f t="shared" si="199"/>
        <v>9.9749361946370012E-3</v>
      </c>
      <c r="AF182" s="413">
        <v>519860990.44</v>
      </c>
      <c r="AG182" s="417">
        <v>122.59</v>
      </c>
      <c r="AH182" s="25">
        <f t="shared" si="200"/>
        <v>5.821738392202183E-3</v>
      </c>
      <c r="AI182" s="25">
        <f t="shared" si="201"/>
        <v>6.1277331615074999E-3</v>
      </c>
      <c r="AJ182" s="26">
        <f t="shared" si="208"/>
        <v>1.5646050727183052E-2</v>
      </c>
      <c r="AK182" s="26">
        <f t="shared" si="209"/>
        <v>1.5746186927216171E-2</v>
      </c>
      <c r="AL182" s="27">
        <f t="shared" si="210"/>
        <v>0.11692057342663545</v>
      </c>
      <c r="AM182" s="27">
        <f t="shared" si="211"/>
        <v>0.11770605397520055</v>
      </c>
      <c r="AN182" s="28">
        <f t="shared" si="212"/>
        <v>2.1662000824250814E-2</v>
      </c>
      <c r="AO182" s="85">
        <f t="shared" si="213"/>
        <v>2.1128809995362128E-2</v>
      </c>
    </row>
    <row r="183" spans="1:41">
      <c r="A183" s="230" t="s">
        <v>201</v>
      </c>
      <c r="B183" s="413">
        <v>212400455.81999999</v>
      </c>
      <c r="C183" s="417">
        <v>16.5</v>
      </c>
      <c r="D183" s="413">
        <v>197920959.00999999</v>
      </c>
      <c r="E183" s="417">
        <v>16.5</v>
      </c>
      <c r="F183" s="25">
        <f t="shared" si="186"/>
        <v>-6.8170742638475015E-2</v>
      </c>
      <c r="G183" s="25">
        <f t="shared" si="187"/>
        <v>0</v>
      </c>
      <c r="H183" s="413">
        <v>200045662.64999998</v>
      </c>
      <c r="I183" s="417">
        <v>16.5</v>
      </c>
      <c r="J183" s="25">
        <f t="shared" si="188"/>
        <v>1.0735111888239359E-2</v>
      </c>
      <c r="K183" s="25">
        <f t="shared" si="189"/>
        <v>0</v>
      </c>
      <c r="L183" s="413">
        <v>213411308.77999997</v>
      </c>
      <c r="M183" s="417">
        <v>16.5</v>
      </c>
      <c r="N183" s="25">
        <f t="shared" si="190"/>
        <v>6.6812976362224552E-2</v>
      </c>
      <c r="O183" s="25">
        <f t="shared" si="191"/>
        <v>0</v>
      </c>
      <c r="P183" s="413">
        <v>217479087.34999999</v>
      </c>
      <c r="Q183" s="417">
        <v>16.5</v>
      </c>
      <c r="R183" s="25">
        <f t="shared" si="192"/>
        <v>1.9060745155700193E-2</v>
      </c>
      <c r="S183" s="25">
        <f t="shared" si="193"/>
        <v>0</v>
      </c>
      <c r="T183" s="413">
        <v>223959397.87</v>
      </c>
      <c r="U183" s="417">
        <v>16.5</v>
      </c>
      <c r="V183" s="25">
        <f t="shared" si="194"/>
        <v>2.9797396149501595E-2</v>
      </c>
      <c r="W183" s="25">
        <f t="shared" si="195"/>
        <v>0</v>
      </c>
      <c r="X183" s="413">
        <v>207718041.66999999</v>
      </c>
      <c r="Y183" s="417">
        <v>16.5</v>
      </c>
      <c r="Z183" s="25">
        <f t="shared" si="196"/>
        <v>-7.2519199258731321E-2</v>
      </c>
      <c r="AA183" s="25">
        <f t="shared" si="197"/>
        <v>0</v>
      </c>
      <c r="AB183" s="413">
        <v>226369634.77000001</v>
      </c>
      <c r="AC183" s="417">
        <v>17.34094</v>
      </c>
      <c r="AD183" s="25">
        <f t="shared" si="198"/>
        <v>8.9792841055336262E-2</v>
      </c>
      <c r="AE183" s="25">
        <f t="shared" si="199"/>
        <v>5.0966060606060591E-2</v>
      </c>
      <c r="AF183" s="413">
        <v>229986231.66</v>
      </c>
      <c r="AG183" s="417">
        <v>17.62</v>
      </c>
      <c r="AH183" s="25">
        <f t="shared" si="200"/>
        <v>1.5976510690908625E-2</v>
      </c>
      <c r="AI183" s="25">
        <f t="shared" si="201"/>
        <v>1.6092553229525113E-2</v>
      </c>
      <c r="AJ183" s="26">
        <f t="shared" si="208"/>
        <v>1.1435704925588031E-2</v>
      </c>
      <c r="AK183" s="26">
        <f t="shared" si="209"/>
        <v>8.3823267294482126E-3</v>
      </c>
      <c r="AL183" s="27">
        <f t="shared" si="210"/>
        <v>0.16201049555534897</v>
      </c>
      <c r="AM183" s="27">
        <f t="shared" si="211"/>
        <v>6.7878787878787941E-2</v>
      </c>
      <c r="AN183" s="28">
        <f t="shared" si="212"/>
        <v>5.733173902237311E-2</v>
      </c>
      <c r="AO183" s="85">
        <f t="shared" si="213"/>
        <v>1.8104468240709312E-2</v>
      </c>
    </row>
    <row r="184" spans="1:41">
      <c r="A184" s="230" t="s">
        <v>202</v>
      </c>
      <c r="B184" s="413">
        <v>170596370.19</v>
      </c>
      <c r="C184" s="417">
        <v>17.5</v>
      </c>
      <c r="D184" s="413">
        <v>169760591.58000001</v>
      </c>
      <c r="E184" s="417">
        <v>17.5</v>
      </c>
      <c r="F184" s="25">
        <f t="shared" si="186"/>
        <v>-4.8991582239947097E-3</v>
      </c>
      <c r="G184" s="25">
        <f t="shared" si="187"/>
        <v>0</v>
      </c>
      <c r="H184" s="413">
        <v>163629566.19999999</v>
      </c>
      <c r="I184" s="417">
        <v>17.5</v>
      </c>
      <c r="J184" s="25">
        <f t="shared" si="188"/>
        <v>-3.6115716391756134E-2</v>
      </c>
      <c r="K184" s="25">
        <f t="shared" si="189"/>
        <v>0</v>
      </c>
      <c r="L184" s="413">
        <v>171951571.49000001</v>
      </c>
      <c r="M184" s="417">
        <v>17.5</v>
      </c>
      <c r="N184" s="25">
        <f t="shared" si="190"/>
        <v>5.0858811663830113E-2</v>
      </c>
      <c r="O184" s="25">
        <f t="shared" si="191"/>
        <v>0</v>
      </c>
      <c r="P184" s="413">
        <v>180362798.89000002</v>
      </c>
      <c r="Q184" s="417">
        <v>17.5</v>
      </c>
      <c r="R184" s="25">
        <f t="shared" si="192"/>
        <v>4.8916257799302337E-2</v>
      </c>
      <c r="S184" s="25">
        <f t="shared" si="193"/>
        <v>0</v>
      </c>
      <c r="T184" s="413">
        <v>182123973.84</v>
      </c>
      <c r="U184" s="417">
        <v>17.5</v>
      </c>
      <c r="V184" s="25">
        <f t="shared" si="194"/>
        <v>9.7646241954478467E-3</v>
      </c>
      <c r="W184" s="25">
        <f t="shared" si="195"/>
        <v>0</v>
      </c>
      <c r="X184" s="413">
        <v>182123973.84</v>
      </c>
      <c r="Y184" s="417">
        <v>17.5</v>
      </c>
      <c r="Z184" s="25">
        <f t="shared" si="196"/>
        <v>0</v>
      </c>
      <c r="AA184" s="25">
        <f t="shared" si="197"/>
        <v>0</v>
      </c>
      <c r="AB184" s="413">
        <v>184172444.52000001</v>
      </c>
      <c r="AC184" s="417">
        <v>14.0844</v>
      </c>
      <c r="AD184" s="25">
        <f t="shared" si="198"/>
        <v>1.124767177439053E-2</v>
      </c>
      <c r="AE184" s="25">
        <f t="shared" si="199"/>
        <v>-0.19517714285714283</v>
      </c>
      <c r="AF184" s="413">
        <v>189002517.96000001</v>
      </c>
      <c r="AG184" s="417">
        <v>14.45</v>
      </c>
      <c r="AH184" s="25">
        <f t="shared" si="200"/>
        <v>2.6225820331528916E-2</v>
      </c>
      <c r="AI184" s="25">
        <f t="shared" si="201"/>
        <v>2.5957797279259238E-2</v>
      </c>
      <c r="AJ184" s="26">
        <f t="shared" si="208"/>
        <v>1.3249788893593611E-2</v>
      </c>
      <c r="AK184" s="26">
        <f t="shared" si="209"/>
        <v>-2.1152418197235449E-2</v>
      </c>
      <c r="AL184" s="27">
        <f t="shared" si="210"/>
        <v>0.11334742769750658</v>
      </c>
      <c r="AM184" s="27">
        <f t="shared" si="211"/>
        <v>-0.17428571428571432</v>
      </c>
      <c r="AN184" s="28">
        <f t="shared" si="212"/>
        <v>2.8817063732211205E-2</v>
      </c>
      <c r="AO184" s="85">
        <f t="shared" si="213"/>
        <v>7.0900862344889473E-2</v>
      </c>
    </row>
    <row r="185" spans="1:41" ht="15.75" thickBot="1">
      <c r="A185" s="231" t="s">
        <v>38</v>
      </c>
      <c r="B185" s="83">
        <f>SUM(B173:B184)</f>
        <v>6339270172.4516516</v>
      </c>
      <c r="C185" s="354"/>
      <c r="D185" s="83">
        <f>SUM(D173:D184)</f>
        <v>6323274735.4175949</v>
      </c>
      <c r="E185" s="354"/>
      <c r="F185" s="25">
        <f>((D185-B185)/B185)</f>
        <v>-2.5232300562874703E-3</v>
      </c>
      <c r="G185" s="237"/>
      <c r="H185" s="83">
        <f>SUM(H173:H184)</f>
        <v>6409345482.6999998</v>
      </c>
      <c r="I185" s="354"/>
      <c r="J185" s="25">
        <f>((H185-D185)/D185)</f>
        <v>1.361173614682752E-2</v>
      </c>
      <c r="K185" s="237"/>
      <c r="L185" s="83">
        <f>SUM(L173:L184)</f>
        <v>6631318910.9199991</v>
      </c>
      <c r="M185" s="354"/>
      <c r="N185" s="25">
        <f>((L185-H185)/H185)</f>
        <v>3.4632776282562137E-2</v>
      </c>
      <c r="O185" s="237"/>
      <c r="P185" s="83">
        <f>SUM(P173:P184)</f>
        <v>6880363307.4100008</v>
      </c>
      <c r="Q185" s="354"/>
      <c r="R185" s="25">
        <f>((P185-L185)/L185)</f>
        <v>3.7555786388118434E-2</v>
      </c>
      <c r="S185" s="237"/>
      <c r="T185" s="83">
        <f>SUM(T173:T184)</f>
        <v>6825943925.5154171</v>
      </c>
      <c r="U185" s="354"/>
      <c r="V185" s="25">
        <f>((T185-P185)/P185)</f>
        <v>-7.9093762150575994E-3</v>
      </c>
      <c r="W185" s="237"/>
      <c r="X185" s="83">
        <f>SUM(X173:X184)</f>
        <v>7030554304.0600014</v>
      </c>
      <c r="Y185" s="354"/>
      <c r="Z185" s="25">
        <f>((X185-T185)/T185)</f>
        <v>2.997539692345692E-2</v>
      </c>
      <c r="AA185" s="237"/>
      <c r="AB185" s="83">
        <f>SUM(AB173:AB184)</f>
        <v>7127915981.8214836</v>
      </c>
      <c r="AC185" s="354"/>
      <c r="AD185" s="25">
        <f>((AB185-X185)/X185)</f>
        <v>1.3848364375090291E-2</v>
      </c>
      <c r="AE185" s="237"/>
      <c r="AF185" s="83">
        <f>SUM(AF173:AF184)</f>
        <v>7105569433.0799999</v>
      </c>
      <c r="AG185" s="354"/>
      <c r="AH185" s="25">
        <f>((AF185-AB185)/AB185)</f>
        <v>-3.1350746555479461E-3</v>
      </c>
      <c r="AI185" s="237"/>
      <c r="AJ185" s="26">
        <f t="shared" si="208"/>
        <v>1.4507047398645286E-2</v>
      </c>
      <c r="AK185" s="26"/>
      <c r="AL185" s="27">
        <f t="shared" si="210"/>
        <v>0.12371670224617269</v>
      </c>
      <c r="AM185" s="27"/>
      <c r="AN185" s="28">
        <f t="shared" si="212"/>
        <v>1.8049794154325633E-2</v>
      </c>
      <c r="AO185" s="85"/>
    </row>
    <row r="186" spans="1:41" ht="15.75" thickBot="1">
      <c r="A186" s="65" t="s">
        <v>48</v>
      </c>
      <c r="B186" s="252">
        <f>SUM(B164,B170,B185)</f>
        <v>1488205678796.7908</v>
      </c>
      <c r="C186" s="355"/>
      <c r="D186" s="252">
        <f>SUM(D164,D170,D185)</f>
        <v>1478542281540.2136</v>
      </c>
      <c r="E186" s="355"/>
      <c r="F186" s="237">
        <f>((D186-B186)/B186)</f>
        <v>-6.4933210471216397E-3</v>
      </c>
      <c r="G186" s="353"/>
      <c r="H186" s="252">
        <f>SUM(H164,H170,H185)</f>
        <v>1470808648375.6421</v>
      </c>
      <c r="I186" s="355"/>
      <c r="J186" s="237">
        <f>((H186-D186)/D186)</f>
        <v>-5.2305796466742384E-3</v>
      </c>
      <c r="K186" s="353"/>
      <c r="L186" s="252">
        <f>SUM(L164,L170,L185)</f>
        <v>1480995197381.3252</v>
      </c>
      <c r="M186" s="355"/>
      <c r="N186" s="237">
        <f>((L186-H186)/H186)</f>
        <v>6.925815276469246E-3</v>
      </c>
      <c r="O186" s="353"/>
      <c r="P186" s="252">
        <f>SUM(P164,P170,P185)</f>
        <v>1483854051660.8462</v>
      </c>
      <c r="Q186" s="355"/>
      <c r="R186" s="237">
        <f>((P186-L186)/L186)</f>
        <v>1.9303602635416927E-3</v>
      </c>
      <c r="S186" s="353"/>
      <c r="T186" s="252">
        <f>SUM(T164,T170,T185)</f>
        <v>1480519198206.4934</v>
      </c>
      <c r="U186" s="355"/>
      <c r="V186" s="237">
        <f>((T186-P186)/P186)</f>
        <v>-2.2474268615704845E-3</v>
      </c>
      <c r="W186" s="353"/>
      <c r="X186" s="252">
        <f>SUM(X164,X170,X185)</f>
        <v>1482067747280.9846</v>
      </c>
      <c r="Y186" s="355"/>
      <c r="Z186" s="237">
        <f>((X186-T186)/T186)</f>
        <v>1.0459500129192038E-3</v>
      </c>
      <c r="AA186" s="353"/>
      <c r="AB186" s="252">
        <f>SUM(AB164,AB170,AB185)</f>
        <v>1477682097077.3018</v>
      </c>
      <c r="AC186" s="355"/>
      <c r="AD186" s="237">
        <f>((AB186-X186)/X186)</f>
        <v>-2.9591428676110226E-3</v>
      </c>
      <c r="AE186" s="353"/>
      <c r="AF186" s="252">
        <f>SUM(AF164,AF170,AF185)</f>
        <v>1490376240315.1047</v>
      </c>
      <c r="AG186" s="355"/>
      <c r="AH186" s="237">
        <f>((AF186-AB186)/AB186)</f>
        <v>8.5905779483358737E-3</v>
      </c>
      <c r="AI186" s="353"/>
      <c r="AJ186" s="26">
        <f t="shared" si="208"/>
        <v>1.9527913478607902E-4</v>
      </c>
      <c r="AK186" s="26"/>
      <c r="AL186" s="27">
        <f t="shared" si="210"/>
        <v>8.0038013945489261E-3</v>
      </c>
      <c r="AM186" s="27"/>
      <c r="AN186" s="28">
        <f t="shared" si="212"/>
        <v>5.4721347760810718E-3</v>
      </c>
      <c r="AO186" s="85"/>
    </row>
  </sheetData>
  <protectedRanges>
    <protectedRange password="CADF" sqref="B18" name="Fund Name_1_1_1_3_1_1_2"/>
    <protectedRange password="CADF" sqref="C18" name="Fund Name_1_1_1_1_1_1_2"/>
    <protectedRange password="CADF" sqref="B46" name="Yield_2_1_2_3_1"/>
    <protectedRange password="CADF" sqref="B51" name="Yield_2_1_2_4_1"/>
    <protectedRange password="CADF" sqref="B77" name="Yield_2_1_2_1_1"/>
    <protectedRange password="CADF" sqref="C77" name="Fund Name_2_2_1_1_2"/>
    <protectedRange password="CADF" sqref="C76" name="BidOffer Prices_2_1_1_1_1_1_1_1_1_1_2"/>
    <protectedRange password="CADF" sqref="B139:B141" name="Fund Name_1_1_1_2_2"/>
    <protectedRange password="CADF" sqref="C139:C141" name="Fund Name_1_1_1_1_2_2"/>
    <protectedRange password="CADF" sqref="D18" name="Fund Name_1_1_1_3_1_1_3"/>
    <protectedRange password="CADF" sqref="E18" name="Fund Name_1_1_1_1_1_1_3"/>
    <protectedRange password="CADF" sqref="D46" name="Yield_2_1_2_3_1_2"/>
    <protectedRange password="CADF" sqref="D51" name="Yield_2_1_2_4_1_2"/>
    <protectedRange password="CADF" sqref="D77" name="Yield_2_1_2_1_1_2"/>
    <protectedRange password="CADF" sqref="E77" name="Fund Name_2_2_1_1_3"/>
    <protectedRange password="CADF" sqref="E76" name="BidOffer Prices_2_1_1_1_1_1_1_1_1_1_3"/>
    <protectedRange password="CADF" sqref="D139:D141" name="Fund Name_1_1_1_2_3"/>
    <protectedRange password="CADF" sqref="E139:E141" name="Fund Name_1_1_1_1_2_3"/>
    <protectedRange password="CADF" sqref="H18" name="Fund Name_1_1_1_3_1_1_4"/>
    <protectedRange password="CADF" sqref="I18" name="Fund Name_1_1_1_1_1_1_4"/>
    <protectedRange password="CADF" sqref="H46" name="Yield_2_1_2_3_1_3"/>
    <protectedRange password="CADF" sqref="H51" name="Yield_2_1_2_4_1_3"/>
    <protectedRange password="CADF" sqref="H77" name="Yield_2_1_2_1_1_3"/>
    <protectedRange password="CADF" sqref="I77" name="Fund Name_2_2_1_1_4"/>
    <protectedRange password="CADF" sqref="I76" name="BidOffer Prices_2_1_1_1_1_1_1_1_1_1_4"/>
    <protectedRange password="CADF" sqref="H139:H141" name="Fund Name_1_1_1_2_4"/>
    <protectedRange password="CADF" sqref="I139:I141" name="Fund Name_1_1_1_1_2_4"/>
    <protectedRange password="CADF" sqref="L18" name="Fund Name_1_1_1_3_1_1_5"/>
    <protectedRange password="CADF" sqref="M18" name="Fund Name_1_1_1_1_1_1_5"/>
    <protectedRange password="CADF" sqref="L46" name="Yield_2_1_2_3_1_4"/>
    <protectedRange password="CADF" sqref="L51" name="Yield_2_1_2_4_1_4"/>
    <protectedRange password="CADF" sqref="L77" name="Yield_2_1_2_1_1_4"/>
    <protectedRange password="CADF" sqref="M77" name="Fund Name_2_2_1_1_5"/>
    <protectedRange password="CADF" sqref="M76" name="BidOffer Prices_2_1_1_1_1_1_1_1_1_1_5"/>
    <protectedRange password="CADF" sqref="L139:L141" name="Fund Name_1_1_1_2_5"/>
    <protectedRange password="CADF" sqref="M139:M141" name="Fund Name_1_1_1_1_2_5"/>
    <protectedRange password="CADF" sqref="P18" name="Fund Name_1_1_1_3_1_1"/>
    <protectedRange password="CADF" sqref="Q18" name="Fund Name_1_1_1_1_1_1"/>
    <protectedRange password="CADF" sqref="P77" name="Yield_2_1_2_1_1_9"/>
    <protectedRange password="CADF" sqref="Q77" name="Fund Name_2_2_1_1_6"/>
    <protectedRange password="CADF" sqref="Q76" name="BidOffer Prices_2_1_1_1_1_1_1_1_1_1"/>
    <protectedRange password="CADF" sqref="P139:P141" name="Fund Name_1_1_1_2"/>
    <protectedRange password="CADF" sqref="Q139:Q141" name="Fund Name_1_1_1_1_2_6"/>
    <protectedRange password="CADF" sqref="P46" name="Yield_2_1_2_3_1_5"/>
    <protectedRange password="CADF" sqref="P51" name="Yield_2_1_2_4_1_5"/>
    <protectedRange password="CADF" sqref="T18" name="Fund Name_1_1_1_3_1_1_6"/>
    <protectedRange password="CADF" sqref="U18" name="Fund Name_1_1_1_1_1_1_6"/>
    <protectedRange password="CADF" sqref="T46" name="Yield_2_1_2_3_1_6"/>
    <protectedRange password="CADF" sqref="T51" name="Yield_2_1_2_4_1_6"/>
    <protectedRange password="CADF" sqref="T77" name="Yield_2_1_2_1_1_5"/>
    <protectedRange password="CADF" sqref="U77" name="Fund Name_2_2_1_1_7"/>
    <protectedRange password="CADF" sqref="U76" name="BidOffer Prices_2_1_1_1_1_1_1_1_1_1_6"/>
    <protectedRange password="CADF" sqref="T139:T141" name="Fund Name_1_1_1_2_6"/>
    <protectedRange password="CADF" sqref="U139:U141" name="Fund Name_1_1_1_1_2_7"/>
    <protectedRange password="CADF" sqref="X18" name="Fund Name_1_1_1_3_1_1_9"/>
    <protectedRange password="CADF" sqref="Y18" name="Fund Name_1_1_1_1_1_1_9"/>
    <protectedRange password="CADF" sqref="X46" name="Yield_2_1_2_3_1_8"/>
    <protectedRange password="CADF" sqref="X51" name="Yield_2_1_2_4_1_8"/>
    <protectedRange password="CADF" sqref="X77" name="Yield_2_1_2_1_1_6"/>
    <protectedRange password="CADF" sqref="Y77" name="Fund Name_2_2_1_1_9"/>
    <protectedRange password="CADF" sqref="Y76" name="BidOffer Prices_2_1_1_1_1_1_1_1_1_1_9"/>
    <protectedRange password="CADF" sqref="X139:X141" name="Fund Name_1_1_1_2_9"/>
    <protectedRange password="CADF" sqref="Y139:Y141" name="Fund Name_1_1_1_1_2_9"/>
    <protectedRange password="CADF" sqref="AB18" name="Fund Name_1_1_1_3_1_1_1"/>
    <protectedRange password="CADF" sqref="AC18" name="Fund Name_1_1_1_1_1_1_1"/>
    <protectedRange password="CADF" sqref="AB77" name="Yield_2_1_2_1_1_1"/>
    <protectedRange password="CADF" sqref="AC77" name="Fund Name_2_2_1_1"/>
    <protectedRange password="CADF" sqref="AC76" name="BidOffer Prices_2_1_1_1_1_1_1_1_1_1_1"/>
    <protectedRange password="CADF" sqref="AB46" name="Yield_2_1_2_3_1_1"/>
    <protectedRange password="CADF" sqref="AB51" name="Yield_2_1_2_4_1_1"/>
    <protectedRange password="CADF" sqref="AB139:AB141" name="Fund Name_1_1_1_2_1"/>
    <protectedRange password="CADF" sqref="AC139:AC141" name="Fund Name_1_1_1_1_2"/>
    <protectedRange password="CADF" sqref="AF18" name="Fund Name_1_1_1_3_1_1_7"/>
    <protectedRange password="CADF" sqref="AG18" name="Fund Name_1_1_1_1_1_1_8"/>
    <protectedRange password="CADF" sqref="AF46" name="Yield_2_1_2_3_1_7"/>
    <protectedRange password="CADF" sqref="AF51" name="Yield_2_1_2_4_1_7"/>
    <protectedRange password="CADF" sqref="AF77" name="Yield_2_1_2_1_1_7"/>
    <protectedRange password="CADF" sqref="AG77" name="Fund Name_2_2_1_1_1"/>
    <protectedRange password="CADF" sqref="AG76" name="BidOffer Prices_2_1_1_1_1_1_1_1_1_1_7"/>
    <protectedRange password="CADF" sqref="AF139:AF141" name="Fund Name_1_1_1_2_7"/>
    <protectedRange password="CADF" sqref="AG139:AG141" name="Fund Name_1_1_1_1_2_1"/>
  </protectedRanges>
  <mergeCells count="23">
    <mergeCell ref="AQ2:AR2"/>
    <mergeCell ref="AQ124:AR124"/>
    <mergeCell ref="B2:C2"/>
    <mergeCell ref="F2:G2"/>
    <mergeCell ref="D2:E2"/>
    <mergeCell ref="H2:I2"/>
    <mergeCell ref="J2:K2"/>
    <mergeCell ref="P2:Q2"/>
    <mergeCell ref="R2:S2"/>
    <mergeCell ref="Z2:AA2"/>
    <mergeCell ref="X2:Y2"/>
    <mergeCell ref="AH2:AI2"/>
    <mergeCell ref="AF2:AG2"/>
    <mergeCell ref="A1:AO1"/>
    <mergeCell ref="AN2:AO2"/>
    <mergeCell ref="AL2:AM2"/>
    <mergeCell ref="AJ2:AK2"/>
    <mergeCell ref="L2:M2"/>
    <mergeCell ref="N2:O2"/>
    <mergeCell ref="T2:U2"/>
    <mergeCell ref="V2:W2"/>
    <mergeCell ref="AD2:AE2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2023-01-03T09:11:38Z</dcterms:modified>
</cp:coreProperties>
</file>