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N110" i="1" l="1"/>
  <c r="M110" i="1"/>
  <c r="N111" i="1" l="1"/>
  <c r="M111" i="1"/>
  <c r="N93" i="1"/>
  <c r="M93" i="1"/>
  <c r="K93" i="1"/>
  <c r="N107" i="1" l="1"/>
  <c r="M107" i="1"/>
  <c r="K107" i="1"/>
  <c r="S160" i="1" l="1"/>
  <c r="N92" i="1" l="1"/>
  <c r="M92" i="1"/>
  <c r="N101" i="1"/>
  <c r="M101" i="1"/>
  <c r="K101" i="1"/>
  <c r="N114" i="1" l="1"/>
  <c r="M114" i="1"/>
  <c r="N94" i="1" l="1"/>
  <c r="M94" i="1"/>
  <c r="K94" i="1"/>
  <c r="N99" i="1" l="1"/>
  <c r="M99" i="1"/>
  <c r="K99" i="1"/>
  <c r="N100" i="1"/>
  <c r="M100" i="1"/>
  <c r="K100" i="1"/>
  <c r="N103" i="1" l="1"/>
  <c r="M103" i="1"/>
  <c r="K103" i="1"/>
  <c r="R69" i="1"/>
  <c r="D155" i="1" l="1"/>
  <c r="G114" i="1"/>
  <c r="F114" i="1"/>
  <c r="G111" i="1"/>
  <c r="F111" i="1"/>
  <c r="G110" i="1"/>
  <c r="F110" i="1"/>
  <c r="G107" i="1"/>
  <c r="F107" i="1"/>
  <c r="D115" i="1"/>
  <c r="D107" i="1"/>
  <c r="G103" i="1"/>
  <c r="F103" i="1"/>
  <c r="G101" i="1"/>
  <c r="F101" i="1"/>
  <c r="G100" i="1"/>
  <c r="F100" i="1"/>
  <c r="G99" i="1"/>
  <c r="F99" i="1"/>
  <c r="G98" i="1"/>
  <c r="F98" i="1"/>
  <c r="G93" i="1"/>
  <c r="F93" i="1"/>
  <c r="G92" i="1"/>
  <c r="F92" i="1"/>
  <c r="D103" i="1"/>
  <c r="D101" i="1"/>
  <c r="D100" i="1"/>
  <c r="D99" i="1"/>
  <c r="D98" i="1"/>
  <c r="D93" i="1"/>
  <c r="N98" i="1" l="1"/>
  <c r="M98" i="1"/>
  <c r="K98" i="1"/>
  <c r="R85" i="1" l="1"/>
  <c r="S85" i="1"/>
  <c r="T85" i="1"/>
  <c r="U85" i="1"/>
  <c r="V85" i="1"/>
  <c r="D193" i="1"/>
  <c r="D172" i="1"/>
  <c r="D122" i="1"/>
  <c r="D54" i="1"/>
  <c r="R153" i="1" l="1"/>
  <c r="R77" i="1" l="1"/>
  <c r="S77" i="1"/>
  <c r="T77" i="1"/>
  <c r="V77" i="1"/>
  <c r="U77" i="1"/>
  <c r="D22" i="1" l="1"/>
  <c r="R108" i="1" l="1"/>
  <c r="R19" i="1" l="1"/>
  <c r="R182" i="1" l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5" i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S193" i="1"/>
  <c r="U193" i="1"/>
  <c r="V193" i="1"/>
  <c r="V181" i="1"/>
  <c r="U181" i="1"/>
  <c r="T181" i="1"/>
  <c r="S181" i="1"/>
  <c r="R181" i="1"/>
  <c r="V177" i="1"/>
  <c r="U177" i="1"/>
  <c r="T177" i="1"/>
  <c r="S177" i="1"/>
  <c r="R177" i="1"/>
  <c r="V176" i="1"/>
  <c r="U176" i="1"/>
  <c r="T176" i="1"/>
  <c r="S176" i="1"/>
  <c r="R176" i="1"/>
  <c r="R164" i="1"/>
  <c r="S164" i="1"/>
  <c r="T164" i="1"/>
  <c r="U164" i="1"/>
  <c r="V164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S172" i="1"/>
  <c r="U172" i="1"/>
  <c r="V172" i="1"/>
  <c r="V163" i="1"/>
  <c r="U163" i="1"/>
  <c r="T163" i="1"/>
  <c r="S163" i="1"/>
  <c r="R163" i="1"/>
  <c r="V160" i="1"/>
  <c r="U160" i="1"/>
  <c r="T160" i="1"/>
  <c r="R160" i="1"/>
  <c r="V159" i="1"/>
  <c r="U159" i="1"/>
  <c r="T159" i="1"/>
  <c r="S159" i="1"/>
  <c r="R159" i="1"/>
  <c r="S153" i="1"/>
  <c r="T153" i="1"/>
  <c r="U153" i="1"/>
  <c r="V153" i="1"/>
  <c r="R154" i="1"/>
  <c r="S154" i="1"/>
  <c r="T154" i="1"/>
  <c r="U154" i="1"/>
  <c r="V154" i="1"/>
  <c r="S155" i="1"/>
  <c r="U155" i="1"/>
  <c r="V155" i="1"/>
  <c r="V152" i="1"/>
  <c r="U152" i="1"/>
  <c r="T152" i="1"/>
  <c r="S152" i="1"/>
  <c r="R152" i="1"/>
  <c r="R126" i="1"/>
  <c r="S126" i="1"/>
  <c r="T126" i="1"/>
  <c r="U126" i="1"/>
  <c r="V126" i="1"/>
  <c r="R127" i="1"/>
  <c r="S127" i="1"/>
  <c r="T127" i="1"/>
  <c r="U127" i="1"/>
  <c r="V127" i="1"/>
  <c r="R128" i="1"/>
  <c r="S128" i="1"/>
  <c r="T128" i="1"/>
  <c r="U128" i="1"/>
  <c r="V128" i="1" s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S149" i="1"/>
  <c r="U149" i="1"/>
  <c r="V149" i="1"/>
  <c r="V125" i="1"/>
  <c r="U125" i="1"/>
  <c r="T125" i="1"/>
  <c r="S125" i="1"/>
  <c r="R125" i="1"/>
  <c r="R119" i="1"/>
  <c r="S119" i="1"/>
  <c r="T119" i="1"/>
  <c r="U119" i="1"/>
  <c r="V119" i="1"/>
  <c r="R120" i="1"/>
  <c r="S120" i="1"/>
  <c r="T120" i="1"/>
  <c r="U120" i="1"/>
  <c r="V120" i="1"/>
  <c r="R121" i="1"/>
  <c r="S121" i="1"/>
  <c r="T121" i="1"/>
  <c r="U121" i="1"/>
  <c r="V121" i="1"/>
  <c r="S122" i="1"/>
  <c r="U122" i="1"/>
  <c r="V122" i="1"/>
  <c r="V118" i="1"/>
  <c r="U118" i="1"/>
  <c r="T118" i="1"/>
  <c r="S118" i="1"/>
  <c r="R118" i="1"/>
  <c r="R107" i="1"/>
  <c r="S107" i="1"/>
  <c r="T107" i="1"/>
  <c r="U107" i="1"/>
  <c r="V107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S115" i="1"/>
  <c r="U115" i="1"/>
  <c r="V115" i="1"/>
  <c r="V106" i="1"/>
  <c r="U106" i="1"/>
  <c r="T106" i="1"/>
  <c r="S106" i="1"/>
  <c r="R106" i="1"/>
  <c r="R93" i="1"/>
  <c r="S93" i="1"/>
  <c r="T93" i="1"/>
  <c r="U93" i="1"/>
  <c r="V93" i="1"/>
  <c r="R95" i="1"/>
  <c r="S95" i="1"/>
  <c r="T95" i="1"/>
  <c r="U95" i="1"/>
  <c r="V95" i="1"/>
  <c r="R96" i="1"/>
  <c r="S96" i="1"/>
  <c r="T96" i="1"/>
  <c r="U96" i="1"/>
  <c r="V96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V92" i="1"/>
  <c r="U92" i="1"/>
  <c r="T92" i="1"/>
  <c r="S92" i="1"/>
  <c r="R92" i="1"/>
  <c r="R58" i="1"/>
  <c r="S58" i="1"/>
  <c r="T58" i="1"/>
  <c r="U58" i="1"/>
  <c r="V58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 s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6" i="1"/>
  <c r="S86" i="1"/>
  <c r="T86" i="1"/>
  <c r="U86" i="1"/>
  <c r="V86" i="1"/>
  <c r="R87" i="1"/>
  <c r="S87" i="1"/>
  <c r="T87" i="1"/>
  <c r="U87" i="1"/>
  <c r="V87" i="1"/>
  <c r="S88" i="1"/>
  <c r="U88" i="1"/>
  <c r="V88" i="1"/>
  <c r="V57" i="1"/>
  <c r="U57" i="1"/>
  <c r="T57" i="1"/>
  <c r="S57" i="1"/>
  <c r="R57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S54" i="1"/>
  <c r="U54" i="1"/>
  <c r="V54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S22" i="1"/>
  <c r="U22" i="1"/>
  <c r="V22" i="1"/>
  <c r="V6" i="1"/>
  <c r="U6" i="1"/>
  <c r="T6" i="1"/>
  <c r="I10" i="4" l="1"/>
  <c r="H10" i="4"/>
  <c r="G10" i="4"/>
  <c r="F10" i="4"/>
  <c r="E10" i="4"/>
  <c r="D10" i="4"/>
  <c r="C10" i="4"/>
  <c r="B10" i="4"/>
  <c r="O172" i="1" l="1"/>
  <c r="O193" i="1"/>
  <c r="K193" i="1"/>
  <c r="L192" i="1" s="1"/>
  <c r="H193" i="1"/>
  <c r="K178" i="1"/>
  <c r="H178" i="1"/>
  <c r="D178" i="1"/>
  <c r="H172" i="1"/>
  <c r="K172" i="1"/>
  <c r="L169" i="1" s="1"/>
  <c r="H155" i="1"/>
  <c r="O155" i="1"/>
  <c r="K155" i="1"/>
  <c r="O149" i="1"/>
  <c r="K149" i="1"/>
  <c r="L144" i="1" s="1"/>
  <c r="H149" i="1"/>
  <c r="D149" i="1"/>
  <c r="O122" i="1"/>
  <c r="K122" i="1"/>
  <c r="H122" i="1"/>
  <c r="T122" i="1" s="1"/>
  <c r="H115" i="1"/>
  <c r="O115" i="1"/>
  <c r="K115" i="1"/>
  <c r="L92" i="1" s="1"/>
  <c r="O88" i="1"/>
  <c r="K88" i="1"/>
  <c r="L80" i="1" s="1"/>
  <c r="H88" i="1"/>
  <c r="D88" i="1"/>
  <c r="O54" i="1"/>
  <c r="K54" i="1"/>
  <c r="H54" i="1"/>
  <c r="O22" i="1"/>
  <c r="H22" i="1"/>
  <c r="L94" i="1" l="1"/>
  <c r="L25" i="1"/>
  <c r="L38" i="1"/>
  <c r="T172" i="1"/>
  <c r="L84" i="1"/>
  <c r="L85" i="1"/>
  <c r="E77" i="1"/>
  <c r="E85" i="1"/>
  <c r="T193" i="1"/>
  <c r="L77" i="1"/>
  <c r="T54" i="1"/>
  <c r="T155" i="1"/>
  <c r="R155" i="1"/>
  <c r="T88" i="1"/>
  <c r="T149" i="1"/>
  <c r="T22" i="1"/>
  <c r="R122" i="1"/>
  <c r="R193" i="1"/>
  <c r="T115" i="1"/>
  <c r="O173" i="1"/>
  <c r="O194" i="1" s="1"/>
  <c r="R149" i="1"/>
  <c r="L139" i="1"/>
  <c r="L140" i="1"/>
  <c r="R115" i="1"/>
  <c r="R88" i="1"/>
  <c r="L59" i="1"/>
  <c r="L61" i="1"/>
  <c r="L63" i="1"/>
  <c r="L65" i="1"/>
  <c r="L67" i="1"/>
  <c r="L69" i="1"/>
  <c r="L71" i="1"/>
  <c r="L73" i="1"/>
  <c r="L75" i="1"/>
  <c r="L78" i="1"/>
  <c r="L82" i="1"/>
  <c r="L87" i="1"/>
  <c r="L58" i="1"/>
  <c r="L60" i="1"/>
  <c r="L62" i="1"/>
  <c r="L64" i="1"/>
  <c r="L66" i="1"/>
  <c r="L68" i="1"/>
  <c r="L70" i="1"/>
  <c r="L72" i="1"/>
  <c r="L74" i="1"/>
  <c r="L76" i="1"/>
  <c r="L79" i="1"/>
  <c r="L81" i="1"/>
  <c r="L83" i="1"/>
  <c r="L86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25" i="1"/>
  <c r="E165" i="1"/>
  <c r="E167" i="1"/>
  <c r="E169" i="1"/>
  <c r="E171" i="1"/>
  <c r="E164" i="1"/>
  <c r="E166" i="1"/>
  <c r="E168" i="1"/>
  <c r="E170" i="1"/>
  <c r="R172" i="1"/>
  <c r="H173" i="1"/>
  <c r="H194" i="1" s="1"/>
  <c r="J10" i="4"/>
  <c r="J12" i="4" s="1"/>
  <c r="I12" i="4"/>
  <c r="H12" i="4"/>
  <c r="G12" i="4"/>
  <c r="F12" i="4"/>
  <c r="E12" i="4"/>
  <c r="C12" i="4"/>
  <c r="L191" i="1"/>
  <c r="E189" i="1"/>
  <c r="L190" i="1"/>
  <c r="L189" i="1"/>
  <c r="L187" i="1"/>
  <c r="L186" i="1"/>
  <c r="L185" i="1"/>
  <c r="L183" i="1"/>
  <c r="L182" i="1"/>
  <c r="L181" i="1"/>
  <c r="V178" i="1"/>
  <c r="U178" i="1"/>
  <c r="L176" i="1"/>
  <c r="E176" i="1"/>
  <c r="L170" i="1"/>
  <c r="L164" i="1"/>
  <c r="L160" i="1"/>
  <c r="L152" i="1"/>
  <c r="E154" i="1"/>
  <c r="L145" i="1"/>
  <c r="E148" i="1"/>
  <c r="E145" i="1"/>
  <c r="L138" i="1"/>
  <c r="L136" i="1"/>
  <c r="L133" i="1"/>
  <c r="L130" i="1"/>
  <c r="L128" i="1"/>
  <c r="L125" i="1"/>
  <c r="L120" i="1"/>
  <c r="E121" i="1"/>
  <c r="L121" i="1"/>
  <c r="E84" i="1"/>
  <c r="E86" i="1"/>
  <c r="E83" i="1"/>
  <c r="E81" i="1"/>
  <c r="E79" i="1"/>
  <c r="E76" i="1"/>
  <c r="E74" i="1"/>
  <c r="E72" i="1"/>
  <c r="E70" i="1"/>
  <c r="E68" i="1"/>
  <c r="E66" i="1"/>
  <c r="E64" i="1"/>
  <c r="E62" i="1"/>
  <c r="E60" i="1"/>
  <c r="E58" i="1"/>
  <c r="L50" i="1"/>
  <c r="R54" i="1"/>
  <c r="L51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8" i="1"/>
  <c r="L126" i="1"/>
  <c r="L129" i="1"/>
  <c r="L132" i="1"/>
  <c r="L134" i="1"/>
  <c r="L137" i="1"/>
  <c r="L141" i="1"/>
  <c r="E18" i="1"/>
  <c r="L57" i="1"/>
  <c r="E61" i="1"/>
  <c r="E118" i="1"/>
  <c r="E125" i="1"/>
  <c r="E126" i="1"/>
  <c r="E127" i="1"/>
  <c r="E132" i="1"/>
  <c r="E133" i="1"/>
  <c r="E134" i="1"/>
  <c r="E135" i="1"/>
  <c r="E140" i="1"/>
  <c r="E143" i="1"/>
  <c r="E147" i="1"/>
  <c r="L166" i="1"/>
  <c r="L168" i="1"/>
  <c r="E11" i="1"/>
  <c r="E13" i="1"/>
  <c r="E16" i="1"/>
  <c r="E20" i="1"/>
  <c r="L29" i="1"/>
  <c r="L37" i="1"/>
  <c r="L43" i="1"/>
  <c r="K173" i="1"/>
  <c r="L119" i="1"/>
  <c r="E128" i="1"/>
  <c r="E129" i="1"/>
  <c r="E130" i="1"/>
  <c r="E131" i="1"/>
  <c r="E136" i="1"/>
  <c r="E137" i="1"/>
  <c r="E138" i="1"/>
  <c r="E139" i="1"/>
  <c r="E141" i="1"/>
  <c r="E142" i="1"/>
  <c r="E144" i="1"/>
  <c r="E146" i="1"/>
  <c r="L159" i="1"/>
  <c r="L165" i="1"/>
  <c r="L98" i="1"/>
  <c r="L108" i="1"/>
  <c r="L97" i="1"/>
  <c r="L48" i="1"/>
  <c r="L33" i="1"/>
  <c r="L44" i="1"/>
  <c r="L52" i="1"/>
  <c r="E120" i="1"/>
  <c r="L143" i="1"/>
  <c r="L147" i="1"/>
  <c r="L154" i="1"/>
  <c r="E184" i="1"/>
  <c r="E188" i="1"/>
  <c r="E192" i="1"/>
  <c r="D12" i="4"/>
  <c r="E93" i="1"/>
  <c r="L36" i="1"/>
  <c r="L39" i="1"/>
  <c r="L30" i="1"/>
  <c r="L41" i="1"/>
  <c r="L49" i="1"/>
  <c r="L127" i="1"/>
  <c r="L131" i="1"/>
  <c r="L135" i="1"/>
  <c r="E153" i="1"/>
  <c r="E163" i="1"/>
  <c r="E177" i="1"/>
  <c r="L184" i="1"/>
  <c r="L188" i="1"/>
  <c r="L28" i="1"/>
  <c r="L47" i="1"/>
  <c r="E7" i="1"/>
  <c r="E17" i="1"/>
  <c r="E21" i="1"/>
  <c r="L27" i="1"/>
  <c r="L35" i="1"/>
  <c r="L46" i="1"/>
  <c r="E57" i="1"/>
  <c r="E65" i="1"/>
  <c r="E69" i="1"/>
  <c r="E73" i="1"/>
  <c r="E78" i="1"/>
  <c r="E82" i="1"/>
  <c r="E87" i="1"/>
  <c r="E119" i="1"/>
  <c r="L142" i="1"/>
  <c r="L146" i="1"/>
  <c r="L153" i="1"/>
  <c r="L163" i="1"/>
  <c r="L167" i="1"/>
  <c r="L171" i="1"/>
  <c r="L177" i="1"/>
  <c r="R178" i="1"/>
  <c r="E183" i="1"/>
  <c r="E187" i="1"/>
  <c r="E191" i="1"/>
  <c r="E152" i="1"/>
  <c r="E160" i="1"/>
  <c r="E182" i="1"/>
  <c r="E186" i="1"/>
  <c r="E190" i="1"/>
  <c r="L45" i="1"/>
  <c r="L53" i="1"/>
  <c r="E103" i="1"/>
  <c r="L26" i="1"/>
  <c r="L34" i="1"/>
  <c r="E159" i="1"/>
  <c r="E12" i="1"/>
  <c r="E15" i="1"/>
  <c r="L31" i="1"/>
  <c r="L42" i="1"/>
  <c r="E59" i="1"/>
  <c r="E63" i="1"/>
  <c r="E67" i="1"/>
  <c r="E71" i="1"/>
  <c r="E75" i="1"/>
  <c r="E80" i="1"/>
  <c r="L148" i="1"/>
  <c r="E181" i="1"/>
  <c r="E185" i="1"/>
  <c r="L109" i="1" l="1"/>
  <c r="L93" i="1"/>
  <c r="L95" i="1"/>
  <c r="L101" i="1"/>
  <c r="L111" i="1"/>
  <c r="E107" i="1"/>
  <c r="L96" i="1"/>
  <c r="K194" i="1"/>
  <c r="L22" i="1"/>
  <c r="L149" i="1"/>
  <c r="L54" i="1"/>
  <c r="L122" i="1"/>
  <c r="L88" i="1"/>
  <c r="L115" i="1"/>
  <c r="L172" i="1"/>
  <c r="L155" i="1"/>
  <c r="L103" i="1"/>
  <c r="L100" i="1"/>
  <c r="L99" i="1"/>
  <c r="L114" i="1"/>
  <c r="L106" i="1"/>
  <c r="L110" i="1"/>
  <c r="L112" i="1"/>
  <c r="L102" i="1"/>
  <c r="L113" i="1"/>
  <c r="L107" i="1"/>
  <c r="E113" i="1"/>
  <c r="E110" i="1"/>
  <c r="E102" i="1"/>
  <c r="E99" i="1"/>
  <c r="E96" i="1"/>
  <c r="E101" i="1"/>
  <c r="E97" i="1"/>
  <c r="E108" i="1"/>
  <c r="E98" i="1"/>
  <c r="D173" i="1"/>
  <c r="E115" i="1" s="1"/>
  <c r="E114" i="1"/>
  <c r="E92" i="1"/>
  <c r="E100" i="1"/>
  <c r="E95" i="1"/>
  <c r="E112" i="1"/>
  <c r="E111" i="1"/>
  <c r="E109" i="1"/>
  <c r="E106" i="1"/>
  <c r="E54" i="1" l="1"/>
  <c r="E149" i="1"/>
  <c r="D194" i="1"/>
  <c r="E88" i="1"/>
  <c r="E22" i="1"/>
  <c r="E172" i="1"/>
  <c r="E122" i="1"/>
  <c r="E155" i="1"/>
</calcChain>
</file>

<file path=xl/sharedStrings.xml><?xml version="1.0" encoding="utf-8"?>
<sst xmlns="http://schemas.openxmlformats.org/spreadsheetml/2006/main" count="402" uniqueCount="250">
  <si>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</si>
  <si>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</si>
  <si>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</si>
  <si>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</si>
  <si>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</si>
  <si>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</si>
  <si>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</si>
  <si>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</si>
  <si>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</si>
  <si>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</si>
  <si>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</si>
  <si>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</si>
  <si>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</si>
  <si>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</si>
  <si>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</si>
  <si>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</si>
  <si>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</si>
  <si>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</si>
  <si>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</si>
  <si>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</si>
  <si>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</si>
  <si>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</si>
  <si>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</si>
  <si>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</si>
  <si>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</si>
  <si>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</si>
  <si>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</si>
  <si>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</si>
  <si>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</si>
  <si>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</si>
  <si>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</si>
  <si>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</si>
  <si>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</si>
  <si>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</si>
  <si>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</si>
  <si>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</si>
  <si>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</si>
  <si>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</si>
  <si>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</si>
  <si>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</si>
  <si>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</si>
  <si>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</si>
  <si>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</si>
  <si>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</si>
  <si>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</si>
  <si>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</si>
  <si>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</si>
  <si>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</si>
  <si>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</si>
  <si>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</si>
  <si>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</si>
  <si>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</si>
  <si>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</si>
  <si>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</si>
  <si>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</si>
  <si>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</si>
  <si>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</si>
  <si>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</si>
  <si>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</si>
  <si>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</si>
  <si>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</si>
  <si>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</si>
  <si>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</si>
  <si>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</si>
  <si>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</si>
  <si>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</si>
  <si>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</si>
  <si>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</si>
  <si>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</si>
  <si>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</si>
  <si>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</si>
  <si>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</si>
  <si>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</si>
  <si>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</si>
  <si>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</si>
  <si>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</si>
  <si>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</si>
  <si>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</si>
  <si>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</si>
  <si>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</si>
  <si>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</si>
  <si>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</si>
  <si>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</si>
  <si>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</si>
  <si>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</si>
  <si>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</si>
  <si>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</si>
  <si>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</si>
  <si>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</si>
  <si>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</si>
  <si>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</si>
  <si>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</si>
  <si>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</si>
  <si>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</si>
  <si>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</si>
  <si>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</si>
  <si>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</si>
  <si>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</si>
  <si>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</si>
  <si>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</si>
  <si>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</si>
  <si>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</si>
  <si>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</si>
  <si>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</si>
  <si>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</si>
  <si>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</si>
  <si>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</si>
  <si>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</si>
  <si>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</si>
  <si>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</si>
  <si>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</si>
  <si>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</si>
  <si>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</si>
  <si>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</si>
  <si>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</si>
  <si>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</si>
  <si>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</si>
  <si>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</si>
  <si>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</si>
  <si>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</si>
  <si>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</si>
  <si>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</si>
  <si>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</si>
  <si>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</si>
  <si>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</si>
  <si>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</si>
  <si>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</si>
  <si>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</si>
  <si>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</si>
  <si>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</si>
  <si>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</si>
  <si>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</si>
  <si>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</si>
  <si>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</si>
  <si>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</si>
  <si>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</si>
  <si>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</si>
  <si>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</si>
  <si>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</si>
  <si>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</si>
  <si>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</si>
  <si>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</si>
  <si>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</si>
  <si>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</si>
  <si>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</si>
  <si>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</si>
  <si>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</si>
  <si>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</si>
  <si>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</si>
  <si>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</si>
  <si>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</si>
  <si>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</si>
  <si>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</si>
  <si>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</si>
  <si>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</si>
  <si>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</si>
  <si>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</si>
  <si>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</si>
  <si>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</si>
  <si>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</si>
  <si>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</si>
  <si>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</si>
  <si>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</si>
  <si>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</si>
  <si>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</si>
  <si>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</si>
  <si>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</si>
  <si>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</si>
  <si>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</si>
  <si>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</si>
  <si>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</si>
  <si>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</si>
  <si>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</si>
  <si>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</si>
  <si>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</si>
  <si>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</si>
  <si>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</si>
  <si>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</si>
  <si>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</si>
  <si>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</si>
  <si>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</si>
  <si>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</si>
  <si>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</si>
  <si>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</si>
  <si>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</si>
  <si>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</si>
  <si>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</si>
  <si>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</si>
  <si>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</si>
  <si>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</si>
  <si>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</si>
  <si>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</si>
  <si>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</si>
  <si>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</si>
  <si>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</si>
  <si>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</si>
  <si>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</si>
  <si>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</si>
  <si>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</si>
  <si>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</si>
  <si>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</si>
  <si>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</si>
  <si>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</si>
  <si>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</si>
  <si>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</si>
  <si>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</si>
  <si>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</si>
  <si>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</si>
  <si>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</si>
  <si>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</si>
  <si>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</si>
  <si>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</si>
  <si>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</si>
  <si>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</si>
  <si>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</si>
  <si>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</si>
  <si>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</si>
  <si>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</si>
  <si>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</si>
  <si>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</si>
  <si>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</si>
  <si>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</si>
  <si>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</si>
  <si>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</si>
  <si>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</si>
  <si>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</si>
  <si>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</si>
  <si>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</si>
  <si>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</si>
  <si>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</si>
  <si>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</si>
  <si>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</si>
  <si>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</si>
  <si>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</si>
  <si>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</si>
  <si>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</si>
  <si>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</si>
  <si>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</si>
  <si>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</si>
  <si>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</si>
  <si>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</si>
  <si>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</si>
  <si>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NAV, Unit Price and Yield as at Week Ended October 27, 2023</t>
  </si>
  <si>
    <t>Utica Custodian Assured Fixed Income Fund</t>
  </si>
  <si>
    <t>Utica Capital Limited</t>
  </si>
  <si>
    <t>Week Ended October 27, 2023</t>
  </si>
  <si>
    <t>WEEKLY VALUATION REPORT OF COLLECTIVE INVESTMENT SCHEMES AS AT WEEK ENDED FRIDAY, NOVEMBER 3, 2023</t>
  </si>
  <si>
    <t>NAV, Unit Price and Yield as at Week Ended November 3, 2023</t>
  </si>
  <si>
    <t>Cowry Eurobond Fund</t>
  </si>
  <si>
    <t>Week Ended November 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</si>
</sst>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0" fillId="0" borderId="0" xfId="0" applyBorder="1"/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43" fontId="23" fillId="0" borderId="0" xfId="1" applyFont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4" fillId="0" borderId="0" xfId="0" applyFont="1" applyBorder="1"/>
    <xf numFmtId="16" fontId="25" fillId="3" borderId="0" xfId="0" applyNumberFormat="1" applyFont="1" applyFill="1" applyBorder="1"/>
    <xf numFmtId="43" fontId="26" fillId="0" borderId="0" xfId="1" applyFont="1"/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</cellXfs>
  <cellStyles count="6">
    <cellStyle name="Comma" xfId="1" builtinId="3"/>
    <cellStyle name="Comma 10 13" xfId="3"/>
    <cellStyle name="Comma 3 2" xfId="4"/>
    <cellStyle name="Normal" xfId="0" builtinId="0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47137750022627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October 27,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22.297088298263198</c:v>
                </c:pt>
                <c:pt idx="1">
                  <c:v>866.720174597192</c:v>
                </c:pt>
                <c:pt idx="2">
                  <c:v>296.829521368717</c:v>
                </c:pt>
                <c:pt idx="3">
                  <c:v>623.93933918242101</c:v>
                </c:pt>
                <c:pt idx="4">
                  <c:v>93.122068013899991</c:v>
                </c:pt>
                <c:pt idx="5" formatCode="_(* #,##0.00_);_(* \(#,##0.00\);_(* &quot;-&quot;??_);_(@_)">
                  <c:v>39.115203974124903</c:v>
                </c:pt>
                <c:pt idx="6">
                  <c:v>3.8502057462899999</c:v>
                </c:pt>
                <c:pt idx="7">
                  <c:v>46.178760569040001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November 3,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22.627915820731602</c:v>
                </c:pt>
                <c:pt idx="1">
                  <c:v>868.76394823673002</c:v>
                </c:pt>
                <c:pt idx="2">
                  <c:v>296.47797796414602</c:v>
                </c:pt>
                <c:pt idx="3">
                  <c:v>624.42413157908493</c:v>
                </c:pt>
                <c:pt idx="4">
                  <c:v>93.195143675200001</c:v>
                </c:pt>
                <c:pt idx="5" formatCode="_(* #,##0.00_);_(* \(#,##0.00\);_(* &quot;-&quot;??_);_(@_)">
                  <c:v>39.279784642423401</c:v>
                </c:pt>
                <c:pt idx="6">
                  <c:v>3.9281831197499999</c:v>
                </c:pt>
                <c:pt idx="7">
                  <c:v>46.332265573730005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  <a:endParaRPr lang="en-US" sz="2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03-Nov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3928183119.75</c:v>
                </c:pt>
                <c:pt idx="1">
                  <c:v>22627915820.731602</c:v>
                </c:pt>
                <c:pt idx="2" formatCode="_(* #,##0.00_);_(* \(#,##0.00\);_(* &quot;-&quot;??_);_(@_)">
                  <c:v>39279784642.423355</c:v>
                </c:pt>
                <c:pt idx="3">
                  <c:v>46332265573.729996</c:v>
                </c:pt>
                <c:pt idx="4">
                  <c:v>93195143675.199997</c:v>
                </c:pt>
                <c:pt idx="5">
                  <c:v>296477977964.1463</c:v>
                </c:pt>
                <c:pt idx="6">
                  <c:v>624424131579.08496</c:v>
                </c:pt>
                <c:pt idx="7">
                  <c:v>868763948236.72998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'NAV Movement'!$C$2:$I$2</c:f>
              <c:numCache>
                <c:formatCode>d\-mmm</c:formatCode>
                <c:ptCount val="7"/>
                <c:pt idx="0">
                  <c:v>45191</c:v>
                </c:pt>
                <c:pt idx="1">
                  <c:v>45198</c:v>
                </c:pt>
                <c:pt idx="2">
                  <c:v>45205</c:v>
                </c:pt>
                <c:pt idx="3">
                  <c:v>45212</c:v>
                </c:pt>
                <c:pt idx="4">
                  <c:v>45219</c:v>
                </c:pt>
                <c:pt idx="5">
                  <c:v>45226</c:v>
                </c:pt>
                <c:pt idx="6">
                  <c:v>45233</c:v>
                </c:pt>
              </c:numCache>
            </c:numRef>
          </c:cat>
          <c:val>
            <c:numRef>
              <c:f>'NAV Movement'!$C$3:$I$3</c:f>
              <c:numCache>
                <c:formatCode>_(* #,##0.00_);_(* \(#,##0.00\);_(* "-"??_);_(@_)</c:formatCode>
                <c:ptCount val="7"/>
                <c:pt idx="0">
                  <c:v>1927585637735.8486</c:v>
                </c:pt>
                <c:pt idx="1">
                  <c:v>1938057005087.2852</c:v>
                </c:pt>
                <c:pt idx="2">
                  <c:v>1935067759050.2058</c:v>
                </c:pt>
                <c:pt idx="3">
                  <c:v>1961229345082.9329</c:v>
                </c:pt>
                <c:pt idx="4">
                  <c:v>2002190167303.2449</c:v>
                </c:pt>
                <c:pt idx="5">
                  <c:v>1992052361749.9485</c:v>
                </c:pt>
                <c:pt idx="6">
                  <c:v>1995029350611.7961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304800</xdr:colOff>
      <xdr:row>29</xdr:row>
      <xdr:rowOff>134469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4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 x14ac:dyDescent="0.45">
      <c r="A1" s="138" t="s">
        <v>246</v>
      </c>
      <c r="B1" s="139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1"/>
    </row>
    <row r="2" spans="1:25" ht="15" customHeight="1" x14ac:dyDescent="0.25">
      <c r="A2" s="1"/>
      <c r="B2" s="1"/>
      <c r="C2" s="1"/>
      <c r="D2" s="144" t="s">
        <v>242</v>
      </c>
      <c r="E2" s="145"/>
      <c r="F2" s="145"/>
      <c r="G2" s="145"/>
      <c r="H2" s="145"/>
      <c r="I2" s="145"/>
      <c r="J2" s="146"/>
      <c r="K2" s="144" t="s">
        <v>247</v>
      </c>
      <c r="L2" s="145"/>
      <c r="M2" s="145"/>
      <c r="N2" s="145"/>
      <c r="O2" s="145"/>
      <c r="P2" s="145"/>
      <c r="Q2" s="146"/>
      <c r="R2" s="144" t="s">
        <v>0</v>
      </c>
      <c r="S2" s="145"/>
      <c r="T2" s="146"/>
      <c r="U2" s="142" t="s">
        <v>1</v>
      </c>
      <c r="V2" s="142"/>
    </row>
    <row r="3" spans="1:25" ht="25.5" x14ac:dyDescent="0.25">
      <c r="A3" s="83" t="s">
        <v>2</v>
      </c>
      <c r="B3" s="77" t="s">
        <v>3</v>
      </c>
      <c r="C3" s="77" t="s">
        <v>4</v>
      </c>
      <c r="D3" s="78" t="s">
        <v>5</v>
      </c>
      <c r="E3" s="79" t="s">
        <v>6</v>
      </c>
      <c r="F3" s="79" t="s">
        <v>7</v>
      </c>
      <c r="G3" s="79" t="s">
        <v>8</v>
      </c>
      <c r="H3" s="79" t="s">
        <v>230</v>
      </c>
      <c r="I3" s="79" t="s">
        <v>9</v>
      </c>
      <c r="J3" s="79" t="s">
        <v>10</v>
      </c>
      <c r="K3" s="80" t="s">
        <v>5</v>
      </c>
      <c r="L3" s="79" t="s">
        <v>6</v>
      </c>
      <c r="M3" s="79" t="s">
        <v>7</v>
      </c>
      <c r="N3" s="79" t="s">
        <v>8</v>
      </c>
      <c r="O3" s="79" t="s">
        <v>230</v>
      </c>
      <c r="P3" s="79" t="s">
        <v>9</v>
      </c>
      <c r="Q3" s="79" t="s">
        <v>10</v>
      </c>
      <c r="R3" s="78" t="s">
        <v>11</v>
      </c>
      <c r="S3" s="79" t="s">
        <v>12</v>
      </c>
      <c r="T3" s="79" t="s">
        <v>236</v>
      </c>
      <c r="U3" s="79" t="s">
        <v>13</v>
      </c>
      <c r="V3" s="79" t="s">
        <v>14</v>
      </c>
    </row>
    <row r="4" spans="1:25" ht="7.5" customHeigh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</row>
    <row r="5" spans="1:25" ht="15" customHeight="1" x14ac:dyDescent="0.25">
      <c r="A5" s="135" t="s">
        <v>15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</row>
    <row r="6" spans="1:25" x14ac:dyDescent="0.25">
      <c r="A6" s="120">
        <v>1</v>
      </c>
      <c r="B6" s="115" t="s">
        <v>16</v>
      </c>
      <c r="C6" s="116" t="s">
        <v>17</v>
      </c>
      <c r="D6" s="2">
        <v>684915752.39999998</v>
      </c>
      <c r="E6" s="3">
        <f t="shared" ref="E6:E21" si="0">(D6/$D$22)</f>
        <v>3.0717721670113791E-2</v>
      </c>
      <c r="F6" s="4">
        <v>274.59980000000002</v>
      </c>
      <c r="G6" s="4">
        <v>278.08769999999998</v>
      </c>
      <c r="H6" s="60">
        <v>1790</v>
      </c>
      <c r="I6" s="5">
        <v>5.2900000000000003E-2</v>
      </c>
      <c r="J6" s="5">
        <v>0.45669999999999999</v>
      </c>
      <c r="K6" s="2">
        <v>710982314.11000001</v>
      </c>
      <c r="L6" s="3">
        <f>(K6/$K$22)</f>
        <v>3.1420583307040631E-2</v>
      </c>
      <c r="M6" s="4">
        <v>282.78949999999998</v>
      </c>
      <c r="N6" s="4">
        <v>286.32150000000001</v>
      </c>
      <c r="O6" s="60">
        <v>1725</v>
      </c>
      <c r="P6" s="5">
        <v>2.98E-2</v>
      </c>
      <c r="Q6" s="5">
        <v>0.50009999999999999</v>
      </c>
      <c r="R6" s="81">
        <f>((K6-D6)/D6)</f>
        <v>3.8058055488811152E-2</v>
      </c>
      <c r="S6" s="81">
        <f t="shared" ref="S6" si="1">((N6-G6)/G6)</f>
        <v>2.9608645042553235E-2</v>
      </c>
      <c r="T6" s="81">
        <f>((O6-H6)/H6)</f>
        <v>-3.6312849162011177E-2</v>
      </c>
      <c r="U6" s="82">
        <f>P6-I6</f>
        <v>-2.3100000000000002E-2</v>
      </c>
      <c r="V6" s="84">
        <f>Q6-J6</f>
        <v>4.3399999999999994E-2</v>
      </c>
    </row>
    <row r="7" spans="1:25" x14ac:dyDescent="0.25">
      <c r="A7" s="113">
        <v>2</v>
      </c>
      <c r="B7" s="115" t="s">
        <v>18</v>
      </c>
      <c r="C7" s="116" t="s">
        <v>19</v>
      </c>
      <c r="D7" s="4">
        <v>490242092.77999997</v>
      </c>
      <c r="E7" s="3">
        <f t="shared" si="0"/>
        <v>2.1986821158984548E-2</v>
      </c>
      <c r="F7" s="4">
        <v>179.8288</v>
      </c>
      <c r="G7" s="4">
        <v>182.24539999999999</v>
      </c>
      <c r="H7" s="60">
        <v>364</v>
      </c>
      <c r="I7" s="5">
        <v>-1.5449999999999999E-3</v>
      </c>
      <c r="J7" s="5">
        <v>0.24060000000000001</v>
      </c>
      <c r="K7" s="4">
        <v>493398102.07999998</v>
      </c>
      <c r="L7" s="3">
        <f t="shared" ref="L7:L21" si="2">(K7/$K$22)</f>
        <v>2.180484079881324E-2</v>
      </c>
      <c r="M7" s="4">
        <v>181.0324</v>
      </c>
      <c r="N7" s="4">
        <v>183.37700000000001</v>
      </c>
      <c r="O7" s="60">
        <v>364</v>
      </c>
      <c r="P7" s="5">
        <v>1.6789999999999999E-3</v>
      </c>
      <c r="Q7" s="5">
        <v>0.249</v>
      </c>
      <c r="R7" s="81">
        <f t="shared" ref="R7:R22" si="3">((K7-D7)/D7)</f>
        <v>6.4376546740475349E-3</v>
      </c>
      <c r="S7" s="81">
        <f t="shared" ref="S7:S22" si="4">((N7-G7)/G7)</f>
        <v>6.2092102187491166E-3</v>
      </c>
      <c r="T7" s="81">
        <f t="shared" ref="T7:T22" si="5">((O7-H7)/H7)</f>
        <v>0</v>
      </c>
      <c r="U7" s="82">
        <f t="shared" ref="U7:U22" si="6">P7-I7</f>
        <v>3.2239999999999999E-3</v>
      </c>
      <c r="V7" s="84">
        <f t="shared" ref="V7:V22" si="7">Q7-J7</f>
        <v>8.3999999999999908E-3</v>
      </c>
    </row>
    <row r="8" spans="1:25" x14ac:dyDescent="0.25">
      <c r="A8" s="123">
        <v>3</v>
      </c>
      <c r="B8" s="115" t="s">
        <v>20</v>
      </c>
      <c r="C8" s="116" t="s">
        <v>21</v>
      </c>
      <c r="D8" s="4">
        <v>3141637836.54</v>
      </c>
      <c r="E8" s="3">
        <f t="shared" si="0"/>
        <v>0.1408990175988456</v>
      </c>
      <c r="F8" s="4">
        <v>28.919599999999999</v>
      </c>
      <c r="G8" s="4">
        <v>29.791499999999999</v>
      </c>
      <c r="H8" s="62">
        <v>6328</v>
      </c>
      <c r="I8" s="6">
        <v>-5.2999999999999999E-2</v>
      </c>
      <c r="J8" s="6">
        <v>0.37080000000000002</v>
      </c>
      <c r="K8" s="4">
        <v>3167425480.8800001</v>
      </c>
      <c r="L8" s="3">
        <f t="shared" si="2"/>
        <v>0.13997866643900178</v>
      </c>
      <c r="M8" s="4">
        <v>29.145900000000001</v>
      </c>
      <c r="N8" s="4">
        <v>30.024699999999999</v>
      </c>
      <c r="O8" s="62">
        <v>6333</v>
      </c>
      <c r="P8" s="6">
        <v>0.3745</v>
      </c>
      <c r="Q8" s="6">
        <v>0.40820000000000001</v>
      </c>
      <c r="R8" s="81">
        <f t="shared" si="3"/>
        <v>8.2083440809336012E-3</v>
      </c>
      <c r="S8" s="81">
        <f t="shared" si="4"/>
        <v>7.8277360992229355E-3</v>
      </c>
      <c r="T8" s="81">
        <f t="shared" si="5"/>
        <v>7.9013906447534762E-4</v>
      </c>
      <c r="U8" s="82">
        <f t="shared" si="6"/>
        <v>0.42749999999999999</v>
      </c>
      <c r="V8" s="84">
        <f t="shared" si="7"/>
        <v>3.7399999999999989E-2</v>
      </c>
      <c r="X8" s="107"/>
      <c r="Y8" s="107"/>
    </row>
    <row r="9" spans="1:25" x14ac:dyDescent="0.25">
      <c r="A9" s="123">
        <v>4</v>
      </c>
      <c r="B9" s="115" t="s">
        <v>22</v>
      </c>
      <c r="C9" s="116" t="s">
        <v>23</v>
      </c>
      <c r="D9" s="4">
        <v>398949115.75999999</v>
      </c>
      <c r="E9" s="3">
        <f t="shared" si="0"/>
        <v>1.7892431084424402E-2</v>
      </c>
      <c r="F9" s="4">
        <v>180.47</v>
      </c>
      <c r="G9" s="4">
        <v>180.47</v>
      </c>
      <c r="H9" s="60">
        <v>1659</v>
      </c>
      <c r="I9" s="5">
        <v>1.1999999999999999E-3</v>
      </c>
      <c r="J9" s="5">
        <v>0.3216</v>
      </c>
      <c r="K9" s="4">
        <v>423616890.76999998</v>
      </c>
      <c r="L9" s="3">
        <f t="shared" si="2"/>
        <v>1.8720985800286739E-2</v>
      </c>
      <c r="M9" s="4">
        <v>190.62</v>
      </c>
      <c r="N9" s="4">
        <v>190.62</v>
      </c>
      <c r="O9" s="60">
        <v>1664</v>
      </c>
      <c r="P9" s="5">
        <v>5.62E-2</v>
      </c>
      <c r="Q9" s="5">
        <v>0.39589999999999997</v>
      </c>
      <c r="R9" s="81">
        <f t="shared" si="3"/>
        <v>6.1831882903181173E-2</v>
      </c>
      <c r="S9" s="81">
        <f t="shared" si="4"/>
        <v>5.6242034687205664E-2</v>
      </c>
      <c r="T9" s="81">
        <f t="shared" si="5"/>
        <v>3.0138637733574444E-3</v>
      </c>
      <c r="U9" s="82">
        <f t="shared" si="6"/>
        <v>5.5E-2</v>
      </c>
      <c r="V9" s="84">
        <f t="shared" si="7"/>
        <v>7.4299999999999977E-2</v>
      </c>
    </row>
    <row r="10" spans="1:25" x14ac:dyDescent="0.25">
      <c r="A10" s="118">
        <v>5</v>
      </c>
      <c r="B10" s="115" t="s">
        <v>24</v>
      </c>
      <c r="C10" s="116" t="s">
        <v>25</v>
      </c>
      <c r="D10" s="7">
        <v>120939360.98</v>
      </c>
      <c r="E10" s="3">
        <f t="shared" si="0"/>
        <v>5.4239979392026912E-3</v>
      </c>
      <c r="F10" s="4">
        <v>126.07380000000001</v>
      </c>
      <c r="G10" s="4">
        <v>126.78660000000001</v>
      </c>
      <c r="H10" s="62">
        <v>51</v>
      </c>
      <c r="I10" s="6">
        <v>-3.2000000000000003E-4</v>
      </c>
      <c r="J10" s="6">
        <v>0.2</v>
      </c>
      <c r="K10" s="7">
        <v>125274864.56999999</v>
      </c>
      <c r="L10" s="3">
        <f t="shared" si="2"/>
        <v>5.5362970926038039E-3</v>
      </c>
      <c r="M10" s="4">
        <v>130.47370000000001</v>
      </c>
      <c r="N10" s="4">
        <v>131.2217</v>
      </c>
      <c r="O10" s="62">
        <v>54</v>
      </c>
      <c r="P10" s="6">
        <v>6.8900000000000003E-3</v>
      </c>
      <c r="Q10" s="6">
        <v>0.2419</v>
      </c>
      <c r="R10" s="81">
        <f t="shared" si="3"/>
        <v>3.5848573655990791E-2</v>
      </c>
      <c r="S10" s="81">
        <f t="shared" si="4"/>
        <v>3.4980826049440486E-2</v>
      </c>
      <c r="T10" s="81">
        <f t="shared" si="5"/>
        <v>5.8823529411764705E-2</v>
      </c>
      <c r="U10" s="82">
        <f t="shared" si="6"/>
        <v>7.2100000000000003E-3</v>
      </c>
      <c r="V10" s="84">
        <f t="shared" si="7"/>
        <v>4.1899999999999993E-2</v>
      </c>
    </row>
    <row r="11" spans="1:25" x14ac:dyDescent="0.25">
      <c r="A11" s="114">
        <v>6</v>
      </c>
      <c r="B11" s="115" t="s">
        <v>26</v>
      </c>
      <c r="C11" s="116" t="s">
        <v>27</v>
      </c>
      <c r="D11" s="4">
        <v>714344165.63</v>
      </c>
      <c r="E11" s="3">
        <f t="shared" si="0"/>
        <v>3.2037553786143591E-2</v>
      </c>
      <c r="F11" s="4">
        <v>226.06</v>
      </c>
      <c r="G11" s="4">
        <v>228.93</v>
      </c>
      <c r="H11" s="62">
        <v>1569</v>
      </c>
      <c r="I11" s="6">
        <v>6.9999999999999999E-4</v>
      </c>
      <c r="J11" s="6">
        <v>0.501</v>
      </c>
      <c r="K11" s="4">
        <v>728567057.74000001</v>
      </c>
      <c r="L11" s="3">
        <f t="shared" si="2"/>
        <v>3.2197709391887076E-2</v>
      </c>
      <c r="M11" s="4">
        <v>230.56</v>
      </c>
      <c r="N11" s="4">
        <v>233.51</v>
      </c>
      <c r="O11" s="62">
        <v>1569</v>
      </c>
      <c r="P11" s="6">
        <v>0.02</v>
      </c>
      <c r="Q11" s="6">
        <v>0.5282</v>
      </c>
      <c r="R11" s="81">
        <f t="shared" si="3"/>
        <v>1.9910419646888906E-2</v>
      </c>
      <c r="S11" s="81">
        <f t="shared" si="4"/>
        <v>2.0006115406456051E-2</v>
      </c>
      <c r="T11" s="81">
        <f t="shared" si="5"/>
        <v>0</v>
      </c>
      <c r="U11" s="82">
        <f t="shared" si="6"/>
        <v>1.9300000000000001E-2</v>
      </c>
      <c r="V11" s="84">
        <f t="shared" si="7"/>
        <v>2.7200000000000002E-2</v>
      </c>
    </row>
    <row r="12" spans="1:25" x14ac:dyDescent="0.25">
      <c r="A12" s="124">
        <v>7</v>
      </c>
      <c r="B12" s="115" t="s">
        <v>28</v>
      </c>
      <c r="C12" s="116" t="s">
        <v>29</v>
      </c>
      <c r="D12" s="2">
        <v>321115760.94999999</v>
      </c>
      <c r="E12" s="3">
        <f t="shared" si="0"/>
        <v>1.4401690330795924E-2</v>
      </c>
      <c r="F12" s="4">
        <v>161.52000000000001</v>
      </c>
      <c r="G12" s="4">
        <v>166.26</v>
      </c>
      <c r="H12" s="60">
        <v>0</v>
      </c>
      <c r="I12" s="5">
        <v>1.4959999999999999E-2</v>
      </c>
      <c r="J12" s="5">
        <v>0.28486</v>
      </c>
      <c r="K12" s="2">
        <v>294307983.38999999</v>
      </c>
      <c r="L12" s="3">
        <f t="shared" si="2"/>
        <v>1.3006411448656541E-2</v>
      </c>
      <c r="M12" s="4">
        <v>148.04</v>
      </c>
      <c r="N12" s="4">
        <v>152.65</v>
      </c>
      <c r="O12" s="60">
        <v>0</v>
      </c>
      <c r="P12" s="5">
        <v>-8.3400000000000002E-2</v>
      </c>
      <c r="Q12" s="5">
        <v>0.17763100000000001</v>
      </c>
      <c r="R12" s="81">
        <f t="shared" si="3"/>
        <v>-8.3483219511527387E-2</v>
      </c>
      <c r="S12" s="81">
        <f t="shared" si="4"/>
        <v>-8.1859737760134638E-2</v>
      </c>
      <c r="T12" s="81" t="e">
        <f t="shared" si="5"/>
        <v>#DIV/0!</v>
      </c>
      <c r="U12" s="82">
        <f t="shared" si="6"/>
        <v>-9.8360000000000003E-2</v>
      </c>
      <c r="V12" s="84">
        <f t="shared" si="7"/>
        <v>-0.10722899999999999</v>
      </c>
    </row>
    <row r="13" spans="1:25" x14ac:dyDescent="0.25">
      <c r="A13" s="124">
        <v>8</v>
      </c>
      <c r="B13" s="115" t="s">
        <v>30</v>
      </c>
      <c r="C13" s="116" t="s">
        <v>31</v>
      </c>
      <c r="D13" s="7">
        <v>43667953.210000001</v>
      </c>
      <c r="E13" s="3">
        <f t="shared" si="0"/>
        <v>1.9584598951156084E-3</v>
      </c>
      <c r="F13" s="4">
        <v>166.66</v>
      </c>
      <c r="G13" s="4">
        <v>171.81</v>
      </c>
      <c r="H13" s="60">
        <v>3</v>
      </c>
      <c r="I13" s="5">
        <v>7.6E-3</v>
      </c>
      <c r="J13" s="5">
        <v>0.72260000000000002</v>
      </c>
      <c r="K13" s="7">
        <v>43667953.210000001</v>
      </c>
      <c r="L13" s="3">
        <f t="shared" si="2"/>
        <v>1.929826571565712E-3</v>
      </c>
      <c r="M13" s="4">
        <v>166.66</v>
      </c>
      <c r="N13" s="4">
        <v>171.81</v>
      </c>
      <c r="O13" s="60">
        <v>3</v>
      </c>
      <c r="P13" s="5">
        <v>7.6E-3</v>
      </c>
      <c r="Q13" s="5">
        <v>0.72260000000000002</v>
      </c>
      <c r="R13" s="81">
        <f t="shared" si="3"/>
        <v>0</v>
      </c>
      <c r="S13" s="81">
        <f t="shared" si="4"/>
        <v>0</v>
      </c>
      <c r="T13" s="81">
        <f t="shared" si="5"/>
        <v>0</v>
      </c>
      <c r="U13" s="82">
        <f t="shared" si="6"/>
        <v>0</v>
      </c>
      <c r="V13" s="84">
        <f t="shared" si="7"/>
        <v>0</v>
      </c>
    </row>
    <row r="14" spans="1:25" ht="12" customHeight="1" x14ac:dyDescent="0.25">
      <c r="A14" s="120">
        <v>9</v>
      </c>
      <c r="B14" s="115" t="s">
        <v>239</v>
      </c>
      <c r="C14" s="116" t="s">
        <v>32</v>
      </c>
      <c r="D14" s="2">
        <v>513969602.40319997</v>
      </c>
      <c r="E14" s="3">
        <f t="shared" si="0"/>
        <v>2.3050973989426009E-2</v>
      </c>
      <c r="F14" s="4">
        <v>1.6125</v>
      </c>
      <c r="G14" s="4">
        <v>1.6613</v>
      </c>
      <c r="H14" s="60">
        <v>337</v>
      </c>
      <c r="I14" s="5">
        <v>-6.197706848465323E-4</v>
      </c>
      <c r="J14" s="5">
        <v>0.29946006930453728</v>
      </c>
      <c r="K14" s="2">
        <v>528586288.71160001</v>
      </c>
      <c r="L14" s="3">
        <f t="shared" si="2"/>
        <v>2.3359919353567307E-2</v>
      </c>
      <c r="M14" s="4">
        <v>1.6414</v>
      </c>
      <c r="N14" s="4">
        <v>1.6908000000000001</v>
      </c>
      <c r="O14" s="60">
        <v>343</v>
      </c>
      <c r="P14" s="5">
        <v>1.7899999999999999E-2</v>
      </c>
      <c r="Q14" s="5">
        <v>0.32269999999999999</v>
      </c>
      <c r="R14" s="81">
        <f t="shared" si="3"/>
        <v>2.8438814747128772E-2</v>
      </c>
      <c r="S14" s="81">
        <f t="shared" si="4"/>
        <v>1.7757178113525601E-2</v>
      </c>
      <c r="T14" s="81">
        <f t="shared" si="5"/>
        <v>1.7804154302670624E-2</v>
      </c>
      <c r="U14" s="82">
        <f t="shared" si="6"/>
        <v>1.8519770684846532E-2</v>
      </c>
      <c r="V14" s="84">
        <f t="shared" si="7"/>
        <v>2.3239930695462707E-2</v>
      </c>
    </row>
    <row r="15" spans="1:25" x14ac:dyDescent="0.25">
      <c r="A15" s="114">
        <v>10</v>
      </c>
      <c r="B15" s="115" t="s">
        <v>33</v>
      </c>
      <c r="C15" s="116" t="s">
        <v>34</v>
      </c>
      <c r="D15" s="2">
        <v>1279699253.47</v>
      </c>
      <c r="E15" s="3">
        <f t="shared" si="0"/>
        <v>5.7393110542136604E-2</v>
      </c>
      <c r="F15" s="4">
        <v>2.58</v>
      </c>
      <c r="G15" s="4">
        <v>2.63</v>
      </c>
      <c r="H15" s="60">
        <v>3672</v>
      </c>
      <c r="I15" s="5">
        <v>0.2099</v>
      </c>
      <c r="J15" s="5">
        <v>0.30170000000000002</v>
      </c>
      <c r="K15" s="2">
        <v>1291105852.2</v>
      </c>
      <c r="L15" s="3">
        <f t="shared" si="2"/>
        <v>5.7058098608317002E-2</v>
      </c>
      <c r="M15" s="4">
        <v>2.6</v>
      </c>
      <c r="N15" s="4">
        <v>2.65</v>
      </c>
      <c r="O15" s="60">
        <v>3673</v>
      </c>
      <c r="P15" s="5">
        <v>0.22109999999999999</v>
      </c>
      <c r="Q15" s="5">
        <v>0.31290000000000001</v>
      </c>
      <c r="R15" s="81">
        <f t="shared" si="3"/>
        <v>8.9134995578610959E-3</v>
      </c>
      <c r="S15" s="81">
        <f t="shared" si="4"/>
        <v>7.6045627376425924E-3</v>
      </c>
      <c r="T15" s="81">
        <f t="shared" si="5"/>
        <v>2.7233115468409589E-4</v>
      </c>
      <c r="U15" s="82">
        <f t="shared" si="6"/>
        <v>1.1199999999999988E-2</v>
      </c>
      <c r="V15" s="84">
        <f t="shared" si="7"/>
        <v>1.1199999999999988E-2</v>
      </c>
    </row>
    <row r="16" spans="1:25" x14ac:dyDescent="0.25">
      <c r="A16" s="121">
        <v>11</v>
      </c>
      <c r="B16" s="115" t="s">
        <v>35</v>
      </c>
      <c r="C16" s="116" t="s">
        <v>36</v>
      </c>
      <c r="D16" s="4">
        <v>428843845.12</v>
      </c>
      <c r="E16" s="3">
        <f t="shared" si="0"/>
        <v>1.9233176968375922E-2</v>
      </c>
      <c r="F16" s="4">
        <v>16.300044</v>
      </c>
      <c r="G16" s="4">
        <v>16.431215000000002</v>
      </c>
      <c r="H16" s="60">
        <v>243</v>
      </c>
      <c r="I16" s="5">
        <v>1.3118378267438224E-3</v>
      </c>
      <c r="J16" s="5">
        <v>0.39891030824465501</v>
      </c>
      <c r="K16" s="4">
        <v>442418344.43000001</v>
      </c>
      <c r="L16" s="3">
        <f t="shared" si="2"/>
        <v>1.9551882194322915E-2</v>
      </c>
      <c r="M16" s="4">
        <v>16.722193000000001</v>
      </c>
      <c r="N16" s="4">
        <v>16.859071</v>
      </c>
      <c r="O16" s="60">
        <v>250</v>
      </c>
      <c r="P16" s="5">
        <v>2.5898641745997875E-2</v>
      </c>
      <c r="Q16" s="5">
        <v>0.4330459779409388</v>
      </c>
      <c r="R16" s="81">
        <f t="shared" si="3"/>
        <v>3.1653711402110846E-2</v>
      </c>
      <c r="S16" s="81">
        <f t="shared" si="4"/>
        <v>2.6039218645729997E-2</v>
      </c>
      <c r="T16" s="81">
        <f t="shared" si="5"/>
        <v>2.8806584362139918E-2</v>
      </c>
      <c r="U16" s="82">
        <f t="shared" si="6"/>
        <v>2.4586803919254052E-2</v>
      </c>
      <c r="V16" s="84">
        <f t="shared" si="7"/>
        <v>3.4135669696283788E-2</v>
      </c>
    </row>
    <row r="17" spans="1:22" x14ac:dyDescent="0.25">
      <c r="A17" s="120">
        <v>12</v>
      </c>
      <c r="B17" s="115" t="s">
        <v>37</v>
      </c>
      <c r="C17" s="116" t="s">
        <v>38</v>
      </c>
      <c r="D17" s="4">
        <v>344347500.38999999</v>
      </c>
      <c r="E17" s="3">
        <f t="shared" si="0"/>
        <v>1.5443608411275052E-2</v>
      </c>
      <c r="F17" s="4">
        <v>2.4810270000000001</v>
      </c>
      <c r="G17" s="4">
        <v>2.503104</v>
      </c>
      <c r="H17" s="60">
        <v>17</v>
      </c>
      <c r="I17" s="5">
        <v>2.03480314206342E-3</v>
      </c>
      <c r="J17" s="5">
        <v>0.74270314685314698</v>
      </c>
      <c r="K17" s="4">
        <v>351136814.41000003</v>
      </c>
      <c r="L17" s="3">
        <f t="shared" si="2"/>
        <v>1.551785931995955E-2</v>
      </c>
      <c r="M17" s="4">
        <v>2.529944</v>
      </c>
      <c r="N17" s="4">
        <v>2.5528870000000001</v>
      </c>
      <c r="O17" s="60">
        <v>17</v>
      </c>
      <c r="P17" s="5">
        <v>2.0999999999999999E-3</v>
      </c>
      <c r="Q17" s="5">
        <v>0.7772</v>
      </c>
      <c r="R17" s="81">
        <f t="shared" si="3"/>
        <v>1.9716460878358696E-2</v>
      </c>
      <c r="S17" s="81">
        <f t="shared" si="4"/>
        <v>1.988850643041605E-2</v>
      </c>
      <c r="T17" s="81">
        <f t="shared" si="5"/>
        <v>0</v>
      </c>
      <c r="U17" s="82">
        <f t="shared" si="6"/>
        <v>6.5196857936579856E-5</v>
      </c>
      <c r="V17" s="84">
        <f t="shared" si="7"/>
        <v>3.4496853146853024E-2</v>
      </c>
    </row>
    <row r="18" spans="1:22" x14ac:dyDescent="0.25">
      <c r="A18" s="123">
        <v>13</v>
      </c>
      <c r="B18" s="115" t="s">
        <v>39</v>
      </c>
      <c r="C18" s="116" t="s">
        <v>40</v>
      </c>
      <c r="D18" s="2">
        <v>992415518.59000003</v>
      </c>
      <c r="E18" s="3">
        <f t="shared" si="0"/>
        <v>4.4508749542302481E-2</v>
      </c>
      <c r="F18" s="4">
        <v>23.87</v>
      </c>
      <c r="G18" s="4">
        <v>24.35</v>
      </c>
      <c r="H18" s="60">
        <v>8863</v>
      </c>
      <c r="I18" s="5">
        <v>6.9999999999999999E-4</v>
      </c>
      <c r="J18" s="5">
        <v>0.38779999999999998</v>
      </c>
      <c r="K18" s="2">
        <v>1015314024.59</v>
      </c>
      <c r="L18" s="3">
        <f t="shared" si="2"/>
        <v>4.4869975327545351E-2</v>
      </c>
      <c r="M18" s="4">
        <v>23.87</v>
      </c>
      <c r="N18" s="4">
        <v>24.35</v>
      </c>
      <c r="O18" s="60">
        <v>8863</v>
      </c>
      <c r="P18" s="5">
        <v>2.4500000000000001E-2</v>
      </c>
      <c r="Q18" s="5">
        <v>0.41909999999999997</v>
      </c>
      <c r="R18" s="81">
        <f t="shared" si="3"/>
        <v>2.3073506581732663E-2</v>
      </c>
      <c r="S18" s="81">
        <f t="shared" si="4"/>
        <v>0</v>
      </c>
      <c r="T18" s="81">
        <f t="shared" si="5"/>
        <v>0</v>
      </c>
      <c r="U18" s="82">
        <f t="shared" si="6"/>
        <v>2.3800000000000002E-2</v>
      </c>
      <c r="V18" s="84">
        <f t="shared" si="7"/>
        <v>3.1299999999999994E-2</v>
      </c>
    </row>
    <row r="19" spans="1:22" ht="12.75" customHeight="1" x14ac:dyDescent="0.25">
      <c r="A19" s="121">
        <v>14</v>
      </c>
      <c r="B19" s="115" t="s">
        <v>41</v>
      </c>
      <c r="C19" s="116" t="s">
        <v>42</v>
      </c>
      <c r="D19" s="2">
        <v>500703304.45999998</v>
      </c>
      <c r="E19" s="3">
        <f t="shared" si="0"/>
        <v>2.2455995050214769E-2</v>
      </c>
      <c r="F19" s="4">
        <v>4886.99</v>
      </c>
      <c r="G19" s="4">
        <v>4947.05</v>
      </c>
      <c r="H19" s="60">
        <v>1135</v>
      </c>
      <c r="I19" s="5">
        <v>5.5999999999999999E-3</v>
      </c>
      <c r="J19" s="5">
        <v>0.51090000000000002</v>
      </c>
      <c r="K19" s="2">
        <v>508139811.63</v>
      </c>
      <c r="L19" s="3">
        <f t="shared" si="2"/>
        <v>2.2456324111142591E-2</v>
      </c>
      <c r="M19" s="4">
        <v>4959.37</v>
      </c>
      <c r="N19" s="4">
        <v>5020.66</v>
      </c>
      <c r="O19" s="60">
        <v>1135</v>
      </c>
      <c r="P19" s="5">
        <v>1.49E-2</v>
      </c>
      <c r="Q19" s="5">
        <v>0.53339999999999999</v>
      </c>
      <c r="R19" s="81">
        <f t="shared" si="3"/>
        <v>1.4852123211010487E-2</v>
      </c>
      <c r="S19" s="81">
        <f t="shared" si="4"/>
        <v>1.4879574696030901E-2</v>
      </c>
      <c r="T19" s="81">
        <f t="shared" si="5"/>
        <v>0</v>
      </c>
      <c r="U19" s="82">
        <f t="shared" si="6"/>
        <v>9.2999999999999992E-3</v>
      </c>
      <c r="V19" s="84">
        <f t="shared" si="7"/>
        <v>2.2499999999999964E-2</v>
      </c>
    </row>
    <row r="20" spans="1:22" x14ac:dyDescent="0.25">
      <c r="A20" s="121">
        <v>15</v>
      </c>
      <c r="B20" s="115" t="s">
        <v>43</v>
      </c>
      <c r="C20" s="116" t="s">
        <v>42</v>
      </c>
      <c r="D20" s="4">
        <v>9814937699.8899994</v>
      </c>
      <c r="E20" s="3">
        <f t="shared" si="0"/>
        <v>0.44018921074347284</v>
      </c>
      <c r="F20" s="4">
        <v>16856.29</v>
      </c>
      <c r="G20" s="4">
        <v>17062.990000000002</v>
      </c>
      <c r="H20" s="60">
        <v>29387</v>
      </c>
      <c r="I20" s="5">
        <v>1.8E-3</v>
      </c>
      <c r="J20" s="5">
        <v>0.37919999999999998</v>
      </c>
      <c r="K20" s="4">
        <v>9978994514.2399998</v>
      </c>
      <c r="L20" s="3">
        <f t="shared" si="2"/>
        <v>0.44100369619977492</v>
      </c>
      <c r="M20" s="4">
        <v>17086.97</v>
      </c>
      <c r="N20" s="4">
        <v>17297.150000000001</v>
      </c>
      <c r="O20" s="60">
        <v>29406</v>
      </c>
      <c r="P20" s="5">
        <v>1.37E-2</v>
      </c>
      <c r="Q20" s="5">
        <v>0.39810000000000001</v>
      </c>
      <c r="R20" s="81">
        <f t="shared" si="3"/>
        <v>1.6715013316064047E-2</v>
      </c>
      <c r="S20" s="81">
        <f t="shared" si="4"/>
        <v>1.3723268899530494E-2</v>
      </c>
      <c r="T20" s="81">
        <f t="shared" si="5"/>
        <v>6.465443903766972E-4</v>
      </c>
      <c r="U20" s="82">
        <f t="shared" si="6"/>
        <v>1.1900000000000001E-2</v>
      </c>
      <c r="V20" s="84">
        <f t="shared" si="7"/>
        <v>1.8900000000000028E-2</v>
      </c>
    </row>
    <row r="21" spans="1:22" x14ac:dyDescent="0.25">
      <c r="A21" s="121">
        <v>16</v>
      </c>
      <c r="B21" s="116" t="s">
        <v>44</v>
      </c>
      <c r="C21" s="116" t="s">
        <v>45</v>
      </c>
      <c r="D21" s="4">
        <v>2506359535.6900001</v>
      </c>
      <c r="E21" s="3">
        <f t="shared" si="0"/>
        <v>0.11240748128917039</v>
      </c>
      <c r="F21" s="4">
        <v>1.2366999999999999</v>
      </c>
      <c r="G21" s="8">
        <v>1.2484999999999999</v>
      </c>
      <c r="H21" s="60">
        <v>3419</v>
      </c>
      <c r="I21" s="5">
        <v>8.2000000000000007E-3</v>
      </c>
      <c r="J21" s="5">
        <v>0.35539999999999999</v>
      </c>
      <c r="K21" s="4">
        <v>2524979523.77</v>
      </c>
      <c r="L21" s="3">
        <f t="shared" si="2"/>
        <v>0.11158692403551476</v>
      </c>
      <c r="M21" s="4">
        <v>1.2458</v>
      </c>
      <c r="N21" s="8">
        <v>1.2577</v>
      </c>
      <c r="O21" s="60">
        <v>3421</v>
      </c>
      <c r="P21" s="5">
        <v>7.4000000000000003E-3</v>
      </c>
      <c r="Q21" s="5">
        <v>0.36499999999999999</v>
      </c>
      <c r="R21" s="81">
        <f t="shared" si="3"/>
        <v>7.4290969890215075E-3</v>
      </c>
      <c r="S21" s="81">
        <f t="shared" si="4"/>
        <v>7.3688426111334377E-3</v>
      </c>
      <c r="T21" s="81">
        <f t="shared" si="5"/>
        <v>5.8496636443404503E-4</v>
      </c>
      <c r="U21" s="82">
        <f t="shared" si="6"/>
        <v>-8.0000000000000036E-4</v>
      </c>
      <c r="V21" s="84">
        <f t="shared" si="7"/>
        <v>9.5999999999999974E-3</v>
      </c>
    </row>
    <row r="22" spans="1:22" x14ac:dyDescent="0.25">
      <c r="A22" s="76"/>
      <c r="B22" s="19"/>
      <c r="C22" s="72" t="s">
        <v>46</v>
      </c>
      <c r="D22" s="58">
        <f>SUM(D6:D21)</f>
        <v>22297088298.263195</v>
      </c>
      <c r="E22" s="105">
        <f>(D22/$D$173)</f>
        <v>1.119302319878579E-2</v>
      </c>
      <c r="F22" s="30"/>
      <c r="G22" s="31"/>
      <c r="H22" s="66">
        <f>SUM(H6:H21)</f>
        <v>58837</v>
      </c>
      <c r="I22" s="28"/>
      <c r="J22" s="60">
        <v>0</v>
      </c>
      <c r="K22" s="58">
        <f>SUM(K6:K21)</f>
        <v>22627915820.731602</v>
      </c>
      <c r="L22" s="105">
        <f>(K22/$K$173)</f>
        <v>1.1342146827961464E-2</v>
      </c>
      <c r="M22" s="30"/>
      <c r="N22" s="31"/>
      <c r="O22" s="66">
        <f>SUM(O6:O21)</f>
        <v>58820</v>
      </c>
      <c r="P22" s="28"/>
      <c r="Q22" s="66"/>
      <c r="R22" s="81">
        <f t="shared" si="3"/>
        <v>1.4837252202754029E-2</v>
      </c>
      <c r="S22" s="81" t="e">
        <f t="shared" si="4"/>
        <v>#DIV/0!</v>
      </c>
      <c r="T22" s="81">
        <f t="shared" si="5"/>
        <v>-2.8893383415197921E-4</v>
      </c>
      <c r="U22" s="82">
        <f t="shared" si="6"/>
        <v>0</v>
      </c>
      <c r="V22" s="84">
        <f t="shared" si="7"/>
        <v>0</v>
      </c>
    </row>
    <row r="23" spans="1:22" ht="9" customHeight="1" x14ac:dyDescent="0.25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1:22" ht="15" customHeight="1" x14ac:dyDescent="0.25">
      <c r="A24" s="135" t="s">
        <v>47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</row>
    <row r="25" spans="1:22" x14ac:dyDescent="0.25">
      <c r="A25" s="120">
        <v>17</v>
      </c>
      <c r="B25" s="115" t="s">
        <v>48</v>
      </c>
      <c r="C25" s="116" t="s">
        <v>17</v>
      </c>
      <c r="D25" s="9">
        <v>847542393.01999998</v>
      </c>
      <c r="E25" s="3">
        <f>(D25/$K$54)</f>
        <v>9.7557270273495819E-4</v>
      </c>
      <c r="F25" s="8">
        <v>100</v>
      </c>
      <c r="G25" s="8">
        <v>100</v>
      </c>
      <c r="H25" s="60">
        <v>947</v>
      </c>
      <c r="I25" s="5">
        <v>8.2299999999999998E-2</v>
      </c>
      <c r="J25" s="5">
        <v>8.2299999999999998E-2</v>
      </c>
      <c r="K25" s="9">
        <v>847542393.01999998</v>
      </c>
      <c r="L25" s="3">
        <f t="shared" ref="L25:L53" si="8">(K25/$K$54)</f>
        <v>9.7557270273495819E-4</v>
      </c>
      <c r="M25" s="8">
        <v>100</v>
      </c>
      <c r="N25" s="8">
        <v>100</v>
      </c>
      <c r="O25" s="60">
        <v>741</v>
      </c>
      <c r="P25" s="5">
        <v>9.9900000000000003E-2</v>
      </c>
      <c r="Q25" s="5">
        <v>9.9900000000000003E-2</v>
      </c>
      <c r="R25" s="81">
        <f t="shared" ref="R25" si="9">((K25-D25)/D25)</f>
        <v>0</v>
      </c>
      <c r="S25" s="81">
        <f t="shared" ref="S25" si="10">((N25-G25)/G25)</f>
        <v>0</v>
      </c>
      <c r="T25" s="81">
        <f t="shared" ref="T25" si="11">((O25-H25)/H25)</f>
        <v>-0.21752903907074975</v>
      </c>
      <c r="U25" s="82">
        <f t="shared" ref="U25" si="12">P25-I25</f>
        <v>1.7600000000000005E-2</v>
      </c>
      <c r="V25" s="84">
        <f t="shared" ref="V25" si="13">Q25-J25</f>
        <v>1.7600000000000005E-2</v>
      </c>
    </row>
    <row r="26" spans="1:22" x14ac:dyDescent="0.25">
      <c r="A26" s="123">
        <v>18</v>
      </c>
      <c r="B26" s="115" t="s">
        <v>49</v>
      </c>
      <c r="C26" s="116" t="s">
        <v>50</v>
      </c>
      <c r="D26" s="9">
        <v>3939163118.5900002</v>
      </c>
      <c r="E26" s="3">
        <f t="shared" ref="E26:E53" si="14">(D26/$K$54)</f>
        <v>4.5342156826201716E-3</v>
      </c>
      <c r="F26" s="8">
        <v>100</v>
      </c>
      <c r="G26" s="8">
        <v>100</v>
      </c>
      <c r="H26" s="60">
        <v>1139</v>
      </c>
      <c r="I26" s="5">
        <v>0.13489999999999999</v>
      </c>
      <c r="J26" s="5">
        <v>0.13489999999999999</v>
      </c>
      <c r="K26" s="9">
        <v>4142926363.21</v>
      </c>
      <c r="L26" s="3">
        <f t="shared" si="8"/>
        <v>4.7687595366021013E-3</v>
      </c>
      <c r="M26" s="8">
        <v>100</v>
      </c>
      <c r="N26" s="8">
        <v>100</v>
      </c>
      <c r="O26" s="60">
        <v>1147</v>
      </c>
      <c r="P26" s="5">
        <v>0.1333</v>
      </c>
      <c r="Q26" s="5">
        <v>0.1333</v>
      </c>
      <c r="R26" s="81">
        <f t="shared" ref="R26:R54" si="15">((K26-D26)/D26)</f>
        <v>5.1727546812769643E-2</v>
      </c>
      <c r="S26" s="81">
        <f t="shared" ref="S26:S54" si="16">((N26-G26)/G26)</f>
        <v>0</v>
      </c>
      <c r="T26" s="81">
        <f t="shared" ref="T26:T54" si="17">((O26-H26)/H26)</f>
        <v>7.0237050043898156E-3</v>
      </c>
      <c r="U26" s="82">
        <f t="shared" ref="U26:U54" si="18">P26-I26</f>
        <v>-1.5999999999999903E-3</v>
      </c>
      <c r="V26" s="84">
        <f t="shared" ref="V26:V54" si="19">Q26-J26</f>
        <v>-1.5999999999999903E-3</v>
      </c>
    </row>
    <row r="27" spans="1:22" x14ac:dyDescent="0.25">
      <c r="A27" s="113">
        <v>19</v>
      </c>
      <c r="B27" s="115" t="s">
        <v>51</v>
      </c>
      <c r="C27" s="116" t="s">
        <v>19</v>
      </c>
      <c r="D27" s="9">
        <v>389181855.88</v>
      </c>
      <c r="E27" s="3">
        <f t="shared" si="14"/>
        <v>4.4797192225793378E-4</v>
      </c>
      <c r="F27" s="8">
        <v>100</v>
      </c>
      <c r="G27" s="8">
        <v>100</v>
      </c>
      <c r="H27" s="60">
        <v>1314</v>
      </c>
      <c r="I27" s="5">
        <v>9.1399999999999995E-2</v>
      </c>
      <c r="J27" s="5">
        <v>9.1399999999999995E-2</v>
      </c>
      <c r="K27" s="9">
        <v>395871325.32999998</v>
      </c>
      <c r="L27" s="3">
        <f t="shared" si="8"/>
        <v>4.5567190735006048E-4</v>
      </c>
      <c r="M27" s="8">
        <v>100</v>
      </c>
      <c r="N27" s="8">
        <v>100</v>
      </c>
      <c r="O27" s="60">
        <v>1318</v>
      </c>
      <c r="P27" s="5">
        <v>2.4000000000000001E-4</v>
      </c>
      <c r="Q27" s="5">
        <v>8.9099999999999999E-2</v>
      </c>
      <c r="R27" s="81">
        <f t="shared" si="15"/>
        <v>1.7188543990248644E-2</v>
      </c>
      <c r="S27" s="81">
        <f t="shared" si="16"/>
        <v>0</v>
      </c>
      <c r="T27" s="81">
        <f t="shared" si="17"/>
        <v>3.0441400304414001E-3</v>
      </c>
      <c r="U27" s="82">
        <f t="shared" si="18"/>
        <v>-9.1159999999999991E-2</v>
      </c>
      <c r="V27" s="84">
        <f t="shared" si="19"/>
        <v>-2.2999999999999965E-3</v>
      </c>
    </row>
    <row r="28" spans="1:22" x14ac:dyDescent="0.25">
      <c r="A28" s="123">
        <v>20</v>
      </c>
      <c r="B28" s="115" t="s">
        <v>52</v>
      </c>
      <c r="C28" s="116" t="s">
        <v>21</v>
      </c>
      <c r="D28" s="9">
        <v>80880029567.389999</v>
      </c>
      <c r="E28" s="3">
        <f t="shared" si="14"/>
        <v>9.3097819875636631E-2</v>
      </c>
      <c r="F28" s="8">
        <v>1</v>
      </c>
      <c r="G28" s="8">
        <v>1</v>
      </c>
      <c r="H28" s="60">
        <v>54059</v>
      </c>
      <c r="I28" s="5">
        <v>8.8999999999999996E-2</v>
      </c>
      <c r="J28" s="5">
        <v>8.8999999999999996E-2</v>
      </c>
      <c r="K28" s="9">
        <v>80661889366.100006</v>
      </c>
      <c r="L28" s="3">
        <f t="shared" si="8"/>
        <v>9.2846727272481624E-2</v>
      </c>
      <c r="M28" s="8">
        <v>1</v>
      </c>
      <c r="N28" s="8">
        <v>1</v>
      </c>
      <c r="O28" s="60">
        <v>54197</v>
      </c>
      <c r="P28" s="5">
        <v>9.2299999999999993E-2</v>
      </c>
      <c r="Q28" s="5">
        <v>9.2299999999999993E-2</v>
      </c>
      <c r="R28" s="81">
        <f t="shared" si="15"/>
        <v>-2.6970835997066102E-3</v>
      </c>
      <c r="S28" s="81">
        <f t="shared" si="16"/>
        <v>0</v>
      </c>
      <c r="T28" s="81">
        <f t="shared" si="17"/>
        <v>2.5527664218723987E-3</v>
      </c>
      <c r="U28" s="82">
        <f t="shared" si="18"/>
        <v>3.2999999999999974E-3</v>
      </c>
      <c r="V28" s="84">
        <f t="shared" si="19"/>
        <v>3.2999999999999974E-3</v>
      </c>
    </row>
    <row r="29" spans="1:22" x14ac:dyDescent="0.25">
      <c r="A29" s="123">
        <v>21</v>
      </c>
      <c r="B29" s="115" t="s">
        <v>53</v>
      </c>
      <c r="C29" s="116" t="s">
        <v>23</v>
      </c>
      <c r="D29" s="9">
        <v>41286950343.959999</v>
      </c>
      <c r="E29" s="3">
        <f t="shared" si="14"/>
        <v>4.7523784139244338E-2</v>
      </c>
      <c r="F29" s="8">
        <v>1</v>
      </c>
      <c r="G29" s="8">
        <v>1</v>
      </c>
      <c r="H29" s="60">
        <v>26110</v>
      </c>
      <c r="I29" s="5">
        <v>9.3399999999999997E-2</v>
      </c>
      <c r="J29" s="5">
        <v>9.3399999999999997E-2</v>
      </c>
      <c r="K29" s="9">
        <v>41863991859.120003</v>
      </c>
      <c r="L29" s="3">
        <f t="shared" si="8"/>
        <v>4.8187993924113041E-2</v>
      </c>
      <c r="M29" s="8">
        <v>1</v>
      </c>
      <c r="N29" s="8">
        <v>1</v>
      </c>
      <c r="O29" s="60">
        <v>26130</v>
      </c>
      <c r="P29" s="5">
        <v>9.2299999999999993E-2</v>
      </c>
      <c r="Q29" s="5">
        <v>9.2299999999999993E-2</v>
      </c>
      <c r="R29" s="81">
        <f t="shared" si="15"/>
        <v>1.3976365664034106E-2</v>
      </c>
      <c r="S29" s="81">
        <f t="shared" si="16"/>
        <v>0</v>
      </c>
      <c r="T29" s="81">
        <f t="shared" si="17"/>
        <v>7.659900421294523E-4</v>
      </c>
      <c r="U29" s="82">
        <f t="shared" si="18"/>
        <v>-1.1000000000000038E-3</v>
      </c>
      <c r="V29" s="84">
        <f t="shared" si="19"/>
        <v>-1.1000000000000038E-3</v>
      </c>
    </row>
    <row r="30" spans="1:22" ht="15" customHeight="1" x14ac:dyDescent="0.25">
      <c r="A30" s="124">
        <v>22</v>
      </c>
      <c r="B30" s="115" t="s">
        <v>54</v>
      </c>
      <c r="C30" s="116" t="s">
        <v>40</v>
      </c>
      <c r="D30" s="9">
        <v>7178490415.3800001</v>
      </c>
      <c r="E30" s="3">
        <f t="shared" si="14"/>
        <v>8.2628778852410767E-3</v>
      </c>
      <c r="F30" s="8">
        <v>100</v>
      </c>
      <c r="G30" s="8">
        <v>100</v>
      </c>
      <c r="H30" s="60">
        <v>2705</v>
      </c>
      <c r="I30" s="5">
        <v>9.3200000000000005E-2</v>
      </c>
      <c r="J30" s="5">
        <v>9.3200000000000005E-2</v>
      </c>
      <c r="K30" s="9">
        <v>7406924421</v>
      </c>
      <c r="L30" s="3">
        <f t="shared" si="8"/>
        <v>8.5258192815589572E-3</v>
      </c>
      <c r="M30" s="8">
        <v>100</v>
      </c>
      <c r="N30" s="8">
        <v>100</v>
      </c>
      <c r="O30" s="60">
        <v>2705</v>
      </c>
      <c r="P30" s="5">
        <v>1.1000000000000001E-3</v>
      </c>
      <c r="Q30" s="5">
        <v>9.5100000000000004E-2</v>
      </c>
      <c r="R30" s="81">
        <f t="shared" si="15"/>
        <v>3.1822011648936291E-2</v>
      </c>
      <c r="S30" s="81">
        <f t="shared" si="16"/>
        <v>0</v>
      </c>
      <c r="T30" s="81">
        <f t="shared" si="17"/>
        <v>0</v>
      </c>
      <c r="U30" s="82">
        <f t="shared" si="18"/>
        <v>-9.2100000000000001E-2</v>
      </c>
      <c r="V30" s="84">
        <f t="shared" si="19"/>
        <v>1.8999999999999989E-3</v>
      </c>
    </row>
    <row r="31" spans="1:22" x14ac:dyDescent="0.25">
      <c r="A31" s="123">
        <v>23</v>
      </c>
      <c r="B31" s="115" t="s">
        <v>55</v>
      </c>
      <c r="C31" s="116" t="s">
        <v>56</v>
      </c>
      <c r="D31" s="9">
        <v>12912495877.309999</v>
      </c>
      <c r="E31" s="3">
        <f t="shared" si="14"/>
        <v>1.4863065972658738E-2</v>
      </c>
      <c r="F31" s="8">
        <v>100</v>
      </c>
      <c r="G31" s="8">
        <v>100</v>
      </c>
      <c r="H31" s="60">
        <v>1738</v>
      </c>
      <c r="I31" s="5">
        <v>9.9542202648544895E-2</v>
      </c>
      <c r="J31" s="5">
        <v>9.9542202648544895E-2</v>
      </c>
      <c r="K31" s="9">
        <v>12404875048.25</v>
      </c>
      <c r="L31" s="3">
        <f t="shared" si="8"/>
        <v>1.4278763608258971E-2</v>
      </c>
      <c r="M31" s="8">
        <v>100</v>
      </c>
      <c r="N31" s="8">
        <v>100</v>
      </c>
      <c r="O31" s="60">
        <v>1754</v>
      </c>
      <c r="P31" s="5">
        <v>0.105354392566613</v>
      </c>
      <c r="Q31" s="5">
        <v>0.105354392566613</v>
      </c>
      <c r="R31" s="81">
        <f t="shared" si="15"/>
        <v>-3.9312371046096299E-2</v>
      </c>
      <c r="S31" s="81">
        <f t="shared" si="16"/>
        <v>0</v>
      </c>
      <c r="T31" s="81">
        <f t="shared" si="17"/>
        <v>9.2059838895281933E-3</v>
      </c>
      <c r="U31" s="82">
        <f t="shared" si="18"/>
        <v>5.812189918068103E-3</v>
      </c>
      <c r="V31" s="84">
        <f t="shared" si="19"/>
        <v>5.812189918068103E-3</v>
      </c>
    </row>
    <row r="32" spans="1:22" x14ac:dyDescent="0.25">
      <c r="A32" s="122">
        <v>24</v>
      </c>
      <c r="B32" s="115" t="s">
        <v>57</v>
      </c>
      <c r="C32" s="116" t="s">
        <v>58</v>
      </c>
      <c r="D32" s="9">
        <v>6472324407.4099998</v>
      </c>
      <c r="E32" s="3">
        <f t="shared" si="14"/>
        <v>7.4500379769975823E-3</v>
      </c>
      <c r="F32" s="8">
        <v>100</v>
      </c>
      <c r="G32" s="8">
        <v>100</v>
      </c>
      <c r="H32" s="60">
        <v>5650</v>
      </c>
      <c r="I32" s="5">
        <v>9.3299999999999994E-2</v>
      </c>
      <c r="J32" s="5">
        <v>9.3299999999999994E-2</v>
      </c>
      <c r="K32" s="9">
        <v>5945978917.7399998</v>
      </c>
      <c r="L32" s="3">
        <f t="shared" si="8"/>
        <v>6.8441823924762779E-3</v>
      </c>
      <c r="M32" s="8">
        <v>100</v>
      </c>
      <c r="N32" s="8">
        <v>100</v>
      </c>
      <c r="O32" s="60">
        <v>5656</v>
      </c>
      <c r="P32" s="5">
        <v>8.5000000000000006E-2</v>
      </c>
      <c r="Q32" s="5">
        <v>8.5000000000000006E-2</v>
      </c>
      <c r="R32" s="81">
        <f t="shared" si="15"/>
        <v>-8.1322482703030233E-2</v>
      </c>
      <c r="S32" s="81">
        <f t="shared" si="16"/>
        <v>0</v>
      </c>
      <c r="T32" s="81">
        <f t="shared" si="17"/>
        <v>1.0619469026548673E-3</v>
      </c>
      <c r="U32" s="82">
        <f t="shared" si="18"/>
        <v>-8.2999999999999879E-3</v>
      </c>
      <c r="V32" s="84">
        <f t="shared" si="19"/>
        <v>-8.2999999999999879E-3</v>
      </c>
    </row>
    <row r="33" spans="1:22" x14ac:dyDescent="0.25">
      <c r="A33" s="124">
        <v>25</v>
      </c>
      <c r="B33" s="115" t="s">
        <v>59</v>
      </c>
      <c r="C33" s="116" t="s">
        <v>60</v>
      </c>
      <c r="D33" s="9">
        <v>44514190.369999997</v>
      </c>
      <c r="E33" s="3">
        <f t="shared" si="14"/>
        <v>5.1238533160068815E-5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5.1238533160068815E-5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1">
        <f t="shared" si="15"/>
        <v>0</v>
      </c>
      <c r="S33" s="81">
        <f t="shared" si="16"/>
        <v>0</v>
      </c>
      <c r="T33" s="81" t="e">
        <f t="shared" si="17"/>
        <v>#DIV/0!</v>
      </c>
      <c r="U33" s="82">
        <f t="shared" si="18"/>
        <v>0</v>
      </c>
      <c r="V33" s="84">
        <f t="shared" si="19"/>
        <v>0</v>
      </c>
    </row>
    <row r="34" spans="1:22" x14ac:dyDescent="0.25">
      <c r="A34" s="123">
        <v>26</v>
      </c>
      <c r="B34" s="115" t="s">
        <v>61</v>
      </c>
      <c r="C34" s="116" t="s">
        <v>62</v>
      </c>
      <c r="D34" s="9">
        <v>4854070292</v>
      </c>
      <c r="E34" s="3">
        <f t="shared" si="14"/>
        <v>5.5873293336492266E-3</v>
      </c>
      <c r="F34" s="8">
        <v>1</v>
      </c>
      <c r="G34" s="8">
        <v>1</v>
      </c>
      <c r="H34" s="60">
        <v>1637</v>
      </c>
      <c r="I34" s="5">
        <v>9.7000000000000003E-2</v>
      </c>
      <c r="J34" s="5">
        <v>9.7000000000000003E-2</v>
      </c>
      <c r="K34" s="9">
        <v>5098582841.6948004</v>
      </c>
      <c r="L34" s="3">
        <f t="shared" si="8"/>
        <v>5.8687781094542892E-3</v>
      </c>
      <c r="M34" s="8">
        <v>1</v>
      </c>
      <c r="N34" s="8">
        <v>1</v>
      </c>
      <c r="O34" s="60">
        <v>2037</v>
      </c>
      <c r="P34" s="5">
        <v>9.1700000000000004E-2</v>
      </c>
      <c r="Q34" s="5">
        <v>9.1700000000000004E-2</v>
      </c>
      <c r="R34" s="81">
        <f t="shared" si="15"/>
        <v>5.0372684157001565E-2</v>
      </c>
      <c r="S34" s="81">
        <f t="shared" si="16"/>
        <v>0</v>
      </c>
      <c r="T34" s="81">
        <f t="shared" si="17"/>
        <v>0.24434941967012827</v>
      </c>
      <c r="U34" s="82">
        <f t="shared" si="18"/>
        <v>-5.2999999999999992E-3</v>
      </c>
      <c r="V34" s="84">
        <f t="shared" si="19"/>
        <v>-5.2999999999999992E-3</v>
      </c>
    </row>
    <row r="35" spans="1:22" x14ac:dyDescent="0.25">
      <c r="A35" s="113">
        <v>27</v>
      </c>
      <c r="B35" s="115" t="s">
        <v>63</v>
      </c>
      <c r="C35" s="116" t="s">
        <v>64</v>
      </c>
      <c r="D35" s="9">
        <v>14017970369.98</v>
      </c>
      <c r="E35" s="3">
        <f t="shared" si="14"/>
        <v>1.6135534167170843E-2</v>
      </c>
      <c r="F35" s="11">
        <v>100</v>
      </c>
      <c r="G35" s="11">
        <v>100</v>
      </c>
      <c r="H35" s="60">
        <v>2563</v>
      </c>
      <c r="I35" s="5">
        <v>9.7799999999999998E-2</v>
      </c>
      <c r="J35" s="5">
        <v>9.7799999999999998E-2</v>
      </c>
      <c r="K35" s="9">
        <v>14002446860.360001</v>
      </c>
      <c r="L35" s="3">
        <f t="shared" si="8"/>
        <v>1.6117665666007201E-2</v>
      </c>
      <c r="M35" s="11">
        <v>100</v>
      </c>
      <c r="N35" s="11">
        <v>100</v>
      </c>
      <c r="O35" s="60">
        <v>2563</v>
      </c>
      <c r="P35" s="5">
        <v>9.35E-2</v>
      </c>
      <c r="Q35" s="5">
        <v>9.35E-2</v>
      </c>
      <c r="R35" s="81">
        <f t="shared" si="15"/>
        <v>-1.1074006586034096E-3</v>
      </c>
      <c r="S35" s="81">
        <f t="shared" si="16"/>
        <v>0</v>
      </c>
      <c r="T35" s="81">
        <f t="shared" si="17"/>
        <v>0</v>
      </c>
      <c r="U35" s="82">
        <f t="shared" si="18"/>
        <v>-4.2999999999999983E-3</v>
      </c>
      <c r="V35" s="84">
        <f t="shared" si="19"/>
        <v>-4.2999999999999983E-3</v>
      </c>
    </row>
    <row r="36" spans="1:22" x14ac:dyDescent="0.25">
      <c r="A36" s="113">
        <v>28</v>
      </c>
      <c r="B36" s="115" t="s">
        <v>65</v>
      </c>
      <c r="C36" s="116" t="s">
        <v>64</v>
      </c>
      <c r="D36" s="9">
        <v>1374314905.8399999</v>
      </c>
      <c r="E36" s="3">
        <f t="shared" si="14"/>
        <v>1.5819198168033465E-3</v>
      </c>
      <c r="F36" s="11">
        <v>1000000</v>
      </c>
      <c r="G36" s="11">
        <v>1000000</v>
      </c>
      <c r="H36" s="60">
        <v>9</v>
      </c>
      <c r="I36" s="5">
        <v>9.3299999999999994E-2</v>
      </c>
      <c r="J36" s="5">
        <v>9.3299999999999994E-2</v>
      </c>
      <c r="K36" s="9">
        <v>1367654309.2</v>
      </c>
      <c r="L36" s="3">
        <f t="shared" si="8"/>
        <v>1.5742530660668335E-3</v>
      </c>
      <c r="M36" s="11">
        <v>1000000</v>
      </c>
      <c r="N36" s="11">
        <v>1000000</v>
      </c>
      <c r="O36" s="60">
        <v>9</v>
      </c>
      <c r="P36" s="5">
        <v>9.2600000000000002E-2</v>
      </c>
      <c r="Q36" s="5">
        <v>9.2600000000000002E-2</v>
      </c>
      <c r="R36" s="81">
        <f t="shared" si="15"/>
        <v>-4.8464850462556974E-3</v>
      </c>
      <c r="S36" s="81">
        <f t="shared" si="16"/>
        <v>0</v>
      </c>
      <c r="T36" s="81">
        <f t="shared" si="17"/>
        <v>0</v>
      </c>
      <c r="U36" s="82">
        <f t="shared" si="18"/>
        <v>-6.999999999999923E-4</v>
      </c>
      <c r="V36" s="84">
        <f t="shared" si="19"/>
        <v>-6.999999999999923E-4</v>
      </c>
    </row>
    <row r="37" spans="1:22" x14ac:dyDescent="0.25">
      <c r="A37" s="113">
        <v>29</v>
      </c>
      <c r="B37" s="115" t="s">
        <v>66</v>
      </c>
      <c r="C37" s="116" t="s">
        <v>67</v>
      </c>
      <c r="D37" s="9">
        <v>2789268132.73</v>
      </c>
      <c r="E37" s="3">
        <f t="shared" si="14"/>
        <v>3.2106168060854557E-3</v>
      </c>
      <c r="F37" s="8">
        <v>1</v>
      </c>
      <c r="G37" s="8">
        <v>1</v>
      </c>
      <c r="H37" s="60">
        <v>429</v>
      </c>
      <c r="I37" s="5">
        <v>0.12620000000000001</v>
      </c>
      <c r="J37" s="5">
        <v>0.12620000000000001</v>
      </c>
      <c r="K37" s="9">
        <v>2766121709.3299999</v>
      </c>
      <c r="L37" s="3">
        <f t="shared" si="8"/>
        <v>3.1839738687870342E-3</v>
      </c>
      <c r="M37" s="8">
        <v>1</v>
      </c>
      <c r="N37" s="8">
        <v>1</v>
      </c>
      <c r="O37" s="60">
        <v>429</v>
      </c>
      <c r="P37" s="5">
        <v>0.12189999999999999</v>
      </c>
      <c r="Q37" s="5">
        <v>0.12189999999999999</v>
      </c>
      <c r="R37" s="81">
        <f t="shared" si="15"/>
        <v>-8.298385920089189E-3</v>
      </c>
      <c r="S37" s="81">
        <f t="shared" si="16"/>
        <v>0</v>
      </c>
      <c r="T37" s="81">
        <f t="shared" si="17"/>
        <v>0</v>
      </c>
      <c r="U37" s="82">
        <f t="shared" si="18"/>
        <v>-4.3000000000000121E-3</v>
      </c>
      <c r="V37" s="84">
        <f t="shared" si="19"/>
        <v>-4.3000000000000121E-3</v>
      </c>
    </row>
    <row r="38" spans="1:22" x14ac:dyDescent="0.25">
      <c r="A38" s="114">
        <v>30</v>
      </c>
      <c r="B38" s="115" t="s">
        <v>68</v>
      </c>
      <c r="C38" s="116" t="s">
        <v>27</v>
      </c>
      <c r="D38" s="9">
        <v>190664479132.14001</v>
      </c>
      <c r="E38" s="3">
        <f t="shared" si="14"/>
        <v>0.21946638038919375</v>
      </c>
      <c r="F38" s="8">
        <v>100</v>
      </c>
      <c r="G38" s="8">
        <v>100</v>
      </c>
      <c r="H38" s="60">
        <v>14819</v>
      </c>
      <c r="I38" s="5">
        <v>0.1013</v>
      </c>
      <c r="J38" s="5">
        <v>0.1013</v>
      </c>
      <c r="K38" s="9">
        <v>193206300512.57001</v>
      </c>
      <c r="L38" s="3">
        <f t="shared" si="8"/>
        <v>0.22239217097429911</v>
      </c>
      <c r="M38" s="8">
        <v>100</v>
      </c>
      <c r="N38" s="8">
        <v>100</v>
      </c>
      <c r="O38" s="60">
        <v>14847</v>
      </c>
      <c r="P38" s="5">
        <v>0.10199999999999999</v>
      </c>
      <c r="Q38" s="5">
        <v>0.10199999999999999</v>
      </c>
      <c r="R38" s="81">
        <f t="shared" si="15"/>
        <v>1.3331383968318417E-2</v>
      </c>
      <c r="S38" s="81">
        <f t="shared" si="16"/>
        <v>0</v>
      </c>
      <c r="T38" s="81">
        <f t="shared" si="17"/>
        <v>1.8894662257912141E-3</v>
      </c>
      <c r="U38" s="82">
        <f t="shared" si="18"/>
        <v>6.999999999999923E-4</v>
      </c>
      <c r="V38" s="84">
        <f t="shared" si="19"/>
        <v>6.999999999999923E-4</v>
      </c>
    </row>
    <row r="39" spans="1:22" x14ac:dyDescent="0.25">
      <c r="A39" s="123">
        <v>31</v>
      </c>
      <c r="B39" s="115" t="s">
        <v>69</v>
      </c>
      <c r="C39" s="116" t="s">
        <v>70</v>
      </c>
      <c r="D39" s="9">
        <v>274299104.54000002</v>
      </c>
      <c r="E39" s="3">
        <f t="shared" si="14"/>
        <v>3.1573490715944866E-4</v>
      </c>
      <c r="F39" s="8">
        <v>1</v>
      </c>
      <c r="G39" s="8">
        <v>1</v>
      </c>
      <c r="H39" s="61">
        <v>433</v>
      </c>
      <c r="I39" s="12">
        <v>6.54E-2</v>
      </c>
      <c r="J39" s="12">
        <v>6.54E-2</v>
      </c>
      <c r="K39" s="9">
        <v>274200502.31999999</v>
      </c>
      <c r="L39" s="3">
        <f t="shared" si="8"/>
        <v>3.1562141002343131E-4</v>
      </c>
      <c r="M39" s="8">
        <v>1</v>
      </c>
      <c r="N39" s="8">
        <v>1</v>
      </c>
      <c r="O39" s="61">
        <v>434</v>
      </c>
      <c r="P39" s="12">
        <v>6.54E-2</v>
      </c>
      <c r="Q39" s="12">
        <v>6.54E-2</v>
      </c>
      <c r="R39" s="81">
        <f t="shared" si="15"/>
        <v>-3.5946971159597719E-4</v>
      </c>
      <c r="S39" s="81">
        <f t="shared" si="16"/>
        <v>0</v>
      </c>
      <c r="T39" s="81">
        <f t="shared" si="17"/>
        <v>2.3094688221709007E-3</v>
      </c>
      <c r="U39" s="82">
        <f t="shared" si="18"/>
        <v>0</v>
      </c>
      <c r="V39" s="84">
        <f t="shared" si="19"/>
        <v>0</v>
      </c>
    </row>
    <row r="40" spans="1:22" x14ac:dyDescent="0.25">
      <c r="A40" s="113">
        <v>32</v>
      </c>
      <c r="B40" s="115" t="s">
        <v>71</v>
      </c>
      <c r="C40" s="116" t="s">
        <v>72</v>
      </c>
      <c r="D40" s="9">
        <v>605517623.01999998</v>
      </c>
      <c r="E40" s="3">
        <f t="shared" si="14"/>
        <v>6.9698751225689916E-4</v>
      </c>
      <c r="F40" s="8">
        <v>10</v>
      </c>
      <c r="G40" s="8">
        <v>10</v>
      </c>
      <c r="H40" s="60">
        <v>286</v>
      </c>
      <c r="I40" s="5">
        <v>9.1999999999999998E-2</v>
      </c>
      <c r="J40" s="5">
        <v>9.1999999999999998E-2</v>
      </c>
      <c r="K40" s="9">
        <v>640142487.70000005</v>
      </c>
      <c r="L40" s="3">
        <f t="shared" si="8"/>
        <v>7.368428317027346E-4</v>
      </c>
      <c r="M40" s="8">
        <v>10</v>
      </c>
      <c r="N40" s="8">
        <v>10</v>
      </c>
      <c r="O40" s="60">
        <v>286</v>
      </c>
      <c r="P40" s="5">
        <v>9.1999999999999998E-2</v>
      </c>
      <c r="Q40" s="5">
        <v>9.1999999999999998E-2</v>
      </c>
      <c r="R40" s="81">
        <f t="shared" si="15"/>
        <v>5.7182257565534841E-2</v>
      </c>
      <c r="S40" s="81">
        <f t="shared" si="16"/>
        <v>0</v>
      </c>
      <c r="T40" s="81">
        <f t="shared" si="17"/>
        <v>0</v>
      </c>
      <c r="U40" s="82">
        <f t="shared" si="18"/>
        <v>0</v>
      </c>
      <c r="V40" s="84">
        <f t="shared" si="19"/>
        <v>0</v>
      </c>
    </row>
    <row r="41" spans="1:22" x14ac:dyDescent="0.25">
      <c r="A41" s="123">
        <v>33</v>
      </c>
      <c r="B41" s="115" t="s">
        <v>73</v>
      </c>
      <c r="C41" s="116" t="s">
        <v>74</v>
      </c>
      <c r="D41" s="9">
        <v>3010737313.9302692</v>
      </c>
      <c r="E41" s="3">
        <f t="shared" si="14"/>
        <v>3.4655412670391702E-3</v>
      </c>
      <c r="F41" s="8">
        <v>100</v>
      </c>
      <c r="G41" s="8">
        <v>100</v>
      </c>
      <c r="H41" s="60">
        <v>565</v>
      </c>
      <c r="I41" s="5">
        <v>9.2600000000000002E-2</v>
      </c>
      <c r="J41" s="5">
        <v>9.2600000000000002E-2</v>
      </c>
      <c r="K41" s="9">
        <v>2929268232.0005078</v>
      </c>
      <c r="L41" s="3">
        <f t="shared" si="8"/>
        <v>3.3717654121649967E-3</v>
      </c>
      <c r="M41" s="8">
        <v>100</v>
      </c>
      <c r="N41" s="8">
        <v>100</v>
      </c>
      <c r="O41" s="60">
        <v>565</v>
      </c>
      <c r="P41" s="5">
        <v>9.2639954810721389E-2</v>
      </c>
      <c r="Q41" s="5">
        <v>9.2639954810721389E-2</v>
      </c>
      <c r="R41" s="81">
        <f t="shared" si="15"/>
        <v>-2.705951181885418E-2</v>
      </c>
      <c r="S41" s="81">
        <f t="shared" si="16"/>
        <v>0</v>
      </c>
      <c r="T41" s="81">
        <f t="shared" si="17"/>
        <v>0</v>
      </c>
      <c r="U41" s="82">
        <f t="shared" si="18"/>
        <v>3.9954810721387624E-5</v>
      </c>
      <c r="V41" s="84">
        <f t="shared" si="19"/>
        <v>3.9954810721387624E-5</v>
      </c>
    </row>
    <row r="42" spans="1:22" ht="15.75" customHeight="1" x14ac:dyDescent="0.25">
      <c r="A42" s="120">
        <v>34</v>
      </c>
      <c r="B42" s="115" t="s">
        <v>240</v>
      </c>
      <c r="C42" s="116" t="s">
        <v>32</v>
      </c>
      <c r="D42" s="9">
        <v>21990566093.552101</v>
      </c>
      <c r="E42" s="3">
        <f t="shared" si="14"/>
        <v>2.5312475429240394E-2</v>
      </c>
      <c r="F42" s="8">
        <v>100</v>
      </c>
      <c r="G42" s="8">
        <v>100</v>
      </c>
      <c r="H42" s="60">
        <v>10756</v>
      </c>
      <c r="I42" s="5">
        <v>9.3700000000000006E-2</v>
      </c>
      <c r="J42" s="5">
        <v>9.3700000000000006E-2</v>
      </c>
      <c r="K42" s="9">
        <v>21538014815.8647</v>
      </c>
      <c r="L42" s="3">
        <f t="shared" si="8"/>
        <v>2.4791561458758639E-2</v>
      </c>
      <c r="M42" s="8">
        <v>100</v>
      </c>
      <c r="N42" s="8">
        <v>100</v>
      </c>
      <c r="O42" s="60">
        <v>10801</v>
      </c>
      <c r="P42" s="5">
        <v>0.1007</v>
      </c>
      <c r="Q42" s="5">
        <v>0.1007</v>
      </c>
      <c r="R42" s="81">
        <f t="shared" si="15"/>
        <v>-2.057933732865996E-2</v>
      </c>
      <c r="S42" s="81">
        <f t="shared" si="16"/>
        <v>0</v>
      </c>
      <c r="T42" s="81">
        <f t="shared" si="17"/>
        <v>4.1837114168836002E-3</v>
      </c>
      <c r="U42" s="82">
        <f t="shared" si="18"/>
        <v>6.9999999999999923E-3</v>
      </c>
      <c r="V42" s="84">
        <f t="shared" si="19"/>
        <v>6.9999999999999923E-3</v>
      </c>
    </row>
    <row r="43" spans="1:22" x14ac:dyDescent="0.25">
      <c r="A43" s="114">
        <v>35</v>
      </c>
      <c r="B43" s="115" t="s">
        <v>75</v>
      </c>
      <c r="C43" s="116" t="s">
        <v>34</v>
      </c>
      <c r="D43" s="9">
        <v>2982374484.1399999</v>
      </c>
      <c r="E43" s="3">
        <f t="shared" si="14"/>
        <v>3.432893929580203E-3</v>
      </c>
      <c r="F43" s="8">
        <v>1</v>
      </c>
      <c r="G43" s="8">
        <v>1</v>
      </c>
      <c r="H43" s="60">
        <v>825</v>
      </c>
      <c r="I43" s="5">
        <v>7.5999999999999998E-2</v>
      </c>
      <c r="J43" s="5">
        <v>7.5999999999999998E-2</v>
      </c>
      <c r="K43" s="9">
        <v>2956928382.73</v>
      </c>
      <c r="L43" s="3">
        <f t="shared" si="8"/>
        <v>3.4036039234034434E-3</v>
      </c>
      <c r="M43" s="8">
        <v>1</v>
      </c>
      <c r="N43" s="8">
        <v>1</v>
      </c>
      <c r="O43" s="60">
        <v>827</v>
      </c>
      <c r="P43" s="5">
        <v>1.2500000000000001E-2</v>
      </c>
      <c r="Q43" s="5">
        <v>8.2500000000000004E-2</v>
      </c>
      <c r="R43" s="81">
        <f t="shared" si="15"/>
        <v>-8.5321617205753111E-3</v>
      </c>
      <c r="S43" s="81">
        <f t="shared" si="16"/>
        <v>0</v>
      </c>
      <c r="T43" s="81">
        <f t="shared" si="17"/>
        <v>2.4242424242424242E-3</v>
      </c>
      <c r="U43" s="82">
        <f t="shared" si="18"/>
        <v>-6.3500000000000001E-2</v>
      </c>
      <c r="V43" s="84">
        <f t="shared" si="19"/>
        <v>6.5000000000000058E-3</v>
      </c>
    </row>
    <row r="44" spans="1:22" x14ac:dyDescent="0.25">
      <c r="A44" s="121">
        <v>36</v>
      </c>
      <c r="B44" s="115" t="s">
        <v>76</v>
      </c>
      <c r="C44" s="116" t="s">
        <v>36</v>
      </c>
      <c r="D44" s="13">
        <v>3282116144.54</v>
      </c>
      <c r="E44" s="3">
        <f t="shared" si="14"/>
        <v>3.7779147617733031E-3</v>
      </c>
      <c r="F44" s="8">
        <v>10</v>
      </c>
      <c r="G44" s="8">
        <v>10</v>
      </c>
      <c r="H44" s="60">
        <v>1864</v>
      </c>
      <c r="I44" s="5">
        <v>0.1139</v>
      </c>
      <c r="J44" s="5">
        <v>0.1139</v>
      </c>
      <c r="K44" s="13">
        <v>3243942433.4899998</v>
      </c>
      <c r="L44" s="3">
        <f t="shared" si="8"/>
        <v>3.7339745048974526E-3</v>
      </c>
      <c r="M44" s="8">
        <v>10</v>
      </c>
      <c r="N44" s="8">
        <v>10</v>
      </c>
      <c r="O44" s="60">
        <v>1869</v>
      </c>
      <c r="P44" s="5">
        <v>0.1143</v>
      </c>
      <c r="Q44" s="5">
        <v>0.1143</v>
      </c>
      <c r="R44" s="81">
        <f t="shared" si="15"/>
        <v>-1.1630822728045283E-2</v>
      </c>
      <c r="S44" s="81">
        <f t="shared" si="16"/>
        <v>0</v>
      </c>
      <c r="T44" s="81">
        <f t="shared" si="17"/>
        <v>2.6824034334763948E-3</v>
      </c>
      <c r="U44" s="82">
        <f t="shared" si="18"/>
        <v>3.9999999999999758E-4</v>
      </c>
      <c r="V44" s="84">
        <f t="shared" si="19"/>
        <v>3.9999999999999758E-4</v>
      </c>
    </row>
    <row r="45" spans="1:22" x14ac:dyDescent="0.25">
      <c r="A45" s="114">
        <v>37</v>
      </c>
      <c r="B45" s="115" t="s">
        <v>77</v>
      </c>
      <c r="C45" s="116" t="s">
        <v>78</v>
      </c>
      <c r="D45" s="9">
        <v>5765860043.3400002</v>
      </c>
      <c r="E45" s="3">
        <f t="shared" si="14"/>
        <v>6.6368546427859566E-3</v>
      </c>
      <c r="F45" s="8">
        <v>100</v>
      </c>
      <c r="G45" s="8">
        <v>100</v>
      </c>
      <c r="H45" s="60">
        <v>1887</v>
      </c>
      <c r="I45" s="5">
        <v>0.1207</v>
      </c>
      <c r="J45" s="5">
        <v>0.1207</v>
      </c>
      <c r="K45" s="9">
        <v>5765450137.1899996</v>
      </c>
      <c r="L45" s="3">
        <f t="shared" si="8"/>
        <v>6.6363828159441175E-3</v>
      </c>
      <c r="M45" s="8">
        <v>100</v>
      </c>
      <c r="N45" s="8">
        <v>100</v>
      </c>
      <c r="O45" s="60">
        <v>1908</v>
      </c>
      <c r="P45" s="5">
        <v>0.11550000000000001</v>
      </c>
      <c r="Q45" s="5">
        <v>0.11550000000000001</v>
      </c>
      <c r="R45" s="81">
        <f t="shared" si="15"/>
        <v>-7.1091935447521745E-5</v>
      </c>
      <c r="S45" s="81">
        <f t="shared" si="16"/>
        <v>0</v>
      </c>
      <c r="T45" s="81">
        <f t="shared" si="17"/>
        <v>1.1128775834658187E-2</v>
      </c>
      <c r="U45" s="82">
        <f t="shared" si="18"/>
        <v>-5.1999999999999963E-3</v>
      </c>
      <c r="V45" s="84">
        <f t="shared" si="19"/>
        <v>-5.1999999999999963E-3</v>
      </c>
    </row>
    <row r="46" spans="1:22" x14ac:dyDescent="0.25">
      <c r="A46" s="123">
        <v>38</v>
      </c>
      <c r="B46" s="115" t="s">
        <v>79</v>
      </c>
      <c r="C46" s="116" t="s">
        <v>80</v>
      </c>
      <c r="D46" s="9">
        <v>163166000.25</v>
      </c>
      <c r="E46" s="3">
        <f t="shared" si="14"/>
        <v>1.8781396325338629E-4</v>
      </c>
      <c r="F46" s="8">
        <v>1</v>
      </c>
      <c r="G46" s="8">
        <v>1</v>
      </c>
      <c r="H46" s="60">
        <v>59</v>
      </c>
      <c r="I46" s="5">
        <v>6.9400000000000003E-2</v>
      </c>
      <c r="J46" s="5">
        <v>6.9400000000000003E-2</v>
      </c>
      <c r="K46" s="9">
        <v>163186000.05000001</v>
      </c>
      <c r="L46" s="3">
        <f t="shared" si="8"/>
        <v>1.8783698423629035E-4</v>
      </c>
      <c r="M46" s="8">
        <v>1</v>
      </c>
      <c r="N46" s="8">
        <v>1</v>
      </c>
      <c r="O46" s="60">
        <v>61</v>
      </c>
      <c r="P46" s="5">
        <v>6.9571999999999995E-2</v>
      </c>
      <c r="Q46" s="5">
        <v>6.9571999999999995E-2</v>
      </c>
      <c r="R46" s="81">
        <f t="shared" si="15"/>
        <v>1.2257333004037966E-4</v>
      </c>
      <c r="S46" s="81">
        <f t="shared" si="16"/>
        <v>0</v>
      </c>
      <c r="T46" s="81">
        <f t="shared" si="17"/>
        <v>3.3898305084745763E-2</v>
      </c>
      <c r="U46" s="82">
        <f t="shared" si="18"/>
        <v>1.719999999999916E-4</v>
      </c>
      <c r="V46" s="84">
        <f t="shared" si="19"/>
        <v>1.719999999999916E-4</v>
      </c>
    </row>
    <row r="47" spans="1:22" x14ac:dyDescent="0.25">
      <c r="A47" s="120">
        <v>39</v>
      </c>
      <c r="B47" s="115" t="s">
        <v>81</v>
      </c>
      <c r="C47" s="116" t="s">
        <v>38</v>
      </c>
      <c r="D47" s="13">
        <v>697748503.19000006</v>
      </c>
      <c r="E47" s="3">
        <f t="shared" si="14"/>
        <v>8.031508496711585E-4</v>
      </c>
      <c r="F47" s="8">
        <v>10</v>
      </c>
      <c r="G47" s="8">
        <v>10</v>
      </c>
      <c r="H47" s="60">
        <v>624</v>
      </c>
      <c r="I47" s="5">
        <v>0.1101</v>
      </c>
      <c r="J47" s="5">
        <v>0.1101</v>
      </c>
      <c r="K47" s="13">
        <v>667615844.42999995</v>
      </c>
      <c r="L47" s="3">
        <f t="shared" si="8"/>
        <v>7.6846633171762427E-4</v>
      </c>
      <c r="M47" s="8">
        <v>10</v>
      </c>
      <c r="N47" s="8">
        <v>10</v>
      </c>
      <c r="O47" s="60">
        <v>624</v>
      </c>
      <c r="P47" s="5">
        <v>0.1157</v>
      </c>
      <c r="Q47" s="5">
        <v>0.1157</v>
      </c>
      <c r="R47" s="81">
        <f t="shared" si="15"/>
        <v>-4.3185558438661176E-2</v>
      </c>
      <c r="S47" s="81">
        <f t="shared" si="16"/>
        <v>0</v>
      </c>
      <c r="T47" s="81">
        <f t="shared" si="17"/>
        <v>0</v>
      </c>
      <c r="U47" s="82">
        <f t="shared" si="18"/>
        <v>5.5999999999999939E-3</v>
      </c>
      <c r="V47" s="84">
        <f t="shared" si="19"/>
        <v>5.5999999999999939E-3</v>
      </c>
    </row>
    <row r="48" spans="1:22" x14ac:dyDescent="0.25">
      <c r="A48" s="121">
        <v>40</v>
      </c>
      <c r="B48" s="115" t="s">
        <v>82</v>
      </c>
      <c r="C48" s="116" t="s">
        <v>42</v>
      </c>
      <c r="D48" s="9">
        <v>386033874802.46002</v>
      </c>
      <c r="E48" s="3">
        <f t="shared" si="14"/>
        <v>0.44434840509434842</v>
      </c>
      <c r="F48" s="8">
        <v>100</v>
      </c>
      <c r="G48" s="8">
        <v>100</v>
      </c>
      <c r="H48" s="60">
        <v>129812</v>
      </c>
      <c r="I48" s="5">
        <v>9.7100000000000006E-2</v>
      </c>
      <c r="J48" s="5">
        <v>9.7100000000000006E-2</v>
      </c>
      <c r="K48" s="9">
        <v>385142497997.77002</v>
      </c>
      <c r="L48" s="3">
        <f t="shared" si="8"/>
        <v>0.44332237632496962</v>
      </c>
      <c r="M48" s="8">
        <v>100</v>
      </c>
      <c r="N48" s="8">
        <v>100</v>
      </c>
      <c r="O48" s="60">
        <v>130185</v>
      </c>
      <c r="P48" s="5">
        <v>9.7500000000000003E-2</v>
      </c>
      <c r="Q48" s="5">
        <v>9.7500000000000003E-2</v>
      </c>
      <c r="R48" s="81">
        <f t="shared" si="15"/>
        <v>-2.3090636932992857E-3</v>
      </c>
      <c r="S48" s="81">
        <f t="shared" si="16"/>
        <v>0</v>
      </c>
      <c r="T48" s="81">
        <f t="shared" si="17"/>
        <v>2.8733861276307275E-3</v>
      </c>
      <c r="U48" s="82">
        <f t="shared" si="18"/>
        <v>3.9999999999999758E-4</v>
      </c>
      <c r="V48" s="84">
        <f t="shared" si="19"/>
        <v>3.9999999999999758E-4</v>
      </c>
    </row>
    <row r="49" spans="1:22" x14ac:dyDescent="0.25">
      <c r="A49" s="120">
        <v>41</v>
      </c>
      <c r="B49" s="115" t="s">
        <v>83</v>
      </c>
      <c r="C49" s="116" t="s">
        <v>84</v>
      </c>
      <c r="D49" s="9">
        <v>2535130880.9400001</v>
      </c>
      <c r="E49" s="3">
        <f t="shared" si="14"/>
        <v>2.9180894143747329E-3</v>
      </c>
      <c r="F49" s="8">
        <v>1</v>
      </c>
      <c r="G49" s="8">
        <v>1</v>
      </c>
      <c r="H49" s="60">
        <v>307</v>
      </c>
      <c r="I49" s="5">
        <v>0.13379452756853444</v>
      </c>
      <c r="J49" s="5">
        <v>0.13379452756853444</v>
      </c>
      <c r="K49" s="9">
        <v>2497305834.6100001</v>
      </c>
      <c r="L49" s="3">
        <f t="shared" si="8"/>
        <v>2.874550491740143E-3</v>
      </c>
      <c r="M49" s="8">
        <v>1</v>
      </c>
      <c r="N49" s="8">
        <v>1</v>
      </c>
      <c r="O49" s="60">
        <v>313</v>
      </c>
      <c r="P49" s="5">
        <v>0.13576169005369601</v>
      </c>
      <c r="Q49" s="5">
        <v>0.13576169005369601</v>
      </c>
      <c r="R49" s="81">
        <f t="shared" si="15"/>
        <v>-1.4920352481357804E-2</v>
      </c>
      <c r="S49" s="81">
        <f t="shared" si="16"/>
        <v>0</v>
      </c>
      <c r="T49" s="81">
        <f t="shared" si="17"/>
        <v>1.9543973941368076E-2</v>
      </c>
      <c r="U49" s="82">
        <f t="shared" si="18"/>
        <v>1.9671624851615721E-3</v>
      </c>
      <c r="V49" s="84">
        <f t="shared" si="19"/>
        <v>1.9671624851615721E-3</v>
      </c>
    </row>
    <row r="50" spans="1:22" x14ac:dyDescent="0.25">
      <c r="A50" s="121">
        <v>42</v>
      </c>
      <c r="B50" s="115" t="s">
        <v>85</v>
      </c>
      <c r="C50" s="116" t="s">
        <v>45</v>
      </c>
      <c r="D50" s="9">
        <v>43196914337.599998</v>
      </c>
      <c r="E50" s="3">
        <f t="shared" si="14"/>
        <v>4.9722268546333888E-2</v>
      </c>
      <c r="F50" s="8">
        <v>1</v>
      </c>
      <c r="G50" s="8">
        <v>1</v>
      </c>
      <c r="H50" s="60">
        <v>18436</v>
      </c>
      <c r="I50" s="5">
        <v>9.6100000000000005E-2</v>
      </c>
      <c r="J50" s="5">
        <v>9.6100000000000005E-2</v>
      </c>
      <c r="K50" s="9">
        <v>43893195513.599998</v>
      </c>
      <c r="L50" s="3">
        <f t="shared" si="8"/>
        <v>5.0523730413407436E-2</v>
      </c>
      <c r="M50" s="8">
        <v>1</v>
      </c>
      <c r="N50" s="8">
        <v>1</v>
      </c>
      <c r="O50" s="60">
        <v>18505</v>
      </c>
      <c r="P50" s="5">
        <v>9.6600000000000005E-2</v>
      </c>
      <c r="Q50" s="5">
        <v>9.6600000000000005E-2</v>
      </c>
      <c r="R50" s="81">
        <f t="shared" si="15"/>
        <v>1.6118771136250678E-2</v>
      </c>
      <c r="S50" s="81">
        <f t="shared" si="16"/>
        <v>0</v>
      </c>
      <c r="T50" s="81">
        <f t="shared" si="17"/>
        <v>3.7426773703623344E-3</v>
      </c>
      <c r="U50" s="82">
        <f t="shared" si="18"/>
        <v>5.0000000000000044E-4</v>
      </c>
      <c r="V50" s="84">
        <f t="shared" si="19"/>
        <v>5.0000000000000044E-4</v>
      </c>
    </row>
    <row r="51" spans="1:22" x14ac:dyDescent="0.25">
      <c r="A51" s="120">
        <v>43</v>
      </c>
      <c r="B51" s="115" t="s">
        <v>86</v>
      </c>
      <c r="C51" s="116" t="s">
        <v>87</v>
      </c>
      <c r="D51" s="9">
        <v>1997960313.6199999</v>
      </c>
      <c r="E51" s="3">
        <f t="shared" si="14"/>
        <v>2.2997735088744436E-3</v>
      </c>
      <c r="F51" s="8">
        <v>1</v>
      </c>
      <c r="G51" s="8">
        <v>1</v>
      </c>
      <c r="H51" s="60">
        <v>57</v>
      </c>
      <c r="I51" s="5">
        <v>7.5399999999999995E-2</v>
      </c>
      <c r="J51" s="5">
        <v>7.5399999999999995E-2</v>
      </c>
      <c r="K51" s="9">
        <v>1849225546.21</v>
      </c>
      <c r="L51" s="3">
        <f t="shared" si="8"/>
        <v>2.1285707699579904E-3</v>
      </c>
      <c r="M51" s="8">
        <v>1</v>
      </c>
      <c r="N51" s="8">
        <v>1</v>
      </c>
      <c r="O51" s="60">
        <v>56</v>
      </c>
      <c r="P51" s="5">
        <v>7.8299999999999995E-2</v>
      </c>
      <c r="Q51" s="5">
        <v>7.8299999999999995E-2</v>
      </c>
      <c r="R51" s="81">
        <f t="shared" si="15"/>
        <v>-7.4443304201831262E-2</v>
      </c>
      <c r="S51" s="81">
        <f t="shared" si="16"/>
        <v>0</v>
      </c>
      <c r="T51" s="81">
        <f t="shared" si="17"/>
        <v>-1.7543859649122806E-2</v>
      </c>
      <c r="U51" s="82">
        <f t="shared" si="18"/>
        <v>2.8999999999999998E-3</v>
      </c>
      <c r="V51" s="84">
        <f t="shared" si="19"/>
        <v>2.8999999999999998E-3</v>
      </c>
    </row>
    <row r="52" spans="1:22" x14ac:dyDescent="0.25">
      <c r="A52" s="120">
        <v>44</v>
      </c>
      <c r="B52" s="115" t="s">
        <v>88</v>
      </c>
      <c r="C52" s="116" t="s">
        <v>89</v>
      </c>
      <c r="D52" s="9">
        <v>940980807.14999998</v>
      </c>
      <c r="E52" s="3">
        <f t="shared" si="14"/>
        <v>1.0831259849811258E-3</v>
      </c>
      <c r="F52" s="8">
        <v>1</v>
      </c>
      <c r="G52" s="8">
        <v>1</v>
      </c>
      <c r="H52" s="60">
        <v>205</v>
      </c>
      <c r="I52" s="5">
        <v>0.10249999999999999</v>
      </c>
      <c r="J52" s="5">
        <v>0.10249999999999999</v>
      </c>
      <c r="K52" s="9">
        <v>961468170.03999996</v>
      </c>
      <c r="L52" s="3">
        <f t="shared" si="8"/>
        <v>1.1067081823450723E-3</v>
      </c>
      <c r="M52" s="8">
        <v>1</v>
      </c>
      <c r="N52" s="8">
        <v>1</v>
      </c>
      <c r="O52" s="60">
        <v>206</v>
      </c>
      <c r="P52" s="5">
        <v>0.1024</v>
      </c>
      <c r="Q52" s="5">
        <v>0.1024</v>
      </c>
      <c r="R52" s="81">
        <f t="shared" si="15"/>
        <v>2.1772349376658576E-2</v>
      </c>
      <c r="S52" s="81">
        <f t="shared" si="16"/>
        <v>0</v>
      </c>
      <c r="T52" s="81">
        <f t="shared" si="17"/>
        <v>4.8780487804878049E-3</v>
      </c>
      <c r="U52" s="82">
        <f t="shared" si="18"/>
        <v>-9.9999999999988987E-5</v>
      </c>
      <c r="V52" s="84">
        <f t="shared" si="19"/>
        <v>-9.9999999999988987E-5</v>
      </c>
    </row>
    <row r="53" spans="1:22" x14ac:dyDescent="0.25">
      <c r="A53" s="124">
        <v>45</v>
      </c>
      <c r="B53" s="115" t="s">
        <v>90</v>
      </c>
      <c r="C53" s="116" t="s">
        <v>91</v>
      </c>
      <c r="D53" s="9">
        <v>25592133142.919998</v>
      </c>
      <c r="E53" s="3">
        <f t="shared" si="14"/>
        <v>2.9458097559023459E-2</v>
      </c>
      <c r="F53" s="8">
        <v>1</v>
      </c>
      <c r="G53" s="8">
        <v>1</v>
      </c>
      <c r="H53" s="60">
        <v>3041</v>
      </c>
      <c r="I53" s="5">
        <v>0.10150000000000001</v>
      </c>
      <c r="J53" s="5">
        <v>0.10150000000000001</v>
      </c>
      <c r="K53" s="9">
        <v>26085886221.43</v>
      </c>
      <c r="L53" s="3">
        <f t="shared" si="8"/>
        <v>3.0026437301380562E-2</v>
      </c>
      <c r="M53" s="8">
        <v>1</v>
      </c>
      <c r="N53" s="8">
        <v>1</v>
      </c>
      <c r="O53" s="60">
        <v>3041</v>
      </c>
      <c r="P53" s="5">
        <v>0.1017</v>
      </c>
      <c r="Q53" s="5">
        <v>0.1017</v>
      </c>
      <c r="R53" s="81">
        <f t="shared" si="15"/>
        <v>1.929315839959975E-2</v>
      </c>
      <c r="S53" s="81">
        <f t="shared" si="16"/>
        <v>0</v>
      </c>
      <c r="T53" s="81">
        <f t="shared" si="17"/>
        <v>0</v>
      </c>
      <c r="U53" s="82">
        <f t="shared" si="18"/>
        <v>1.9999999999999185E-4</v>
      </c>
      <c r="V53" s="84">
        <f t="shared" si="19"/>
        <v>1.9999999999999185E-4</v>
      </c>
    </row>
    <row r="54" spans="1:22" x14ac:dyDescent="0.25">
      <c r="A54" s="76"/>
      <c r="B54" s="19"/>
      <c r="C54" s="72" t="s">
        <v>46</v>
      </c>
      <c r="D54" s="59">
        <f>SUM(D25:D53)</f>
        <v>866720174597.19238</v>
      </c>
      <c r="E54" s="105">
        <f>(D54/$D$173)</f>
        <v>0.4350890524964961</v>
      </c>
      <c r="F54" s="30"/>
      <c r="G54" s="11"/>
      <c r="H54" s="66">
        <f>SUM(H25:H53)</f>
        <v>282276</v>
      </c>
      <c r="I54" s="32"/>
      <c r="J54" s="32"/>
      <c r="K54" s="59">
        <f>SUM(K25:K53)</f>
        <v>868763948236.72998</v>
      </c>
      <c r="L54" s="105">
        <f>(K54/$K$173)</f>
        <v>0.43546424415776874</v>
      </c>
      <c r="M54" s="30"/>
      <c r="N54" s="11"/>
      <c r="O54" s="66">
        <f>SUM(O25:O53)</f>
        <v>283214</v>
      </c>
      <c r="P54" s="32"/>
      <c r="Q54" s="32"/>
      <c r="R54" s="81">
        <f t="shared" si="15"/>
        <v>2.3580547672003137E-3</v>
      </c>
      <c r="S54" s="81" t="e">
        <f t="shared" si="16"/>
        <v>#DIV/0!</v>
      </c>
      <c r="T54" s="81">
        <f t="shared" si="17"/>
        <v>3.3229888477943571E-3</v>
      </c>
      <c r="U54" s="82">
        <f t="shared" si="18"/>
        <v>0</v>
      </c>
      <c r="V54" s="84">
        <f t="shared" si="19"/>
        <v>0</v>
      </c>
    </row>
    <row r="55" spans="1:22" ht="9" customHeight="1" x14ac:dyDescent="0.2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</row>
    <row r="56" spans="1:22" ht="15" customHeight="1" x14ac:dyDescent="0.25">
      <c r="A56" s="135" t="s">
        <v>92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</row>
    <row r="57" spans="1:22" x14ac:dyDescent="0.25">
      <c r="A57" s="113">
        <v>46</v>
      </c>
      <c r="B57" s="115" t="s">
        <v>93</v>
      </c>
      <c r="C57" s="116" t="s">
        <v>19</v>
      </c>
      <c r="D57" s="2">
        <v>476891057.27999997</v>
      </c>
      <c r="E57" s="3">
        <f>(D57/$D$88)</f>
        <v>1.6066159965524927E-3</v>
      </c>
      <c r="F57" s="14">
        <v>1.2310000000000001</v>
      </c>
      <c r="G57" s="14">
        <v>1.2310000000000001</v>
      </c>
      <c r="H57" s="60">
        <v>392</v>
      </c>
      <c r="I57" s="5">
        <v>-6.777E-3</v>
      </c>
      <c r="J57" s="5">
        <v>-2E-3</v>
      </c>
      <c r="K57" s="2">
        <v>477710012.10000002</v>
      </c>
      <c r="L57" s="3">
        <f t="shared" ref="L57:L87" si="20">(K57/$K$88)</f>
        <v>1.6112832911919363E-3</v>
      </c>
      <c r="M57" s="14">
        <v>1.2332000000000001</v>
      </c>
      <c r="N57" s="14">
        <v>1.2332000000000001</v>
      </c>
      <c r="O57" s="60">
        <v>392</v>
      </c>
      <c r="P57" s="5">
        <v>7.2999999999999996E-4</v>
      </c>
      <c r="Q57" s="5">
        <v>1.6000000000000001E-3</v>
      </c>
      <c r="R57" s="81">
        <f t="shared" ref="R57" si="21">((K57-D57)/D57)</f>
        <v>1.7172786268441485E-3</v>
      </c>
      <c r="S57" s="81">
        <f t="shared" ref="S57" si="22">((N57-G57)/G57)</f>
        <v>1.7871649065799996E-3</v>
      </c>
      <c r="T57" s="81">
        <f t="shared" ref="T57" si="23">((O57-H57)/H57)</f>
        <v>0</v>
      </c>
      <c r="U57" s="82">
        <f t="shared" ref="U57" si="24">P57-I57</f>
        <v>7.5069999999999998E-3</v>
      </c>
      <c r="V57" s="84">
        <f t="shared" ref="V57" si="25">Q57-J57</f>
        <v>3.5999999999999999E-3</v>
      </c>
    </row>
    <row r="58" spans="1:22" x14ac:dyDescent="0.25">
      <c r="A58" s="123">
        <v>47</v>
      </c>
      <c r="B58" s="115" t="s">
        <v>94</v>
      </c>
      <c r="C58" s="116" t="s">
        <v>21</v>
      </c>
      <c r="D58" s="2">
        <v>1118403473.5</v>
      </c>
      <c r="E58" s="3">
        <f>(D58/$D$88)</f>
        <v>3.7678310039476778E-3</v>
      </c>
      <c r="F58" s="14">
        <v>1.1467000000000001</v>
      </c>
      <c r="G58" s="14">
        <v>1.1467000000000001</v>
      </c>
      <c r="H58" s="60">
        <v>542</v>
      </c>
      <c r="I58" s="5">
        <v>0.1002</v>
      </c>
      <c r="J58" s="5">
        <v>4.2999999999999997E-2</v>
      </c>
      <c r="K58" s="2">
        <v>1135434114.3299999</v>
      </c>
      <c r="L58" s="3">
        <f t="shared" si="20"/>
        <v>3.8297418315073315E-3</v>
      </c>
      <c r="M58" s="14">
        <v>1.1474</v>
      </c>
      <c r="N58" s="14">
        <v>1.1474</v>
      </c>
      <c r="O58" s="60">
        <v>555</v>
      </c>
      <c r="P58" s="5">
        <v>3.1800000000000002E-2</v>
      </c>
      <c r="Q58" s="5">
        <v>4.2700000000000002E-2</v>
      </c>
      <c r="R58" s="81">
        <f t="shared" ref="R58:R88" si="26">((K58-D58)/D58)</f>
        <v>1.5227635851937404E-2</v>
      </c>
      <c r="S58" s="81">
        <f t="shared" ref="S58:S88" si="27">((N58-G58)/G58)</f>
        <v>6.1044737071590032E-4</v>
      </c>
      <c r="T58" s="81">
        <f t="shared" ref="T58:T88" si="28">((O58-H58)/H58)</f>
        <v>2.3985239852398525E-2</v>
      </c>
      <c r="U58" s="82">
        <f t="shared" ref="U58:U88" si="29">P58-I58</f>
        <v>-6.8399999999999989E-2</v>
      </c>
      <c r="V58" s="84">
        <f t="shared" ref="V58:V88" si="30">Q58-J58</f>
        <v>-2.9999999999999472E-4</v>
      </c>
    </row>
    <row r="59" spans="1:22" x14ac:dyDescent="0.25">
      <c r="A59" s="123">
        <v>48</v>
      </c>
      <c r="B59" s="115" t="s">
        <v>95</v>
      </c>
      <c r="C59" s="116" t="s">
        <v>21</v>
      </c>
      <c r="D59" s="2">
        <v>986267141.73000002</v>
      </c>
      <c r="E59" s="3">
        <f>(D59/$D$88)</f>
        <v>3.3226720077646045E-3</v>
      </c>
      <c r="F59" s="14">
        <v>1.0527</v>
      </c>
      <c r="G59" s="14">
        <v>1.0527</v>
      </c>
      <c r="H59" s="60">
        <v>142</v>
      </c>
      <c r="I59" s="5">
        <v>7.9399999999999998E-2</v>
      </c>
      <c r="J59" s="5">
        <v>2.0299999999999999E-2</v>
      </c>
      <c r="K59" s="2">
        <v>987945610.55999994</v>
      </c>
      <c r="L59" s="3">
        <f t="shared" si="20"/>
        <v>3.3322731669448795E-3</v>
      </c>
      <c r="M59" s="14">
        <v>1.0544</v>
      </c>
      <c r="N59" s="14">
        <v>1.0544</v>
      </c>
      <c r="O59" s="60">
        <v>143</v>
      </c>
      <c r="P59" s="5">
        <v>8.4199999999999997E-2</v>
      </c>
      <c r="Q59" s="5">
        <v>2.18E-2</v>
      </c>
      <c r="R59" s="81">
        <f t="shared" si="26"/>
        <v>1.7018399569266199E-3</v>
      </c>
      <c r="S59" s="81">
        <f t="shared" si="27"/>
        <v>1.6148950318229647E-3</v>
      </c>
      <c r="T59" s="81">
        <f t="shared" si="28"/>
        <v>7.0422535211267607E-3</v>
      </c>
      <c r="U59" s="82">
        <f t="shared" si="29"/>
        <v>4.7999999999999987E-3</v>
      </c>
      <c r="V59" s="84">
        <f t="shared" si="30"/>
        <v>1.5000000000000013E-3</v>
      </c>
    </row>
    <row r="60" spans="1:22" x14ac:dyDescent="0.25">
      <c r="A60" s="123">
        <v>49</v>
      </c>
      <c r="B60" s="115" t="s">
        <v>96</v>
      </c>
      <c r="C60" s="116" t="s">
        <v>97</v>
      </c>
      <c r="D60" s="2">
        <v>255208215.59</v>
      </c>
      <c r="E60" s="3">
        <f>(D60/$D$88)</f>
        <v>8.5978043697676801E-4</v>
      </c>
      <c r="F60" s="7">
        <v>1120.07</v>
      </c>
      <c r="G60" s="7">
        <v>1120.07</v>
      </c>
      <c r="H60" s="60">
        <v>109</v>
      </c>
      <c r="I60" s="5">
        <v>-1.46E-2</v>
      </c>
      <c r="J60" s="5">
        <v>4.5999999999999999E-2</v>
      </c>
      <c r="K60" s="2">
        <v>254762086</v>
      </c>
      <c r="L60" s="3">
        <f t="shared" si="20"/>
        <v>8.5929514141117394E-4</v>
      </c>
      <c r="M60" s="7">
        <v>1117.8699999999999</v>
      </c>
      <c r="N60" s="7">
        <v>1117.8699999999999</v>
      </c>
      <c r="O60" s="60">
        <v>111</v>
      </c>
      <c r="P60" s="5">
        <v>-2.2000000000000001E-3</v>
      </c>
      <c r="Q60" s="5">
        <v>4.3999999999999997E-2</v>
      </c>
      <c r="R60" s="81">
        <f t="shared" si="26"/>
        <v>-1.7481004244656636E-3</v>
      </c>
      <c r="S60" s="81">
        <f t="shared" si="27"/>
        <v>-1.9641629541011238E-3</v>
      </c>
      <c r="T60" s="81">
        <f t="shared" si="28"/>
        <v>1.834862385321101E-2</v>
      </c>
      <c r="U60" s="82">
        <f t="shared" si="29"/>
        <v>1.24E-2</v>
      </c>
      <c r="V60" s="84">
        <f t="shared" si="30"/>
        <v>-2.0000000000000018E-3</v>
      </c>
    </row>
    <row r="61" spans="1:22" ht="15" customHeight="1" x14ac:dyDescent="0.25">
      <c r="A61" s="124">
        <v>50</v>
      </c>
      <c r="B61" s="115" t="s">
        <v>98</v>
      </c>
      <c r="C61" s="116" t="s">
        <v>99</v>
      </c>
      <c r="D61" s="2">
        <v>1456347691.9300001</v>
      </c>
      <c r="E61" s="3">
        <f>(D61/$K$88)</f>
        <v>4.9121614425814766E-3</v>
      </c>
      <c r="F61" s="7">
        <v>1.036</v>
      </c>
      <c r="G61" s="7">
        <v>1.036</v>
      </c>
      <c r="H61" s="60">
        <v>776</v>
      </c>
      <c r="I61" s="5">
        <v>8.5000000000000006E-3</v>
      </c>
      <c r="J61" s="5">
        <v>6.7500000000000004E-2</v>
      </c>
      <c r="K61" s="2">
        <v>1455468431.1700001</v>
      </c>
      <c r="L61" s="3">
        <f t="shared" si="20"/>
        <v>4.9091957560032096E-3</v>
      </c>
      <c r="M61" s="7">
        <v>1.0371999999999999</v>
      </c>
      <c r="N61" s="7">
        <v>1.0371999999999999</v>
      </c>
      <c r="O61" s="60">
        <v>779</v>
      </c>
      <c r="P61" s="5">
        <v>9.5999999999999992E-3</v>
      </c>
      <c r="Q61" s="5">
        <v>6.8699999999999997E-2</v>
      </c>
      <c r="R61" s="81">
        <f t="shared" si="26"/>
        <v>-6.0374371097794992E-4</v>
      </c>
      <c r="S61" s="81">
        <f t="shared" si="27"/>
        <v>1.1583011583010307E-3</v>
      </c>
      <c r="T61" s="81">
        <f t="shared" si="28"/>
        <v>3.8659793814432991E-3</v>
      </c>
      <c r="U61" s="82">
        <f t="shared" si="29"/>
        <v>1.0999999999999985E-3</v>
      </c>
      <c r="V61" s="84">
        <f t="shared" si="30"/>
        <v>1.1999999999999927E-3</v>
      </c>
    </row>
    <row r="62" spans="1:22" x14ac:dyDescent="0.25">
      <c r="A62" s="124">
        <v>51</v>
      </c>
      <c r="B62" s="115" t="s">
        <v>100</v>
      </c>
      <c r="C62" s="116" t="s">
        <v>101</v>
      </c>
      <c r="D62" s="2">
        <v>436080857.01999998</v>
      </c>
      <c r="E62" s="3">
        <f t="shared" ref="E62:E87" si="31">(D62/$D$88)</f>
        <v>1.4691289970390372E-3</v>
      </c>
      <c r="F62" s="7">
        <v>2.2635000000000001</v>
      </c>
      <c r="G62" s="7">
        <v>2.2635000000000001</v>
      </c>
      <c r="H62" s="60">
        <v>1402</v>
      </c>
      <c r="I62" s="5">
        <v>-7.5909400287374806E-2</v>
      </c>
      <c r="J62" s="5">
        <v>0.102199766933257</v>
      </c>
      <c r="K62" s="2">
        <v>436080857.01999998</v>
      </c>
      <c r="L62" s="3">
        <f t="shared" si="20"/>
        <v>1.4708709901979167E-3</v>
      </c>
      <c r="M62" s="7">
        <v>2.2635000000000001</v>
      </c>
      <c r="N62" s="7">
        <v>2.2635000000000001</v>
      </c>
      <c r="O62" s="60">
        <v>1402</v>
      </c>
      <c r="P62" s="5">
        <v>-7.5909400287374806E-2</v>
      </c>
      <c r="Q62" s="5">
        <v>0.102199766933257</v>
      </c>
      <c r="R62" s="81">
        <f t="shared" si="26"/>
        <v>0</v>
      </c>
      <c r="S62" s="81">
        <f t="shared" si="27"/>
        <v>0</v>
      </c>
      <c r="T62" s="81">
        <f t="shared" si="28"/>
        <v>0</v>
      </c>
      <c r="U62" s="82">
        <f t="shared" si="29"/>
        <v>0</v>
      </c>
      <c r="V62" s="84">
        <f t="shared" si="30"/>
        <v>0</v>
      </c>
    </row>
    <row r="63" spans="1:22" x14ac:dyDescent="0.25">
      <c r="A63" s="123">
        <v>52</v>
      </c>
      <c r="B63" s="115" t="s">
        <v>102</v>
      </c>
      <c r="C63" s="116" t="s">
        <v>56</v>
      </c>
      <c r="D63" s="2">
        <v>2359622365.5225101</v>
      </c>
      <c r="E63" s="3">
        <f t="shared" si="31"/>
        <v>7.9494194332221674E-3</v>
      </c>
      <c r="F63" s="2">
        <v>3941.8873667335301</v>
      </c>
      <c r="G63" s="2">
        <v>3941.8873667335301</v>
      </c>
      <c r="H63" s="60">
        <v>1026</v>
      </c>
      <c r="I63" s="5">
        <v>6.4767445537050564E-2</v>
      </c>
      <c r="J63" s="5">
        <v>7.5311660411695389E-2</v>
      </c>
      <c r="K63" s="2">
        <v>2366057966.4305</v>
      </c>
      <c r="L63" s="3">
        <f t="shared" si="20"/>
        <v>7.9805521566145877E-3</v>
      </c>
      <c r="M63" s="2">
        <v>3947.0683161010102</v>
      </c>
      <c r="N63" s="2">
        <v>3947.0683161010102</v>
      </c>
      <c r="O63" s="60">
        <v>1026</v>
      </c>
      <c r="P63" s="5">
        <v>6.8533034457742031E-2</v>
      </c>
      <c r="Q63" s="5">
        <v>7.5253826469306256E-2</v>
      </c>
      <c r="R63" s="81">
        <f t="shared" si="26"/>
        <v>2.7273859588819809E-3</v>
      </c>
      <c r="S63" s="81">
        <f t="shared" si="27"/>
        <v>1.3143321676827239E-3</v>
      </c>
      <c r="T63" s="81">
        <f t="shared" si="28"/>
        <v>0</v>
      </c>
      <c r="U63" s="82">
        <f t="shared" si="29"/>
        <v>3.7655889206914678E-3</v>
      </c>
      <c r="V63" s="84">
        <f t="shared" si="30"/>
        <v>-5.7833942389132198E-5</v>
      </c>
    </row>
    <row r="64" spans="1:22" x14ac:dyDescent="0.25">
      <c r="A64" s="122">
        <v>53</v>
      </c>
      <c r="B64" s="115" t="s">
        <v>103</v>
      </c>
      <c r="C64" s="116" t="s">
        <v>58</v>
      </c>
      <c r="D64" s="2">
        <v>345623457.63</v>
      </c>
      <c r="E64" s="3">
        <f t="shared" si="31"/>
        <v>1.1643837042767469E-3</v>
      </c>
      <c r="F64" s="14">
        <v>109.45</v>
      </c>
      <c r="G64" s="14">
        <v>109.45</v>
      </c>
      <c r="H64" s="60">
        <v>120</v>
      </c>
      <c r="I64" s="5">
        <v>3.5000000000000001E-3</v>
      </c>
      <c r="J64" s="5">
        <v>9.9599999999999994E-2</v>
      </c>
      <c r="K64" s="2">
        <v>342832911.94999999</v>
      </c>
      <c r="L64" s="3">
        <f t="shared" si="20"/>
        <v>1.1563520309473357E-3</v>
      </c>
      <c r="M64" s="14">
        <v>105.86</v>
      </c>
      <c r="N64" s="14">
        <v>105.86</v>
      </c>
      <c r="O64" s="60">
        <v>120</v>
      </c>
      <c r="P64" s="5">
        <v>2.5000000000000001E-3</v>
      </c>
      <c r="Q64" s="5">
        <v>0.10059999999999999</v>
      </c>
      <c r="R64" s="81">
        <f t="shared" si="26"/>
        <v>-8.0739475819588836E-3</v>
      </c>
      <c r="S64" s="81">
        <f t="shared" si="27"/>
        <v>-3.2800365463682077E-2</v>
      </c>
      <c r="T64" s="81">
        <f t="shared" si="28"/>
        <v>0</v>
      </c>
      <c r="U64" s="82">
        <f t="shared" si="29"/>
        <v>-1E-3</v>
      </c>
      <c r="V64" s="84">
        <f t="shared" si="30"/>
        <v>1.0000000000000009E-3</v>
      </c>
    </row>
    <row r="65" spans="1:22" x14ac:dyDescent="0.25">
      <c r="A65" s="123">
        <v>54</v>
      </c>
      <c r="B65" s="115" t="s">
        <v>104</v>
      </c>
      <c r="C65" s="116" t="s">
        <v>105</v>
      </c>
      <c r="D65" s="2">
        <v>348708500</v>
      </c>
      <c r="E65" s="3">
        <f t="shared" si="31"/>
        <v>1.1747770181081156E-3</v>
      </c>
      <c r="F65" s="14">
        <v>1.3863000000000001</v>
      </c>
      <c r="G65" s="14">
        <v>1.3863000000000001</v>
      </c>
      <c r="H65" s="60">
        <v>304</v>
      </c>
      <c r="I65" s="5">
        <v>-9.6442348906985442E-3</v>
      </c>
      <c r="J65" s="5">
        <v>2.782989030440397E-2</v>
      </c>
      <c r="K65" s="2">
        <v>343639384.86140001</v>
      </c>
      <c r="L65" s="3">
        <f t="shared" si="20"/>
        <v>1.1590722090763755E-3</v>
      </c>
      <c r="M65" s="14">
        <v>1.3661000000000001</v>
      </c>
      <c r="N65" s="14">
        <v>1.3661000000000001</v>
      </c>
      <c r="O65" s="60">
        <v>259</v>
      </c>
      <c r="P65" s="5">
        <v>-1.4571160643439329E-2</v>
      </c>
      <c r="Q65" s="5">
        <v>1.3486355546184714E-2</v>
      </c>
      <c r="R65" s="81">
        <f t="shared" si="26"/>
        <v>-1.4536827001922785E-2</v>
      </c>
      <c r="S65" s="81">
        <f t="shared" si="27"/>
        <v>-1.4571160643439367E-2</v>
      </c>
      <c r="T65" s="81">
        <f t="shared" si="28"/>
        <v>-0.14802631578947367</v>
      </c>
      <c r="U65" s="82">
        <f t="shared" si="29"/>
        <v>-4.926925752740785E-3</v>
      </c>
      <c r="V65" s="84">
        <f t="shared" si="30"/>
        <v>-1.4343534758219256E-2</v>
      </c>
    </row>
    <row r="66" spans="1:22" x14ac:dyDescent="0.25">
      <c r="A66" s="118">
        <v>55</v>
      </c>
      <c r="B66" s="115" t="s">
        <v>106</v>
      </c>
      <c r="C66" s="116" t="s">
        <v>25</v>
      </c>
      <c r="D66" s="2">
        <v>65407259.170000002</v>
      </c>
      <c r="E66" s="3">
        <f t="shared" si="31"/>
        <v>2.2035294491059811E-4</v>
      </c>
      <c r="F66" s="7">
        <v>110.8408</v>
      </c>
      <c r="G66" s="7">
        <v>110.8408</v>
      </c>
      <c r="H66" s="60">
        <v>74</v>
      </c>
      <c r="I66" s="5">
        <v>3.1599999999999998E-4</v>
      </c>
      <c r="J66" s="5">
        <v>0.08</v>
      </c>
      <c r="K66" s="2">
        <v>66591770.600000001</v>
      </c>
      <c r="L66" s="3">
        <f t="shared" si="20"/>
        <v>2.2460950070312839E-4</v>
      </c>
      <c r="M66" s="7">
        <v>110.32640000000001</v>
      </c>
      <c r="N66" s="7">
        <v>110.32640000000001</v>
      </c>
      <c r="O66" s="60">
        <v>76</v>
      </c>
      <c r="P66" s="5">
        <v>3.1500000000000001E-4</v>
      </c>
      <c r="Q66" s="5">
        <v>8.2299999999999998E-2</v>
      </c>
      <c r="R66" s="81">
        <f t="shared" si="26"/>
        <v>1.8109785443253878E-2</v>
      </c>
      <c r="S66" s="81">
        <f t="shared" si="27"/>
        <v>-4.6408903580630496E-3</v>
      </c>
      <c r="T66" s="81">
        <f t="shared" si="28"/>
        <v>2.7027027027027029E-2</v>
      </c>
      <c r="U66" s="82">
        <f t="shared" si="29"/>
        <v>-9.999999999999701E-7</v>
      </c>
      <c r="V66" s="84">
        <f t="shared" si="30"/>
        <v>2.2999999999999965E-3</v>
      </c>
    </row>
    <row r="67" spans="1:22" x14ac:dyDescent="0.25">
      <c r="A67" s="123">
        <v>56</v>
      </c>
      <c r="B67" s="115" t="s">
        <v>107</v>
      </c>
      <c r="C67" s="116" t="s">
        <v>108</v>
      </c>
      <c r="D67" s="2">
        <v>902095500.43000007</v>
      </c>
      <c r="E67" s="3">
        <f t="shared" si="31"/>
        <v>3.0391030389104474E-3</v>
      </c>
      <c r="F67" s="7">
        <v>1000</v>
      </c>
      <c r="G67" s="7">
        <v>1000</v>
      </c>
      <c r="H67" s="60">
        <v>258</v>
      </c>
      <c r="I67" s="5">
        <v>1.4943225872152501E-4</v>
      </c>
      <c r="J67" s="5">
        <v>0.161</v>
      </c>
      <c r="K67" s="2">
        <v>908546872.53999996</v>
      </c>
      <c r="L67" s="3">
        <f t="shared" si="20"/>
        <v>3.0644666385638681E-3</v>
      </c>
      <c r="M67" s="7">
        <v>1000</v>
      </c>
      <c r="N67" s="7">
        <v>1000</v>
      </c>
      <c r="O67" s="60">
        <v>261</v>
      </c>
      <c r="P67" s="5">
        <v>7.1515400608081995E-5</v>
      </c>
      <c r="Q67" s="5">
        <v>0.16500000000000001</v>
      </c>
      <c r="R67" s="81">
        <f t="shared" si="26"/>
        <v>7.1515400608081212E-3</v>
      </c>
      <c r="S67" s="81">
        <f t="shared" si="27"/>
        <v>0</v>
      </c>
      <c r="T67" s="81">
        <f t="shared" si="28"/>
        <v>1.1627906976744186E-2</v>
      </c>
      <c r="U67" s="82">
        <f t="shared" si="29"/>
        <v>-7.7916858113443019E-5</v>
      </c>
      <c r="V67" s="84">
        <f t="shared" si="30"/>
        <v>4.0000000000000036E-3</v>
      </c>
    </row>
    <row r="68" spans="1:22" x14ac:dyDescent="0.25">
      <c r="A68" s="113">
        <v>57</v>
      </c>
      <c r="B68" s="115" t="s">
        <v>109</v>
      </c>
      <c r="C68" s="116" t="s">
        <v>64</v>
      </c>
      <c r="D68" s="2">
        <v>240056897.16999999</v>
      </c>
      <c r="E68" s="3">
        <f t="shared" si="31"/>
        <v>8.0873659756977275E-4</v>
      </c>
      <c r="F68" s="7">
        <v>1105.47</v>
      </c>
      <c r="G68" s="7">
        <v>1116.2</v>
      </c>
      <c r="H68" s="60">
        <v>82</v>
      </c>
      <c r="I68" s="5">
        <v>-2.8999999999999998E-3</v>
      </c>
      <c r="J68" s="5">
        <v>6.4600000000000005E-2</v>
      </c>
      <c r="K68" s="2">
        <v>239831357.90000001</v>
      </c>
      <c r="L68" s="3">
        <f t="shared" si="20"/>
        <v>8.0893481379923371E-4</v>
      </c>
      <c r="M68" s="7">
        <v>1103.52</v>
      </c>
      <c r="N68" s="7">
        <v>1146.8599999999999</v>
      </c>
      <c r="O68" s="60">
        <v>82</v>
      </c>
      <c r="P68" s="5">
        <v>-2.8999999999999998E-3</v>
      </c>
      <c r="Q68" s="5">
        <v>6.6500000000000004E-2</v>
      </c>
      <c r="R68" s="81">
        <f t="shared" si="26"/>
        <v>-9.3952422387706615E-4</v>
      </c>
      <c r="S68" s="81">
        <f t="shared" si="27"/>
        <v>2.7468195663859392E-2</v>
      </c>
      <c r="T68" s="81">
        <f t="shared" si="28"/>
        <v>0</v>
      </c>
      <c r="U68" s="82">
        <f t="shared" si="29"/>
        <v>0</v>
      </c>
      <c r="V68" s="84">
        <f t="shared" si="30"/>
        <v>1.8999999999999989E-3</v>
      </c>
    </row>
    <row r="69" spans="1:22" x14ac:dyDescent="0.25">
      <c r="A69" s="113">
        <v>58</v>
      </c>
      <c r="B69" s="115" t="s">
        <v>110</v>
      </c>
      <c r="C69" s="116" t="s">
        <v>67</v>
      </c>
      <c r="D69" s="2">
        <v>736316737.59000003</v>
      </c>
      <c r="E69" s="3">
        <f t="shared" si="31"/>
        <v>2.4806048070783364E-3</v>
      </c>
      <c r="F69" s="15">
        <v>1.0851999999999999</v>
      </c>
      <c r="G69" s="15">
        <v>1.0851999999999999</v>
      </c>
      <c r="H69" s="60">
        <v>40</v>
      </c>
      <c r="I69" s="5">
        <v>-2.6651962135834247E-3</v>
      </c>
      <c r="J69" s="5">
        <v>2.5758001561280407E-2</v>
      </c>
      <c r="K69" s="2">
        <v>739811686.73000002</v>
      </c>
      <c r="L69" s="3">
        <f t="shared" si="20"/>
        <v>2.4953343644952509E-3</v>
      </c>
      <c r="M69" s="15">
        <v>1.0902000000000001</v>
      </c>
      <c r="N69" s="15">
        <v>1.0902000000000001</v>
      </c>
      <c r="O69" s="60">
        <v>40</v>
      </c>
      <c r="P69" s="5">
        <v>4.6074456321416471E-3</v>
      </c>
      <c r="Q69" s="5">
        <v>9.7898374386867035E-2</v>
      </c>
      <c r="R69" s="81">
        <f t="shared" si="26"/>
        <v>4.7465295321672592E-3</v>
      </c>
      <c r="S69" s="81">
        <f t="shared" si="27"/>
        <v>4.6074456321416471E-3</v>
      </c>
      <c r="T69" s="81">
        <f t="shared" si="28"/>
        <v>0</v>
      </c>
      <c r="U69" s="82">
        <f t="shared" si="29"/>
        <v>7.2726418457250714E-3</v>
      </c>
      <c r="V69" s="84">
        <f t="shared" si="30"/>
        <v>7.2140372825586635E-2</v>
      </c>
    </row>
    <row r="70" spans="1:22" x14ac:dyDescent="0.25">
      <c r="A70" s="114">
        <v>59</v>
      </c>
      <c r="B70" s="115" t="s">
        <v>111</v>
      </c>
      <c r="C70" s="116" t="s">
        <v>27</v>
      </c>
      <c r="D70" s="2">
        <v>65833276820.129997</v>
      </c>
      <c r="E70" s="3">
        <f t="shared" si="31"/>
        <v>0.2217881715961568</v>
      </c>
      <c r="F70" s="15">
        <v>1515.74</v>
      </c>
      <c r="G70" s="2">
        <v>1515.74</v>
      </c>
      <c r="H70" s="60">
        <v>2447</v>
      </c>
      <c r="I70" s="5">
        <v>2.3E-3</v>
      </c>
      <c r="J70" s="5">
        <v>0.1152</v>
      </c>
      <c r="K70" s="2">
        <v>66091555424.690002</v>
      </c>
      <c r="L70" s="3">
        <f t="shared" si="20"/>
        <v>0.22292230903127178</v>
      </c>
      <c r="M70" s="15">
        <v>1518.98</v>
      </c>
      <c r="N70" s="2">
        <v>1518.98</v>
      </c>
      <c r="O70" s="60">
        <v>2448</v>
      </c>
      <c r="P70" s="5">
        <v>2.0999999999999999E-3</v>
      </c>
      <c r="Q70" s="5">
        <v>0.1153</v>
      </c>
      <c r="R70" s="81">
        <f t="shared" si="26"/>
        <v>3.9232226775780168E-3</v>
      </c>
      <c r="S70" s="81">
        <f t="shared" si="27"/>
        <v>2.1375697679021526E-3</v>
      </c>
      <c r="T70" s="81">
        <f t="shared" si="28"/>
        <v>4.086636697997548E-4</v>
      </c>
      <c r="U70" s="82">
        <f t="shared" si="29"/>
        <v>-2.0000000000000009E-4</v>
      </c>
      <c r="V70" s="84">
        <f t="shared" si="30"/>
        <v>1.0000000000000286E-4</v>
      </c>
    </row>
    <row r="71" spans="1:22" x14ac:dyDescent="0.25">
      <c r="A71" s="113">
        <v>60</v>
      </c>
      <c r="B71" s="115" t="s">
        <v>112</v>
      </c>
      <c r="C71" s="116" t="s">
        <v>72</v>
      </c>
      <c r="D71" s="2">
        <v>24660837.010000002</v>
      </c>
      <c r="E71" s="3">
        <f t="shared" si="31"/>
        <v>8.3080809807211628E-5</v>
      </c>
      <c r="F71" s="2">
        <v>0.75109999999999999</v>
      </c>
      <c r="G71" s="2">
        <v>0.75109999999999999</v>
      </c>
      <c r="H71" s="60">
        <v>748</v>
      </c>
      <c r="I71" s="5">
        <v>2.0010672358590524E-3</v>
      </c>
      <c r="J71" s="5">
        <v>9.9224352407434463E-2</v>
      </c>
      <c r="K71" s="2">
        <v>24708196.059800003</v>
      </c>
      <c r="L71" s="3">
        <f t="shared" si="20"/>
        <v>8.333906022115415E-5</v>
      </c>
      <c r="M71" s="2">
        <v>0.75249999999999995</v>
      </c>
      <c r="N71" s="2">
        <v>0.75249999999999995</v>
      </c>
      <c r="O71" s="60">
        <v>733</v>
      </c>
      <c r="P71" s="5">
        <v>1.8639328984155995E-3</v>
      </c>
      <c r="Q71" s="5">
        <v>0.10127323284062627</v>
      </c>
      <c r="R71" s="81">
        <f t="shared" si="26"/>
        <v>1.9204153444101239E-3</v>
      </c>
      <c r="S71" s="81">
        <f t="shared" si="27"/>
        <v>1.8639328984155995E-3</v>
      </c>
      <c r="T71" s="81">
        <f t="shared" si="28"/>
        <v>-2.0053475935828877E-2</v>
      </c>
      <c r="U71" s="82">
        <f t="shared" si="29"/>
        <v>-1.3713433744345286E-4</v>
      </c>
      <c r="V71" s="84">
        <f t="shared" si="30"/>
        <v>2.0488804331918048E-3</v>
      </c>
    </row>
    <row r="72" spans="1:22" x14ac:dyDescent="0.25">
      <c r="A72" s="114">
        <v>61</v>
      </c>
      <c r="B72" s="115" t="s">
        <v>113</v>
      </c>
      <c r="C72" s="116" t="s">
        <v>114</v>
      </c>
      <c r="D72" s="2">
        <v>1072771708.67</v>
      </c>
      <c r="E72" s="3">
        <f t="shared" si="31"/>
        <v>3.6141004564617454E-3</v>
      </c>
      <c r="F72" s="2">
        <v>209.75227699999999</v>
      </c>
      <c r="G72" s="2">
        <v>211.40564800000001</v>
      </c>
      <c r="H72" s="60">
        <v>487</v>
      </c>
      <c r="I72" s="5">
        <v>1.6999999999999999E-3</v>
      </c>
      <c r="J72" s="5">
        <v>5.9900000000000002E-2</v>
      </c>
      <c r="K72" s="2">
        <v>1074358515.96</v>
      </c>
      <c r="L72" s="3">
        <f t="shared" si="20"/>
        <v>3.6237380035353739E-3</v>
      </c>
      <c r="M72" s="2">
        <v>210.21761599999999</v>
      </c>
      <c r="N72" s="2">
        <v>211.95542900000001</v>
      </c>
      <c r="O72" s="60">
        <v>487</v>
      </c>
      <c r="P72" s="5">
        <v>1.6000000000000001E-3</v>
      </c>
      <c r="Q72" s="5">
        <v>6.2700000000000006E-2</v>
      </c>
      <c r="R72" s="81">
        <f t="shared" si="26"/>
        <v>1.4791658627606537E-3</v>
      </c>
      <c r="S72" s="81">
        <f t="shared" si="27"/>
        <v>2.6005975015388227E-3</v>
      </c>
      <c r="T72" s="81">
        <f t="shared" si="28"/>
        <v>0</v>
      </c>
      <c r="U72" s="82">
        <f t="shared" si="29"/>
        <v>-9.9999999999999829E-5</v>
      </c>
      <c r="V72" s="84">
        <f t="shared" si="30"/>
        <v>2.8000000000000039E-3</v>
      </c>
    </row>
    <row r="73" spans="1:22" x14ac:dyDescent="0.25">
      <c r="A73" s="114">
        <v>62</v>
      </c>
      <c r="B73" s="115" t="s">
        <v>115</v>
      </c>
      <c r="C73" s="116" t="s">
        <v>34</v>
      </c>
      <c r="D73" s="2">
        <v>1243447087.28</v>
      </c>
      <c r="E73" s="3">
        <f t="shared" si="31"/>
        <v>4.1890950790417214E-3</v>
      </c>
      <c r="F73" s="14">
        <v>3.55</v>
      </c>
      <c r="G73" s="14">
        <v>3.55</v>
      </c>
      <c r="H73" s="61">
        <v>783</v>
      </c>
      <c r="I73" s="12">
        <v>3.5999999999999999E-3</v>
      </c>
      <c r="J73" s="12">
        <v>-6.7999999999999996E-3</v>
      </c>
      <c r="K73" s="2">
        <v>1243428428.5</v>
      </c>
      <c r="L73" s="3">
        <f t="shared" si="20"/>
        <v>4.1939992880360589E-3</v>
      </c>
      <c r="M73" s="14">
        <v>3.55</v>
      </c>
      <c r="N73" s="14">
        <v>3.55</v>
      </c>
      <c r="O73" s="61">
        <v>783</v>
      </c>
      <c r="P73" s="12">
        <v>4.5999999999999999E-3</v>
      </c>
      <c r="Q73" s="12">
        <v>-6.7000000000000002E-3</v>
      </c>
      <c r="R73" s="81">
        <f t="shared" si="26"/>
        <v>-1.5005688775054244E-5</v>
      </c>
      <c r="S73" s="81">
        <f t="shared" si="27"/>
        <v>0</v>
      </c>
      <c r="T73" s="81">
        <f t="shared" si="28"/>
        <v>0</v>
      </c>
      <c r="U73" s="82">
        <f t="shared" si="29"/>
        <v>1E-3</v>
      </c>
      <c r="V73" s="84">
        <f t="shared" si="30"/>
        <v>9.9999999999999395E-5</v>
      </c>
    </row>
    <row r="74" spans="1:22" x14ac:dyDescent="0.25">
      <c r="A74" s="124">
        <v>63</v>
      </c>
      <c r="B74" s="116" t="s">
        <v>116</v>
      </c>
      <c r="C74" s="125" t="s">
        <v>40</v>
      </c>
      <c r="D74" s="2">
        <v>2065024886</v>
      </c>
      <c r="E74" s="3">
        <f t="shared" si="31"/>
        <v>6.9569390419050043E-3</v>
      </c>
      <c r="F74" s="14">
        <v>100.66</v>
      </c>
      <c r="G74" s="14">
        <v>100.66</v>
      </c>
      <c r="H74" s="60">
        <v>169</v>
      </c>
      <c r="I74" s="5">
        <v>1.9E-3</v>
      </c>
      <c r="J74" s="5">
        <v>0.10059999999999999</v>
      </c>
      <c r="K74" s="2">
        <v>2102885172</v>
      </c>
      <c r="L74" s="3">
        <f t="shared" si="20"/>
        <v>7.0928882692741051E-3</v>
      </c>
      <c r="M74" s="14">
        <v>100.83</v>
      </c>
      <c r="N74" s="14">
        <v>100.83</v>
      </c>
      <c r="O74" s="60">
        <v>169</v>
      </c>
      <c r="P74" s="5">
        <v>1.9E-3</v>
      </c>
      <c r="Q74" s="5">
        <v>0.1037</v>
      </c>
      <c r="R74" s="81">
        <f t="shared" si="26"/>
        <v>1.8334057984810165E-2</v>
      </c>
      <c r="S74" s="81">
        <f t="shared" si="27"/>
        <v>1.6888535664613721E-3</v>
      </c>
      <c r="T74" s="81">
        <f t="shared" si="28"/>
        <v>0</v>
      </c>
      <c r="U74" s="82">
        <f t="shared" si="29"/>
        <v>0</v>
      </c>
      <c r="V74" s="84">
        <f t="shared" si="30"/>
        <v>3.1000000000000055E-3</v>
      </c>
    </row>
    <row r="75" spans="1:22" x14ac:dyDescent="0.25">
      <c r="A75" s="120">
        <v>64</v>
      </c>
      <c r="B75" s="115" t="s">
        <v>117</v>
      </c>
      <c r="C75" s="116" t="s">
        <v>17</v>
      </c>
      <c r="D75" s="2">
        <v>1649263466.8699999</v>
      </c>
      <c r="E75" s="3">
        <f t="shared" si="31"/>
        <v>5.5562649539205129E-3</v>
      </c>
      <c r="F75" s="14">
        <v>340.55930000000001</v>
      </c>
      <c r="G75" s="14">
        <v>340.55930000000001</v>
      </c>
      <c r="H75" s="60">
        <v>193</v>
      </c>
      <c r="I75" s="5">
        <v>2E-3</v>
      </c>
      <c r="J75" s="5">
        <v>0.13519999999999999</v>
      </c>
      <c r="K75" s="2">
        <v>1649409343.04</v>
      </c>
      <c r="L75" s="3">
        <f t="shared" si="20"/>
        <v>5.5633452250523187E-3</v>
      </c>
      <c r="M75" s="14">
        <v>341.28620000000001</v>
      </c>
      <c r="N75" s="14">
        <v>341.28620000000001</v>
      </c>
      <c r="O75" s="60">
        <v>102</v>
      </c>
      <c r="P75" s="5">
        <v>2.0999999999999999E-3</v>
      </c>
      <c r="Q75" s="5">
        <v>0.13739999999999999</v>
      </c>
      <c r="R75" s="81">
        <f t="shared" si="26"/>
        <v>8.8449282319290416E-5</v>
      </c>
      <c r="S75" s="81">
        <f t="shared" si="27"/>
        <v>2.134430039056342E-3</v>
      </c>
      <c r="T75" s="81">
        <f t="shared" si="28"/>
        <v>-0.47150259067357514</v>
      </c>
      <c r="U75" s="82">
        <f t="shared" si="29"/>
        <v>9.9999999999999829E-5</v>
      </c>
      <c r="V75" s="84">
        <f t="shared" si="30"/>
        <v>2.2000000000000075E-3</v>
      </c>
    </row>
    <row r="76" spans="1:22" x14ac:dyDescent="0.25">
      <c r="A76" s="120">
        <v>65</v>
      </c>
      <c r="B76" s="115" t="s">
        <v>118</v>
      </c>
      <c r="C76" s="116" t="s">
        <v>38</v>
      </c>
      <c r="D76" s="2">
        <v>54818800.520000003</v>
      </c>
      <c r="E76" s="3">
        <f t="shared" si="31"/>
        <v>1.8468109326600648E-4</v>
      </c>
      <c r="F76" s="14">
        <v>11.886471</v>
      </c>
      <c r="G76" s="2">
        <v>12.059008</v>
      </c>
      <c r="H76" s="60">
        <v>55</v>
      </c>
      <c r="I76" s="5">
        <v>2.0000000000000001E-4</v>
      </c>
      <c r="J76" s="5">
        <v>6.9900000000000004E-2</v>
      </c>
      <c r="K76" s="2">
        <v>54698761.740000002</v>
      </c>
      <c r="L76" s="3">
        <f t="shared" si="20"/>
        <v>1.8449519291653709E-4</v>
      </c>
      <c r="M76" s="14">
        <v>11.903858</v>
      </c>
      <c r="N76" s="2">
        <v>12.084626999999999</v>
      </c>
      <c r="O76" s="60">
        <v>55</v>
      </c>
      <c r="P76" s="5">
        <v>2.0000000000000001E-4</v>
      </c>
      <c r="Q76" s="5">
        <v>7.1900000000000006E-2</v>
      </c>
      <c r="R76" s="81">
        <f t="shared" si="26"/>
        <v>-2.1897374415590586E-3</v>
      </c>
      <c r="S76" s="81">
        <f t="shared" si="27"/>
        <v>2.1244699398158579E-3</v>
      </c>
      <c r="T76" s="81">
        <f t="shared" si="28"/>
        <v>0</v>
      </c>
      <c r="U76" s="82">
        <f t="shared" si="29"/>
        <v>0</v>
      </c>
      <c r="V76" s="84">
        <f t="shared" si="30"/>
        <v>2.0000000000000018E-3</v>
      </c>
    </row>
    <row r="77" spans="1:22" x14ac:dyDescent="0.25">
      <c r="A77" s="123">
        <v>66</v>
      </c>
      <c r="B77" s="115" t="s">
        <v>237</v>
      </c>
      <c r="C77" s="116" t="s">
        <v>238</v>
      </c>
      <c r="D77" s="2">
        <v>134958430.86000001</v>
      </c>
      <c r="E77" s="3">
        <f t="shared" si="31"/>
        <v>4.5466647063166255E-4</v>
      </c>
      <c r="F77" s="2">
        <v>109.81</v>
      </c>
      <c r="G77" s="2">
        <v>109.81</v>
      </c>
      <c r="H77" s="60">
        <v>62</v>
      </c>
      <c r="I77" s="5">
        <v>-1.35E-2</v>
      </c>
      <c r="J77" s="5">
        <v>0.1113</v>
      </c>
      <c r="K77" s="2">
        <v>135968500.68000001</v>
      </c>
      <c r="L77" s="3">
        <f t="shared" si="20"/>
        <v>4.5861247979923475E-4</v>
      </c>
      <c r="M77" s="2">
        <v>110</v>
      </c>
      <c r="N77" s="2">
        <v>110</v>
      </c>
      <c r="O77" s="60">
        <v>61</v>
      </c>
      <c r="P77" s="5">
        <v>-8.0999999999999996E-3</v>
      </c>
      <c r="Q77" s="5">
        <v>0.1108</v>
      </c>
      <c r="R77" s="81">
        <f t="shared" ref="R77" si="32">((K77-D77)/D77)</f>
        <v>7.4843032299908348E-3</v>
      </c>
      <c r="S77" s="81">
        <f t="shared" ref="S77" si="33">((N77-G77)/G77)</f>
        <v>1.730261360531807E-3</v>
      </c>
      <c r="T77" s="81">
        <f t="shared" ref="T77" si="34">((O77-H77)/H77)</f>
        <v>-1.6129032258064516E-2</v>
      </c>
      <c r="U77" s="82">
        <f t="shared" si="29"/>
        <v>5.4000000000000003E-3</v>
      </c>
      <c r="V77" s="84">
        <f t="shared" si="30"/>
        <v>-5.0000000000000044E-4</v>
      </c>
    </row>
    <row r="78" spans="1:22" x14ac:dyDescent="0.25">
      <c r="A78" s="123">
        <v>67</v>
      </c>
      <c r="B78" s="115" t="s">
        <v>119</v>
      </c>
      <c r="C78" s="116" t="s">
        <v>120</v>
      </c>
      <c r="D78" s="2">
        <v>6831479434.2700005</v>
      </c>
      <c r="E78" s="3">
        <f t="shared" si="31"/>
        <v>2.3014824815164033E-2</v>
      </c>
      <c r="F78" s="14">
        <v>1.0900000000000001</v>
      </c>
      <c r="G78" s="14">
        <v>1.0900000000000001</v>
      </c>
      <c r="H78" s="60">
        <v>3556</v>
      </c>
      <c r="I78" s="5">
        <v>0</v>
      </c>
      <c r="J78" s="5">
        <v>0.10009999999999999</v>
      </c>
      <c r="K78" s="2">
        <v>6847522750.1300001</v>
      </c>
      <c r="L78" s="3">
        <f t="shared" si="20"/>
        <v>2.3096227238024691E-2</v>
      </c>
      <c r="M78" s="14">
        <v>1.0900000000000001</v>
      </c>
      <c r="N78" s="14">
        <v>1.0900000000000001</v>
      </c>
      <c r="O78" s="60">
        <v>3569</v>
      </c>
      <c r="P78" s="5">
        <v>0</v>
      </c>
      <c r="Q78" s="5">
        <v>0.1002</v>
      </c>
      <c r="R78" s="81">
        <f t="shared" si="26"/>
        <v>2.3484394580065098E-3</v>
      </c>
      <c r="S78" s="81">
        <f t="shared" si="27"/>
        <v>0</v>
      </c>
      <c r="T78" s="81">
        <f t="shared" si="28"/>
        <v>3.6557930258717662E-3</v>
      </c>
      <c r="U78" s="82">
        <f t="shared" si="29"/>
        <v>0</v>
      </c>
      <c r="V78" s="84">
        <f t="shared" si="30"/>
        <v>1.0000000000000286E-4</v>
      </c>
    </row>
    <row r="79" spans="1:22" ht="14.25" customHeight="1" x14ac:dyDescent="0.25">
      <c r="A79" s="121">
        <v>68</v>
      </c>
      <c r="B79" s="115" t="s">
        <v>121</v>
      </c>
      <c r="C79" s="116" t="s">
        <v>42</v>
      </c>
      <c r="D79" s="2">
        <v>22359221566.41</v>
      </c>
      <c r="E79" s="3">
        <f t="shared" si="31"/>
        <v>7.5326812047901925E-2</v>
      </c>
      <c r="F79" s="2">
        <v>4921.82</v>
      </c>
      <c r="G79" s="2">
        <v>4921.82</v>
      </c>
      <c r="H79" s="60">
        <v>1136</v>
      </c>
      <c r="I79" s="5">
        <v>1.4E-3</v>
      </c>
      <c r="J79" s="5">
        <v>7.6499999999999999E-2</v>
      </c>
      <c r="K79" s="2">
        <v>22444420114.32</v>
      </c>
      <c r="L79" s="3">
        <f t="shared" si="20"/>
        <v>7.5703498345614892E-2</v>
      </c>
      <c r="M79" s="2">
        <v>4931.37</v>
      </c>
      <c r="N79" s="2">
        <v>4931.37</v>
      </c>
      <c r="O79" s="60">
        <v>1136</v>
      </c>
      <c r="P79" s="5">
        <v>1.9E-3</v>
      </c>
      <c r="Q79" s="5">
        <v>7.8600000000000003E-2</v>
      </c>
      <c r="R79" s="81">
        <f t="shared" si="26"/>
        <v>3.8104433849339659E-3</v>
      </c>
      <c r="S79" s="81">
        <f t="shared" si="27"/>
        <v>1.9403391428374427E-3</v>
      </c>
      <c r="T79" s="81">
        <f t="shared" si="28"/>
        <v>0</v>
      </c>
      <c r="U79" s="82">
        <f t="shared" si="29"/>
        <v>5.0000000000000001E-4</v>
      </c>
      <c r="V79" s="84">
        <f t="shared" si="30"/>
        <v>2.1000000000000046E-3</v>
      </c>
    </row>
    <row r="80" spans="1:22" x14ac:dyDescent="0.25">
      <c r="A80" s="121">
        <v>69</v>
      </c>
      <c r="B80" s="115" t="s">
        <v>122</v>
      </c>
      <c r="C80" s="116" t="s">
        <v>42</v>
      </c>
      <c r="D80" s="2">
        <v>38682097857.519997</v>
      </c>
      <c r="E80" s="3">
        <f t="shared" si="31"/>
        <v>0.1303175562833245</v>
      </c>
      <c r="F80" s="14">
        <v>254.74</v>
      </c>
      <c r="G80" s="14">
        <v>254.74</v>
      </c>
      <c r="H80" s="60">
        <v>11753</v>
      </c>
      <c r="I80" s="5">
        <v>4.0000000000000002E-4</v>
      </c>
      <c r="J80" s="5">
        <v>3.95E-2</v>
      </c>
      <c r="K80" s="2">
        <v>38229607922.400002</v>
      </c>
      <c r="L80" s="3">
        <f>(K80/$K$88)</f>
        <v>0.12894586027911722</v>
      </c>
      <c r="M80" s="14">
        <v>254.94</v>
      </c>
      <c r="N80" s="14">
        <v>254.94</v>
      </c>
      <c r="O80" s="60">
        <v>11759</v>
      </c>
      <c r="P80" s="5">
        <v>8.0000000000000004E-4</v>
      </c>
      <c r="Q80" s="5">
        <v>4.0300000000000002E-2</v>
      </c>
      <c r="R80" s="81">
        <f t="shared" si="26"/>
        <v>-1.1697657577587374E-2</v>
      </c>
      <c r="S80" s="81">
        <f t="shared" si="27"/>
        <v>7.8511423412101994E-4</v>
      </c>
      <c r="T80" s="81">
        <f t="shared" si="28"/>
        <v>5.1050795541563853E-4</v>
      </c>
      <c r="U80" s="82">
        <f t="shared" si="29"/>
        <v>4.0000000000000002E-4</v>
      </c>
      <c r="V80" s="84">
        <f t="shared" si="30"/>
        <v>8.000000000000021E-4</v>
      </c>
    </row>
    <row r="81" spans="1:29" ht="12.75" customHeight="1" x14ac:dyDescent="0.25">
      <c r="A81" s="121">
        <v>70</v>
      </c>
      <c r="B81" s="115" t="s">
        <v>123</v>
      </c>
      <c r="C81" s="116" t="s">
        <v>42</v>
      </c>
      <c r="D81" s="2">
        <v>286750558.19999999</v>
      </c>
      <c r="E81" s="3">
        <f t="shared" si="31"/>
        <v>9.6604460660704757E-4</v>
      </c>
      <c r="F81" s="2">
        <v>5079.16</v>
      </c>
      <c r="G81" s="7">
        <v>5102.1400000000003</v>
      </c>
      <c r="H81" s="60">
        <v>1132</v>
      </c>
      <c r="I81" s="5">
        <v>-1.6999999999999999E-3</v>
      </c>
      <c r="J81" s="5">
        <v>0.19800000000000001</v>
      </c>
      <c r="K81" s="2">
        <v>289072784.44</v>
      </c>
      <c r="L81" s="3">
        <f t="shared" si="20"/>
        <v>9.7502278727412987E-4</v>
      </c>
      <c r="M81" s="2">
        <v>5120.04</v>
      </c>
      <c r="N81" s="7">
        <v>5143.6400000000003</v>
      </c>
      <c r="O81" s="60">
        <v>1132</v>
      </c>
      <c r="P81" s="5">
        <v>8.0999999999999996E-3</v>
      </c>
      <c r="Q81" s="5">
        <v>0.2077</v>
      </c>
      <c r="R81" s="81">
        <f t="shared" si="26"/>
        <v>8.0984192483431038E-3</v>
      </c>
      <c r="S81" s="81">
        <f t="shared" si="27"/>
        <v>8.1338418781138882E-3</v>
      </c>
      <c r="T81" s="81">
        <f t="shared" si="28"/>
        <v>0</v>
      </c>
      <c r="U81" s="82">
        <f t="shared" si="29"/>
        <v>9.7999999999999997E-3</v>
      </c>
      <c r="V81" s="84">
        <f t="shared" si="30"/>
        <v>9.6999999999999864E-3</v>
      </c>
    </row>
    <row r="82" spans="1:29" ht="12.75" customHeight="1" x14ac:dyDescent="0.25">
      <c r="A82" s="121">
        <v>71</v>
      </c>
      <c r="B82" s="115" t="s">
        <v>124</v>
      </c>
      <c r="C82" s="116" t="s">
        <v>42</v>
      </c>
      <c r="D82" s="2">
        <v>18926419212.07</v>
      </c>
      <c r="E82" s="3">
        <f t="shared" si="31"/>
        <v>6.3761916688063941E-2</v>
      </c>
      <c r="F82" s="14">
        <v>123.94</v>
      </c>
      <c r="G82" s="14">
        <v>123.94</v>
      </c>
      <c r="H82" s="60">
        <v>5664</v>
      </c>
      <c r="I82" s="5">
        <v>1.8E-3</v>
      </c>
      <c r="J82" s="5">
        <v>7.7700000000000005E-2</v>
      </c>
      <c r="K82" s="2">
        <v>19373370783.279999</v>
      </c>
      <c r="L82" s="3">
        <f t="shared" si="20"/>
        <v>6.5345058396286224E-2</v>
      </c>
      <c r="M82" s="14">
        <v>124.17</v>
      </c>
      <c r="N82" s="14">
        <v>124.17</v>
      </c>
      <c r="O82" s="60">
        <v>5679</v>
      </c>
      <c r="P82" s="5">
        <v>1.9E-3</v>
      </c>
      <c r="Q82" s="5">
        <v>7.9699999999999993E-2</v>
      </c>
      <c r="R82" s="81">
        <f t="shared" si="26"/>
        <v>2.3615220935451084E-2</v>
      </c>
      <c r="S82" s="81">
        <f t="shared" si="27"/>
        <v>1.8557366467645956E-3</v>
      </c>
      <c r="T82" s="81">
        <f t="shared" si="28"/>
        <v>2.6483050847457626E-3</v>
      </c>
      <c r="U82" s="82">
        <f t="shared" si="29"/>
        <v>1.0000000000000005E-4</v>
      </c>
      <c r="V82" s="84">
        <f t="shared" si="30"/>
        <v>1.9999999999999879E-3</v>
      </c>
    </row>
    <row r="83" spans="1:29" ht="12.75" customHeight="1" x14ac:dyDescent="0.25">
      <c r="A83" s="121">
        <v>72</v>
      </c>
      <c r="B83" s="115" t="s">
        <v>125</v>
      </c>
      <c r="C83" s="116" t="s">
        <v>42</v>
      </c>
      <c r="D83" s="2">
        <v>13621233754.75</v>
      </c>
      <c r="E83" s="3">
        <f t="shared" si="31"/>
        <v>4.5889080344639767E-2</v>
      </c>
      <c r="F83" s="14">
        <v>347.69</v>
      </c>
      <c r="G83" s="14">
        <v>347.82</v>
      </c>
      <c r="H83" s="60">
        <v>17512</v>
      </c>
      <c r="I83" s="5">
        <v>1.8E-3</v>
      </c>
      <c r="J83" s="5">
        <v>4.5999999999999999E-2</v>
      </c>
      <c r="K83" s="2">
        <v>13593876911.280001</v>
      </c>
      <c r="L83" s="3">
        <f t="shared" si="20"/>
        <v>4.585121972507495E-2</v>
      </c>
      <c r="M83" s="14">
        <v>348.27</v>
      </c>
      <c r="N83" s="14">
        <v>348.39</v>
      </c>
      <c r="O83" s="60">
        <v>17523</v>
      </c>
      <c r="P83" s="5">
        <v>1.6000000000000001E-3</v>
      </c>
      <c r="Q83" s="5">
        <v>4.7699999999999999E-2</v>
      </c>
      <c r="R83" s="81">
        <f t="shared" si="26"/>
        <v>-2.0083968869897286E-3</v>
      </c>
      <c r="S83" s="81">
        <f t="shared" si="27"/>
        <v>1.6387786786268563E-3</v>
      </c>
      <c r="T83" s="81">
        <f t="shared" si="28"/>
        <v>6.2814070351758795E-4</v>
      </c>
      <c r="U83" s="82">
        <f t="shared" si="29"/>
        <v>-1.9999999999999987E-4</v>
      </c>
      <c r="V83" s="84">
        <f t="shared" si="30"/>
        <v>1.7000000000000001E-3</v>
      </c>
    </row>
    <row r="84" spans="1:29" x14ac:dyDescent="0.25">
      <c r="A84" s="121">
        <v>73</v>
      </c>
      <c r="B84" s="115" t="s">
        <v>126</v>
      </c>
      <c r="C84" s="116" t="s">
        <v>45</v>
      </c>
      <c r="D84" s="2">
        <v>102438919240.44</v>
      </c>
      <c r="E84" s="3">
        <f t="shared" si="31"/>
        <v>0.34511028002902761</v>
      </c>
      <c r="F84" s="2">
        <v>1.9208000000000001</v>
      </c>
      <c r="G84" s="2">
        <v>1.9208000000000001</v>
      </c>
      <c r="H84" s="60">
        <v>6084</v>
      </c>
      <c r="I84" s="5">
        <v>5.8700000000000002E-2</v>
      </c>
      <c r="J84" s="5">
        <v>6.5500000000000003E-2</v>
      </c>
      <c r="K84" s="2">
        <v>101658302937.96001</v>
      </c>
      <c r="L84" s="3">
        <f t="shared" si="20"/>
        <v>0.3428865227563504</v>
      </c>
      <c r="M84" s="2">
        <v>1.9283999999999999</v>
      </c>
      <c r="N84" s="2">
        <v>1.9283999999999999</v>
      </c>
      <c r="O84" s="60">
        <v>6089</v>
      </c>
      <c r="P84" s="5">
        <v>5.8400000000000001E-2</v>
      </c>
      <c r="Q84" s="5">
        <v>6.8599999999999994E-2</v>
      </c>
      <c r="R84" s="81">
        <f t="shared" si="26"/>
        <v>-7.620309822361249E-3</v>
      </c>
      <c r="S84" s="81">
        <f t="shared" si="27"/>
        <v>3.956684714702118E-3</v>
      </c>
      <c r="T84" s="81">
        <f t="shared" si="28"/>
        <v>8.2182774490466802E-4</v>
      </c>
      <c r="U84" s="82">
        <f t="shared" si="29"/>
        <v>-3.0000000000000165E-4</v>
      </c>
      <c r="V84" s="84">
        <f t="shared" si="30"/>
        <v>3.0999999999999917E-3</v>
      </c>
    </row>
    <row r="85" spans="1:29" x14ac:dyDescent="0.25">
      <c r="A85" s="123">
        <v>74</v>
      </c>
      <c r="B85" s="115" t="s">
        <v>243</v>
      </c>
      <c r="C85" s="115" t="s">
        <v>244</v>
      </c>
      <c r="D85" s="2">
        <v>54782275.752958991</v>
      </c>
      <c r="E85" s="3">
        <f t="shared" si="31"/>
        <v>1.8455804362164295E-4</v>
      </c>
      <c r="F85" s="2">
        <v>100.37045649593698</v>
      </c>
      <c r="G85" s="2">
        <v>100.37045649593698</v>
      </c>
      <c r="H85" s="60">
        <v>25</v>
      </c>
      <c r="I85" s="5">
        <v>4.7142209945105697E-4</v>
      </c>
      <c r="J85" s="5">
        <v>3.7045649593698826E-3</v>
      </c>
      <c r="K85" s="2">
        <v>76771469.213043511</v>
      </c>
      <c r="L85" s="3">
        <f t="shared" si="20"/>
        <v>2.5894492987377178E-4</v>
      </c>
      <c r="M85" s="2">
        <v>100.41970000000001</v>
      </c>
      <c r="N85" s="2">
        <v>100.41970000000001</v>
      </c>
      <c r="O85" s="60">
        <v>33</v>
      </c>
      <c r="P85" s="5">
        <v>4.8996762266152174E-4</v>
      </c>
      <c r="Q85" s="5">
        <v>4.1963476989175241E-3</v>
      </c>
      <c r="R85" s="81">
        <f t="shared" ref="R85" si="35">((K85-D85)/D85)</f>
        <v>0.40139247882371526</v>
      </c>
      <c r="S85" s="81">
        <f t="shared" ref="S85" si="36">((N85-G85)/G85)</f>
        <v>4.9061751617142184E-4</v>
      </c>
      <c r="T85" s="81">
        <f t="shared" ref="T85" si="37">((O85-H85)/H85)</f>
        <v>0.32</v>
      </c>
      <c r="U85" s="82">
        <f t="shared" ref="U85" si="38">P85-I85</f>
        <v>1.8545523210464774E-5</v>
      </c>
      <c r="V85" s="84">
        <f t="shared" ref="V85" si="39">Q85-J85</f>
        <v>4.9178273954764151E-4</v>
      </c>
    </row>
    <row r="86" spans="1:29" ht="15.75" customHeight="1" x14ac:dyDescent="0.25">
      <c r="A86" s="120">
        <v>75</v>
      </c>
      <c r="B86" s="115" t="s">
        <v>127</v>
      </c>
      <c r="C86" s="116" t="s">
        <v>32</v>
      </c>
      <c r="D86" s="2">
        <v>9209752549.0310993</v>
      </c>
      <c r="E86" s="3">
        <f t="shared" si="31"/>
        <v>3.1027077450261096E-2</v>
      </c>
      <c r="F86" s="14">
        <v>1</v>
      </c>
      <c r="G86" s="14">
        <v>1</v>
      </c>
      <c r="H86" s="60">
        <v>5506</v>
      </c>
      <c r="I86" s="5">
        <v>0.06</v>
      </c>
      <c r="J86" s="5">
        <v>0.06</v>
      </c>
      <c r="K86" s="2">
        <v>9215475933.8115005</v>
      </c>
      <c r="L86" s="3">
        <f t="shared" si="20"/>
        <v>3.1083171833173887E-2</v>
      </c>
      <c r="M86" s="14">
        <v>1</v>
      </c>
      <c r="N86" s="14">
        <v>1</v>
      </c>
      <c r="O86" s="60">
        <v>5509</v>
      </c>
      <c r="P86" s="5">
        <v>0.06</v>
      </c>
      <c r="Q86" s="5">
        <v>0.06</v>
      </c>
      <c r="R86" s="81">
        <f t="shared" si="26"/>
        <v>6.2144826909636696E-4</v>
      </c>
      <c r="S86" s="81">
        <f t="shared" si="27"/>
        <v>0</v>
      </c>
      <c r="T86" s="81">
        <f t="shared" si="28"/>
        <v>5.4486015256084274E-4</v>
      </c>
      <c r="U86" s="82">
        <f t="shared" si="29"/>
        <v>0</v>
      </c>
      <c r="V86" s="84">
        <f t="shared" si="30"/>
        <v>0</v>
      </c>
    </row>
    <row r="87" spans="1:29" x14ac:dyDescent="0.25">
      <c r="A87" s="123">
        <v>76</v>
      </c>
      <c r="B87" s="115" t="s">
        <v>128</v>
      </c>
      <c r="C87" s="116" t="s">
        <v>91</v>
      </c>
      <c r="D87" s="2">
        <v>2613613728.3699999</v>
      </c>
      <c r="E87" s="3">
        <f t="shared" si="31"/>
        <v>8.8051003697958118E-3</v>
      </c>
      <c r="F87" s="14">
        <v>25.087700000000002</v>
      </c>
      <c r="G87" s="14">
        <v>25.087700000000002</v>
      </c>
      <c r="H87" s="60">
        <v>1319</v>
      </c>
      <c r="I87" s="5">
        <v>3.0000000000000001E-3</v>
      </c>
      <c r="J87" s="5">
        <v>6.5000000000000002E-2</v>
      </c>
      <c r="K87" s="2">
        <v>2617830952.4499998</v>
      </c>
      <c r="L87" s="3">
        <f t="shared" si="20"/>
        <v>8.8297652676468923E-3</v>
      </c>
      <c r="M87" s="14">
        <v>25.128799999999998</v>
      </c>
      <c r="N87" s="14">
        <v>25.128799999999998</v>
      </c>
      <c r="O87" s="60">
        <v>1319</v>
      </c>
      <c r="P87" s="5">
        <v>1.6000000000000001E-3</v>
      </c>
      <c r="Q87" s="5">
        <v>6.6699999999999995E-2</v>
      </c>
      <c r="R87" s="81">
        <f t="shared" si="26"/>
        <v>1.6135605786820027E-3</v>
      </c>
      <c r="S87" s="81">
        <f t="shared" si="27"/>
        <v>1.6382530084462338E-3</v>
      </c>
      <c r="T87" s="81">
        <f t="shared" si="28"/>
        <v>0</v>
      </c>
      <c r="U87" s="82">
        <f t="shared" si="29"/>
        <v>-1.4E-3</v>
      </c>
      <c r="V87" s="84">
        <f t="shared" si="30"/>
        <v>1.6999999999999932E-3</v>
      </c>
    </row>
    <row r="88" spans="1:29" x14ac:dyDescent="0.25">
      <c r="A88" s="76"/>
      <c r="B88" s="19"/>
      <c r="C88" s="72" t="s">
        <v>46</v>
      </c>
      <c r="D88" s="59">
        <f>SUM(D57:D87)</f>
        <v>296829521368.71655</v>
      </c>
      <c r="E88" s="105">
        <f>(D88/$D$173)</f>
        <v>0.14900688710208509</v>
      </c>
      <c r="F88" s="30"/>
      <c r="G88" s="11"/>
      <c r="H88" s="66">
        <f>SUM(H57:H87)</f>
        <v>63898</v>
      </c>
      <c r="I88" s="12"/>
      <c r="J88" s="12"/>
      <c r="K88" s="59">
        <f>SUM(K57:K87)</f>
        <v>296477977964.1463</v>
      </c>
      <c r="L88" s="105">
        <f>(K88/$K$173)</f>
        <v>0.14860832893171635</v>
      </c>
      <c r="M88" s="30"/>
      <c r="N88" s="11"/>
      <c r="O88" s="66">
        <f>SUM(O57:O87)</f>
        <v>63832</v>
      </c>
      <c r="P88" s="12"/>
      <c r="Q88" s="12"/>
      <c r="R88" s="81">
        <f t="shared" si="26"/>
        <v>-1.1843276334147716E-3</v>
      </c>
      <c r="S88" s="81" t="e">
        <f t="shared" si="27"/>
        <v>#DIV/0!</v>
      </c>
      <c r="T88" s="81">
        <f t="shared" si="28"/>
        <v>-1.0328961782841404E-3</v>
      </c>
      <c r="U88" s="82">
        <f t="shared" si="29"/>
        <v>0</v>
      </c>
      <c r="V88" s="84">
        <f t="shared" si="30"/>
        <v>0</v>
      </c>
    </row>
    <row r="89" spans="1:29" ht="8.25" customHeight="1" x14ac:dyDescent="0.25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</row>
    <row r="90" spans="1:29" ht="15" customHeight="1" x14ac:dyDescent="0.25">
      <c r="A90" s="135" t="s">
        <v>129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</row>
    <row r="91" spans="1:29" x14ac:dyDescent="0.25">
      <c r="A91" s="136" t="s">
        <v>231</v>
      </c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Z91" s="99"/>
      <c r="AA91" s="99"/>
      <c r="AB91" s="108"/>
      <c r="AC91" s="99"/>
    </row>
    <row r="92" spans="1:29" ht="15.75" x14ac:dyDescent="0.25">
      <c r="A92" s="120">
        <v>77</v>
      </c>
      <c r="B92" s="115" t="s">
        <v>130</v>
      </c>
      <c r="C92" s="116" t="s">
        <v>17</v>
      </c>
      <c r="D92" s="2">
        <v>1371810013.1199999</v>
      </c>
      <c r="E92" s="3">
        <f t="shared" ref="E92:E103" si="40">(D92/$D$115)</f>
        <v>2.1986272173790972E-3</v>
      </c>
      <c r="F92" s="2">
        <f>109.1068*786.98</f>
        <v>85864.869464000003</v>
      </c>
      <c r="G92" s="2">
        <f>109.1068*786.98</f>
        <v>85864.869464000003</v>
      </c>
      <c r="H92" s="60">
        <v>262</v>
      </c>
      <c r="I92" s="5">
        <v>1.1000000000000001E-3</v>
      </c>
      <c r="J92" s="5">
        <v>5.4300000000000001E-2</v>
      </c>
      <c r="K92" s="2">
        <v>1349851812.2</v>
      </c>
      <c r="L92" s="3">
        <f t="shared" ref="L92:L103" si="41">(K92/$K$115)</f>
        <v>2.1617547175609721E-3</v>
      </c>
      <c r="M92" s="2">
        <f>109.208*683.674</f>
        <v>74662.67019199999</v>
      </c>
      <c r="N92" s="2">
        <f>109.208*683.674</f>
        <v>74662.67019199999</v>
      </c>
      <c r="O92" s="60">
        <v>227</v>
      </c>
      <c r="P92" s="5">
        <v>8.9999999999999998E-4</v>
      </c>
      <c r="Q92" s="5">
        <v>5.5199999999999999E-2</v>
      </c>
      <c r="R92" s="82">
        <f t="shared" ref="R92" si="42">((K92-D92)/D92)</f>
        <v>-1.6006736144211997E-2</v>
      </c>
      <c r="S92" s="82">
        <f t="shared" ref="S92" si="43">((N92-G92)/G92)</f>
        <v>-0.13046312586192987</v>
      </c>
      <c r="T92" s="82">
        <f t="shared" ref="T92" si="44">((O92-H92)/H92)</f>
        <v>-0.13358778625954199</v>
      </c>
      <c r="U92" s="82">
        <f t="shared" ref="U92" si="45">P92-I92</f>
        <v>-2.0000000000000009E-4</v>
      </c>
      <c r="V92" s="84">
        <f t="shared" ref="V92" si="46">Q92-J92</f>
        <v>8.9999999999999802E-4</v>
      </c>
      <c r="Z92" s="99"/>
      <c r="AA92" s="109"/>
      <c r="AB92" s="99"/>
      <c r="AC92" s="99"/>
    </row>
    <row r="93" spans="1:29" x14ac:dyDescent="0.25">
      <c r="A93" s="123">
        <v>78</v>
      </c>
      <c r="B93" s="115" t="s">
        <v>131</v>
      </c>
      <c r="C93" s="116" t="s">
        <v>21</v>
      </c>
      <c r="D93" s="2">
        <f>10283755.22*786.48</f>
        <v>8087967805.425601</v>
      </c>
      <c r="E93" s="3">
        <f t="shared" si="40"/>
        <v>1.2962747013233154E-2</v>
      </c>
      <c r="F93" s="2">
        <f>1.1632*786.48</f>
        <v>914.83353599999998</v>
      </c>
      <c r="G93" s="2">
        <f>1.1632*786.48</f>
        <v>914.83353599999998</v>
      </c>
      <c r="H93" s="60">
        <v>272</v>
      </c>
      <c r="I93" s="5">
        <v>5.8299999999999998E-2</v>
      </c>
      <c r="J93" s="5">
        <v>4.1000000000000002E-2</v>
      </c>
      <c r="K93" s="2">
        <f>10359597*783.174</f>
        <v>8113367020.8779993</v>
      </c>
      <c r="L93" s="3">
        <f t="shared" si="41"/>
        <v>1.2993359177776139E-2</v>
      </c>
      <c r="M93" s="2">
        <f>1.1645*783.674</f>
        <v>912.58837300000005</v>
      </c>
      <c r="N93" s="2">
        <f>1.1645*783.674</f>
        <v>912.58837300000005</v>
      </c>
      <c r="O93" s="60">
        <v>274</v>
      </c>
      <c r="P93" s="5">
        <v>5.8299999999999998E-2</v>
      </c>
      <c r="Q93" s="5">
        <v>4.1399999999999999E-2</v>
      </c>
      <c r="R93" s="82">
        <f t="shared" ref="R93:R103" si="47">((K93-D93)/D93)</f>
        <v>3.1403704939774739E-3</v>
      </c>
      <c r="S93" s="82">
        <f t="shared" ref="S93:S103" si="48">((N93-G93)/G93)</f>
        <v>-2.4541765377520375E-3</v>
      </c>
      <c r="T93" s="82">
        <f t="shared" ref="T93:T103" si="49">((O93-H93)/H93)</f>
        <v>7.3529411764705881E-3</v>
      </c>
      <c r="U93" s="82">
        <f t="shared" ref="U93:U103" si="50">P93-I93</f>
        <v>0</v>
      </c>
      <c r="V93" s="84">
        <f t="shared" ref="V93:V103" si="51">Q93-J93</f>
        <v>3.9999999999999758E-4</v>
      </c>
      <c r="Z93" s="99"/>
      <c r="AA93" s="99"/>
      <c r="AB93" s="99"/>
      <c r="AC93" s="99"/>
    </row>
    <row r="94" spans="1:29" x14ac:dyDescent="0.25">
      <c r="A94" s="118">
        <v>79</v>
      </c>
      <c r="B94" s="115" t="s">
        <v>248</v>
      </c>
      <c r="C94" s="116" t="s">
        <v>25</v>
      </c>
      <c r="D94" s="2">
        <v>0</v>
      </c>
      <c r="E94" s="3">
        <v>0</v>
      </c>
      <c r="F94" s="2">
        <v>0</v>
      </c>
      <c r="G94" s="2">
        <v>0</v>
      </c>
      <c r="H94" s="60">
        <v>0</v>
      </c>
      <c r="I94" s="5">
        <v>0</v>
      </c>
      <c r="J94" s="5">
        <v>0</v>
      </c>
      <c r="K94" s="2">
        <f>339548.55*683.674</f>
        <v>232140515.37269998</v>
      </c>
      <c r="L94" s="3">
        <f>(K94/$K$115)</f>
        <v>3.7176736713497559E-4</v>
      </c>
      <c r="M94" s="2">
        <f>1.0882*683.674</f>
        <v>743.9740468</v>
      </c>
      <c r="N94" s="2">
        <f>1.0882*683.674</f>
        <v>743.9740468</v>
      </c>
      <c r="O94" s="60">
        <v>16</v>
      </c>
      <c r="P94" s="5">
        <v>1.8599999999999999E-4</v>
      </c>
      <c r="Q94" s="5">
        <v>8.8200000000000001E-2</v>
      </c>
      <c r="R94" s="82"/>
      <c r="S94" s="82"/>
      <c r="T94" s="82"/>
      <c r="U94" s="82"/>
      <c r="V94" s="84"/>
      <c r="Z94" s="99"/>
      <c r="AA94" s="99"/>
      <c r="AB94" s="99"/>
      <c r="AC94" s="99"/>
    </row>
    <row r="95" spans="1:29" x14ac:dyDescent="0.25">
      <c r="A95" s="121">
        <v>80</v>
      </c>
      <c r="B95" s="115" t="s">
        <v>132</v>
      </c>
      <c r="C95" s="116" t="s">
        <v>67</v>
      </c>
      <c r="D95" s="2">
        <v>2000074192.9416001</v>
      </c>
      <c r="E95" s="3">
        <f t="shared" si="40"/>
        <v>3.2055587255684125E-3</v>
      </c>
      <c r="F95" s="2">
        <v>83630.239754000009</v>
      </c>
      <c r="G95" s="2">
        <v>83630.239754000009</v>
      </c>
      <c r="H95" s="60">
        <v>41</v>
      </c>
      <c r="I95" s="5">
        <v>2.3581057053895919E-3</v>
      </c>
      <c r="J95" s="5">
        <v>5.6517805376317669E-2</v>
      </c>
      <c r="K95" s="2">
        <v>1993911656.0026197</v>
      </c>
      <c r="L95" s="3">
        <f>(K95/$K$115)</f>
        <v>3.1932008312367498E-3</v>
      </c>
      <c r="M95" s="2">
        <v>83362.773178200005</v>
      </c>
      <c r="N95" s="2">
        <v>83362.773178200005</v>
      </c>
      <c r="O95" s="60">
        <v>41</v>
      </c>
      <c r="P95" s="5">
        <v>1.0068948773517283E-3</v>
      </c>
      <c r="Q95" s="5">
        <v>5.6440911707585972E-2</v>
      </c>
      <c r="R95" s="82">
        <f t="shared" si="47"/>
        <v>-3.0811541695444896E-3</v>
      </c>
      <c r="S95" s="82">
        <f t="shared" si="48"/>
        <v>-3.1982041016116042E-3</v>
      </c>
      <c r="T95" s="82">
        <f t="shared" si="49"/>
        <v>0</v>
      </c>
      <c r="U95" s="82">
        <f t="shared" si="50"/>
        <v>-1.3512108280378636E-3</v>
      </c>
      <c r="V95" s="84">
        <f t="shared" si="51"/>
        <v>-7.6893668731696507E-5</v>
      </c>
      <c r="X95" s="65">
        <v>783.67399999999998</v>
      </c>
    </row>
    <row r="96" spans="1:29" x14ac:dyDescent="0.25">
      <c r="A96" s="121">
        <v>81</v>
      </c>
      <c r="B96" s="115" t="s">
        <v>133</v>
      </c>
      <c r="C96" s="116" t="s">
        <v>27</v>
      </c>
      <c r="D96" s="2">
        <v>22531955902.360001</v>
      </c>
      <c r="E96" s="3">
        <f t="shared" si="40"/>
        <v>3.6112414280344528E-2</v>
      </c>
      <c r="F96" s="2">
        <v>96593.86</v>
      </c>
      <c r="G96" s="2">
        <v>96593.86</v>
      </c>
      <c r="H96" s="60">
        <v>1946</v>
      </c>
      <c r="I96" s="5">
        <v>1.4E-3</v>
      </c>
      <c r="J96" s="5">
        <v>7.4700000000000003E-2</v>
      </c>
      <c r="K96" s="2">
        <v>22138329814.990002</v>
      </c>
      <c r="L96" s="3">
        <f t="shared" si="41"/>
        <v>3.5453994641438877E-2</v>
      </c>
      <c r="M96" s="2">
        <v>95022.82</v>
      </c>
      <c r="N96" s="2">
        <v>95022.82</v>
      </c>
      <c r="O96" s="60">
        <v>1950</v>
      </c>
      <c r="P96" s="5">
        <v>1.1999999999999999E-3</v>
      </c>
      <c r="Q96" s="5">
        <v>7.46E-2</v>
      </c>
      <c r="R96" s="82">
        <f t="shared" si="47"/>
        <v>-1.746968124186549E-2</v>
      </c>
      <c r="S96" s="82">
        <f t="shared" si="48"/>
        <v>-1.6264387819267121E-2</v>
      </c>
      <c r="T96" s="82">
        <f t="shared" si="49"/>
        <v>2.0554984583761563E-3</v>
      </c>
      <c r="U96" s="82">
        <f t="shared" si="50"/>
        <v>-2.0000000000000009E-4</v>
      </c>
      <c r="V96" s="84">
        <f t="shared" si="51"/>
        <v>-1.0000000000000286E-4</v>
      </c>
    </row>
    <row r="97" spans="1:22" x14ac:dyDescent="0.25">
      <c r="A97" s="121">
        <v>82</v>
      </c>
      <c r="B97" s="119" t="s">
        <v>134</v>
      </c>
      <c r="C97" s="119" t="s">
        <v>27</v>
      </c>
      <c r="D97" s="2">
        <v>19663599062.619999</v>
      </c>
      <c r="E97" s="3">
        <f t="shared" si="40"/>
        <v>3.1515241671387778E-2</v>
      </c>
      <c r="F97" s="2">
        <v>86806.51</v>
      </c>
      <c r="G97" s="2">
        <v>86806.51</v>
      </c>
      <c r="H97" s="60">
        <v>162</v>
      </c>
      <c r="I97" s="5">
        <v>1.9E-3</v>
      </c>
      <c r="J97" s="5">
        <v>9.5299999999999996E-2</v>
      </c>
      <c r="K97" s="2">
        <v>20134413879.709999</v>
      </c>
      <c r="L97" s="3">
        <f t="shared" si="41"/>
        <v>3.2244772201216444E-2</v>
      </c>
      <c r="M97" s="2">
        <v>85437.49</v>
      </c>
      <c r="N97" s="2">
        <v>85437.49</v>
      </c>
      <c r="O97" s="60">
        <v>167</v>
      </c>
      <c r="P97" s="5">
        <v>1.6999999999999999E-3</v>
      </c>
      <c r="Q97" s="5">
        <v>9.1300000000000006E-2</v>
      </c>
      <c r="R97" s="82">
        <f t="shared" si="47"/>
        <v>2.3943471161645434E-2</v>
      </c>
      <c r="S97" s="82">
        <f t="shared" si="48"/>
        <v>-1.577093699539343E-2</v>
      </c>
      <c r="T97" s="82">
        <f t="shared" si="49"/>
        <v>3.0864197530864196E-2</v>
      </c>
      <c r="U97" s="82">
        <f t="shared" si="50"/>
        <v>-2.0000000000000009E-4</v>
      </c>
      <c r="V97" s="84">
        <f t="shared" si="51"/>
        <v>-3.9999999999999897E-3</v>
      </c>
    </row>
    <row r="98" spans="1:22" x14ac:dyDescent="0.25">
      <c r="A98" s="124">
        <v>83</v>
      </c>
      <c r="B98" s="115" t="s">
        <v>135</v>
      </c>
      <c r="C98" s="116" t="s">
        <v>31</v>
      </c>
      <c r="D98" s="2">
        <f>101038.46*786.98</f>
        <v>79515247.250800014</v>
      </c>
      <c r="E98" s="3">
        <f t="shared" si="40"/>
        <v>1.2744066972118279E-4</v>
      </c>
      <c r="F98" s="2">
        <f>108.23*786.98</f>
        <v>85174.845400000006</v>
      </c>
      <c r="G98" s="2">
        <f>108.23*786.98</f>
        <v>85174.845400000006</v>
      </c>
      <c r="H98" s="60">
        <v>2</v>
      </c>
      <c r="I98" s="5">
        <v>2.0999999999999999E-3</v>
      </c>
      <c r="J98" s="5">
        <v>0.104</v>
      </c>
      <c r="K98" s="2">
        <f>101038.46*786.98</f>
        <v>79515247.250800014</v>
      </c>
      <c r="L98" s="3">
        <f t="shared" si="41"/>
        <v>1.2734172692800423E-4</v>
      </c>
      <c r="M98" s="2">
        <f>108.23*786.98</f>
        <v>85174.845400000006</v>
      </c>
      <c r="N98" s="2">
        <f>108.23*786.98</f>
        <v>85174.845400000006</v>
      </c>
      <c r="O98" s="60">
        <v>2</v>
      </c>
      <c r="P98" s="5">
        <v>2.0999999999999999E-3</v>
      </c>
      <c r="Q98" s="5">
        <v>0.104</v>
      </c>
      <c r="R98" s="82">
        <f t="shared" si="47"/>
        <v>0</v>
      </c>
      <c r="S98" s="82">
        <f t="shared" si="48"/>
        <v>0</v>
      </c>
      <c r="T98" s="82">
        <f t="shared" si="49"/>
        <v>0</v>
      </c>
      <c r="U98" s="82">
        <f t="shared" si="50"/>
        <v>0</v>
      </c>
      <c r="V98" s="84">
        <f t="shared" si="51"/>
        <v>0</v>
      </c>
    </row>
    <row r="99" spans="1:22" x14ac:dyDescent="0.25">
      <c r="A99" s="121">
        <v>84</v>
      </c>
      <c r="B99" s="115" t="s">
        <v>136</v>
      </c>
      <c r="C99" s="116" t="s">
        <v>34</v>
      </c>
      <c r="D99" s="2">
        <f>12935535.99*786.98</f>
        <v>10180008113.4102</v>
      </c>
      <c r="E99" s="3">
        <f t="shared" si="40"/>
        <v>1.6315701662199356E-2</v>
      </c>
      <c r="F99" s="2">
        <f>1.31*786.98</f>
        <v>1030.9438</v>
      </c>
      <c r="G99" s="2">
        <f>1.31*786.98</f>
        <v>1030.9438</v>
      </c>
      <c r="H99" s="61">
        <v>120</v>
      </c>
      <c r="I99" s="12">
        <v>2.5700000000000001E-2</v>
      </c>
      <c r="J99" s="12">
        <v>5.2900000000000003E-2</v>
      </c>
      <c r="K99" s="2">
        <f xml:space="preserve"> 12776464.99*683.674</f>
        <v>8734936925.5732594</v>
      </c>
      <c r="L99" s="3">
        <f t="shared" si="41"/>
        <v>1.3988788203114083E-2</v>
      </c>
      <c r="M99" s="2">
        <f>1.31*683.674</f>
        <v>895.61293999999998</v>
      </c>
      <c r="N99" s="2">
        <f>1.31*683.674</f>
        <v>895.61293999999998</v>
      </c>
      <c r="O99" s="61">
        <v>120</v>
      </c>
      <c r="P99" s="12">
        <v>2.7300000000000001E-2</v>
      </c>
      <c r="Q99" s="12">
        <v>5.2600000000000001E-2</v>
      </c>
      <c r="R99" s="82">
        <f t="shared" si="47"/>
        <v>-0.1419518699531622</v>
      </c>
      <c r="S99" s="82">
        <f t="shared" si="48"/>
        <v>-0.13126890136979341</v>
      </c>
      <c r="T99" s="82">
        <f t="shared" si="49"/>
        <v>0</v>
      </c>
      <c r="U99" s="82">
        <f t="shared" si="50"/>
        <v>1.6000000000000007E-3</v>
      </c>
      <c r="V99" s="84">
        <f t="shared" si="51"/>
        <v>-3.0000000000000165E-4</v>
      </c>
    </row>
    <row r="100" spans="1:22" x14ac:dyDescent="0.25">
      <c r="A100" s="121">
        <v>85</v>
      </c>
      <c r="B100" s="115" t="s">
        <v>137</v>
      </c>
      <c r="C100" s="116" t="s">
        <v>78</v>
      </c>
      <c r="D100" s="2">
        <f>5097158.76*786.98</f>
        <v>4011362000.9447999</v>
      </c>
      <c r="E100" s="3">
        <f t="shared" si="40"/>
        <v>6.4290897352314511E-3</v>
      </c>
      <c r="F100" s="2">
        <f>102.74*786.98</f>
        <v>80854.325199999992</v>
      </c>
      <c r="G100" s="2">
        <f>102.74*786.98</f>
        <v>80854.325199999992</v>
      </c>
      <c r="H100" s="60">
        <v>193</v>
      </c>
      <c r="I100" s="5">
        <v>3.5000000000000001E-3</v>
      </c>
      <c r="J100" s="5">
        <v>8.3900000000000002E-2</v>
      </c>
      <c r="K100" s="2">
        <f>5497467.31*783.674</f>
        <v>4308222196.6969395</v>
      </c>
      <c r="L100" s="3">
        <f t="shared" si="41"/>
        <v>6.8995126530456514E-3</v>
      </c>
      <c r="M100" s="2">
        <f>102.38*783.674</f>
        <v>80232.544119999991</v>
      </c>
      <c r="N100" s="2">
        <f>102.38*783.674</f>
        <v>80232.544119999991</v>
      </c>
      <c r="O100" s="60">
        <v>202</v>
      </c>
      <c r="P100" s="5">
        <v>3.5000000000000001E-3</v>
      </c>
      <c r="Q100" s="5">
        <v>8.0299999999999996E-2</v>
      </c>
      <c r="R100" s="82">
        <f t="shared" si="47"/>
        <v>7.4004838177711169E-2</v>
      </c>
      <c r="S100" s="82">
        <f t="shared" si="48"/>
        <v>-7.6901399951328853E-3</v>
      </c>
      <c r="T100" s="82">
        <f t="shared" si="49"/>
        <v>4.6632124352331605E-2</v>
      </c>
      <c r="U100" s="82">
        <f t="shared" si="50"/>
        <v>0</v>
      </c>
      <c r="V100" s="84">
        <f t="shared" si="51"/>
        <v>-3.600000000000006E-3</v>
      </c>
    </row>
    <row r="101" spans="1:22" x14ac:dyDescent="0.25">
      <c r="A101" s="120">
        <v>86</v>
      </c>
      <c r="B101" s="115" t="s">
        <v>138</v>
      </c>
      <c r="C101" s="116" t="s">
        <v>38</v>
      </c>
      <c r="D101" s="2">
        <f>1793144.58*786.98</f>
        <v>1411168921.5684001</v>
      </c>
      <c r="E101" s="3">
        <f t="shared" si="40"/>
        <v>2.2617085234880761E-3</v>
      </c>
      <c r="F101" s="2">
        <f>128.38*786.98</f>
        <v>101032.4924</v>
      </c>
      <c r="G101" s="2">
        <f>131.24*768.98</f>
        <v>100920.93520000001</v>
      </c>
      <c r="H101" s="60">
        <v>45</v>
      </c>
      <c r="I101" s="5">
        <v>4.0000000000000002E-4</v>
      </c>
      <c r="J101" s="5">
        <v>0.1515</v>
      </c>
      <c r="K101" s="2">
        <f>1793246.25*683.674</f>
        <v>1225995836.7224998</v>
      </c>
      <c r="L101" s="3">
        <f t="shared" si="41"/>
        <v>1.9634023970568218E-3</v>
      </c>
      <c r="M101" s="2">
        <f>128.39*683.674</f>
        <v>87776.904859999995</v>
      </c>
      <c r="N101" s="2">
        <f>131.28*683.674</f>
        <v>89752.722719999991</v>
      </c>
      <c r="O101" s="60">
        <v>45</v>
      </c>
      <c r="P101" s="5">
        <v>4.0000000000000002E-4</v>
      </c>
      <c r="Q101" s="5">
        <v>0.1517</v>
      </c>
      <c r="R101" s="82">
        <f t="shared" si="47"/>
        <v>-0.13121964494519578</v>
      </c>
      <c r="S101" s="82">
        <f t="shared" si="48"/>
        <v>-0.11066299036832564</v>
      </c>
      <c r="T101" s="82">
        <f t="shared" si="49"/>
        <v>0</v>
      </c>
      <c r="U101" s="82">
        <f t="shared" si="50"/>
        <v>0</v>
      </c>
      <c r="V101" s="84">
        <f t="shared" si="51"/>
        <v>2.0000000000000573E-4</v>
      </c>
    </row>
    <row r="102" spans="1:22" ht="16.5" customHeight="1" x14ac:dyDescent="0.25">
      <c r="A102" s="121">
        <v>87</v>
      </c>
      <c r="B102" s="115" t="s">
        <v>139</v>
      </c>
      <c r="C102" s="116" t="s">
        <v>45</v>
      </c>
      <c r="D102" s="2">
        <v>116313793945.58</v>
      </c>
      <c r="E102" s="3">
        <f t="shared" si="40"/>
        <v>0.18641843307715095</v>
      </c>
      <c r="F102" s="2">
        <v>97286.1</v>
      </c>
      <c r="G102" s="2">
        <v>97286.1</v>
      </c>
      <c r="H102" s="60">
        <v>2932</v>
      </c>
      <c r="I102" s="5">
        <v>5.4800000000000001E-2</v>
      </c>
      <c r="J102" s="5">
        <v>5.6000000000000001E-2</v>
      </c>
      <c r="K102" s="2">
        <v>114242142286.66</v>
      </c>
      <c r="L102" s="3">
        <f t="shared" si="41"/>
        <v>0.18295600139244608</v>
      </c>
      <c r="M102" s="2">
        <v>95684.32</v>
      </c>
      <c r="N102" s="2">
        <v>95684.32</v>
      </c>
      <c r="O102" s="60">
        <v>2943</v>
      </c>
      <c r="P102" s="5">
        <v>5.4800000000000001E-2</v>
      </c>
      <c r="Q102" s="5">
        <v>5.5899999999999998E-2</v>
      </c>
      <c r="R102" s="82">
        <f t="shared" si="47"/>
        <v>-1.7810885438826512E-2</v>
      </c>
      <c r="S102" s="82">
        <f t="shared" si="48"/>
        <v>-1.6464633693816472E-2</v>
      </c>
      <c r="T102" s="82">
        <f t="shared" si="49"/>
        <v>3.751705320600273E-3</v>
      </c>
      <c r="U102" s="82">
        <f t="shared" si="50"/>
        <v>0</v>
      </c>
      <c r="V102" s="84">
        <f t="shared" si="51"/>
        <v>-1.0000000000000286E-4</v>
      </c>
    </row>
    <row r="103" spans="1:22" x14ac:dyDescent="0.25">
      <c r="A103" s="121">
        <v>88</v>
      </c>
      <c r="B103" s="115" t="s">
        <v>140</v>
      </c>
      <c r="C103" s="116" t="s">
        <v>64</v>
      </c>
      <c r="D103" s="2">
        <f>288256.49*786.98</f>
        <v>226852092.5002</v>
      </c>
      <c r="E103" s="3">
        <f t="shared" si="40"/>
        <v>3.6358036471535125E-4</v>
      </c>
      <c r="F103" s="2">
        <f>109.9*786.98</f>
        <v>86489.102000000014</v>
      </c>
      <c r="G103" s="2">
        <f>101.46*786.98</f>
        <v>79846.9908</v>
      </c>
      <c r="H103" s="60">
        <v>30</v>
      </c>
      <c r="I103" s="5">
        <v>1.5E-3</v>
      </c>
      <c r="J103" s="5">
        <v>1.1900000000000001E-2</v>
      </c>
      <c r="K103" s="2">
        <f>306497.43*783.674</f>
        <v>240194066.95782</v>
      </c>
      <c r="L103" s="3">
        <f t="shared" si="41"/>
        <v>3.8466493335291411E-4</v>
      </c>
      <c r="M103" s="2">
        <f>101.02*783.674</f>
        <v>79166.747479999991</v>
      </c>
      <c r="N103" s="2">
        <f>101.58*783.674</f>
        <v>79605.604919999998</v>
      </c>
      <c r="O103" s="60">
        <v>30</v>
      </c>
      <c r="P103" s="5">
        <v>1.1000000000000001E-3</v>
      </c>
      <c r="Q103" s="5">
        <v>1.2999999999999999E-2</v>
      </c>
      <c r="R103" s="82">
        <f t="shared" si="47"/>
        <v>5.8813539300318476E-2</v>
      </c>
      <c r="S103" s="82">
        <f t="shared" si="48"/>
        <v>-3.0231055369966632E-3</v>
      </c>
      <c r="T103" s="82">
        <f t="shared" si="49"/>
        <v>0</v>
      </c>
      <c r="U103" s="82">
        <f t="shared" si="50"/>
        <v>-3.9999999999999996E-4</v>
      </c>
      <c r="V103" s="84">
        <f t="shared" si="51"/>
        <v>1.0999999999999985E-3</v>
      </c>
    </row>
    <row r="104" spans="1:22" ht="6" customHeight="1" x14ac:dyDescent="0.25">
      <c r="A104" s="137"/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</row>
    <row r="105" spans="1:22" x14ac:dyDescent="0.25">
      <c r="A105" s="136" t="s">
        <v>232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</row>
    <row r="106" spans="1:22" x14ac:dyDescent="0.25">
      <c r="A106" s="123">
        <v>89</v>
      </c>
      <c r="B106" s="115" t="s">
        <v>141</v>
      </c>
      <c r="C106" s="116" t="s">
        <v>97</v>
      </c>
      <c r="D106" s="4">
        <v>683138887.90999997</v>
      </c>
      <c r="E106" s="3">
        <f>(D106/$D$115)</f>
        <v>1.0948802952625983E-3</v>
      </c>
      <c r="F106" s="2">
        <v>75392.17</v>
      </c>
      <c r="G106" s="2">
        <v>75392.17</v>
      </c>
      <c r="H106" s="60">
        <v>27</v>
      </c>
      <c r="I106" s="5">
        <v>3.8199999999999998E-2</v>
      </c>
      <c r="J106" s="5">
        <v>8.2900000000000001E-2</v>
      </c>
      <c r="K106" s="4">
        <v>703593059.20000005</v>
      </c>
      <c r="L106" s="3">
        <f t="shared" ref="L106:L114" si="52">(K106/$K$115)</f>
        <v>1.1267871044969187E-3</v>
      </c>
      <c r="M106" s="2">
        <v>77647.03</v>
      </c>
      <c r="N106" s="2">
        <v>77647.03</v>
      </c>
      <c r="O106" s="60">
        <v>27</v>
      </c>
      <c r="P106" s="5">
        <v>2.4400000000000002E-2</v>
      </c>
      <c r="Q106" s="5">
        <v>0.1138</v>
      </c>
      <c r="R106" s="82">
        <f t="shared" ref="R106" si="53">((K106-D106)/D106)</f>
        <v>2.9941453563824657E-2</v>
      </c>
      <c r="S106" s="82">
        <f t="shared" ref="S106" si="54">((N106-G106)/G106)</f>
        <v>2.9908410913228795E-2</v>
      </c>
      <c r="T106" s="82">
        <f t="shared" ref="T106" si="55">((O106-H106)/H106)</f>
        <v>0</v>
      </c>
      <c r="U106" s="82">
        <f t="shared" ref="U106" si="56">P106-I106</f>
        <v>-1.3799999999999996E-2</v>
      </c>
      <c r="V106" s="84">
        <f t="shared" ref="V106" si="57">Q106-J106</f>
        <v>3.0899999999999997E-2</v>
      </c>
    </row>
    <row r="107" spans="1:22" x14ac:dyDescent="0.25">
      <c r="A107" s="123">
        <v>90</v>
      </c>
      <c r="B107" s="116" t="s">
        <v>142</v>
      </c>
      <c r="C107" s="116" t="s">
        <v>23</v>
      </c>
      <c r="D107" s="2">
        <f>6210713.25*786.98</f>
        <v>4887707113.4849997</v>
      </c>
      <c r="E107" s="3">
        <f>(D107/$K$115)</f>
        <v>7.8275435978501402E-3</v>
      </c>
      <c r="F107" s="4">
        <f>129.36*786.98</f>
        <v>101803.73280000001</v>
      </c>
      <c r="G107" s="4">
        <f>129.36*786.98</f>
        <v>101803.73280000001</v>
      </c>
      <c r="H107" s="60">
        <v>307</v>
      </c>
      <c r="I107" s="5">
        <v>5.0000000000000001E-4</v>
      </c>
      <c r="J107" s="5">
        <v>4.0399999999999998E-2</v>
      </c>
      <c r="K107" s="2">
        <f xml:space="preserve"> 6196333.8*783.674</f>
        <v>4855905694.3811998</v>
      </c>
      <c r="L107" s="3">
        <f t="shared" si="52"/>
        <v>7.7766144016587968E-3</v>
      </c>
      <c r="M107" s="4">
        <f>129.97*783.674</f>
        <v>101854.10978</v>
      </c>
      <c r="N107" s="4">
        <f>129.97*783.674</f>
        <v>101854.10978</v>
      </c>
      <c r="O107" s="60">
        <v>307</v>
      </c>
      <c r="P107" s="5">
        <v>5.0000000000000001E-4</v>
      </c>
      <c r="Q107" s="5">
        <v>4.53E-2</v>
      </c>
      <c r="R107" s="82">
        <f t="shared" ref="R107:R115" si="58">((K107-D107)/D107)</f>
        <v>-6.5064084989996445E-3</v>
      </c>
      <c r="S107" s="82">
        <f t="shared" ref="S107:S115" si="59">((N107-G107)/G107)</f>
        <v>4.9484413404521409E-4</v>
      </c>
      <c r="T107" s="82">
        <f t="shared" ref="T107:T115" si="60">((O107-H107)/H107)</f>
        <v>0</v>
      </c>
      <c r="U107" s="82">
        <f t="shared" ref="U107:U115" si="61">P107-I107</f>
        <v>0</v>
      </c>
      <c r="V107" s="84">
        <f t="shared" ref="V107:V115" si="62">Q107-J107</f>
        <v>4.9000000000000016E-3</v>
      </c>
    </row>
    <row r="108" spans="1:22" x14ac:dyDescent="0.25">
      <c r="A108" s="122">
        <v>91</v>
      </c>
      <c r="B108" s="115" t="s">
        <v>143</v>
      </c>
      <c r="C108" s="116" t="s">
        <v>58</v>
      </c>
      <c r="D108" s="4">
        <v>9048391049.9699993</v>
      </c>
      <c r="E108" s="3">
        <f t="shared" ref="E108:E114" si="63">(D108/$D$115)</f>
        <v>1.4502036466920894E-2</v>
      </c>
      <c r="F108" s="4">
        <v>94887.62</v>
      </c>
      <c r="G108" s="4">
        <v>94887.62</v>
      </c>
      <c r="H108" s="60">
        <v>553</v>
      </c>
      <c r="I108" s="5">
        <v>-4.4000000000000003E-3</v>
      </c>
      <c r="J108" s="5">
        <v>6.2199999999999998E-2</v>
      </c>
      <c r="K108" s="4">
        <v>9052376396.8799992</v>
      </c>
      <c r="L108" s="3">
        <f t="shared" si="52"/>
        <v>1.4497159765410975E-2</v>
      </c>
      <c r="M108" s="4">
        <v>94954.62</v>
      </c>
      <c r="N108" s="4">
        <v>94954.62</v>
      </c>
      <c r="O108" s="60">
        <v>556</v>
      </c>
      <c r="P108" s="5">
        <v>7.0000000000000001E-3</v>
      </c>
      <c r="Q108" s="5">
        <v>6.1699999999999998E-2</v>
      </c>
      <c r="R108" s="82">
        <f t="shared" si="58"/>
        <v>4.4044812917464052E-4</v>
      </c>
      <c r="S108" s="82">
        <f t="shared" si="59"/>
        <v>7.0609843518047982E-4</v>
      </c>
      <c r="T108" s="82">
        <f t="shared" si="60"/>
        <v>5.4249547920433997E-3</v>
      </c>
      <c r="U108" s="82">
        <f t="shared" si="61"/>
        <v>1.14E-2</v>
      </c>
      <c r="V108" s="84">
        <f t="shared" si="62"/>
        <v>-5.0000000000000044E-4</v>
      </c>
    </row>
    <row r="109" spans="1:22" x14ac:dyDescent="0.25">
      <c r="A109" s="123">
        <v>92</v>
      </c>
      <c r="B109" s="115" t="s">
        <v>144</v>
      </c>
      <c r="C109" s="116" t="s">
        <v>56</v>
      </c>
      <c r="D109" s="4">
        <v>2944985865.061326</v>
      </c>
      <c r="E109" s="3">
        <f t="shared" si="63"/>
        <v>4.7199874733340049E-3</v>
      </c>
      <c r="F109" s="4">
        <v>953.44074744705733</v>
      </c>
      <c r="G109" s="4">
        <v>953.44074744705733</v>
      </c>
      <c r="H109" s="60">
        <v>153</v>
      </c>
      <c r="I109" s="5">
        <v>5.2777082520025866E-2</v>
      </c>
      <c r="J109" s="5">
        <v>5.8756508726126762E-2</v>
      </c>
      <c r="K109" s="4">
        <v>2857781398.3301129</v>
      </c>
      <c r="L109" s="3">
        <f t="shared" si="52"/>
        <v>4.5766671302455379E-3</v>
      </c>
      <c r="M109" s="4">
        <v>925.9536011441005</v>
      </c>
      <c r="N109" s="4">
        <v>925.9536011441005</v>
      </c>
      <c r="O109" s="60">
        <v>153</v>
      </c>
      <c r="P109" s="5">
        <v>4.6645608292933474E-2</v>
      </c>
      <c r="Q109" s="5">
        <v>5.8531727938867427E-2</v>
      </c>
      <c r="R109" s="82">
        <f t="shared" si="58"/>
        <v>-2.9611166479876182E-2</v>
      </c>
      <c r="S109" s="82">
        <f t="shared" si="59"/>
        <v>-2.882942267420046E-2</v>
      </c>
      <c r="T109" s="82">
        <f t="shared" si="60"/>
        <v>0</v>
      </c>
      <c r="U109" s="82">
        <f t="shared" si="61"/>
        <v>-6.1314742270923914E-3</v>
      </c>
      <c r="V109" s="84">
        <f t="shared" si="62"/>
        <v>-2.2478078725933492E-4</v>
      </c>
    </row>
    <row r="110" spans="1:22" x14ac:dyDescent="0.25">
      <c r="A110" s="124">
        <v>93</v>
      </c>
      <c r="B110" s="116" t="s">
        <v>145</v>
      </c>
      <c r="C110" s="125" t="s">
        <v>40</v>
      </c>
      <c r="D110" s="2">
        <v>8464849788.9200001</v>
      </c>
      <c r="E110" s="3">
        <f t="shared" si="63"/>
        <v>1.3566783270969758E-2</v>
      </c>
      <c r="F110" s="4">
        <f>1.0217*786.98</f>
        <v>804.05746600000009</v>
      </c>
      <c r="G110" s="4">
        <f>1.0217*786.98</f>
        <v>804.05746600000009</v>
      </c>
      <c r="H110" s="60">
        <v>378</v>
      </c>
      <c r="I110" s="5">
        <v>1.5E-3</v>
      </c>
      <c r="J110" s="5">
        <v>9.2200000000000004E-2</v>
      </c>
      <c r="K110" s="2">
        <v>8590554297.1299992</v>
      </c>
      <c r="L110" s="3">
        <f t="shared" si="52"/>
        <v>1.3757562949089809E-2</v>
      </c>
      <c r="M110" s="4">
        <f>1.0232*783.674</f>
        <v>801.85523680000006</v>
      </c>
      <c r="N110" s="4">
        <f>1.0232*783.674</f>
        <v>801.85523680000006</v>
      </c>
      <c r="O110" s="60">
        <v>384</v>
      </c>
      <c r="P110" s="5">
        <v>1.5E-3</v>
      </c>
      <c r="Q110" s="5">
        <v>0.1114</v>
      </c>
      <c r="R110" s="82">
        <f t="shared" si="58"/>
        <v>1.4850175885523571E-2</v>
      </c>
      <c r="S110" s="82">
        <f t="shared" si="59"/>
        <v>-2.7388952818952284E-3</v>
      </c>
      <c r="T110" s="82">
        <f t="shared" si="60"/>
        <v>1.5873015873015872E-2</v>
      </c>
      <c r="U110" s="82">
        <f t="shared" si="61"/>
        <v>0</v>
      </c>
      <c r="V110" s="84">
        <f t="shared" si="62"/>
        <v>1.9199999999999995E-2</v>
      </c>
    </row>
    <row r="111" spans="1:22" x14ac:dyDescent="0.25">
      <c r="A111" s="123">
        <v>94</v>
      </c>
      <c r="B111" s="115" t="s">
        <v>146</v>
      </c>
      <c r="C111" s="116" t="s">
        <v>80</v>
      </c>
      <c r="D111" s="4">
        <v>191339703.34</v>
      </c>
      <c r="E111" s="3">
        <f t="shared" si="63"/>
        <v>3.0666395164427666E-4</v>
      </c>
      <c r="F111" s="4">
        <f>0.93*786.98</f>
        <v>731.89140000000009</v>
      </c>
      <c r="G111" s="4">
        <f>0.93*786.98</f>
        <v>731.89140000000009</v>
      </c>
      <c r="H111" s="60">
        <v>3</v>
      </c>
      <c r="I111" s="5">
        <v>2.7141999999999999E-2</v>
      </c>
      <c r="J111" s="5">
        <v>8.0819000000000002E-2</v>
      </c>
      <c r="K111" s="4">
        <v>191828185.62</v>
      </c>
      <c r="L111" s="3">
        <f t="shared" si="52"/>
        <v>3.0720815535250414E-4</v>
      </c>
      <c r="M111" s="4">
        <f>0.97*783.674</f>
        <v>760.16377999999997</v>
      </c>
      <c r="N111" s="4">
        <f>0.97*783.674</f>
        <v>760.16377999999997</v>
      </c>
      <c r="O111" s="60">
        <v>3</v>
      </c>
      <c r="P111" s="5">
        <v>3.8682000000000001E-2</v>
      </c>
      <c r="Q111" s="5">
        <v>0.122627</v>
      </c>
      <c r="R111" s="82">
        <f t="shared" si="58"/>
        <v>2.5529582803418241E-3</v>
      </c>
      <c r="S111" s="82">
        <f t="shared" si="59"/>
        <v>3.8629200998945859E-2</v>
      </c>
      <c r="T111" s="82">
        <f t="shared" si="60"/>
        <v>0</v>
      </c>
      <c r="U111" s="82">
        <f t="shared" si="61"/>
        <v>1.1540000000000002E-2</v>
      </c>
      <c r="V111" s="84">
        <f t="shared" si="62"/>
        <v>4.1807999999999998E-2</v>
      </c>
    </row>
    <row r="112" spans="1:22" x14ac:dyDescent="0.25">
      <c r="A112" s="121">
        <v>95</v>
      </c>
      <c r="B112" s="115" t="s">
        <v>147</v>
      </c>
      <c r="C112" s="116" t="s">
        <v>42</v>
      </c>
      <c r="D112" s="2">
        <v>373918170876.64001</v>
      </c>
      <c r="E112" s="3">
        <f t="shared" si="63"/>
        <v>0.59928609625192653</v>
      </c>
      <c r="F112" s="4">
        <v>1142.4100000000001</v>
      </c>
      <c r="G112" s="4">
        <v>1142.4100000000001</v>
      </c>
      <c r="H112" s="60">
        <v>9428</v>
      </c>
      <c r="I112" s="5">
        <v>1.5E-3</v>
      </c>
      <c r="J112" s="5">
        <v>5.96E-2</v>
      </c>
      <c r="K112" s="2">
        <v>375541415733.79999</v>
      </c>
      <c r="L112" s="3">
        <f t="shared" si="52"/>
        <v>0.60142040760677529</v>
      </c>
      <c r="M112" s="4">
        <v>1123.6199999999999</v>
      </c>
      <c r="N112" s="4">
        <v>1123.6199999999999</v>
      </c>
      <c r="O112" s="60">
        <v>9522</v>
      </c>
      <c r="P112" s="5">
        <v>1E-3</v>
      </c>
      <c r="Q112" s="5">
        <v>6.0699999999999997E-2</v>
      </c>
      <c r="R112" s="82">
        <f t="shared" si="58"/>
        <v>4.3411767161631214E-3</v>
      </c>
      <c r="S112" s="82">
        <f t="shared" si="59"/>
        <v>-1.6447685156817771E-2</v>
      </c>
      <c r="T112" s="82">
        <f t="shared" si="60"/>
        <v>9.9703012303775981E-3</v>
      </c>
      <c r="U112" s="82">
        <f t="shared" si="61"/>
        <v>-5.0000000000000001E-4</v>
      </c>
      <c r="V112" s="84">
        <f t="shared" si="62"/>
        <v>1.0999999999999968E-3</v>
      </c>
    </row>
    <row r="113" spans="1:22" ht="16.5" customHeight="1" x14ac:dyDescent="0.25">
      <c r="A113" s="121">
        <v>96</v>
      </c>
      <c r="B113" s="115" t="s">
        <v>148</v>
      </c>
      <c r="C113" s="116" t="s">
        <v>45</v>
      </c>
      <c r="D113" s="2">
        <v>18814882553.040001</v>
      </c>
      <c r="E113" s="3">
        <f t="shared" si="63"/>
        <v>3.015498682563288E-2</v>
      </c>
      <c r="F113" s="4">
        <v>843.18200000000002</v>
      </c>
      <c r="G113" s="4">
        <v>843.18200000000002</v>
      </c>
      <c r="H113" s="60">
        <v>117</v>
      </c>
      <c r="I113" s="5">
        <v>7.0800000000000002E-2</v>
      </c>
      <c r="J113" s="5">
        <v>8.3799999999999999E-2</v>
      </c>
      <c r="K113" s="2">
        <v>18307381856.560001</v>
      </c>
      <c r="L113" s="3">
        <f t="shared" si="52"/>
        <v>2.9318825027250445E-2</v>
      </c>
      <c r="M113" s="4">
        <v>829.54</v>
      </c>
      <c r="N113" s="4">
        <v>829.54</v>
      </c>
      <c r="O113" s="60">
        <v>122</v>
      </c>
      <c r="P113" s="5">
        <v>7.0699999999999999E-2</v>
      </c>
      <c r="Q113" s="5">
        <v>8.3500000000000005E-2</v>
      </c>
      <c r="R113" s="82">
        <f t="shared" si="58"/>
        <v>-2.6973365103360715E-2</v>
      </c>
      <c r="S113" s="82">
        <f t="shared" si="59"/>
        <v>-1.6179187885889467E-2</v>
      </c>
      <c r="T113" s="82">
        <f t="shared" si="60"/>
        <v>4.2735042735042736E-2</v>
      </c>
      <c r="U113" s="82">
        <f t="shared" si="61"/>
        <v>-1.0000000000000286E-4</v>
      </c>
      <c r="V113" s="84">
        <f t="shared" si="62"/>
        <v>-2.9999999999999472E-4</v>
      </c>
    </row>
    <row r="114" spans="1:22" x14ac:dyDescent="0.25">
      <c r="A114" s="120">
        <v>97</v>
      </c>
      <c r="B114" s="115" t="s">
        <v>149</v>
      </c>
      <c r="C114" s="116" t="s">
        <v>32</v>
      </c>
      <c r="D114" s="4">
        <v>19107766046.333313</v>
      </c>
      <c r="E114" s="3">
        <f t="shared" si="63"/>
        <v>3.0624397030921572E-2</v>
      </c>
      <c r="F114" s="4">
        <f>1.1129*755.27</f>
        <v>840.53998300000001</v>
      </c>
      <c r="G114" s="4">
        <f>1.1129*755.27</f>
        <v>840.53998300000001</v>
      </c>
      <c r="H114" s="60">
        <v>933</v>
      </c>
      <c r="I114" s="5">
        <v>8.9936145336810824E-4</v>
      </c>
      <c r="J114" s="5">
        <v>5.8292126283757906E-2</v>
      </c>
      <c r="K114" s="4">
        <v>21530273698.168926</v>
      </c>
      <c r="L114" s="3">
        <f t="shared" si="52"/>
        <v>3.4480207617411822E-2</v>
      </c>
      <c r="M114" s="4">
        <f>1.1139*815.32</f>
        <v>908.18494799999996</v>
      </c>
      <c r="N114" s="4">
        <f>1.1139*815.32</f>
        <v>908.18494799999996</v>
      </c>
      <c r="O114" s="60">
        <v>947</v>
      </c>
      <c r="P114" s="5">
        <v>8.9936145336810824E-4</v>
      </c>
      <c r="Q114" s="5">
        <v>5.9200000000000003E-2</v>
      </c>
      <c r="R114" s="82">
        <f t="shared" si="58"/>
        <v>0.12678131216184116</v>
      </c>
      <c r="S114" s="82">
        <f t="shared" si="59"/>
        <v>8.0477986018661476E-2</v>
      </c>
      <c r="T114" s="82">
        <f t="shared" si="60"/>
        <v>1.5005359056806002E-2</v>
      </c>
      <c r="U114" s="82">
        <f t="shared" si="61"/>
        <v>0</v>
      </c>
      <c r="V114" s="84">
        <f t="shared" si="62"/>
        <v>9.078737162420969E-4</v>
      </c>
    </row>
    <row r="115" spans="1:22" x14ac:dyDescent="0.25">
      <c r="A115" s="76"/>
      <c r="B115" s="19"/>
      <c r="C115" s="67" t="s">
        <v>46</v>
      </c>
      <c r="D115" s="59">
        <f>SUM(D92:D114)</f>
        <v>623939339182.42139</v>
      </c>
      <c r="E115" s="105">
        <f>(D115/$D$173)</f>
        <v>0.31321432667277505</v>
      </c>
      <c r="F115" s="30"/>
      <c r="G115" s="11"/>
      <c r="H115" s="66">
        <f>SUM(H92:H114)</f>
        <v>17904</v>
      </c>
      <c r="I115" s="33"/>
      <c r="J115" s="33"/>
      <c r="K115" s="59">
        <f>SUM(K92:K114)</f>
        <v>624424131579.08496</v>
      </c>
      <c r="L115" s="105">
        <f>(K115/$K$173)</f>
        <v>0.3129899474349081</v>
      </c>
      <c r="M115" s="30"/>
      <c r="N115" s="11"/>
      <c r="O115" s="66">
        <f>SUM(O92:O114)</f>
        <v>18038</v>
      </c>
      <c r="P115" s="33"/>
      <c r="Q115" s="33"/>
      <c r="R115" s="82">
        <f t="shared" si="58"/>
        <v>7.7698642515283895E-4</v>
      </c>
      <c r="S115" s="82" t="e">
        <f t="shared" si="59"/>
        <v>#DIV/0!</v>
      </c>
      <c r="T115" s="82">
        <f t="shared" si="60"/>
        <v>7.4843610366398571E-3</v>
      </c>
      <c r="U115" s="82">
        <f t="shared" si="61"/>
        <v>0</v>
      </c>
      <c r="V115" s="84">
        <f t="shared" si="62"/>
        <v>0</v>
      </c>
    </row>
    <row r="116" spans="1:22" ht="8.25" customHeight="1" x14ac:dyDescent="0.25">
      <c r="A116" s="137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</row>
    <row r="117" spans="1:22" ht="15.75" x14ac:dyDescent="0.25">
      <c r="A117" s="135" t="s">
        <v>150</v>
      </c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</row>
    <row r="118" spans="1:22" x14ac:dyDescent="0.25">
      <c r="A118" s="124">
        <v>98</v>
      </c>
      <c r="B118" s="115" t="s">
        <v>151</v>
      </c>
      <c r="C118" s="116" t="s">
        <v>40</v>
      </c>
      <c r="D118" s="2">
        <v>54330953714</v>
      </c>
      <c r="E118" s="3">
        <f>(D118/$D$122)</f>
        <v>0.58343800640134202</v>
      </c>
      <c r="F118" s="14">
        <v>101.33</v>
      </c>
      <c r="G118" s="14">
        <v>101.33</v>
      </c>
      <c r="H118" s="60">
        <v>675</v>
      </c>
      <c r="I118" s="5">
        <v>0</v>
      </c>
      <c r="J118" s="5">
        <v>7.6999999999999999E-2</v>
      </c>
      <c r="K118" s="2">
        <v>54330953714</v>
      </c>
      <c r="L118" s="3">
        <f>(K118/$K$122)</f>
        <v>0.58298052421435254</v>
      </c>
      <c r="M118" s="14">
        <v>101.33</v>
      </c>
      <c r="N118" s="14">
        <v>101.33</v>
      </c>
      <c r="O118" s="60">
        <v>675</v>
      </c>
      <c r="P118" s="5">
        <v>0</v>
      </c>
      <c r="Q118" s="5">
        <v>7.6999999999999999E-2</v>
      </c>
      <c r="R118" s="82">
        <f t="shared" ref="R118" si="64">((K118-D118)/D118)</f>
        <v>0</v>
      </c>
      <c r="S118" s="82">
        <f t="shared" ref="S118" si="65">((N118-G118)/G118)</f>
        <v>0</v>
      </c>
      <c r="T118" s="82">
        <f t="shared" ref="T118" si="66">((O118-H118)/H118)</f>
        <v>0</v>
      </c>
      <c r="U118" s="82">
        <f t="shared" ref="U118" si="67">P118-I118</f>
        <v>0</v>
      </c>
      <c r="V118" s="84">
        <f t="shared" ref="V118" si="68">Q118-J118</f>
        <v>0</v>
      </c>
    </row>
    <row r="119" spans="1:22" ht="17.25" customHeight="1" x14ac:dyDescent="0.25">
      <c r="A119" s="124">
        <v>99</v>
      </c>
      <c r="B119" s="115" t="s">
        <v>152</v>
      </c>
      <c r="C119" s="116" t="s">
        <v>120</v>
      </c>
      <c r="D119" s="2">
        <v>2329159236.73</v>
      </c>
      <c r="E119" s="3">
        <f>(D119/$D$122)</f>
        <v>2.5011893382590415E-2</v>
      </c>
      <c r="F119" s="14">
        <v>92.15</v>
      </c>
      <c r="G119" s="14">
        <v>92.15</v>
      </c>
      <c r="H119" s="60">
        <v>2743</v>
      </c>
      <c r="I119" s="5">
        <v>2.7E-2</v>
      </c>
      <c r="J119" s="5">
        <v>0.1196</v>
      </c>
      <c r="K119" s="2">
        <v>2391844928.9099998</v>
      </c>
      <c r="L119" s="3">
        <f>(K119/$K$122)</f>
        <v>2.5664909506936999E-2</v>
      </c>
      <c r="M119" s="14">
        <v>92.15</v>
      </c>
      <c r="N119" s="14">
        <v>92.15</v>
      </c>
      <c r="O119" s="60">
        <v>2743</v>
      </c>
      <c r="P119" s="5">
        <v>1.3168</v>
      </c>
      <c r="Q119" s="5">
        <v>0.15240000000000001</v>
      </c>
      <c r="R119" s="82">
        <f t="shared" ref="R119:R122" si="69">((K119-D119)/D119)</f>
        <v>2.691344206590477E-2</v>
      </c>
      <c r="S119" s="82">
        <f t="shared" ref="S119:S122" si="70">((N119-G119)/G119)</f>
        <v>0</v>
      </c>
      <c r="T119" s="82">
        <f t="shared" ref="T119:T122" si="71">((O119-H119)/H119)</f>
        <v>0</v>
      </c>
      <c r="U119" s="82">
        <f t="shared" ref="U119:U122" si="72">P119-I119</f>
        <v>1.2898000000000001</v>
      </c>
      <c r="V119" s="84">
        <f t="shared" ref="V119:V122" si="73">Q119-J119</f>
        <v>3.280000000000001E-2</v>
      </c>
    </row>
    <row r="120" spans="1:22" x14ac:dyDescent="0.25">
      <c r="A120" s="120">
        <v>100</v>
      </c>
      <c r="B120" s="115" t="s">
        <v>153</v>
      </c>
      <c r="C120" s="116" t="s">
        <v>120</v>
      </c>
      <c r="D120" s="2">
        <v>10085740102.620001</v>
      </c>
      <c r="E120" s="3">
        <f>(D120/$D$122)</f>
        <v>0.10830665939586455</v>
      </c>
      <c r="F120" s="14">
        <v>36.6</v>
      </c>
      <c r="G120" s="14">
        <v>36.6</v>
      </c>
      <c r="H120" s="60">
        <v>5264</v>
      </c>
      <c r="I120" s="5">
        <v>4.6800000000000001E-2</v>
      </c>
      <c r="J120" s="5">
        <v>0.16869999999999999</v>
      </c>
      <c r="K120" s="2">
        <v>10087214284.48</v>
      </c>
      <c r="L120" s="3">
        <f>(K120/$K$122)</f>
        <v>0.10823755280248891</v>
      </c>
      <c r="M120" s="14">
        <v>36.6</v>
      </c>
      <c r="N120" s="14">
        <v>36.6</v>
      </c>
      <c r="O120" s="60">
        <v>5264</v>
      </c>
      <c r="P120" s="5">
        <v>9.4000000000000004E-3</v>
      </c>
      <c r="Q120" s="5">
        <v>0.16539999999999999</v>
      </c>
      <c r="R120" s="82">
        <f t="shared" si="69"/>
        <v>1.4616496608074907E-4</v>
      </c>
      <c r="S120" s="82">
        <f t="shared" si="70"/>
        <v>0</v>
      </c>
      <c r="T120" s="82">
        <f t="shared" si="71"/>
        <v>0</v>
      </c>
      <c r="U120" s="82">
        <f t="shared" si="72"/>
        <v>-3.7400000000000003E-2</v>
      </c>
      <c r="V120" s="84">
        <f t="shared" si="73"/>
        <v>-3.2999999999999974E-3</v>
      </c>
    </row>
    <row r="121" spans="1:22" x14ac:dyDescent="0.25">
      <c r="A121" s="121">
        <v>101</v>
      </c>
      <c r="B121" s="115" t="s">
        <v>154</v>
      </c>
      <c r="C121" s="116" t="s">
        <v>42</v>
      </c>
      <c r="D121" s="2">
        <v>26376214960.549999</v>
      </c>
      <c r="E121" s="3">
        <f>(D121/$D$122)</f>
        <v>0.28324344082020292</v>
      </c>
      <c r="F121" s="14">
        <v>3.7</v>
      </c>
      <c r="G121" s="14">
        <v>3.7</v>
      </c>
      <c r="H121" s="60">
        <v>208853</v>
      </c>
      <c r="I121" s="5">
        <v>0</v>
      </c>
      <c r="J121" s="5">
        <v>0.23330000000000001</v>
      </c>
      <c r="K121" s="2">
        <v>26385130747.810001</v>
      </c>
      <c r="L121" s="3">
        <f>(K121/$K$122)</f>
        <v>0.28311701347622154</v>
      </c>
      <c r="M121" s="14">
        <v>3.65</v>
      </c>
      <c r="N121" s="14">
        <v>3.65</v>
      </c>
      <c r="O121" s="60">
        <v>208853</v>
      </c>
      <c r="P121" s="5">
        <v>-1.35E-2</v>
      </c>
      <c r="Q121" s="5">
        <v>0.2167</v>
      </c>
      <c r="R121" s="82">
        <f t="shared" si="69"/>
        <v>3.3802375637812985E-4</v>
      </c>
      <c r="S121" s="82">
        <f t="shared" si="70"/>
        <v>-1.3513513513513585E-2</v>
      </c>
      <c r="T121" s="82">
        <f t="shared" si="71"/>
        <v>0</v>
      </c>
      <c r="U121" s="82">
        <f t="shared" si="72"/>
        <v>-1.35E-2</v>
      </c>
      <c r="V121" s="84">
        <f t="shared" si="73"/>
        <v>-1.6600000000000004E-2</v>
      </c>
    </row>
    <row r="122" spans="1:22" x14ac:dyDescent="0.25">
      <c r="A122" s="76"/>
      <c r="B122" s="19"/>
      <c r="C122" s="72" t="s">
        <v>46</v>
      </c>
      <c r="D122" s="58">
        <f>SUM(D118:D121)</f>
        <v>93122068013.900009</v>
      </c>
      <c r="E122" s="105">
        <f>(D122/$D$173)</f>
        <v>4.6746797324190577E-2</v>
      </c>
      <c r="F122" s="30"/>
      <c r="G122" s="34"/>
      <c r="H122" s="66">
        <f>SUM(H118:H121)</f>
        <v>217535</v>
      </c>
      <c r="I122" s="35"/>
      <c r="J122" s="35"/>
      <c r="K122" s="58">
        <f>SUM(K118:K121)</f>
        <v>93195143675.199997</v>
      </c>
      <c r="L122" s="105">
        <f>(K122/$K$173)</f>
        <v>4.6713670476387102E-2</v>
      </c>
      <c r="M122" s="30"/>
      <c r="N122" s="34"/>
      <c r="O122" s="66">
        <f>SUM(O118:O121)</f>
        <v>217535</v>
      </c>
      <c r="P122" s="35"/>
      <c r="Q122" s="35"/>
      <c r="R122" s="82">
        <f t="shared" si="69"/>
        <v>7.8472979454322306E-4</v>
      </c>
      <c r="S122" s="82" t="e">
        <f t="shared" si="70"/>
        <v>#DIV/0!</v>
      </c>
      <c r="T122" s="82">
        <f t="shared" si="71"/>
        <v>0</v>
      </c>
      <c r="U122" s="82">
        <f t="shared" si="72"/>
        <v>0</v>
      </c>
      <c r="V122" s="84">
        <f t="shared" si="73"/>
        <v>0</v>
      </c>
    </row>
    <row r="123" spans="1:22" ht="7.5" customHeight="1" x14ac:dyDescent="0.25">
      <c r="A123" s="137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</row>
    <row r="124" spans="1:22" ht="15" customHeight="1" x14ac:dyDescent="0.25">
      <c r="A124" s="135" t="s">
        <v>155</v>
      </c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</row>
    <row r="125" spans="1:22" x14ac:dyDescent="0.25">
      <c r="A125" s="123">
        <v>102</v>
      </c>
      <c r="B125" s="115" t="s">
        <v>156</v>
      </c>
      <c r="C125" s="116" t="s">
        <v>50</v>
      </c>
      <c r="D125" s="4">
        <v>207368883.09</v>
      </c>
      <c r="E125" s="3">
        <f t="shared" ref="E125:E148" si="74">(D125/$D$149)</f>
        <v>5.3014905208515995E-3</v>
      </c>
      <c r="F125" s="4">
        <v>4.6399999999999997</v>
      </c>
      <c r="G125" s="4">
        <v>4.7300000000000004</v>
      </c>
      <c r="H125" s="62">
        <v>11815</v>
      </c>
      <c r="I125" s="6">
        <v>-1.89E-3</v>
      </c>
      <c r="J125" s="6">
        <v>0.23467399999999999</v>
      </c>
      <c r="K125" s="4">
        <v>212606445.28</v>
      </c>
      <c r="L125" s="16">
        <f t="shared" ref="L125:L140" si="75">(K125/$K$149)</f>
        <v>5.4126173861548778E-3</v>
      </c>
      <c r="M125" s="4">
        <v>4.75</v>
      </c>
      <c r="N125" s="4">
        <v>4.8499999999999996</v>
      </c>
      <c r="O125" s="62">
        <v>11815</v>
      </c>
      <c r="P125" s="6">
        <v>3.0665000000000001E-2</v>
      </c>
      <c r="Q125" s="6">
        <v>0.26533899999999999</v>
      </c>
      <c r="R125" s="82">
        <f t="shared" ref="R125" si="76">((K125-D125)/D125)</f>
        <v>2.5257223320853048E-2</v>
      </c>
      <c r="S125" s="82">
        <f t="shared" ref="S125" si="77">((N125-G125)/G125)</f>
        <v>2.5369978858350784E-2</v>
      </c>
      <c r="T125" s="82">
        <f t="shared" ref="T125" si="78">((O125-H125)/H125)</f>
        <v>0</v>
      </c>
      <c r="U125" s="82">
        <f t="shared" ref="U125" si="79">P125-I125</f>
        <v>3.2555000000000001E-2</v>
      </c>
      <c r="V125" s="84">
        <f t="shared" ref="V125" si="80">Q125-J125</f>
        <v>3.0664999999999998E-2</v>
      </c>
    </row>
    <row r="126" spans="1:22" x14ac:dyDescent="0.25">
      <c r="A126" s="123">
        <v>103</v>
      </c>
      <c r="B126" s="115" t="s">
        <v>157</v>
      </c>
      <c r="C126" s="116" t="s">
        <v>21</v>
      </c>
      <c r="D126" s="4">
        <v>5964166101.7799997</v>
      </c>
      <c r="E126" s="3">
        <f t="shared" si="74"/>
        <v>0.15247692702114896</v>
      </c>
      <c r="F126" s="4">
        <v>636.96860000000004</v>
      </c>
      <c r="G126" s="4">
        <v>656.17359999999996</v>
      </c>
      <c r="H126" s="62">
        <v>21185</v>
      </c>
      <c r="I126" s="6">
        <v>-0.13400000000000001</v>
      </c>
      <c r="J126" s="6">
        <v>0.26150000000000001</v>
      </c>
      <c r="K126" s="4">
        <v>6003818516.8000002</v>
      </c>
      <c r="L126" s="16">
        <f t="shared" si="75"/>
        <v>0.15284754159053343</v>
      </c>
      <c r="M126" s="4">
        <v>641.32439999999997</v>
      </c>
      <c r="N126" s="4">
        <v>660.66079999999999</v>
      </c>
      <c r="O126" s="62">
        <v>21194</v>
      </c>
      <c r="P126" s="6">
        <v>0.33900000000000002</v>
      </c>
      <c r="Q126" s="6">
        <v>0.25940000000000002</v>
      </c>
      <c r="R126" s="82">
        <f t="shared" ref="R126:R149" si="81">((K126-D126)/D126)</f>
        <v>6.648442438275861E-3</v>
      </c>
      <c r="S126" s="82">
        <f t="shared" ref="S126:S149" si="82">((N126-G126)/G126)</f>
        <v>6.8384342192371501E-3</v>
      </c>
      <c r="T126" s="82">
        <f t="shared" ref="T126:T149" si="83">((O126-H126)/H126)</f>
        <v>4.2482888836440876E-4</v>
      </c>
      <c r="U126" s="82">
        <f t="shared" ref="U126:U149" si="84">P126-I126</f>
        <v>0.47300000000000003</v>
      </c>
      <c r="V126" s="84">
        <f t="shared" ref="V126:V149" si="85">Q126-J126</f>
        <v>-2.0999999999999908E-3</v>
      </c>
    </row>
    <row r="127" spans="1:22" x14ac:dyDescent="0.25">
      <c r="A127" s="123">
        <v>104</v>
      </c>
      <c r="B127" s="115" t="s">
        <v>158</v>
      </c>
      <c r="C127" s="116" t="s">
        <v>91</v>
      </c>
      <c r="D127" s="4">
        <v>3231369832.75</v>
      </c>
      <c r="E127" s="3">
        <f t="shared" si="74"/>
        <v>8.2611606343343705E-2</v>
      </c>
      <c r="F127" s="4">
        <v>18.037500000000001</v>
      </c>
      <c r="G127" s="4">
        <v>18.242599999999999</v>
      </c>
      <c r="H127" s="60">
        <v>6278</v>
      </c>
      <c r="I127" s="5">
        <v>4.8999999999999998E-3</v>
      </c>
      <c r="J127" s="5">
        <v>0.30180000000000001</v>
      </c>
      <c r="K127" s="4">
        <v>3240112358.1300001</v>
      </c>
      <c r="L127" s="16">
        <f t="shared" si="75"/>
        <v>8.2488037743225828E-2</v>
      </c>
      <c r="M127" s="4">
        <v>18.168500000000002</v>
      </c>
      <c r="N127" s="4">
        <v>18.376300000000001</v>
      </c>
      <c r="O127" s="60">
        <v>6278</v>
      </c>
      <c r="P127" s="5">
        <v>8.3999999999999995E-3</v>
      </c>
      <c r="Q127" s="5">
        <v>0.31130000000000002</v>
      </c>
      <c r="R127" s="82">
        <f t="shared" si="81"/>
        <v>2.7055168032437634E-3</v>
      </c>
      <c r="S127" s="82">
        <f t="shared" si="82"/>
        <v>7.3289991558221444E-3</v>
      </c>
      <c r="T127" s="82">
        <f t="shared" si="83"/>
        <v>0</v>
      </c>
      <c r="U127" s="82">
        <f t="shared" si="84"/>
        <v>3.4999999999999996E-3</v>
      </c>
      <c r="V127" s="84">
        <f t="shared" si="85"/>
        <v>9.5000000000000084E-3</v>
      </c>
    </row>
    <row r="128" spans="1:22" x14ac:dyDescent="0.25">
      <c r="A128" s="124">
        <v>105</v>
      </c>
      <c r="B128" s="115" t="s">
        <v>159</v>
      </c>
      <c r="C128" s="116" t="s">
        <v>101</v>
      </c>
      <c r="D128" s="2">
        <v>1195903116.98</v>
      </c>
      <c r="E128" s="3">
        <f t="shared" si="74"/>
        <v>3.0573868866211249E-2</v>
      </c>
      <c r="F128" s="4">
        <v>2.7970000000000002</v>
      </c>
      <c r="G128" s="4">
        <v>2.8645999999999998</v>
      </c>
      <c r="H128" s="60">
        <v>2754</v>
      </c>
      <c r="I128" s="5">
        <v>5.10168425466433E-2</v>
      </c>
      <c r="J128" s="5">
        <v>0.26396689182491501</v>
      </c>
      <c r="K128" s="2">
        <v>1195903116.98</v>
      </c>
      <c r="L128" s="16">
        <f t="shared" si="75"/>
        <v>3.0445765623887573E-2</v>
      </c>
      <c r="M128" s="4">
        <v>2.7970000000000002</v>
      </c>
      <c r="N128" s="4">
        <v>2.8645999999999998</v>
      </c>
      <c r="O128" s="60">
        <v>2754</v>
      </c>
      <c r="P128" s="5">
        <v>5.10168425466433E-2</v>
      </c>
      <c r="Q128" s="5">
        <v>0.26396689182491501</v>
      </c>
      <c r="R128" s="82">
        <f t="shared" si="81"/>
        <v>0</v>
      </c>
      <c r="S128" s="82">
        <f t="shared" si="82"/>
        <v>0</v>
      </c>
      <c r="T128" s="82">
        <f t="shared" si="83"/>
        <v>0</v>
      </c>
      <c r="U128" s="82">
        <f t="shared" si="84"/>
        <v>0</v>
      </c>
      <c r="V128" s="84">
        <f t="shared" si="85"/>
        <v>0</v>
      </c>
    </row>
    <row r="129" spans="1:24" x14ac:dyDescent="0.25">
      <c r="A129" s="123">
        <v>106</v>
      </c>
      <c r="B129" s="115" t="s">
        <v>160</v>
      </c>
      <c r="C129" s="116" t="s">
        <v>56</v>
      </c>
      <c r="D129" s="2">
        <v>2829522840.98634</v>
      </c>
      <c r="E129" s="3">
        <f t="shared" si="74"/>
        <v>7.2338184478293835E-2</v>
      </c>
      <c r="F129" s="4">
        <v>5316.7865657396296</v>
      </c>
      <c r="G129" s="4">
        <v>5356.2708992559701</v>
      </c>
      <c r="H129" s="60">
        <v>842</v>
      </c>
      <c r="I129" s="5">
        <v>-0.12477569519956509</v>
      </c>
      <c r="J129" s="5">
        <v>0.32060821318927313</v>
      </c>
      <c r="K129" s="2">
        <v>2851314492.3917398</v>
      </c>
      <c r="L129" s="16">
        <f t="shared" si="75"/>
        <v>7.2589870803727211E-2</v>
      </c>
      <c r="M129" s="4">
        <v>5357.5199393517596</v>
      </c>
      <c r="N129" s="4">
        <v>5397.6150822812997</v>
      </c>
      <c r="O129" s="60">
        <v>842</v>
      </c>
      <c r="P129" s="5">
        <v>0.39948086216029105</v>
      </c>
      <c r="Q129" s="5">
        <v>0.32480687450294982</v>
      </c>
      <c r="R129" s="82">
        <f t="shared" si="81"/>
        <v>7.7015287135139268E-3</v>
      </c>
      <c r="S129" s="82">
        <f t="shared" si="82"/>
        <v>7.7188371915753234E-3</v>
      </c>
      <c r="T129" s="82">
        <f t="shared" si="83"/>
        <v>0</v>
      </c>
      <c r="U129" s="82">
        <f t="shared" si="84"/>
        <v>0.5242565573598561</v>
      </c>
      <c r="V129" s="84">
        <f t="shared" si="85"/>
        <v>4.1986613136766882E-3</v>
      </c>
    </row>
    <row r="130" spans="1:24" x14ac:dyDescent="0.25">
      <c r="A130" s="121">
        <v>107</v>
      </c>
      <c r="B130" s="115" t="s">
        <v>161</v>
      </c>
      <c r="C130" s="116" t="s">
        <v>58</v>
      </c>
      <c r="D130" s="4">
        <v>423820045.58999997</v>
      </c>
      <c r="E130" s="3">
        <f t="shared" si="74"/>
        <v>1.0835174114657847E-2</v>
      </c>
      <c r="F130" s="4">
        <v>157.34</v>
      </c>
      <c r="G130" s="4">
        <v>158.33000000000001</v>
      </c>
      <c r="H130" s="60">
        <v>622</v>
      </c>
      <c r="I130" s="5">
        <v>8.5000000000000006E-3</v>
      </c>
      <c r="J130" s="5">
        <v>0.22689999999999999</v>
      </c>
      <c r="K130" s="4">
        <v>425285696.62</v>
      </c>
      <c r="L130" s="16">
        <f t="shared" si="75"/>
        <v>1.0827088297237724E-2</v>
      </c>
      <c r="M130" s="4">
        <v>158.75</v>
      </c>
      <c r="N130" s="4">
        <v>159.80000000000001</v>
      </c>
      <c r="O130" s="60">
        <v>624</v>
      </c>
      <c r="P130" s="5">
        <v>9.1000000000000004E-3</v>
      </c>
      <c r="Q130" s="5">
        <v>0.23730000000000001</v>
      </c>
      <c r="R130" s="82">
        <f t="shared" si="81"/>
        <v>3.4581918558375356E-3</v>
      </c>
      <c r="S130" s="82">
        <f t="shared" si="82"/>
        <v>9.2844059874944655E-3</v>
      </c>
      <c r="T130" s="82">
        <f t="shared" si="83"/>
        <v>3.2154340836012861E-3</v>
      </c>
      <c r="U130" s="82">
        <f t="shared" si="84"/>
        <v>5.9999999999999984E-4</v>
      </c>
      <c r="V130" s="84">
        <f t="shared" si="85"/>
        <v>1.040000000000002E-2</v>
      </c>
    </row>
    <row r="131" spans="1:24" x14ac:dyDescent="0.25">
      <c r="A131" s="124">
        <v>108</v>
      </c>
      <c r="B131" s="115" t="s">
        <v>162</v>
      </c>
      <c r="C131" s="116" t="s">
        <v>60</v>
      </c>
      <c r="D131" s="4">
        <v>3734808.11</v>
      </c>
      <c r="E131" s="3">
        <f t="shared" si="74"/>
        <v>9.5482260874073732E-5</v>
      </c>
      <c r="F131" s="4">
        <v>102.747</v>
      </c>
      <c r="G131" s="4">
        <v>102.99</v>
      </c>
      <c r="H131" s="60">
        <v>0</v>
      </c>
      <c r="I131" s="5">
        <v>0</v>
      </c>
      <c r="J131" s="5">
        <v>0</v>
      </c>
      <c r="K131" s="4">
        <v>3734808.11</v>
      </c>
      <c r="L131" s="16">
        <f t="shared" si="75"/>
        <v>9.5082194161683214E-5</v>
      </c>
      <c r="M131" s="4">
        <v>102.747</v>
      </c>
      <c r="N131" s="4">
        <v>102.99</v>
      </c>
      <c r="O131" s="60">
        <v>0</v>
      </c>
      <c r="P131" s="5">
        <v>0</v>
      </c>
      <c r="Q131" s="5">
        <v>0</v>
      </c>
      <c r="R131" s="82">
        <f t="shared" si="81"/>
        <v>0</v>
      </c>
      <c r="S131" s="82">
        <f t="shared" si="82"/>
        <v>0</v>
      </c>
      <c r="T131" s="82" t="e">
        <f t="shared" si="83"/>
        <v>#DIV/0!</v>
      </c>
      <c r="U131" s="82">
        <f t="shared" si="84"/>
        <v>0</v>
      </c>
      <c r="V131" s="84">
        <f t="shared" si="85"/>
        <v>0</v>
      </c>
    </row>
    <row r="132" spans="1:24" x14ac:dyDescent="0.25">
      <c r="A132" s="123">
        <v>109</v>
      </c>
      <c r="B132" s="115" t="s">
        <v>163</v>
      </c>
      <c r="C132" s="116" t="s">
        <v>105</v>
      </c>
      <c r="D132" s="4">
        <v>160317629.5</v>
      </c>
      <c r="E132" s="3">
        <f t="shared" si="74"/>
        <v>4.0986013931066725E-3</v>
      </c>
      <c r="F132" s="4">
        <v>1.4228000000000001</v>
      </c>
      <c r="G132" s="4">
        <v>1.4360999999999999</v>
      </c>
      <c r="H132" s="60">
        <v>259</v>
      </c>
      <c r="I132" s="5">
        <v>-1.1189102786851035E-2</v>
      </c>
      <c r="J132" s="5">
        <v>0.18448218448218445</v>
      </c>
      <c r="K132" s="4">
        <v>161747183.8204</v>
      </c>
      <c r="L132" s="16">
        <f t="shared" si="75"/>
        <v>4.1178225719116631E-3</v>
      </c>
      <c r="M132" s="4">
        <v>1.4354</v>
      </c>
      <c r="N132" s="4">
        <v>1.4490000000000001</v>
      </c>
      <c r="O132" s="60">
        <v>259</v>
      </c>
      <c r="P132" s="5">
        <v>8.8557773404553952E-3</v>
      </c>
      <c r="Q132" s="5">
        <v>0.19497169497169486</v>
      </c>
      <c r="R132" s="82">
        <f t="shared" si="81"/>
        <v>8.9170125884377519E-3</v>
      </c>
      <c r="S132" s="82">
        <f t="shared" si="82"/>
        <v>8.9826613745561824E-3</v>
      </c>
      <c r="T132" s="82">
        <f t="shared" si="83"/>
        <v>0</v>
      </c>
      <c r="U132" s="82">
        <f t="shared" si="84"/>
        <v>2.004488012730643E-2</v>
      </c>
      <c r="V132" s="84">
        <f t="shared" si="85"/>
        <v>1.0489510489510412E-2</v>
      </c>
    </row>
    <row r="133" spans="1:24" x14ac:dyDescent="0.25">
      <c r="A133" s="118">
        <v>110</v>
      </c>
      <c r="B133" s="115" t="s">
        <v>164</v>
      </c>
      <c r="C133" s="116" t="s">
        <v>25</v>
      </c>
      <c r="D133" s="9">
        <v>113486809.86</v>
      </c>
      <c r="E133" s="3">
        <f t="shared" si="74"/>
        <v>2.9013477709351238E-3</v>
      </c>
      <c r="F133" s="4">
        <v>122.0394</v>
      </c>
      <c r="G133" s="4">
        <v>122.539</v>
      </c>
      <c r="H133" s="60">
        <v>70</v>
      </c>
      <c r="I133" s="5">
        <v>1.8799999999999999E-4</v>
      </c>
      <c r="J133" s="5">
        <v>0.1782</v>
      </c>
      <c r="K133" s="9">
        <v>113486809.86</v>
      </c>
      <c r="L133" s="16">
        <f t="shared" si="75"/>
        <v>2.8891912441248676E-3</v>
      </c>
      <c r="M133" s="4">
        <v>124.63379999999999</v>
      </c>
      <c r="N133" s="4">
        <v>125.1532</v>
      </c>
      <c r="O133" s="60">
        <v>70</v>
      </c>
      <c r="P133" s="5">
        <v>4.1799999999999997E-3</v>
      </c>
      <c r="Q133" s="5">
        <v>0.20319999999999999</v>
      </c>
      <c r="R133" s="82">
        <f t="shared" si="81"/>
        <v>0</v>
      </c>
      <c r="S133" s="82">
        <f t="shared" si="82"/>
        <v>2.1333616236463467E-2</v>
      </c>
      <c r="T133" s="82">
        <f t="shared" si="83"/>
        <v>0</v>
      </c>
      <c r="U133" s="82">
        <f t="shared" si="84"/>
        <v>3.9919999999999999E-3</v>
      </c>
      <c r="V133" s="84">
        <f t="shared" si="85"/>
        <v>2.4999999999999994E-2</v>
      </c>
    </row>
    <row r="134" spans="1:24" x14ac:dyDescent="0.25">
      <c r="A134" s="121">
        <v>111</v>
      </c>
      <c r="B134" s="115" t="s">
        <v>165</v>
      </c>
      <c r="C134" s="116" t="s">
        <v>64</v>
      </c>
      <c r="D134" s="9">
        <v>179730012.25</v>
      </c>
      <c r="E134" s="3">
        <f t="shared" si="74"/>
        <v>4.5948887897630077E-3</v>
      </c>
      <c r="F134" s="4">
        <v>113.68</v>
      </c>
      <c r="G134" s="4">
        <v>115.93</v>
      </c>
      <c r="H134" s="60">
        <v>28</v>
      </c>
      <c r="I134" s="5">
        <v>1.9E-3</v>
      </c>
      <c r="J134" s="5">
        <v>0.1041</v>
      </c>
      <c r="K134" s="9">
        <v>180172888.08000001</v>
      </c>
      <c r="L134" s="16">
        <f t="shared" si="75"/>
        <v>4.5869113010718453E-3</v>
      </c>
      <c r="M134" s="4">
        <v>113.96</v>
      </c>
      <c r="N134" s="4">
        <v>116.29</v>
      </c>
      <c r="O134" s="60">
        <v>28</v>
      </c>
      <c r="P134" s="5">
        <v>3.0999999999999999E-3</v>
      </c>
      <c r="Q134" s="5">
        <v>0.1072</v>
      </c>
      <c r="R134" s="82">
        <f t="shared" si="81"/>
        <v>2.4641172860099948E-3</v>
      </c>
      <c r="S134" s="82">
        <f t="shared" si="82"/>
        <v>3.105322177175877E-3</v>
      </c>
      <c r="T134" s="82">
        <f t="shared" si="83"/>
        <v>0</v>
      </c>
      <c r="U134" s="82">
        <f t="shared" si="84"/>
        <v>1.1999999999999999E-3</v>
      </c>
      <c r="V134" s="84">
        <f t="shared" si="85"/>
        <v>3.1000000000000055E-3</v>
      </c>
    </row>
    <row r="135" spans="1:24" ht="15.75" customHeight="1" x14ac:dyDescent="0.25">
      <c r="A135" s="121">
        <v>112</v>
      </c>
      <c r="B135" s="115" t="s">
        <v>166</v>
      </c>
      <c r="C135" s="116" t="s">
        <v>67</v>
      </c>
      <c r="D135" s="2">
        <v>507837916.47000003</v>
      </c>
      <c r="E135" s="3">
        <f t="shared" si="74"/>
        <v>1.2983133535643577E-2</v>
      </c>
      <c r="F135" s="4">
        <v>1.2387999999999999</v>
      </c>
      <c r="G135" s="4">
        <v>1.2387999999999999</v>
      </c>
      <c r="H135" s="60">
        <v>106</v>
      </c>
      <c r="I135" s="5">
        <v>-8.642765685019321E-3</v>
      </c>
      <c r="J135" s="5">
        <v>0.18265249280475354</v>
      </c>
      <c r="K135" s="2">
        <v>508893928.19</v>
      </c>
      <c r="L135" s="16">
        <f t="shared" si="75"/>
        <v>1.2955619100833338E-2</v>
      </c>
      <c r="M135" s="4">
        <v>1.2451000000000001</v>
      </c>
      <c r="N135" s="4">
        <v>1.2451000000000001</v>
      </c>
      <c r="O135" s="60">
        <v>106</v>
      </c>
      <c r="P135" s="5">
        <v>5.0855666774299278E-3</v>
      </c>
      <c r="Q135" s="5">
        <v>0.26270928361443491</v>
      </c>
      <c r="R135" s="82">
        <f t="shared" si="81"/>
        <v>2.0794266945255786E-3</v>
      </c>
      <c r="S135" s="82">
        <f t="shared" si="82"/>
        <v>5.0855666774299278E-3</v>
      </c>
      <c r="T135" s="82">
        <f t="shared" si="83"/>
        <v>0</v>
      </c>
      <c r="U135" s="82">
        <f t="shared" si="84"/>
        <v>1.3728332362449249E-2</v>
      </c>
      <c r="V135" s="84">
        <f t="shared" si="85"/>
        <v>8.0056790809681366E-2</v>
      </c>
      <c r="X135" s="110"/>
    </row>
    <row r="136" spans="1:24" x14ac:dyDescent="0.25">
      <c r="A136" s="121">
        <v>113</v>
      </c>
      <c r="B136" s="115" t="s">
        <v>167</v>
      </c>
      <c r="C136" s="116" t="s">
        <v>27</v>
      </c>
      <c r="D136" s="4">
        <v>6586233824.96</v>
      </c>
      <c r="E136" s="3">
        <f t="shared" si="74"/>
        <v>0.1683804034184983</v>
      </c>
      <c r="F136" s="4">
        <v>249.9</v>
      </c>
      <c r="G136" s="4">
        <v>252.15</v>
      </c>
      <c r="H136" s="60">
        <v>5460</v>
      </c>
      <c r="I136" s="5">
        <v>2.0999999999999999E-3</v>
      </c>
      <c r="J136" s="5">
        <v>0.35830000000000001</v>
      </c>
      <c r="K136" s="4">
        <v>6472464415.8699999</v>
      </c>
      <c r="L136" s="16">
        <f t="shared" si="75"/>
        <v>0.16477851074772804</v>
      </c>
      <c r="M136" s="4">
        <v>245.07</v>
      </c>
      <c r="N136" s="4">
        <v>247.23</v>
      </c>
      <c r="O136" s="60">
        <v>5461</v>
      </c>
      <c r="P136" s="5">
        <v>-1.9400000000000001E-2</v>
      </c>
      <c r="Q136" s="5">
        <v>0.33589999999999998</v>
      </c>
      <c r="R136" s="82">
        <f t="shared" si="81"/>
        <v>-1.7273818712424942E-2</v>
      </c>
      <c r="S136" s="82">
        <f t="shared" si="82"/>
        <v>-1.9512195121951282E-2</v>
      </c>
      <c r="T136" s="82">
        <f t="shared" si="83"/>
        <v>1.8315018315018315E-4</v>
      </c>
      <c r="U136" s="82">
        <f t="shared" si="84"/>
        <v>-2.1500000000000002E-2</v>
      </c>
      <c r="V136" s="84">
        <f t="shared" si="85"/>
        <v>-2.2400000000000031E-2</v>
      </c>
    </row>
    <row r="137" spans="1:24" x14ac:dyDescent="0.25">
      <c r="A137" s="121">
        <v>114</v>
      </c>
      <c r="B137" s="115" t="s">
        <v>168</v>
      </c>
      <c r="C137" s="116" t="s">
        <v>72</v>
      </c>
      <c r="D137" s="4">
        <v>2343931665.0799999</v>
      </c>
      <c r="E137" s="3">
        <f t="shared" si="74"/>
        <v>5.992380013231003E-2</v>
      </c>
      <c r="F137" s="4">
        <v>1.6311</v>
      </c>
      <c r="G137" s="4">
        <v>1.6589</v>
      </c>
      <c r="H137" s="60">
        <v>10316</v>
      </c>
      <c r="I137" s="5">
        <v>2.2526636225266585E-3</v>
      </c>
      <c r="J137" s="5">
        <v>0.26747767169695114</v>
      </c>
      <c r="K137" s="4">
        <v>2358908670.5212002</v>
      </c>
      <c r="L137" s="16">
        <f t="shared" si="75"/>
        <v>6.0054012311806501E-2</v>
      </c>
      <c r="M137" s="4">
        <v>1.6444600383542767</v>
      </c>
      <c r="N137" s="4">
        <v>1.6724000000000001</v>
      </c>
      <c r="O137" s="60">
        <v>10336</v>
      </c>
      <c r="P137" s="5">
        <v>8.1399586927468452E-3</v>
      </c>
      <c r="Q137" s="5">
        <v>0.27779488758854332</v>
      </c>
      <c r="R137" s="82">
        <f t="shared" si="81"/>
        <v>6.3896937203112023E-3</v>
      </c>
      <c r="S137" s="82">
        <f t="shared" si="82"/>
        <v>8.137922719874657E-3</v>
      </c>
      <c r="T137" s="82">
        <f t="shared" si="83"/>
        <v>1.9387359441644049E-3</v>
      </c>
      <c r="U137" s="82">
        <f t="shared" si="84"/>
        <v>5.8872950702201863E-3</v>
      </c>
      <c r="V137" s="84">
        <f t="shared" si="85"/>
        <v>1.031721589159218E-2</v>
      </c>
    </row>
    <row r="138" spans="1:24" x14ac:dyDescent="0.25">
      <c r="A138" s="123">
        <v>115</v>
      </c>
      <c r="B138" s="115" t="s">
        <v>169</v>
      </c>
      <c r="C138" s="116" t="s">
        <v>74</v>
      </c>
      <c r="D138" s="4">
        <v>160080127.37306732</v>
      </c>
      <c r="E138" s="3">
        <f t="shared" si="74"/>
        <v>4.0925295309456114E-3</v>
      </c>
      <c r="F138" s="4">
        <v>104.57077417139948</v>
      </c>
      <c r="G138" s="4">
        <v>109.78551006734143</v>
      </c>
      <c r="H138" s="60">
        <v>39</v>
      </c>
      <c r="I138" s="5">
        <v>1.1448102436731056E-3</v>
      </c>
      <c r="J138" s="5">
        <v>-1.7171105683511E-2</v>
      </c>
      <c r="K138" s="4">
        <v>165814328.95621747</v>
      </c>
      <c r="L138" s="16">
        <f t="shared" si="75"/>
        <v>4.2213655310404368E-3</v>
      </c>
      <c r="M138" s="4">
        <v>108.31658515146844</v>
      </c>
      <c r="N138" s="4">
        <v>113.57340951899748</v>
      </c>
      <c r="O138" s="60">
        <v>39</v>
      </c>
      <c r="P138" s="5">
        <v>3.4471670535913157E-2</v>
      </c>
      <c r="Q138" s="5">
        <v>1.7300564852402157E-2</v>
      </c>
      <c r="R138" s="82">
        <f t="shared" si="81"/>
        <v>3.5820820967905474E-2</v>
      </c>
      <c r="S138" s="82">
        <f t="shared" si="82"/>
        <v>3.4502726719879355E-2</v>
      </c>
      <c r="T138" s="82">
        <f t="shared" si="83"/>
        <v>0</v>
      </c>
      <c r="U138" s="82">
        <f t="shared" si="84"/>
        <v>3.3326860292240051E-2</v>
      </c>
      <c r="V138" s="84">
        <f t="shared" si="85"/>
        <v>3.4471670535913157E-2</v>
      </c>
    </row>
    <row r="139" spans="1:24" ht="13.5" customHeight="1" x14ac:dyDescent="0.25">
      <c r="A139" s="120">
        <v>116</v>
      </c>
      <c r="B139" s="115" t="s">
        <v>241</v>
      </c>
      <c r="C139" s="116" t="s">
        <v>32</v>
      </c>
      <c r="D139" s="2">
        <v>2593478901.4454999</v>
      </c>
      <c r="E139" s="3">
        <f t="shared" si="74"/>
        <v>6.6303601616422903E-2</v>
      </c>
      <c r="F139" s="4">
        <v>3.5672000000000001</v>
      </c>
      <c r="G139" s="4">
        <v>3.6339999999999999</v>
      </c>
      <c r="H139" s="60">
        <v>2257</v>
      </c>
      <c r="I139" s="5">
        <v>-8.008898776418194E-3</v>
      </c>
      <c r="J139" s="5">
        <v>0.15607985480943753</v>
      </c>
      <c r="K139" s="2">
        <v>2635654302.1037998</v>
      </c>
      <c r="L139" s="16">
        <f t="shared" si="75"/>
        <v>6.709950999215035E-2</v>
      </c>
      <c r="M139" s="4">
        <v>3.6263000000000001</v>
      </c>
      <c r="N139" s="4">
        <v>3.6943999999999999</v>
      </c>
      <c r="O139" s="60">
        <v>2254</v>
      </c>
      <c r="P139" s="5">
        <v>1.66E-2</v>
      </c>
      <c r="Q139" s="5">
        <v>0.17519999999999999</v>
      </c>
      <c r="R139" s="82">
        <f t="shared" si="81"/>
        <v>1.6262095147484355E-2</v>
      </c>
      <c r="S139" s="82">
        <f t="shared" si="82"/>
        <v>1.6620803522289493E-2</v>
      </c>
      <c r="T139" s="82">
        <f t="shared" si="83"/>
        <v>-1.329198050509526E-3</v>
      </c>
      <c r="U139" s="82">
        <f t="shared" si="84"/>
        <v>2.4608898776418194E-2</v>
      </c>
      <c r="V139" s="84">
        <f t="shared" si="85"/>
        <v>1.912014519056246E-2</v>
      </c>
    </row>
    <row r="140" spans="1:24" x14ac:dyDescent="0.25">
      <c r="A140" s="121">
        <v>117</v>
      </c>
      <c r="B140" s="115" t="s">
        <v>170</v>
      </c>
      <c r="C140" s="116" t="s">
        <v>114</v>
      </c>
      <c r="D140" s="2">
        <v>177279133.38</v>
      </c>
      <c r="E140" s="3">
        <f t="shared" si="74"/>
        <v>4.5322308301721211E-3</v>
      </c>
      <c r="F140" s="4">
        <v>168.958866</v>
      </c>
      <c r="G140" s="4">
        <v>173.71439799999999</v>
      </c>
      <c r="H140" s="60">
        <v>138</v>
      </c>
      <c r="I140" s="5">
        <v>3.3E-3</v>
      </c>
      <c r="J140" s="5">
        <v>0.15359999999999999</v>
      </c>
      <c r="K140" s="2">
        <v>176537529.08000001</v>
      </c>
      <c r="L140" s="16">
        <f t="shared" si="75"/>
        <v>4.4943609209439029E-3</v>
      </c>
      <c r="M140" s="4">
        <v>168.25206700000001</v>
      </c>
      <c r="N140" s="4">
        <v>173.10244399999999</v>
      </c>
      <c r="O140" s="60">
        <v>138</v>
      </c>
      <c r="P140" s="5">
        <v>6.1999999999999998E-3</v>
      </c>
      <c r="Q140" s="5">
        <v>0.14960000000000001</v>
      </c>
      <c r="R140" s="82">
        <f t="shared" si="81"/>
        <v>-4.18325770134686E-3</v>
      </c>
      <c r="S140" s="82">
        <f t="shared" si="82"/>
        <v>-3.5227592361112016E-3</v>
      </c>
      <c r="T140" s="82">
        <f t="shared" si="83"/>
        <v>0</v>
      </c>
      <c r="U140" s="82">
        <f t="shared" si="84"/>
        <v>2.8999999999999998E-3</v>
      </c>
      <c r="V140" s="84">
        <f t="shared" si="85"/>
        <v>-3.9999999999999758E-3</v>
      </c>
    </row>
    <row r="141" spans="1:24" x14ac:dyDescent="0.25">
      <c r="A141" s="124">
        <v>118</v>
      </c>
      <c r="B141" s="115" t="s">
        <v>171</v>
      </c>
      <c r="C141" s="116" t="s">
        <v>29</v>
      </c>
      <c r="D141" s="2">
        <v>1506907725.4400001</v>
      </c>
      <c r="E141" s="3">
        <f t="shared" si="74"/>
        <v>3.8524859193801837E-2</v>
      </c>
      <c r="F141" s="4">
        <v>552.20000000000005</v>
      </c>
      <c r="G141" s="4">
        <v>552.20000000000005</v>
      </c>
      <c r="H141" s="60">
        <v>0</v>
      </c>
      <c r="I141" s="5">
        <v>-4.8000000000000001E-4</v>
      </c>
      <c r="J141" s="5">
        <v>0.30930000000000002</v>
      </c>
      <c r="K141" s="2">
        <v>1514148783.4200001</v>
      </c>
      <c r="L141" s="16">
        <f t="shared" ref="L141:L148" si="86">(K141/$K$149)</f>
        <v>3.8547787295775383E-2</v>
      </c>
      <c r="M141" s="4">
        <v>552.20000000000005</v>
      </c>
      <c r="N141" s="4">
        <v>552.20000000000005</v>
      </c>
      <c r="O141" s="60">
        <v>0</v>
      </c>
      <c r="P141" s="5">
        <v>4.8050000000000002E-3</v>
      </c>
      <c r="Q141" s="5">
        <v>0.31559900000000002</v>
      </c>
      <c r="R141" s="82">
        <f t="shared" si="81"/>
        <v>4.8052431199035175E-3</v>
      </c>
      <c r="S141" s="82">
        <f t="shared" si="82"/>
        <v>0</v>
      </c>
      <c r="T141" s="82" t="e">
        <f t="shared" si="83"/>
        <v>#DIV/0!</v>
      </c>
      <c r="U141" s="82">
        <f t="shared" si="84"/>
        <v>5.2850000000000006E-3</v>
      </c>
      <c r="V141" s="84">
        <f t="shared" si="85"/>
        <v>6.298999999999999E-3</v>
      </c>
    </row>
    <row r="142" spans="1:24" x14ac:dyDescent="0.25">
      <c r="A142" s="123">
        <v>119</v>
      </c>
      <c r="B142" s="115" t="s">
        <v>172</v>
      </c>
      <c r="C142" s="116" t="s">
        <v>80</v>
      </c>
      <c r="D142" s="2">
        <v>23887713.109999999</v>
      </c>
      <c r="E142" s="3">
        <f t="shared" si="74"/>
        <v>6.1070148389874069E-4</v>
      </c>
      <c r="F142" s="4">
        <v>1.49</v>
      </c>
      <c r="G142" s="4">
        <v>1.49</v>
      </c>
      <c r="H142" s="60">
        <v>8</v>
      </c>
      <c r="I142" s="5">
        <v>-4.8445000000000002E-2</v>
      </c>
      <c r="J142" s="5">
        <v>0.230321</v>
      </c>
      <c r="K142" s="2">
        <v>25077296.050000001</v>
      </c>
      <c r="L142" s="16">
        <f t="shared" si="86"/>
        <v>6.3842753411931291E-4</v>
      </c>
      <c r="M142" s="4">
        <v>1.56</v>
      </c>
      <c r="N142" s="4">
        <v>1.56</v>
      </c>
      <c r="O142" s="60">
        <v>8</v>
      </c>
      <c r="P142" s="5">
        <v>4.5561999999999998E-2</v>
      </c>
      <c r="Q142" s="5">
        <v>0.28637699999999999</v>
      </c>
      <c r="R142" s="82">
        <f t="shared" si="81"/>
        <v>4.9798946199752038E-2</v>
      </c>
      <c r="S142" s="82">
        <f t="shared" si="82"/>
        <v>4.6979865771812124E-2</v>
      </c>
      <c r="T142" s="82">
        <f t="shared" si="83"/>
        <v>0</v>
      </c>
      <c r="U142" s="82">
        <f t="shared" si="84"/>
        <v>9.4007000000000007E-2</v>
      </c>
      <c r="V142" s="84">
        <f t="shared" si="85"/>
        <v>5.6055999999999995E-2</v>
      </c>
    </row>
    <row r="143" spans="1:24" x14ac:dyDescent="0.25">
      <c r="A143" s="120">
        <v>120</v>
      </c>
      <c r="B143" s="115" t="s">
        <v>173</v>
      </c>
      <c r="C143" s="116" t="s">
        <v>38</v>
      </c>
      <c r="D143" s="4">
        <v>187009848.58000001</v>
      </c>
      <c r="E143" s="3">
        <f t="shared" si="74"/>
        <v>4.7810014925068235E-3</v>
      </c>
      <c r="F143" s="4">
        <v>1.9</v>
      </c>
      <c r="G143" s="4">
        <v>1.95</v>
      </c>
      <c r="H143" s="60">
        <v>116</v>
      </c>
      <c r="I143" s="5">
        <v>5.9999999999999995E-4</v>
      </c>
      <c r="J143" s="5">
        <v>0.20979999999999999</v>
      </c>
      <c r="K143" s="4">
        <v>208076819.72999999</v>
      </c>
      <c r="L143" s="16">
        <f t="shared" si="86"/>
        <v>5.2973004211756989E-3</v>
      </c>
      <c r="M143" s="4">
        <v>2.11</v>
      </c>
      <c r="N143" s="4">
        <v>2.15</v>
      </c>
      <c r="O143" s="60">
        <v>116</v>
      </c>
      <c r="P143" s="5">
        <v>8.9999999999999998E-4</v>
      </c>
      <c r="Q143" s="5">
        <v>0.3412</v>
      </c>
      <c r="R143" s="82">
        <f t="shared" si="81"/>
        <v>0.11265166679704487</v>
      </c>
      <c r="S143" s="82">
        <f t="shared" si="82"/>
        <v>0.10256410256410255</v>
      </c>
      <c r="T143" s="82">
        <f t="shared" si="83"/>
        <v>0</v>
      </c>
      <c r="U143" s="82">
        <f t="shared" si="84"/>
        <v>3.0000000000000003E-4</v>
      </c>
      <c r="V143" s="84">
        <f t="shared" si="85"/>
        <v>0.13140000000000002</v>
      </c>
    </row>
    <row r="144" spans="1:24" x14ac:dyDescent="0.25">
      <c r="A144" s="121">
        <v>121</v>
      </c>
      <c r="B144" s="115" t="s">
        <v>174</v>
      </c>
      <c r="C144" s="116" t="s">
        <v>42</v>
      </c>
      <c r="D144" s="2">
        <v>2069091804.4100001</v>
      </c>
      <c r="E144" s="3">
        <f t="shared" si="74"/>
        <v>5.289737989807556E-2</v>
      </c>
      <c r="F144" s="4">
        <v>4665.38</v>
      </c>
      <c r="G144" s="4">
        <v>4702.51</v>
      </c>
      <c r="H144" s="60">
        <v>3492</v>
      </c>
      <c r="I144" s="5">
        <v>0</v>
      </c>
      <c r="J144" s="5">
        <v>0.27889999999999998</v>
      </c>
      <c r="K144" s="2">
        <v>2075855421.71</v>
      </c>
      <c r="L144" s="3">
        <f t="shared" si="86"/>
        <v>5.2847932864377604E-2</v>
      </c>
      <c r="M144" s="4">
        <v>4687.9799999999996</v>
      </c>
      <c r="N144" s="4">
        <v>4725.8100000000004</v>
      </c>
      <c r="O144" s="60">
        <v>3520</v>
      </c>
      <c r="P144" s="5">
        <v>5.0000000000000001E-3</v>
      </c>
      <c r="Q144" s="5">
        <v>0.28520000000000001</v>
      </c>
      <c r="R144" s="82">
        <f t="shared" si="81"/>
        <v>3.2688821663611938E-3</v>
      </c>
      <c r="S144" s="82">
        <f t="shared" si="82"/>
        <v>4.9548007340760956E-3</v>
      </c>
      <c r="T144" s="82">
        <f t="shared" si="83"/>
        <v>8.0183276059564712E-3</v>
      </c>
      <c r="U144" s="82">
        <f t="shared" si="84"/>
        <v>5.0000000000000001E-3</v>
      </c>
      <c r="V144" s="84">
        <f t="shared" si="85"/>
        <v>6.3000000000000278E-3</v>
      </c>
    </row>
    <row r="145" spans="1:22" x14ac:dyDescent="0.25">
      <c r="A145" s="121">
        <v>122</v>
      </c>
      <c r="B145" s="115" t="s">
        <v>175</v>
      </c>
      <c r="C145" s="116" t="s">
        <v>45</v>
      </c>
      <c r="D145" s="4">
        <v>1538446444.53</v>
      </c>
      <c r="E145" s="3">
        <f t="shared" si="74"/>
        <v>3.9331162520530316E-2</v>
      </c>
      <c r="F145" s="4">
        <v>1.7225999999999999</v>
      </c>
      <c r="G145" s="4">
        <v>1.7331000000000001</v>
      </c>
      <c r="H145" s="60">
        <v>1866</v>
      </c>
      <c r="I145" s="5">
        <v>8.3000000000000001E-3</v>
      </c>
      <c r="J145" s="5">
        <v>0.32950000000000002</v>
      </c>
      <c r="K145" s="4">
        <v>1540075933.6400001</v>
      </c>
      <c r="L145" s="16">
        <f t="shared" si="86"/>
        <v>3.9207850747141608E-2</v>
      </c>
      <c r="M145" s="4">
        <v>1.7276</v>
      </c>
      <c r="N145" s="4">
        <v>1.7381</v>
      </c>
      <c r="O145" s="60">
        <v>1889</v>
      </c>
      <c r="P145" s="5">
        <v>2.8999999999999998E-3</v>
      </c>
      <c r="Q145" s="5">
        <v>0.3332</v>
      </c>
      <c r="R145" s="82">
        <f t="shared" si="81"/>
        <v>1.0591783131573016E-3</v>
      </c>
      <c r="S145" s="82">
        <f t="shared" si="82"/>
        <v>2.8850037505048138E-3</v>
      </c>
      <c r="T145" s="82">
        <f t="shared" si="83"/>
        <v>1.232583065380493E-2</v>
      </c>
      <c r="U145" s="82">
        <f t="shared" si="84"/>
        <v>-5.4000000000000003E-3</v>
      </c>
      <c r="V145" s="84">
        <f t="shared" si="85"/>
        <v>3.6999999999999811E-3</v>
      </c>
    </row>
    <row r="146" spans="1:22" x14ac:dyDescent="0.25">
      <c r="A146" s="121">
        <v>123</v>
      </c>
      <c r="B146" s="115" t="s">
        <v>176</v>
      </c>
      <c r="C146" s="116" t="s">
        <v>45</v>
      </c>
      <c r="D146" s="4">
        <v>818846924.69000006</v>
      </c>
      <c r="E146" s="3">
        <f t="shared" si="74"/>
        <v>2.093423634532688E-2</v>
      </c>
      <c r="F146" s="4">
        <v>1.3294999999999999</v>
      </c>
      <c r="G146" s="4">
        <v>1.3386</v>
      </c>
      <c r="H146" s="60">
        <v>447</v>
      </c>
      <c r="I146" s="5">
        <v>8.8000000000000005E-3</v>
      </c>
      <c r="J146" s="5">
        <v>0.23880000000000001</v>
      </c>
      <c r="K146" s="4">
        <v>821116351.10000002</v>
      </c>
      <c r="L146" s="16">
        <f t="shared" si="86"/>
        <v>2.0904298701606667E-2</v>
      </c>
      <c r="M146" s="4">
        <v>1.331</v>
      </c>
      <c r="N146" s="4">
        <v>1.34</v>
      </c>
      <c r="O146" s="60">
        <v>451</v>
      </c>
      <c r="P146" s="5">
        <v>1.1000000000000001E-3</v>
      </c>
      <c r="Q146" s="5">
        <v>0.24010000000000001</v>
      </c>
      <c r="R146" s="82">
        <f t="shared" si="81"/>
        <v>2.7714904233891195E-3</v>
      </c>
      <c r="S146" s="82">
        <f t="shared" si="82"/>
        <v>1.0458688181682861E-3</v>
      </c>
      <c r="T146" s="82">
        <f t="shared" si="83"/>
        <v>8.948545861297539E-3</v>
      </c>
      <c r="U146" s="82">
        <f t="shared" si="84"/>
        <v>-7.7000000000000002E-3</v>
      </c>
      <c r="V146" s="84">
        <f t="shared" si="85"/>
        <v>1.2999999999999956E-3</v>
      </c>
    </row>
    <row r="147" spans="1:22" x14ac:dyDescent="0.25">
      <c r="A147" s="120">
        <v>124</v>
      </c>
      <c r="B147" s="115" t="s">
        <v>177</v>
      </c>
      <c r="C147" s="116" t="s">
        <v>87</v>
      </c>
      <c r="D147" s="4">
        <v>6031321006.8000002</v>
      </c>
      <c r="E147" s="3">
        <f t="shared" si="74"/>
        <v>0.15419377617945643</v>
      </c>
      <c r="F147" s="4">
        <v>296.33999999999997</v>
      </c>
      <c r="G147" s="4">
        <v>299.69</v>
      </c>
      <c r="H147" s="60">
        <v>29</v>
      </c>
      <c r="I147" s="5">
        <v>1.5599999999999999E-2</v>
      </c>
      <c r="J147" s="5">
        <v>0.57150000000000001</v>
      </c>
      <c r="K147" s="4">
        <v>6115109387.2299995</v>
      </c>
      <c r="L147" s="16">
        <f t="shared" si="86"/>
        <v>0.1556808277565121</v>
      </c>
      <c r="M147" s="4">
        <v>300.43</v>
      </c>
      <c r="N147" s="4">
        <v>303.87</v>
      </c>
      <c r="O147" s="60">
        <v>29</v>
      </c>
      <c r="P147" s="5">
        <v>2.9700000000000001E-2</v>
      </c>
      <c r="Q147" s="5">
        <v>0.59250000000000003</v>
      </c>
      <c r="R147" s="82">
        <f t="shared" si="81"/>
        <v>1.3892210402253887E-2</v>
      </c>
      <c r="S147" s="82">
        <f t="shared" si="82"/>
        <v>1.3947746004204368E-2</v>
      </c>
      <c r="T147" s="82">
        <f t="shared" si="83"/>
        <v>0</v>
      </c>
      <c r="U147" s="82">
        <f t="shared" si="84"/>
        <v>1.4100000000000001E-2</v>
      </c>
      <c r="V147" s="84">
        <f t="shared" si="85"/>
        <v>2.1000000000000019E-2</v>
      </c>
    </row>
    <row r="148" spans="1:22" x14ac:dyDescent="0.25">
      <c r="A148" s="124">
        <v>125</v>
      </c>
      <c r="B148" s="115" t="s">
        <v>178</v>
      </c>
      <c r="C148" s="116" t="s">
        <v>40</v>
      </c>
      <c r="D148" s="2">
        <v>261430856.96000001</v>
      </c>
      <c r="E148" s="3">
        <f t="shared" si="74"/>
        <v>6.6836122632247833E-3</v>
      </c>
      <c r="F148" s="4">
        <v>188.08</v>
      </c>
      <c r="G148" s="4">
        <v>190.95</v>
      </c>
      <c r="H148" s="60">
        <v>734</v>
      </c>
      <c r="I148" s="5">
        <v>6.4000000000000003E-3</v>
      </c>
      <c r="J148" s="5">
        <v>0.36380000000000001</v>
      </c>
      <c r="K148" s="2">
        <v>273869158.75</v>
      </c>
      <c r="L148" s="16">
        <f t="shared" si="86"/>
        <v>6.9722673187523803E-3</v>
      </c>
      <c r="M148" s="4">
        <v>188.08</v>
      </c>
      <c r="N148" s="4">
        <v>190.95</v>
      </c>
      <c r="O148" s="60">
        <v>734</v>
      </c>
      <c r="P148" s="5">
        <v>3.15E-2</v>
      </c>
      <c r="Q148" s="5">
        <v>0.40649999999999997</v>
      </c>
      <c r="R148" s="82">
        <f t="shared" si="81"/>
        <v>4.7577787620927632E-2</v>
      </c>
      <c r="S148" s="82">
        <f t="shared" si="82"/>
        <v>0</v>
      </c>
      <c r="T148" s="82">
        <f t="shared" si="83"/>
        <v>0</v>
      </c>
      <c r="U148" s="82">
        <f t="shared" si="84"/>
        <v>2.5100000000000001E-2</v>
      </c>
      <c r="V148" s="84">
        <f t="shared" si="85"/>
        <v>4.269999999999996E-2</v>
      </c>
    </row>
    <row r="149" spans="1:22" x14ac:dyDescent="0.25">
      <c r="A149" s="85"/>
      <c r="B149" s="19"/>
      <c r="C149" s="72" t="s">
        <v>46</v>
      </c>
      <c r="D149" s="73">
        <f>SUM(D125:D148)</f>
        <v>39115203974.124908</v>
      </c>
      <c r="E149" s="105">
        <f>(D149/$D$173)</f>
        <v>1.9635630430800306E-2</v>
      </c>
      <c r="F149" s="30"/>
      <c r="G149" s="36"/>
      <c r="H149" s="66">
        <f>SUM(H125:H148)</f>
        <v>68861</v>
      </c>
      <c r="I149" s="37"/>
      <c r="J149" s="37"/>
      <c r="K149" s="73">
        <f>SUM(K125:K148)</f>
        <v>39279784642.423355</v>
      </c>
      <c r="L149" s="105">
        <f>(K149/$K$173)</f>
        <v>1.9688825445288716E-2</v>
      </c>
      <c r="M149" s="30"/>
      <c r="N149" s="36"/>
      <c r="O149" s="66">
        <f>SUM(O125:O148)</f>
        <v>68945</v>
      </c>
      <c r="P149" s="37"/>
      <c r="Q149" s="37"/>
      <c r="R149" s="82">
        <f t="shared" si="81"/>
        <v>4.2075881390601566E-3</v>
      </c>
      <c r="S149" s="82" t="e">
        <f t="shared" si="82"/>
        <v>#DIV/0!</v>
      </c>
      <c r="T149" s="82">
        <f t="shared" si="83"/>
        <v>1.2198486806755638E-3</v>
      </c>
      <c r="U149" s="82">
        <f t="shared" si="84"/>
        <v>0</v>
      </c>
      <c r="V149" s="84">
        <f t="shared" si="85"/>
        <v>0</v>
      </c>
    </row>
    <row r="150" spans="1:22" ht="8.25" customHeight="1" x14ac:dyDescent="0.25">
      <c r="A150" s="137"/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</row>
    <row r="151" spans="1:22" ht="15" customHeight="1" x14ac:dyDescent="0.25">
      <c r="A151" s="135" t="s">
        <v>179</v>
      </c>
      <c r="B151" s="135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</row>
    <row r="152" spans="1:22" x14ac:dyDescent="0.25">
      <c r="A152" s="123">
        <v>126</v>
      </c>
      <c r="B152" s="115" t="s">
        <v>180</v>
      </c>
      <c r="C152" s="116" t="s">
        <v>21</v>
      </c>
      <c r="D152" s="17">
        <v>692570224.21000004</v>
      </c>
      <c r="E152" s="3">
        <f>(D152/$D$155)</f>
        <v>0.17987875709690326</v>
      </c>
      <c r="F152" s="17">
        <v>51.272300000000001</v>
      </c>
      <c r="G152" s="17">
        <v>52.818100000000001</v>
      </c>
      <c r="H152" s="62">
        <v>1392</v>
      </c>
      <c r="I152" s="6">
        <v>4.9599999999999998E-2</v>
      </c>
      <c r="J152" s="6">
        <v>0.15240000000000001</v>
      </c>
      <c r="K152" s="17">
        <v>721375167.55999994</v>
      </c>
      <c r="L152" s="16">
        <f>(K152/$K$155)</f>
        <v>0.18364092140539268</v>
      </c>
      <c r="M152" s="17">
        <v>53.077300000000001</v>
      </c>
      <c r="N152" s="17">
        <v>54.677599999999998</v>
      </c>
      <c r="O152" s="62">
        <v>1396</v>
      </c>
      <c r="P152" s="6">
        <v>1.8357000000000001</v>
      </c>
      <c r="Q152" s="6">
        <v>0.19600000000000001</v>
      </c>
      <c r="R152" s="82">
        <f t="shared" ref="R152" si="87">((K152-D152)/D152)</f>
        <v>4.1591368417342928E-2</v>
      </c>
      <c r="S152" s="82">
        <f t="shared" ref="S152" si="88">((N152-G152)/G152)</f>
        <v>3.5205734397867339E-2</v>
      </c>
      <c r="T152" s="82">
        <f t="shared" ref="T152" si="89">((O152-H152)/H152)</f>
        <v>2.8735632183908046E-3</v>
      </c>
      <c r="U152" s="82">
        <f t="shared" ref="U152" si="90">P152-I152</f>
        <v>1.7861</v>
      </c>
      <c r="V152" s="84">
        <f t="shared" ref="V152" si="91">Q152-J152</f>
        <v>4.36E-2</v>
      </c>
    </row>
    <row r="153" spans="1:22" x14ac:dyDescent="0.25">
      <c r="A153" s="123">
        <v>127</v>
      </c>
      <c r="B153" s="115" t="s">
        <v>181</v>
      </c>
      <c r="C153" s="116" t="s">
        <v>182</v>
      </c>
      <c r="D153" s="100">
        <v>779512439.22000003</v>
      </c>
      <c r="E153" s="3">
        <f>(D153/$D$155)</f>
        <v>0.20245994385394248</v>
      </c>
      <c r="F153" s="17">
        <v>21.344000000000001</v>
      </c>
      <c r="G153" s="17">
        <v>21.571200000000001</v>
      </c>
      <c r="H153" s="60">
        <v>1508</v>
      </c>
      <c r="I153" s="5">
        <v>5.4000000000000003E-3</v>
      </c>
      <c r="J153" s="5">
        <v>0.35070000000000001</v>
      </c>
      <c r="K153" s="100">
        <v>788284767.84000003</v>
      </c>
      <c r="L153" s="16">
        <f>(K153/$K$155)</f>
        <v>0.20067413962365599</v>
      </c>
      <c r="M153" s="17">
        <v>21.662600000000001</v>
      </c>
      <c r="N153" s="17">
        <v>21.8965</v>
      </c>
      <c r="O153" s="60">
        <v>1508</v>
      </c>
      <c r="P153" s="5">
        <v>1.09E-2</v>
      </c>
      <c r="Q153" s="5">
        <v>0.371</v>
      </c>
      <c r="R153" s="82">
        <f t="shared" ref="R153:R155" si="92">((K153-D153)/D153)</f>
        <v>1.1253609536722492E-2</v>
      </c>
      <c r="S153" s="82">
        <f t="shared" ref="S153:S155" si="93">((N153-G153)/G153)</f>
        <v>1.5080292241507129E-2</v>
      </c>
      <c r="T153" s="82">
        <f t="shared" ref="T153:T155" si="94">((O153-H153)/H153)</f>
        <v>0</v>
      </c>
      <c r="U153" s="82">
        <f t="shared" ref="U153:U155" si="95">P153-I153</f>
        <v>5.4999999999999997E-3</v>
      </c>
      <c r="V153" s="84">
        <f t="shared" ref="V153:V155" si="96">Q153-J153</f>
        <v>2.0299999999999985E-2</v>
      </c>
    </row>
    <row r="154" spans="1:22" x14ac:dyDescent="0.25">
      <c r="A154" s="121">
        <v>128</v>
      </c>
      <c r="B154" s="115" t="s">
        <v>183</v>
      </c>
      <c r="C154" s="116" t="s">
        <v>42</v>
      </c>
      <c r="D154" s="9">
        <v>2378123082.8600001</v>
      </c>
      <c r="E154" s="3">
        <f>(D154/$D$155)</f>
        <v>0.61766129904915434</v>
      </c>
      <c r="F154" s="17">
        <v>1.9</v>
      </c>
      <c r="G154" s="17">
        <v>1.93</v>
      </c>
      <c r="H154" s="60">
        <v>17756</v>
      </c>
      <c r="I154" s="5">
        <v>5.1999999999999998E-3</v>
      </c>
      <c r="J154" s="5">
        <v>0.34029999999999999</v>
      </c>
      <c r="K154" s="9">
        <v>2418523184.3499999</v>
      </c>
      <c r="L154" s="16">
        <f>(K154/$K$155)</f>
        <v>0.61568493897095133</v>
      </c>
      <c r="M154" s="17">
        <v>1.93</v>
      </c>
      <c r="N154" s="17">
        <v>1.95</v>
      </c>
      <c r="O154" s="60">
        <v>17763</v>
      </c>
      <c r="P154" s="5">
        <v>1.04E-2</v>
      </c>
      <c r="Q154" s="5">
        <v>0.35420000000000001</v>
      </c>
      <c r="R154" s="82">
        <f t="shared" si="92"/>
        <v>1.6988229827622475E-2</v>
      </c>
      <c r="S154" s="82">
        <f t="shared" si="93"/>
        <v>1.0362694300518144E-2</v>
      </c>
      <c r="T154" s="82">
        <f t="shared" si="94"/>
        <v>3.9423293534579859E-4</v>
      </c>
      <c r="U154" s="82">
        <f t="shared" si="95"/>
        <v>5.1999999999999998E-3</v>
      </c>
      <c r="V154" s="84">
        <f t="shared" si="96"/>
        <v>1.3900000000000023E-2</v>
      </c>
    </row>
    <row r="155" spans="1:22" x14ac:dyDescent="0.25">
      <c r="A155" s="76"/>
      <c r="B155" s="19"/>
      <c r="C155" s="67" t="s">
        <v>46</v>
      </c>
      <c r="D155" s="73">
        <f>SUM(D152:D154)</f>
        <v>3850205746.29</v>
      </c>
      <c r="E155" s="105">
        <f>(D155/$D$173)</f>
        <v>1.9327834048035407E-3</v>
      </c>
      <c r="F155" s="30"/>
      <c r="G155" s="36"/>
      <c r="H155" s="66">
        <f>SUM(H152:H154)</f>
        <v>20656</v>
      </c>
      <c r="I155" s="37"/>
      <c r="J155" s="37"/>
      <c r="K155" s="73">
        <f>SUM(K152:K154)</f>
        <v>3928183119.75</v>
      </c>
      <c r="L155" s="105">
        <f>(K155/$K$173)</f>
        <v>1.968985127234034E-3</v>
      </c>
      <c r="M155" s="30"/>
      <c r="N155" s="36"/>
      <c r="O155" s="66">
        <f>SUM(O152:O154)</f>
        <v>20667</v>
      </c>
      <c r="P155" s="37"/>
      <c r="Q155" s="37"/>
      <c r="R155" s="82">
        <f t="shared" si="92"/>
        <v>2.0252780915705051E-2</v>
      </c>
      <c r="S155" s="82" t="e">
        <f t="shared" si="93"/>
        <v>#DIV/0!</v>
      </c>
      <c r="T155" s="82">
        <f t="shared" si="94"/>
        <v>5.3253292021688615E-4</v>
      </c>
      <c r="U155" s="82">
        <f t="shared" si="95"/>
        <v>0</v>
      </c>
      <c r="V155" s="84">
        <f t="shared" si="96"/>
        <v>0</v>
      </c>
    </row>
    <row r="156" spans="1:22" ht="6" customHeight="1" x14ac:dyDescent="0.25">
      <c r="A156" s="137"/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</row>
    <row r="157" spans="1:22" ht="15" customHeight="1" x14ac:dyDescent="0.25">
      <c r="A157" s="135" t="s">
        <v>184</v>
      </c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</row>
    <row r="158" spans="1:22" x14ac:dyDescent="0.25">
      <c r="A158" s="136" t="s">
        <v>233</v>
      </c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</row>
    <row r="159" spans="1:22" x14ac:dyDescent="0.25">
      <c r="A159" s="121">
        <v>129</v>
      </c>
      <c r="B159" s="115" t="s">
        <v>185</v>
      </c>
      <c r="C159" s="116" t="s">
        <v>186</v>
      </c>
      <c r="D159" s="13">
        <v>3708073586.4000001</v>
      </c>
      <c r="E159" s="3">
        <f>(D159/$D$172)</f>
        <v>8.0298248387507265E-2</v>
      </c>
      <c r="F159" s="18">
        <v>1.82</v>
      </c>
      <c r="G159" s="18">
        <v>1.85</v>
      </c>
      <c r="H159" s="61">
        <v>14971</v>
      </c>
      <c r="I159" s="12">
        <v>2.0999999999999999E-3</v>
      </c>
      <c r="J159" s="12">
        <v>0.13900000000000001</v>
      </c>
      <c r="K159" s="13">
        <v>3716704584.1700001</v>
      </c>
      <c r="L159" s="3">
        <f>(K159/$K$172)</f>
        <v>8.0218494350454125E-2</v>
      </c>
      <c r="M159" s="18">
        <v>1.82</v>
      </c>
      <c r="N159" s="18">
        <v>1.85</v>
      </c>
      <c r="O159" s="61">
        <v>14971</v>
      </c>
      <c r="P159" s="12">
        <v>2.0999999999999999E-3</v>
      </c>
      <c r="Q159" s="12">
        <v>0.14099999999999999</v>
      </c>
      <c r="R159" s="82">
        <f t="shared" ref="R159" si="97">((K159-D159)/D159)</f>
        <v>2.3276231091140303E-3</v>
      </c>
      <c r="S159" s="82">
        <f t="shared" ref="S159:S160" si="98">((N159-G159)/G159)</f>
        <v>0</v>
      </c>
      <c r="T159" s="82">
        <f t="shared" ref="T159" si="99">((O159-H159)/H159)</f>
        <v>0</v>
      </c>
      <c r="U159" s="82">
        <f t="shared" ref="U159" si="100">P159-I159</f>
        <v>0</v>
      </c>
      <c r="V159" s="84">
        <f t="shared" ref="V159" si="101">Q159-J159</f>
        <v>1.999999999999974E-3</v>
      </c>
    </row>
    <row r="160" spans="1:22" x14ac:dyDescent="0.25">
      <c r="A160" s="121">
        <v>130</v>
      </c>
      <c r="B160" s="115" t="s">
        <v>187</v>
      </c>
      <c r="C160" s="116" t="s">
        <v>42</v>
      </c>
      <c r="D160" s="13">
        <v>518155052.31999999</v>
      </c>
      <c r="E160" s="3">
        <f>(D160/$D$172)</f>
        <v>1.1220635762740476E-2</v>
      </c>
      <c r="F160" s="18">
        <v>366.3</v>
      </c>
      <c r="G160" s="18">
        <v>370.74</v>
      </c>
      <c r="H160" s="61">
        <v>1282</v>
      </c>
      <c r="I160" s="12">
        <v>4.7999999999999996E-3</v>
      </c>
      <c r="J160" s="12">
        <v>0.39639999999999997</v>
      </c>
      <c r="K160" s="13">
        <v>524461113.5</v>
      </c>
      <c r="L160" s="3">
        <f>(K160/$K$172)</f>
        <v>1.1319565469238893E-2</v>
      </c>
      <c r="M160" s="18">
        <v>365.02</v>
      </c>
      <c r="N160" s="18">
        <v>369.44</v>
      </c>
      <c r="O160" s="61">
        <v>1288</v>
      </c>
      <c r="P160" s="12">
        <v>-3.5000000000000001E-3</v>
      </c>
      <c r="Q160" s="12">
        <v>0.39150000000000001</v>
      </c>
      <c r="R160" s="82">
        <f t="shared" ref="R160" si="102">((K160-D160)/D160)</f>
        <v>1.2170220384352321E-2</v>
      </c>
      <c r="S160" s="82">
        <f t="shared" si="98"/>
        <v>-3.5065005124885668E-3</v>
      </c>
      <c r="T160" s="82">
        <f t="shared" ref="T160" si="103">((O160-H160)/H160)</f>
        <v>4.6801872074882997E-3</v>
      </c>
      <c r="U160" s="82">
        <f t="shared" ref="U160" si="104">P160-I160</f>
        <v>-8.3000000000000001E-3</v>
      </c>
      <c r="V160" s="84">
        <f t="shared" ref="V160" si="105">Q160-J160</f>
        <v>-4.8999999999999599E-3</v>
      </c>
    </row>
    <row r="161" spans="1:24" ht="6" customHeight="1" x14ac:dyDescent="0.25">
      <c r="A161" s="137"/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</row>
    <row r="162" spans="1:24" ht="15" customHeight="1" x14ac:dyDescent="0.25">
      <c r="A162" s="136" t="s">
        <v>232</v>
      </c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</row>
    <row r="163" spans="1:24" x14ac:dyDescent="0.25">
      <c r="A163" s="123">
        <v>131</v>
      </c>
      <c r="B163" s="115" t="s">
        <v>188</v>
      </c>
      <c r="C163" s="116" t="s">
        <v>189</v>
      </c>
      <c r="D163" s="2">
        <v>417673706</v>
      </c>
      <c r="E163" s="3">
        <f t="shared" ref="E163:E171" si="106">(D163/$D$172)</f>
        <v>9.0447145149240831E-3</v>
      </c>
      <c r="F163" s="2">
        <v>1023.74</v>
      </c>
      <c r="G163" s="2">
        <v>1023.74</v>
      </c>
      <c r="H163" s="60">
        <v>21</v>
      </c>
      <c r="I163" s="5">
        <v>1.9E-3</v>
      </c>
      <c r="J163" s="5">
        <v>5.9299999999999999E-2</v>
      </c>
      <c r="K163" s="2">
        <v>418461369.25999999</v>
      </c>
      <c r="L163" s="3">
        <f t="shared" ref="L163:L171" si="107">(K163/$K$172)</f>
        <v>9.0317484819318668E-3</v>
      </c>
      <c r="M163" s="2">
        <v>1025.6199999999999</v>
      </c>
      <c r="N163" s="2">
        <v>1025.6199999999999</v>
      </c>
      <c r="O163" s="60">
        <v>21</v>
      </c>
      <c r="P163" s="5">
        <v>1.6000000000000001E-3</v>
      </c>
      <c r="Q163" s="5">
        <v>5.9200000000000003E-2</v>
      </c>
      <c r="R163" s="82">
        <f t="shared" ref="R163" si="108">((K163-D163)/D163)</f>
        <v>1.8858339624567854E-3</v>
      </c>
      <c r="S163" s="82">
        <f t="shared" ref="S163" si="109">((N163-G163)/G163)</f>
        <v>1.8364037743957271E-3</v>
      </c>
      <c r="T163" s="82">
        <f t="shared" ref="T163" si="110">((O163-H163)/H163)</f>
        <v>0</v>
      </c>
      <c r="U163" s="82">
        <f t="shared" ref="U163" si="111">P163-I163</f>
        <v>-2.9999999999999992E-4</v>
      </c>
      <c r="V163" s="84">
        <f t="shared" ref="V163" si="112">Q163-J163</f>
        <v>-9.9999999999995925E-5</v>
      </c>
      <c r="X163" s="71"/>
    </row>
    <row r="164" spans="1:24" x14ac:dyDescent="0.25">
      <c r="A164" s="121">
        <v>132</v>
      </c>
      <c r="B164" s="115" t="s">
        <v>190</v>
      </c>
      <c r="C164" s="116" t="s">
        <v>58</v>
      </c>
      <c r="D164" s="2">
        <v>51945581.469999999</v>
      </c>
      <c r="E164" s="3">
        <f t="shared" si="106"/>
        <v>1.1248803742217866E-3</v>
      </c>
      <c r="F164" s="17">
        <v>110.45</v>
      </c>
      <c r="G164" s="17">
        <v>110.45</v>
      </c>
      <c r="H164" s="60">
        <v>59</v>
      </c>
      <c r="I164" s="5">
        <v>1.8E-3</v>
      </c>
      <c r="J164" s="5">
        <v>0.1164</v>
      </c>
      <c r="K164" s="2">
        <v>52075104.840000004</v>
      </c>
      <c r="L164" s="3">
        <f t="shared" si="107"/>
        <v>1.1239490276410344E-3</v>
      </c>
      <c r="M164" s="17">
        <v>108.16</v>
      </c>
      <c r="N164" s="17">
        <v>108.16</v>
      </c>
      <c r="O164" s="60">
        <v>59</v>
      </c>
      <c r="P164" s="5">
        <v>1.9E-3</v>
      </c>
      <c r="Q164" s="5">
        <v>0.115</v>
      </c>
      <c r="R164" s="82">
        <f t="shared" ref="R164:R172" si="113">((K164-D164)/D164)</f>
        <v>2.4934434524485605E-3</v>
      </c>
      <c r="S164" s="82">
        <f t="shared" ref="S164:S172" si="114">((N164-G164)/G164)</f>
        <v>-2.0733363512901823E-2</v>
      </c>
      <c r="T164" s="82">
        <f t="shared" ref="T164:T172" si="115">((O164-H164)/H164)</f>
        <v>0</v>
      </c>
      <c r="U164" s="82">
        <f t="shared" ref="U164:U172" si="116">P164-I164</f>
        <v>1.0000000000000005E-4</v>
      </c>
      <c r="V164" s="84">
        <f t="shared" ref="V164:V172" si="117">Q164-J164</f>
        <v>-1.3999999999999985E-3</v>
      </c>
    </row>
    <row r="165" spans="1:24" x14ac:dyDescent="0.25">
      <c r="A165" s="121">
        <v>133</v>
      </c>
      <c r="B165" s="117" t="s">
        <v>191</v>
      </c>
      <c r="C165" s="116" t="s">
        <v>64</v>
      </c>
      <c r="D165" s="9">
        <v>53956633.969999999</v>
      </c>
      <c r="E165" s="3">
        <f t="shared" si="106"/>
        <v>1.1684296699416958E-3</v>
      </c>
      <c r="F165" s="17">
        <v>103.23</v>
      </c>
      <c r="G165" s="17">
        <v>109.9</v>
      </c>
      <c r="H165" s="60">
        <v>10</v>
      </c>
      <c r="I165" s="5">
        <v>2.5999999999999999E-3</v>
      </c>
      <c r="J165" s="5">
        <v>7.4999999999999997E-2</v>
      </c>
      <c r="K165" s="9">
        <v>54020244.969999999</v>
      </c>
      <c r="L165" s="3">
        <f t="shared" si="107"/>
        <v>1.1659314367875207E-3</v>
      </c>
      <c r="M165" s="17">
        <v>103.35</v>
      </c>
      <c r="N165" s="17">
        <v>110.17</v>
      </c>
      <c r="O165" s="60">
        <v>10</v>
      </c>
      <c r="P165" s="5">
        <v>1.9E-3</v>
      </c>
      <c r="Q165" s="5">
        <v>7.6899999999999996E-2</v>
      </c>
      <c r="R165" s="82">
        <f t="shared" si="113"/>
        <v>1.1789282488482852E-3</v>
      </c>
      <c r="S165" s="82">
        <f t="shared" si="114"/>
        <v>2.4567788898998727E-3</v>
      </c>
      <c r="T165" s="82">
        <f t="shared" si="115"/>
        <v>0</v>
      </c>
      <c r="U165" s="82">
        <f t="shared" si="116"/>
        <v>-6.9999999999999988E-4</v>
      </c>
      <c r="V165" s="84">
        <f t="shared" si="117"/>
        <v>1.8999999999999989E-3</v>
      </c>
    </row>
    <row r="166" spans="1:24" x14ac:dyDescent="0.25">
      <c r="A166" s="121">
        <v>134</v>
      </c>
      <c r="B166" s="115" t="s">
        <v>192</v>
      </c>
      <c r="C166" s="116" t="s">
        <v>27</v>
      </c>
      <c r="D166" s="2">
        <v>8692359224.2900009</v>
      </c>
      <c r="E166" s="3">
        <f t="shared" si="106"/>
        <v>0.1882328394521201</v>
      </c>
      <c r="F166" s="17">
        <v>130.74</v>
      </c>
      <c r="G166" s="17">
        <v>130.74</v>
      </c>
      <c r="H166" s="60">
        <v>595</v>
      </c>
      <c r="I166" s="5">
        <v>2.5000000000000001E-3</v>
      </c>
      <c r="J166" s="5">
        <v>0.1273</v>
      </c>
      <c r="K166" s="2">
        <v>8738212877.3799992</v>
      </c>
      <c r="L166" s="3">
        <f t="shared" si="107"/>
        <v>0.18859886882661944</v>
      </c>
      <c r="M166" s="17">
        <v>131.02000000000001</v>
      </c>
      <c r="N166" s="17">
        <v>131.02000000000001</v>
      </c>
      <c r="O166" s="60">
        <v>598</v>
      </c>
      <c r="P166" s="5">
        <v>2.0999999999999999E-3</v>
      </c>
      <c r="Q166" s="5">
        <v>0.12770000000000001</v>
      </c>
      <c r="R166" s="82">
        <f t="shared" si="113"/>
        <v>5.2751677544416731E-3</v>
      </c>
      <c r="S166" s="82">
        <f t="shared" si="114"/>
        <v>2.1416551935138526E-3</v>
      </c>
      <c r="T166" s="82">
        <f t="shared" si="115"/>
        <v>5.0420168067226894E-3</v>
      </c>
      <c r="U166" s="82">
        <f t="shared" si="116"/>
        <v>-4.0000000000000018E-4</v>
      </c>
      <c r="V166" s="84">
        <f t="shared" si="117"/>
        <v>4.0000000000001146E-4</v>
      </c>
    </row>
    <row r="167" spans="1:24" x14ac:dyDescent="0.25">
      <c r="A167" s="121">
        <v>135</v>
      </c>
      <c r="B167" s="115" t="s">
        <v>193</v>
      </c>
      <c r="C167" s="116" t="s">
        <v>186</v>
      </c>
      <c r="D167" s="2">
        <v>18143045231.43</v>
      </c>
      <c r="E167" s="3">
        <f t="shared" si="106"/>
        <v>0.39288722797800224</v>
      </c>
      <c r="F167" s="17">
        <v>1189.05</v>
      </c>
      <c r="G167" s="17">
        <v>1189.05</v>
      </c>
      <c r="H167" s="60">
        <v>7170</v>
      </c>
      <c r="I167" s="5">
        <v>1.4E-3</v>
      </c>
      <c r="J167" s="5">
        <v>8.7400000000000005E-2</v>
      </c>
      <c r="K167" s="2">
        <v>18243293148.799999</v>
      </c>
      <c r="L167" s="3">
        <f t="shared" si="107"/>
        <v>0.39374921392024032</v>
      </c>
      <c r="M167" s="14">
        <v>1191.21</v>
      </c>
      <c r="N167" s="14">
        <v>1191.21</v>
      </c>
      <c r="O167" s="60">
        <v>7170</v>
      </c>
      <c r="P167" s="5">
        <v>1.8E-3</v>
      </c>
      <c r="Q167" s="5">
        <v>8.9200000000000002E-2</v>
      </c>
      <c r="R167" s="82">
        <f t="shared" si="113"/>
        <v>5.5254184780587452E-3</v>
      </c>
      <c r="S167" s="82">
        <f t="shared" si="114"/>
        <v>1.8165762583575813E-3</v>
      </c>
      <c r="T167" s="82">
        <f t="shared" si="115"/>
        <v>0</v>
      </c>
      <c r="U167" s="82">
        <f t="shared" si="116"/>
        <v>3.9999999999999996E-4</v>
      </c>
      <c r="V167" s="84">
        <f t="shared" si="117"/>
        <v>1.799999999999996E-3</v>
      </c>
    </row>
    <row r="168" spans="1:24" x14ac:dyDescent="0.25">
      <c r="A168" s="121">
        <v>136</v>
      </c>
      <c r="B168" s="115" t="s">
        <v>194</v>
      </c>
      <c r="C168" s="116" t="s">
        <v>78</v>
      </c>
      <c r="D168" s="2">
        <v>771609354.98000002</v>
      </c>
      <c r="E168" s="3">
        <f t="shared" si="106"/>
        <v>1.6709182868310163E-2</v>
      </c>
      <c r="F168" s="14">
        <v>102.55</v>
      </c>
      <c r="G168" s="14">
        <v>102.55</v>
      </c>
      <c r="H168" s="60">
        <v>512</v>
      </c>
      <c r="I168" s="5">
        <v>3.5999999999999999E-3</v>
      </c>
      <c r="J168" s="5">
        <v>8.4199999999999997E-2</v>
      </c>
      <c r="K168" s="2">
        <v>748442794.58000004</v>
      </c>
      <c r="L168" s="3">
        <f t="shared" si="107"/>
        <v>1.6153813877048152E-2</v>
      </c>
      <c r="M168" s="14">
        <v>102.78</v>
      </c>
      <c r="N168" s="14">
        <v>102.78</v>
      </c>
      <c r="O168" s="60">
        <v>516</v>
      </c>
      <c r="P168" s="5">
        <v>2.3E-3</v>
      </c>
      <c r="Q168" s="5">
        <v>8.6599999999999996E-2</v>
      </c>
      <c r="R168" s="82">
        <f t="shared" si="113"/>
        <v>-3.0023690421172318E-2</v>
      </c>
      <c r="S168" s="82">
        <f t="shared" si="114"/>
        <v>2.2428083861531349E-3</v>
      </c>
      <c r="T168" s="82">
        <f t="shared" si="115"/>
        <v>7.8125E-3</v>
      </c>
      <c r="U168" s="82">
        <f t="shared" si="116"/>
        <v>-1.2999999999999999E-3</v>
      </c>
      <c r="V168" s="84">
        <f t="shared" si="117"/>
        <v>2.3999999999999994E-3</v>
      </c>
    </row>
    <row r="169" spans="1:24" ht="15.75" customHeight="1" x14ac:dyDescent="0.25">
      <c r="A169" s="121">
        <v>137</v>
      </c>
      <c r="B169" s="115" t="s">
        <v>195</v>
      </c>
      <c r="C169" s="116" t="s">
        <v>42</v>
      </c>
      <c r="D169" s="2">
        <v>8318407056.1800003</v>
      </c>
      <c r="E169" s="3">
        <f t="shared" si="106"/>
        <v>0.18013491383649169</v>
      </c>
      <c r="F169" s="14">
        <v>126.81</v>
      </c>
      <c r="G169" s="14">
        <v>126.81</v>
      </c>
      <c r="H169" s="60">
        <v>1922</v>
      </c>
      <c r="I169" s="5">
        <v>1.2999999999999999E-3</v>
      </c>
      <c r="J169" s="5">
        <v>4.7800000000000002E-2</v>
      </c>
      <c r="K169" s="2">
        <v>8349522784.25</v>
      </c>
      <c r="L169" s="3">
        <f t="shared" si="107"/>
        <v>0.18020968068058621</v>
      </c>
      <c r="M169" s="14">
        <v>126.97</v>
      </c>
      <c r="N169" s="14">
        <v>126.97</v>
      </c>
      <c r="O169" s="60">
        <v>1925</v>
      </c>
      <c r="P169" s="5">
        <v>1.2999999999999999E-3</v>
      </c>
      <c r="Q169" s="5">
        <v>4.9200000000000001E-2</v>
      </c>
      <c r="R169" s="82">
        <f t="shared" si="113"/>
        <v>3.7405873335908542E-3</v>
      </c>
      <c r="S169" s="82">
        <f t="shared" si="114"/>
        <v>1.2617301474646841E-3</v>
      </c>
      <c r="T169" s="82">
        <f t="shared" si="115"/>
        <v>1.5608740894901144E-3</v>
      </c>
      <c r="U169" s="82">
        <f t="shared" si="116"/>
        <v>0</v>
      </c>
      <c r="V169" s="84">
        <f t="shared" si="117"/>
        <v>1.3999999999999985E-3</v>
      </c>
    </row>
    <row r="170" spans="1:24" x14ac:dyDescent="0.25">
      <c r="A170" s="121">
        <v>138</v>
      </c>
      <c r="B170" s="115" t="s">
        <v>196</v>
      </c>
      <c r="C170" s="116" t="s">
        <v>45</v>
      </c>
      <c r="D170" s="2">
        <v>5171568820.8699999</v>
      </c>
      <c r="E170" s="3">
        <f t="shared" si="106"/>
        <v>0.11199020409259786</v>
      </c>
      <c r="F170" s="14">
        <v>1.1539999999999999</v>
      </c>
      <c r="G170" s="14">
        <v>1.1539999999999999</v>
      </c>
      <c r="H170" s="60">
        <v>551</v>
      </c>
      <c r="I170" s="5">
        <v>9.9599999999999994E-2</v>
      </c>
      <c r="J170" s="5">
        <v>0.1108</v>
      </c>
      <c r="K170" s="2">
        <v>5154975230.8500004</v>
      </c>
      <c r="L170" s="3">
        <f t="shared" si="107"/>
        <v>0.11126102224910038</v>
      </c>
      <c r="M170" s="14">
        <v>1.1565000000000001</v>
      </c>
      <c r="N170" s="14">
        <v>1.1565000000000001</v>
      </c>
      <c r="O170" s="60">
        <v>559</v>
      </c>
      <c r="P170" s="5">
        <v>0.11940000000000001</v>
      </c>
      <c r="Q170" s="5">
        <v>0.1109</v>
      </c>
      <c r="R170" s="82">
        <f t="shared" si="113"/>
        <v>-3.2086182345743212E-3</v>
      </c>
      <c r="S170" s="82">
        <f t="shared" si="114"/>
        <v>2.1663778162913077E-3</v>
      </c>
      <c r="T170" s="82">
        <f t="shared" si="115"/>
        <v>1.4519056261343012E-2</v>
      </c>
      <c r="U170" s="82">
        <f t="shared" si="116"/>
        <v>1.9800000000000012E-2</v>
      </c>
      <c r="V170" s="84">
        <f t="shared" si="117"/>
        <v>1.0000000000000286E-4</v>
      </c>
    </row>
    <row r="171" spans="1:24" x14ac:dyDescent="0.25">
      <c r="A171" s="120">
        <v>139</v>
      </c>
      <c r="B171" s="115" t="s">
        <v>197</v>
      </c>
      <c r="C171" s="116" t="s">
        <v>198</v>
      </c>
      <c r="D171" s="2">
        <v>331966321.13</v>
      </c>
      <c r="E171" s="3">
        <f t="shared" si="106"/>
        <v>7.1887230631426441E-3</v>
      </c>
      <c r="F171" s="18">
        <v>99.184100000000001</v>
      </c>
      <c r="G171" s="18">
        <v>99.217399999999998</v>
      </c>
      <c r="H171" s="61">
        <v>126</v>
      </c>
      <c r="I171" s="5">
        <v>9.5299999999999996E-4</v>
      </c>
      <c r="J171" s="12">
        <v>-8.1589999999999996E-3</v>
      </c>
      <c r="K171" s="2">
        <v>332096321.13</v>
      </c>
      <c r="L171" s="3">
        <f t="shared" si="107"/>
        <v>7.1677116803521004E-3</v>
      </c>
      <c r="M171" s="18">
        <v>99.235299999999995</v>
      </c>
      <c r="N171" s="18">
        <v>99.268799999999999</v>
      </c>
      <c r="O171" s="61">
        <v>129</v>
      </c>
      <c r="P171" s="5">
        <v>5.1199999999999998E-4</v>
      </c>
      <c r="Q171" s="12">
        <v>-7.6470000000000002E-3</v>
      </c>
      <c r="R171" s="82">
        <f t="shared" si="113"/>
        <v>3.9160599050375118E-4</v>
      </c>
      <c r="S171" s="82">
        <f t="shared" si="114"/>
        <v>5.1805429289621585E-4</v>
      </c>
      <c r="T171" s="82">
        <f t="shared" si="115"/>
        <v>2.3809523809523808E-2</v>
      </c>
      <c r="U171" s="82">
        <f t="shared" si="116"/>
        <v>-4.4099999999999999E-4</v>
      </c>
      <c r="V171" s="84">
        <f t="shared" si="117"/>
        <v>5.1199999999999943E-4</v>
      </c>
    </row>
    <row r="172" spans="1:24" x14ac:dyDescent="0.25">
      <c r="A172" s="86"/>
      <c r="B172" s="19"/>
      <c r="C172" s="67" t="s">
        <v>46</v>
      </c>
      <c r="D172" s="59">
        <f>SUM(D159:D171)</f>
        <v>46178760569.040001</v>
      </c>
      <c r="E172" s="105">
        <f>(D172/$D$173)</f>
        <v>2.3181499370063533E-2</v>
      </c>
      <c r="F172" s="30"/>
      <c r="G172" s="34"/>
      <c r="H172" s="69">
        <f>SUM(H159:H171)</f>
        <v>27219</v>
      </c>
      <c r="I172" s="35"/>
      <c r="J172" s="35"/>
      <c r="K172" s="59">
        <f>SUM(K159:K171)</f>
        <v>46332265573.729996</v>
      </c>
      <c r="L172" s="105">
        <f>(K172/$K$173)</f>
        <v>2.3223851598735495E-2</v>
      </c>
      <c r="M172" s="30"/>
      <c r="N172" s="34"/>
      <c r="O172" s="69">
        <f>SUM(O159:O171)</f>
        <v>27246</v>
      </c>
      <c r="P172" s="35"/>
      <c r="Q172" s="35"/>
      <c r="R172" s="82">
        <f t="shared" si="113"/>
        <v>3.3241473525582326E-3</v>
      </c>
      <c r="S172" s="82" t="e">
        <f t="shared" si="114"/>
        <v>#DIV/0!</v>
      </c>
      <c r="T172" s="82">
        <f t="shared" si="115"/>
        <v>9.919541496748595E-4</v>
      </c>
      <c r="U172" s="82">
        <f t="shared" si="116"/>
        <v>0</v>
      </c>
      <c r="V172" s="84">
        <f t="shared" si="117"/>
        <v>0</v>
      </c>
    </row>
    <row r="173" spans="1:24" x14ac:dyDescent="0.25">
      <c r="A173" s="87"/>
      <c r="B173" s="38"/>
      <c r="C173" s="68" t="s">
        <v>199</v>
      </c>
      <c r="D173" s="70">
        <f>SUM(D22,D54,D88,D115,D122,D149,D155,D172)</f>
        <v>1992052361749.9485</v>
      </c>
      <c r="E173" s="39"/>
      <c r="F173" s="39"/>
      <c r="G173" s="40"/>
      <c r="H173" s="70">
        <f>SUM(H22,H54,H88,H115,H122,H149,H155,H172)</f>
        <v>757186</v>
      </c>
      <c r="I173" s="41"/>
      <c r="J173" s="41"/>
      <c r="K173" s="70">
        <f>SUM(K22,K54,K88,K115,K122,K149,K155,K172)</f>
        <v>1995029350611.7961</v>
      </c>
      <c r="L173" s="39"/>
      <c r="M173" s="39"/>
      <c r="N173" s="40"/>
      <c r="O173" s="70">
        <f>SUM(O22,O54,O88,O115,O122,O149,O155,O172)</f>
        <v>758297</v>
      </c>
      <c r="P173" s="42"/>
      <c r="Q173" s="70"/>
      <c r="R173" s="25"/>
      <c r="S173" s="25"/>
      <c r="T173" s="25"/>
      <c r="U173" s="25"/>
      <c r="V173" s="25"/>
    </row>
    <row r="174" spans="1:24" ht="6.75" customHeight="1" x14ac:dyDescent="0.25">
      <c r="A174" s="137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9"/>
    </row>
    <row r="175" spans="1:24" ht="15.75" x14ac:dyDescent="0.25">
      <c r="A175" s="135" t="s">
        <v>200</v>
      </c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</row>
    <row r="176" spans="1:24" x14ac:dyDescent="0.25">
      <c r="A176" s="124">
        <v>1</v>
      </c>
      <c r="B176" s="115" t="s">
        <v>201</v>
      </c>
      <c r="C176" s="116" t="s">
        <v>202</v>
      </c>
      <c r="D176" s="2">
        <v>92548651821</v>
      </c>
      <c r="E176" s="3">
        <f>(D176/$D$178)</f>
        <v>0.97864016835371492</v>
      </c>
      <c r="F176" s="14">
        <v>108.4</v>
      </c>
      <c r="G176" s="14">
        <v>108.4</v>
      </c>
      <c r="H176" s="64">
        <v>0</v>
      </c>
      <c r="I176" s="20">
        <v>0</v>
      </c>
      <c r="J176" s="20">
        <v>0.13800000000000001</v>
      </c>
      <c r="K176" s="2">
        <v>92548651821</v>
      </c>
      <c r="L176" s="3">
        <f>(K176/$K$178)</f>
        <v>0.97858677910257663</v>
      </c>
      <c r="M176" s="14">
        <v>108.4</v>
      </c>
      <c r="N176" s="14">
        <v>108.4</v>
      </c>
      <c r="O176" s="64">
        <v>0</v>
      </c>
      <c r="P176" s="20">
        <v>0</v>
      </c>
      <c r="Q176" s="20">
        <v>0.13800000000000001</v>
      </c>
      <c r="R176" s="82">
        <f t="shared" ref="R176:R177" si="118">((K176-D176)/D176)</f>
        <v>0</v>
      </c>
      <c r="S176" s="82">
        <f t="shared" ref="S176:S177" si="119">((N176-G176)/G176)</f>
        <v>0</v>
      </c>
      <c r="T176" s="82" t="e">
        <f t="shared" ref="T176:T177" si="120">((O176-H176)/H176)</f>
        <v>#DIV/0!</v>
      </c>
      <c r="U176" s="82">
        <f t="shared" ref="U176:U177" si="121">P176-I176</f>
        <v>0</v>
      </c>
      <c r="V176" s="84">
        <f t="shared" ref="V176:V177" si="122">Q176-J176</f>
        <v>0</v>
      </c>
    </row>
    <row r="177" spans="1:22" x14ac:dyDescent="0.25">
      <c r="A177" s="121">
        <v>2</v>
      </c>
      <c r="B177" s="115" t="s">
        <v>203</v>
      </c>
      <c r="C177" s="116" t="s">
        <v>45</v>
      </c>
      <c r="D177" s="2">
        <v>2019969837.6500001</v>
      </c>
      <c r="E177" s="3">
        <f>(D177/$D$178)</f>
        <v>2.1359831646285157E-2</v>
      </c>
      <c r="F177" s="21">
        <v>1000000</v>
      </c>
      <c r="G177" s="21">
        <v>1000000</v>
      </c>
      <c r="H177" s="64">
        <v>0</v>
      </c>
      <c r="I177" s="20">
        <v>0.16700000000000001</v>
      </c>
      <c r="J177" s="20">
        <v>0.16700000000000001</v>
      </c>
      <c r="K177" s="2">
        <v>2025129265.51</v>
      </c>
      <c r="L177" s="3">
        <f>(K177/$K$178)</f>
        <v>2.1413220897423382E-2</v>
      </c>
      <c r="M177" s="21">
        <v>1000000</v>
      </c>
      <c r="N177" s="21">
        <v>1000000</v>
      </c>
      <c r="O177" s="64">
        <v>0</v>
      </c>
      <c r="P177" s="20">
        <v>0.16639999999999999</v>
      </c>
      <c r="Q177" s="20">
        <v>0.16639999999999999</v>
      </c>
      <c r="R177" s="82">
        <f t="shared" si="118"/>
        <v>2.554210347022948E-3</v>
      </c>
      <c r="S177" s="82">
        <f t="shared" si="119"/>
        <v>0</v>
      </c>
      <c r="T177" s="82" t="e">
        <f t="shared" si="120"/>
        <v>#DIV/0!</v>
      </c>
      <c r="U177" s="82">
        <f t="shared" si="121"/>
        <v>-6.0000000000001719E-4</v>
      </c>
      <c r="V177" s="84">
        <f t="shared" si="122"/>
        <v>-6.0000000000001719E-4</v>
      </c>
    </row>
    <row r="178" spans="1:22" x14ac:dyDescent="0.25">
      <c r="A178" s="38"/>
      <c r="B178" s="38"/>
      <c r="C178" s="68" t="s">
        <v>204</v>
      </c>
      <c r="D178" s="74">
        <f>SUM(D176:D177)</f>
        <v>94568621658.649994</v>
      </c>
      <c r="E178" s="24"/>
      <c r="F178" s="22"/>
      <c r="G178" s="22"/>
      <c r="H178" s="74">
        <f>SUM(H176:H177)</f>
        <v>0</v>
      </c>
      <c r="I178" s="23"/>
      <c r="J178" s="23"/>
      <c r="K178" s="74">
        <f>SUM(K176:K177)</f>
        <v>94573781086.509995</v>
      </c>
      <c r="L178" s="24"/>
      <c r="M178" s="22"/>
      <c r="N178" s="22"/>
      <c r="O178" s="23"/>
      <c r="P178" s="23"/>
      <c r="Q178" s="74"/>
      <c r="R178" s="25">
        <f>((K178-D178)/D178)</f>
        <v>5.4557503001617327E-5</v>
      </c>
      <c r="S178" s="26"/>
      <c r="T178" s="26"/>
      <c r="U178" s="25">
        <f t="shared" ref="U178:V178" si="123">O178-H178</f>
        <v>0</v>
      </c>
      <c r="V178" s="88">
        <f t="shared" si="123"/>
        <v>0</v>
      </c>
    </row>
    <row r="179" spans="1:22" ht="8.25" customHeight="1" x14ac:dyDescent="0.25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</row>
    <row r="180" spans="1:22" ht="15.75" x14ac:dyDescent="0.25">
      <c r="A180" s="135" t="s">
        <v>205</v>
      </c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</row>
    <row r="181" spans="1:22" x14ac:dyDescent="0.25">
      <c r="A181" s="123">
        <v>1</v>
      </c>
      <c r="B181" s="115" t="s">
        <v>206</v>
      </c>
      <c r="C181" s="116" t="s">
        <v>74</v>
      </c>
      <c r="D181" s="27">
        <v>681313472.30488682</v>
      </c>
      <c r="E181" s="10">
        <f t="shared" ref="E181:E192" si="124">(D181/$D$193)</f>
        <v>7.3401294570151335E-2</v>
      </c>
      <c r="F181" s="21">
        <v>157.27613289218283</v>
      </c>
      <c r="G181" s="21">
        <v>160.25134024634499</v>
      </c>
      <c r="H181" s="63">
        <v>103</v>
      </c>
      <c r="I181" s="28">
        <v>-1.9779729093950881E-2</v>
      </c>
      <c r="J181" s="28">
        <v>0.22909405067994812</v>
      </c>
      <c r="K181" s="27">
        <v>656465595.57774389</v>
      </c>
      <c r="L181" s="10">
        <f t="shared" ref="L181:L192" si="125">(K181/$K$193)</f>
        <v>6.9093720936855285E-2</v>
      </c>
      <c r="M181" s="21">
        <v>151.13746876430159</v>
      </c>
      <c r="N181" s="21">
        <v>154.11157432485328</v>
      </c>
      <c r="O181" s="63">
        <v>103</v>
      </c>
      <c r="P181" s="28">
        <v>-3.8323175562240297E-2</v>
      </c>
      <c r="Q181" s="28">
        <v>0.18909405067994811</v>
      </c>
      <c r="R181" s="82">
        <f t="shared" ref="R181" si="126">((K181-D181)/D181)</f>
        <v>-3.6470549515309661E-2</v>
      </c>
      <c r="S181" s="82">
        <f t="shared" ref="S181" si="127">((N181-G181)/G181)</f>
        <v>-3.8313351464352267E-2</v>
      </c>
      <c r="T181" s="82">
        <f t="shared" ref="T181" si="128">((O181-H181)/H181)</f>
        <v>0</v>
      </c>
      <c r="U181" s="82">
        <f t="shared" ref="U181" si="129">P181-I181</f>
        <v>-1.8543446468289416E-2</v>
      </c>
      <c r="V181" s="84">
        <f t="shared" ref="V181" si="130">Q181-J181</f>
        <v>-4.0000000000000008E-2</v>
      </c>
    </row>
    <row r="182" spans="1:22" x14ac:dyDescent="0.25">
      <c r="A182" s="121">
        <v>2</v>
      </c>
      <c r="B182" s="115" t="s">
        <v>207</v>
      </c>
      <c r="C182" s="116" t="s">
        <v>186</v>
      </c>
      <c r="D182" s="27">
        <v>701376425.23000002</v>
      </c>
      <c r="E182" s="10">
        <f t="shared" si="124"/>
        <v>7.5562776439314069E-2</v>
      </c>
      <c r="F182" s="21">
        <v>19.95</v>
      </c>
      <c r="G182" s="21">
        <v>22.05</v>
      </c>
      <c r="H182" s="63">
        <v>138</v>
      </c>
      <c r="I182" s="28">
        <v>-1E-4</v>
      </c>
      <c r="J182" s="28">
        <v>0.35270000000000001</v>
      </c>
      <c r="K182" s="27">
        <v>701652875.29999995</v>
      </c>
      <c r="L182" s="10">
        <f t="shared" si="125"/>
        <v>7.384973148189751E-2</v>
      </c>
      <c r="M182" s="21">
        <v>19.96</v>
      </c>
      <c r="N182" s="21">
        <v>22.06</v>
      </c>
      <c r="O182" s="63">
        <v>138</v>
      </c>
      <c r="P182" s="28">
        <v>4.0000000000000002E-4</v>
      </c>
      <c r="Q182" s="28">
        <v>0.3533</v>
      </c>
      <c r="R182" s="82">
        <f t="shared" ref="R182:R193" si="131">((K182-D182)/D182)</f>
        <v>3.9415363855333164E-4</v>
      </c>
      <c r="S182" s="82">
        <f t="shared" ref="S182:S193" si="132">((N182-G182)/G182)</f>
        <v>4.5351473922893471E-4</v>
      </c>
      <c r="T182" s="82">
        <f t="shared" ref="T182:T193" si="133">((O182-H182)/H182)</f>
        <v>0</v>
      </c>
      <c r="U182" s="82">
        <f t="shared" ref="U182:U193" si="134">P182-I182</f>
        <v>5.0000000000000001E-4</v>
      </c>
      <c r="V182" s="84">
        <f t="shared" ref="V182:V193" si="135">Q182-J182</f>
        <v>5.9999999999998943E-4</v>
      </c>
    </row>
    <row r="183" spans="1:22" x14ac:dyDescent="0.25">
      <c r="A183" s="121">
        <v>3</v>
      </c>
      <c r="B183" s="115" t="s">
        <v>208</v>
      </c>
      <c r="C183" s="116" t="s">
        <v>36</v>
      </c>
      <c r="D183" s="27">
        <v>281560966.86000001</v>
      </c>
      <c r="E183" s="10">
        <f t="shared" si="124"/>
        <v>3.033396565318329E-2</v>
      </c>
      <c r="F183" s="21">
        <v>21.008092999999999</v>
      </c>
      <c r="G183" s="21">
        <v>21.433449</v>
      </c>
      <c r="H183" s="63">
        <v>65</v>
      </c>
      <c r="I183" s="28">
        <v>8.0754192534415736E-3</v>
      </c>
      <c r="J183" s="28">
        <v>0.48381059275166094</v>
      </c>
      <c r="K183" s="27">
        <v>290024882.91000003</v>
      </c>
      <c r="L183" s="10">
        <f t="shared" si="125"/>
        <v>3.0525435696126292E-2</v>
      </c>
      <c r="M183" s="21">
        <v>21.96</v>
      </c>
      <c r="N183" s="21">
        <v>22.06</v>
      </c>
      <c r="O183" s="63">
        <v>65</v>
      </c>
      <c r="P183" s="28">
        <v>3.0060686835929662E-2</v>
      </c>
      <c r="Q183" s="28">
        <v>0.52841495830420371</v>
      </c>
      <c r="R183" s="82">
        <f t="shared" si="131"/>
        <v>3.0060686835929596E-2</v>
      </c>
      <c r="S183" s="82">
        <f t="shared" si="132"/>
        <v>2.92323927894199E-2</v>
      </c>
      <c r="T183" s="82">
        <f t="shared" si="133"/>
        <v>0</v>
      </c>
      <c r="U183" s="82">
        <f t="shared" si="134"/>
        <v>2.1985267582488088E-2</v>
      </c>
      <c r="V183" s="84">
        <f t="shared" si="135"/>
        <v>4.4604365552542768E-2</v>
      </c>
    </row>
    <row r="184" spans="1:22" x14ac:dyDescent="0.25">
      <c r="A184" s="121">
        <v>4</v>
      </c>
      <c r="B184" s="115" t="s">
        <v>209</v>
      </c>
      <c r="C184" s="116" t="s">
        <v>36</v>
      </c>
      <c r="D184" s="27">
        <v>405006528.89999998</v>
      </c>
      <c r="E184" s="10">
        <f t="shared" si="124"/>
        <v>4.3633371038522738E-2</v>
      </c>
      <c r="F184" s="21">
        <v>30.391977000000001</v>
      </c>
      <c r="G184" s="21">
        <v>30.879258</v>
      </c>
      <c r="H184" s="63">
        <v>61</v>
      </c>
      <c r="I184" s="28">
        <v>-3.1663119903149184E-3</v>
      </c>
      <c r="J184" s="28">
        <v>0.74281181895888926</v>
      </c>
      <c r="K184" s="27">
        <v>417722839.38</v>
      </c>
      <c r="L184" s="10">
        <f t="shared" si="125"/>
        <v>4.3965785088358786E-2</v>
      </c>
      <c r="M184" s="21">
        <v>30.52</v>
      </c>
      <c r="N184" s="21">
        <v>30.62</v>
      </c>
      <c r="O184" s="63">
        <v>61</v>
      </c>
      <c r="P184" s="28">
        <v>3.1397791325827651E-2</v>
      </c>
      <c r="Q184" s="28">
        <v>0.7975322607707469</v>
      </c>
      <c r="R184" s="82">
        <f t="shared" si="131"/>
        <v>3.1397791325827734E-2</v>
      </c>
      <c r="S184" s="82">
        <f t="shared" si="132"/>
        <v>-8.3958623617186364E-3</v>
      </c>
      <c r="T184" s="82">
        <f t="shared" si="133"/>
        <v>0</v>
      </c>
      <c r="U184" s="82">
        <f t="shared" si="134"/>
        <v>3.4564103316142569E-2</v>
      </c>
      <c r="V184" s="84">
        <f t="shared" si="135"/>
        <v>5.4720441811857645E-2</v>
      </c>
    </row>
    <row r="185" spans="1:22" x14ac:dyDescent="0.25">
      <c r="A185" s="123">
        <v>5</v>
      </c>
      <c r="B185" s="115" t="s">
        <v>210</v>
      </c>
      <c r="C185" s="116" t="s">
        <v>211</v>
      </c>
      <c r="D185" s="27">
        <v>621502000</v>
      </c>
      <c r="E185" s="10">
        <f t="shared" si="124"/>
        <v>6.6957506687206292E-2</v>
      </c>
      <c r="F185" s="21">
        <v>14000</v>
      </c>
      <c r="G185" s="21">
        <v>14000</v>
      </c>
      <c r="H185" s="63">
        <v>0</v>
      </c>
      <c r="I185" s="28">
        <v>0</v>
      </c>
      <c r="J185" s="28">
        <v>0</v>
      </c>
      <c r="K185" s="27">
        <v>612623400</v>
      </c>
      <c r="L185" s="10">
        <f t="shared" si="125"/>
        <v>6.4479281967145516E-2</v>
      </c>
      <c r="M185" s="21">
        <v>13800</v>
      </c>
      <c r="N185" s="21">
        <v>13800</v>
      </c>
      <c r="O185" s="63">
        <v>0</v>
      </c>
      <c r="P185" s="28">
        <v>0</v>
      </c>
      <c r="Q185" s="28">
        <v>0</v>
      </c>
      <c r="R185" s="82">
        <f t="shared" si="131"/>
        <v>-1.4285714285714285E-2</v>
      </c>
      <c r="S185" s="82">
        <f t="shared" si="132"/>
        <v>-1.4285714285714285E-2</v>
      </c>
      <c r="T185" s="82" t="e">
        <f t="shared" si="133"/>
        <v>#DIV/0!</v>
      </c>
      <c r="U185" s="82">
        <f t="shared" si="134"/>
        <v>0</v>
      </c>
      <c r="V185" s="84">
        <f t="shared" si="135"/>
        <v>0</v>
      </c>
    </row>
    <row r="186" spans="1:22" x14ac:dyDescent="0.25">
      <c r="A186" s="121">
        <v>6</v>
      </c>
      <c r="B186" s="115" t="s">
        <v>212</v>
      </c>
      <c r="C186" s="116" t="s">
        <v>213</v>
      </c>
      <c r="D186" s="27">
        <v>875557617.89999998</v>
      </c>
      <c r="E186" s="10">
        <f t="shared" si="124"/>
        <v>9.4328184069518137E-2</v>
      </c>
      <c r="F186" s="21">
        <v>400</v>
      </c>
      <c r="G186" s="21">
        <v>400</v>
      </c>
      <c r="H186" s="63">
        <v>46</v>
      </c>
      <c r="I186" s="28">
        <v>3.3E-3</v>
      </c>
      <c r="J186" s="28">
        <v>0.36809999999999998</v>
      </c>
      <c r="K186" s="27">
        <v>913107436.91999996</v>
      </c>
      <c r="L186" s="10">
        <f t="shared" si="125"/>
        <v>9.6105555046480787E-2</v>
      </c>
      <c r="M186" s="21">
        <v>435</v>
      </c>
      <c r="N186" s="21">
        <v>435</v>
      </c>
      <c r="O186" s="63">
        <v>46</v>
      </c>
      <c r="P186" s="28">
        <v>4.2900000000000001E-2</v>
      </c>
      <c r="Q186" s="28">
        <v>0.58560000000000001</v>
      </c>
      <c r="R186" s="82">
        <f t="shared" si="131"/>
        <v>4.2886748116088752E-2</v>
      </c>
      <c r="S186" s="82">
        <f t="shared" si="132"/>
        <v>8.7499999999999994E-2</v>
      </c>
      <c r="T186" s="82">
        <f t="shared" si="133"/>
        <v>0</v>
      </c>
      <c r="U186" s="82">
        <f t="shared" si="134"/>
        <v>3.9600000000000003E-2</v>
      </c>
      <c r="V186" s="84">
        <f t="shared" si="135"/>
        <v>0.21750000000000003</v>
      </c>
    </row>
    <row r="187" spans="1:22" x14ac:dyDescent="0.25">
      <c r="A187" s="121">
        <v>7</v>
      </c>
      <c r="B187" s="115" t="s">
        <v>214</v>
      </c>
      <c r="C187" s="116" t="s">
        <v>213</v>
      </c>
      <c r="D187" s="27">
        <v>583973359.44000006</v>
      </c>
      <c r="E187" s="10">
        <f t="shared" si="124"/>
        <v>6.2914359277772447E-2</v>
      </c>
      <c r="F187" s="21">
        <v>423.5</v>
      </c>
      <c r="G187" s="21">
        <v>423.5</v>
      </c>
      <c r="H187" s="63">
        <v>377</v>
      </c>
      <c r="I187" s="28">
        <v>-3.0000000000000001E-3</v>
      </c>
      <c r="J187" s="28">
        <v>0.5333</v>
      </c>
      <c r="K187" s="27">
        <v>609364463.07000005</v>
      </c>
      <c r="L187" s="10">
        <f t="shared" si="125"/>
        <v>6.4136275295799614E-2</v>
      </c>
      <c r="M187" s="21">
        <v>506</v>
      </c>
      <c r="N187" s="21">
        <v>506</v>
      </c>
      <c r="O187" s="63">
        <v>377</v>
      </c>
      <c r="P187" s="28">
        <v>4.3499999999999997E-2</v>
      </c>
      <c r="Q187" s="28">
        <v>0.41070000000000001</v>
      </c>
      <c r="R187" s="82">
        <f t="shared" si="131"/>
        <v>4.3479900614556692E-2</v>
      </c>
      <c r="S187" s="82">
        <f t="shared" si="132"/>
        <v>0.19480519480519481</v>
      </c>
      <c r="T187" s="82">
        <f t="shared" si="133"/>
        <v>0</v>
      </c>
      <c r="U187" s="82">
        <f t="shared" si="134"/>
        <v>4.65E-2</v>
      </c>
      <c r="V187" s="84">
        <f t="shared" si="135"/>
        <v>-0.12259999999999999</v>
      </c>
    </row>
    <row r="188" spans="1:22" x14ac:dyDescent="0.25">
      <c r="A188" s="120">
        <v>8</v>
      </c>
      <c r="B188" s="115" t="s">
        <v>215</v>
      </c>
      <c r="C188" s="116" t="s">
        <v>216</v>
      </c>
      <c r="D188" s="27">
        <v>257878323.47999999</v>
      </c>
      <c r="E188" s="10">
        <f t="shared" si="124"/>
        <v>2.7782516498575462E-2</v>
      </c>
      <c r="F188" s="21">
        <v>11.39</v>
      </c>
      <c r="G188" s="21">
        <v>11.49</v>
      </c>
      <c r="H188" s="63">
        <v>50</v>
      </c>
      <c r="I188" s="28">
        <v>0</v>
      </c>
      <c r="J188" s="28">
        <v>0.94730000000000003</v>
      </c>
      <c r="K188" s="27">
        <v>258991201.97999999</v>
      </c>
      <c r="L188" s="10">
        <f t="shared" si="125"/>
        <v>2.7259106882757591E-2</v>
      </c>
      <c r="M188" s="21">
        <v>11.45</v>
      </c>
      <c r="N188" s="21">
        <v>11.55</v>
      </c>
      <c r="O188" s="63">
        <v>50</v>
      </c>
      <c r="P188" s="28">
        <v>6.1000000000000004E-3</v>
      </c>
      <c r="Q188" s="28">
        <v>0.95920000000000005</v>
      </c>
      <c r="R188" s="82">
        <f t="shared" si="131"/>
        <v>4.3155178185665163E-3</v>
      </c>
      <c r="S188" s="82">
        <f t="shared" si="132"/>
        <v>5.22193211488255E-3</v>
      </c>
      <c r="T188" s="82">
        <f t="shared" si="133"/>
        <v>0</v>
      </c>
      <c r="U188" s="82">
        <f t="shared" si="134"/>
        <v>6.1000000000000004E-3</v>
      </c>
      <c r="V188" s="84">
        <f t="shared" si="135"/>
        <v>1.1900000000000022E-2</v>
      </c>
    </row>
    <row r="189" spans="1:22" x14ac:dyDescent="0.25">
      <c r="A189" s="120">
        <v>9</v>
      </c>
      <c r="B189" s="115" t="s">
        <v>217</v>
      </c>
      <c r="C189" s="116" t="s">
        <v>216</v>
      </c>
      <c r="D189" s="29">
        <v>569809233</v>
      </c>
      <c r="E189" s="10">
        <f t="shared" si="124"/>
        <v>6.1388387372895648E-2</v>
      </c>
      <c r="F189" s="21">
        <v>6.96</v>
      </c>
      <c r="G189" s="21">
        <v>7.06</v>
      </c>
      <c r="H189" s="63">
        <v>77</v>
      </c>
      <c r="I189" s="28">
        <v>0</v>
      </c>
      <c r="J189" s="28">
        <v>0.63119999999999998</v>
      </c>
      <c r="K189" s="29">
        <v>584334396.38</v>
      </c>
      <c r="L189" s="10">
        <f t="shared" si="125"/>
        <v>6.1501833438435093E-2</v>
      </c>
      <c r="M189" s="21">
        <v>7.15</v>
      </c>
      <c r="N189" s="21">
        <v>7.25</v>
      </c>
      <c r="O189" s="63">
        <v>77</v>
      </c>
      <c r="P189" s="28">
        <v>3.9100000000000003E-2</v>
      </c>
      <c r="Q189" s="28">
        <v>0.69499999999999995</v>
      </c>
      <c r="R189" s="82">
        <f t="shared" si="131"/>
        <v>2.5491274164734349E-2</v>
      </c>
      <c r="S189" s="82">
        <f t="shared" si="132"/>
        <v>2.6912181303116203E-2</v>
      </c>
      <c r="T189" s="82">
        <f t="shared" si="133"/>
        <v>0</v>
      </c>
      <c r="U189" s="82">
        <f t="shared" si="134"/>
        <v>3.9100000000000003E-2</v>
      </c>
      <c r="V189" s="84">
        <f t="shared" si="135"/>
        <v>6.3799999999999968E-2</v>
      </c>
    </row>
    <row r="190" spans="1:22" ht="17.25" customHeight="1" x14ac:dyDescent="0.25">
      <c r="A190" s="120">
        <v>10</v>
      </c>
      <c r="B190" s="115" t="s">
        <v>218</v>
      </c>
      <c r="C190" s="116" t="s">
        <v>216</v>
      </c>
      <c r="D190" s="27">
        <v>465018511.98000002</v>
      </c>
      <c r="E190" s="10">
        <f t="shared" si="124"/>
        <v>5.0098760946184519E-2</v>
      </c>
      <c r="F190" s="21">
        <v>131.09</v>
      </c>
      <c r="G190" s="21">
        <v>133.09</v>
      </c>
      <c r="H190" s="63">
        <v>50</v>
      </c>
      <c r="I190" s="28">
        <v>0</v>
      </c>
      <c r="J190" s="28">
        <v>-0.12609999999999999</v>
      </c>
      <c r="K190" s="27">
        <v>461538160.45999998</v>
      </c>
      <c r="L190" s="10">
        <f t="shared" si="125"/>
        <v>4.8577395487828239E-2</v>
      </c>
      <c r="M190" s="21">
        <v>130.11000000000001</v>
      </c>
      <c r="N190" s="21">
        <v>132.11000000000001</v>
      </c>
      <c r="O190" s="63">
        <v>50</v>
      </c>
      <c r="P190" s="28">
        <v>0.1724</v>
      </c>
      <c r="Q190" s="28">
        <v>2.4500000000000001E-2</v>
      </c>
      <c r="R190" s="82">
        <f t="shared" si="131"/>
        <v>-7.4843289682835828E-3</v>
      </c>
      <c r="S190" s="82">
        <f t="shared" si="132"/>
        <v>-7.3634382748515269E-3</v>
      </c>
      <c r="T190" s="82">
        <f t="shared" si="133"/>
        <v>0</v>
      </c>
      <c r="U190" s="82">
        <f t="shared" si="134"/>
        <v>0.1724</v>
      </c>
      <c r="V190" s="84">
        <f t="shared" si="135"/>
        <v>0.15059999999999998</v>
      </c>
    </row>
    <row r="191" spans="1:22" x14ac:dyDescent="0.25">
      <c r="A191" s="120">
        <v>11</v>
      </c>
      <c r="B191" s="115" t="s">
        <v>219</v>
      </c>
      <c r="C191" s="116" t="s">
        <v>216</v>
      </c>
      <c r="D191" s="27">
        <v>3548335271.5900002</v>
      </c>
      <c r="E191" s="10">
        <f t="shared" si="124"/>
        <v>0.38227983606800525</v>
      </c>
      <c r="F191" s="21">
        <v>24.93</v>
      </c>
      <c r="G191" s="21">
        <v>25.13</v>
      </c>
      <c r="H191" s="63">
        <v>204</v>
      </c>
      <c r="I191" s="28">
        <v>0</v>
      </c>
      <c r="J191" s="28">
        <v>0.25269999999999998</v>
      </c>
      <c r="K191" s="27">
        <v>3703376875.1100001</v>
      </c>
      <c r="L191" s="10">
        <f t="shared" si="125"/>
        <v>0.38978446099320391</v>
      </c>
      <c r="M191" s="21">
        <v>26.05</v>
      </c>
      <c r="N191" s="21">
        <v>26.25</v>
      </c>
      <c r="O191" s="63">
        <v>204</v>
      </c>
      <c r="P191" s="28">
        <v>0</v>
      </c>
      <c r="Q191" s="28">
        <v>0.25269999999999998</v>
      </c>
      <c r="R191" s="82">
        <f t="shared" si="131"/>
        <v>4.3694180975893587E-2</v>
      </c>
      <c r="S191" s="82">
        <f t="shared" si="132"/>
        <v>4.4568245125348231E-2</v>
      </c>
      <c r="T191" s="82">
        <f t="shared" si="133"/>
        <v>0</v>
      </c>
      <c r="U191" s="82">
        <f t="shared" si="134"/>
        <v>0</v>
      </c>
      <c r="V191" s="84">
        <f t="shared" si="135"/>
        <v>0</v>
      </c>
    </row>
    <row r="192" spans="1:22" x14ac:dyDescent="0.25">
      <c r="A192" s="120">
        <v>12</v>
      </c>
      <c r="B192" s="115" t="s">
        <v>220</v>
      </c>
      <c r="C192" s="116" t="s">
        <v>216</v>
      </c>
      <c r="D192" s="29">
        <v>290704475.38999999</v>
      </c>
      <c r="E192" s="10">
        <f t="shared" si="124"/>
        <v>3.1319041378670899E-2</v>
      </c>
      <c r="F192" s="21">
        <v>27.42</v>
      </c>
      <c r="G192" s="21">
        <v>27.42</v>
      </c>
      <c r="H192" s="63">
        <v>45</v>
      </c>
      <c r="I192" s="28">
        <v>0</v>
      </c>
      <c r="J192" s="28">
        <v>0.1492</v>
      </c>
      <c r="K192" s="29">
        <v>291886925.24000001</v>
      </c>
      <c r="L192" s="10">
        <f t="shared" si="125"/>
        <v>3.0721417685111416E-2</v>
      </c>
      <c r="M192" s="21">
        <v>27.62</v>
      </c>
      <c r="N192" s="21">
        <v>27.82</v>
      </c>
      <c r="O192" s="63">
        <v>45</v>
      </c>
      <c r="P192" s="28">
        <v>2.2499999999999999E-2</v>
      </c>
      <c r="Q192" s="28">
        <v>0.17510000000000001</v>
      </c>
      <c r="R192" s="82">
        <f t="shared" si="131"/>
        <v>4.067532322691924E-3</v>
      </c>
      <c r="S192" s="82">
        <f t="shared" si="132"/>
        <v>1.458789204959878E-2</v>
      </c>
      <c r="T192" s="82">
        <f t="shared" si="133"/>
        <v>0</v>
      </c>
      <c r="U192" s="82">
        <f t="shared" si="134"/>
        <v>2.2499999999999999E-2</v>
      </c>
      <c r="V192" s="84">
        <f t="shared" si="135"/>
        <v>2.5900000000000006E-2</v>
      </c>
    </row>
    <row r="193" spans="1:22" x14ac:dyDescent="0.25">
      <c r="A193" s="43"/>
      <c r="B193" s="43"/>
      <c r="C193" s="75" t="s">
        <v>221</v>
      </c>
      <c r="D193" s="74">
        <f>SUM(D181:D192)</f>
        <v>9282036186.0748863</v>
      </c>
      <c r="E193" s="24"/>
      <c r="F193" s="24"/>
      <c r="G193" s="22"/>
      <c r="H193" s="74">
        <f>SUM(H181:H192)</f>
        <v>1216</v>
      </c>
      <c r="I193" s="23"/>
      <c r="J193" s="23"/>
      <c r="K193" s="74">
        <f>SUM(K181:K192)</f>
        <v>9501089052.3277435</v>
      </c>
      <c r="L193" s="24"/>
      <c r="M193" s="24"/>
      <c r="N193" s="22"/>
      <c r="O193" s="74">
        <f>SUM(O181:O192)</f>
        <v>1216</v>
      </c>
      <c r="P193" s="23"/>
      <c r="Q193" s="23"/>
      <c r="R193" s="82">
        <f t="shared" si="131"/>
        <v>2.3599656569049485E-2</v>
      </c>
      <c r="S193" s="82" t="e">
        <f t="shared" si="132"/>
        <v>#DIV/0!</v>
      </c>
      <c r="T193" s="82">
        <f t="shared" si="133"/>
        <v>0</v>
      </c>
      <c r="U193" s="82">
        <f t="shared" si="134"/>
        <v>0</v>
      </c>
      <c r="V193" s="84">
        <f t="shared" si="135"/>
        <v>0</v>
      </c>
    </row>
    <row r="194" spans="1:22" x14ac:dyDescent="0.25">
      <c r="A194" s="89"/>
      <c r="B194" s="89"/>
      <c r="C194" s="90" t="s">
        <v>222</v>
      </c>
      <c r="D194" s="91">
        <f>SUM(D173,D178,D193)</f>
        <v>2095903019594.6733</v>
      </c>
      <c r="E194" s="92"/>
      <c r="F194" s="92"/>
      <c r="G194" s="93"/>
      <c r="H194" s="91">
        <f>SUM(H173,H178,H193)</f>
        <v>758402</v>
      </c>
      <c r="I194" s="94"/>
      <c r="J194" s="94"/>
      <c r="K194" s="91">
        <f>SUM(K173,K178,K193)</f>
        <v>2099104220750.6338</v>
      </c>
      <c r="L194" s="92"/>
      <c r="M194" s="92"/>
      <c r="N194" s="93"/>
      <c r="O194" s="91">
        <f>SUM(O173,O178,O193)</f>
        <v>759513</v>
      </c>
      <c r="P194" s="95"/>
      <c r="Q194" s="91"/>
      <c r="R194" s="96"/>
      <c r="S194" s="97"/>
      <c r="T194" s="97"/>
      <c r="U194" s="98"/>
      <c r="V194" s="98"/>
    </row>
  </sheetData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 D47" name="Yield_2_1_2_3_1_2"/>
    <protectedRange password="CADF" sqref="K52 D52" name="Yield_2_1_2_4_1_2"/>
    <protectedRange password="CADF" sqref="O52:Q52 H52:J52" name="Yield_1_1_1_1_1_2"/>
    <protectedRange password="CADF" sqref="O47:Q47 H47:J47" name="Yield_1_1_2_1_1_1_1_1_2"/>
    <protectedRange password="CADF" sqref="K78 D78" name="Yield_2_1_2_1_1_2"/>
    <protectedRange password="CADF" sqref="O78:Q78 H78:J78" name="Yield_1_1_2_1_2_1_2"/>
    <protectedRange password="CADF" sqref="M78:N78 F78:G78" name="Fund Name_2_2_1_1_2"/>
    <protectedRange password="CADF" sqref="N76:N77 G76:G77" name="BidOffer Prices_2_1_1_1_1_1_1_1_1_1_2"/>
    <protectedRange password="CADF" sqref="K96:K97 D96:D97" name="Yield_2_1_2_6_3_2"/>
    <protectedRange password="CADF" sqref="K139 K147:K148 D139 D147:D148" name="Fund Name_1_1_1_2_2"/>
    <protectedRange password="CADF" sqref="O139:Q139 O147:Q148 H139:J139 H147:J148" name="Yield_1_1_2_2_2"/>
    <protectedRange password="CADF" sqref="M139:N139 M147:N148 F139:G139 F147:G148" name="Fund Name_1_1_1_1_2_2"/>
  </protectedRanges>
  <mergeCells count="31">
    <mergeCell ref="A89:V89"/>
    <mergeCell ref="A1:V1"/>
    <mergeCell ref="U2:V2"/>
    <mergeCell ref="A4:V4"/>
    <mergeCell ref="A5:V5"/>
    <mergeCell ref="A23:V23"/>
    <mergeCell ref="A24:V24"/>
    <mergeCell ref="A55:V55"/>
    <mergeCell ref="A56:V56"/>
    <mergeCell ref="R2:T2"/>
    <mergeCell ref="K2:Q2"/>
    <mergeCell ref="D2:J2"/>
    <mergeCell ref="A157:V157"/>
    <mergeCell ref="A90:V90"/>
    <mergeCell ref="A91:V91"/>
    <mergeCell ref="A104:V104"/>
    <mergeCell ref="A105:V105"/>
    <mergeCell ref="A116:V116"/>
    <mergeCell ref="A117:V117"/>
    <mergeCell ref="A123:V123"/>
    <mergeCell ref="A124:V124"/>
    <mergeCell ref="A150:V150"/>
    <mergeCell ref="A151:V151"/>
    <mergeCell ref="A156:V156"/>
    <mergeCell ref="A179:V179"/>
    <mergeCell ref="A180:V180"/>
    <mergeCell ref="A158:V158"/>
    <mergeCell ref="A161:V161"/>
    <mergeCell ref="A162:V162"/>
    <mergeCell ref="A174:U174"/>
    <mergeCell ref="A175:V17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O5" sqref="O5"/>
    </sheetView>
  </sheetViews>
  <sheetFormatPr defaultRowHeight="15" x14ac:dyDescent="0.25"/>
  <cols>
    <col min="1" max="1" width="34" customWidth="1"/>
    <col min="2" max="2" width="17.5703125" customWidth="1"/>
    <col min="3" max="3" width="17.42578125" customWidth="1"/>
  </cols>
  <sheetData>
    <row r="1" spans="1:3" x14ac:dyDescent="0.25">
      <c r="A1" s="104"/>
      <c r="B1" s="104"/>
      <c r="C1" s="104"/>
    </row>
    <row r="2" spans="1:3" x14ac:dyDescent="0.25">
      <c r="A2" s="104"/>
      <c r="B2" s="104"/>
      <c r="C2" s="104"/>
    </row>
    <row r="3" spans="1:3" x14ac:dyDescent="0.25">
      <c r="A3" s="104"/>
      <c r="B3" s="104"/>
      <c r="C3" s="104"/>
    </row>
    <row r="4" spans="1:3" ht="33" customHeight="1" x14ac:dyDescent="0.3">
      <c r="A4" s="126" t="s">
        <v>223</v>
      </c>
      <c r="B4" s="127" t="s">
        <v>245</v>
      </c>
      <c r="C4" s="127" t="s">
        <v>249</v>
      </c>
    </row>
    <row r="5" spans="1:3" ht="19.5" customHeight="1" x14ac:dyDescent="0.3">
      <c r="A5" s="128" t="s">
        <v>15</v>
      </c>
      <c r="B5" s="47">
        <f>22297088298.2632/1000000000</f>
        <v>22.297088298263198</v>
      </c>
      <c r="C5" s="47">
        <f>22627915820.7316/1000000000</f>
        <v>22.627915820731602</v>
      </c>
    </row>
    <row r="6" spans="1:3" ht="16.5" x14ac:dyDescent="0.3">
      <c r="A6" s="129" t="s">
        <v>47</v>
      </c>
      <c r="B6" s="48">
        <f>866720174597.192/1000000000</f>
        <v>866.720174597192</v>
      </c>
      <c r="C6" s="48">
        <f>868763948236.73/1000000000</f>
        <v>868.76394823673002</v>
      </c>
    </row>
    <row r="7" spans="1:3" ht="16.5" x14ac:dyDescent="0.3">
      <c r="A7" s="129" t="s">
        <v>224</v>
      </c>
      <c r="B7" s="47">
        <f>296829521368.717/1000000000</f>
        <v>296.829521368717</v>
      </c>
      <c r="C7" s="47">
        <f>296477977964.146/1000000000</f>
        <v>296.47797796414602</v>
      </c>
    </row>
    <row r="8" spans="1:3" ht="16.5" x14ac:dyDescent="0.3">
      <c r="A8" s="129" t="s">
        <v>129</v>
      </c>
      <c r="B8" s="48">
        <f>623939339182.421/1000000000</f>
        <v>623.93933918242101</v>
      </c>
      <c r="C8" s="48">
        <f>624424131579.085/1000000000</f>
        <v>624.42413157908493</v>
      </c>
    </row>
    <row r="9" spans="1:3" ht="16.5" x14ac:dyDescent="0.3">
      <c r="A9" s="129" t="s">
        <v>225</v>
      </c>
      <c r="B9" s="47">
        <f>93122068013.9/1000000000</f>
        <v>93.122068013899991</v>
      </c>
      <c r="C9" s="47">
        <f>93195143675.2/1000000000</f>
        <v>93.195143675200001</v>
      </c>
    </row>
    <row r="10" spans="1:3" ht="16.5" x14ac:dyDescent="0.3">
      <c r="A10" s="129" t="s">
        <v>155</v>
      </c>
      <c r="B10" s="49">
        <f>39115203974.1249/1000000000</f>
        <v>39.115203974124903</v>
      </c>
      <c r="C10" s="49">
        <f>39279784642.4234/1000000000</f>
        <v>39.279784642423401</v>
      </c>
    </row>
    <row r="11" spans="1:3" ht="16.5" x14ac:dyDescent="0.3">
      <c r="A11" s="129" t="s">
        <v>179</v>
      </c>
      <c r="B11" s="47">
        <f>3850205746.29/1000000000</f>
        <v>3.8502057462899999</v>
      </c>
      <c r="C11" s="47">
        <f>3928183119.75/1000000000</f>
        <v>3.9281831197499999</v>
      </c>
    </row>
    <row r="12" spans="1:3" ht="16.5" x14ac:dyDescent="0.3">
      <c r="A12" s="129" t="s">
        <v>226</v>
      </c>
      <c r="B12" s="47">
        <f>46178760569.04/1000000000</f>
        <v>46.178760569040001</v>
      </c>
      <c r="C12" s="47">
        <f>46332265573.73/1000000000</f>
        <v>46.332265573730005</v>
      </c>
    </row>
    <row r="13" spans="1:3" x14ac:dyDescent="0.25">
      <c r="A13" s="104"/>
      <c r="B13" s="104"/>
      <c r="C13" s="104"/>
    </row>
    <row r="16" spans="1:3" ht="16.5" x14ac:dyDescent="0.3">
      <c r="B16" s="47"/>
      <c r="C16" s="47"/>
    </row>
    <row r="17" spans="1:3" ht="16.5" x14ac:dyDescent="0.3">
      <c r="B17" s="48"/>
      <c r="C17" s="48"/>
    </row>
    <row r="18" spans="1:3" ht="16.5" x14ac:dyDescent="0.3">
      <c r="A18" s="101"/>
      <c r="B18" s="47"/>
      <c r="C18" s="47"/>
    </row>
    <row r="19" spans="1:3" ht="16.5" x14ac:dyDescent="0.3">
      <c r="A19" s="102"/>
      <c r="B19" s="48"/>
      <c r="C19" s="48"/>
    </row>
    <row r="20" spans="1:3" ht="16.5" x14ac:dyDescent="0.3">
      <c r="A20" s="102"/>
      <c r="B20" s="47"/>
      <c r="C20" s="47"/>
    </row>
    <row r="21" spans="1:3" ht="16.5" x14ac:dyDescent="0.3">
      <c r="A21" s="102"/>
      <c r="B21" s="49"/>
      <c r="C21" s="49"/>
    </row>
    <row r="22" spans="1:3" ht="16.5" x14ac:dyDescent="0.3">
      <c r="A22" s="102"/>
      <c r="B22" s="47"/>
      <c r="C22" s="47"/>
    </row>
    <row r="23" spans="1:3" ht="16.5" x14ac:dyDescent="0.3">
      <c r="A23" s="102"/>
      <c r="B23" s="47"/>
      <c r="C23" s="47"/>
    </row>
    <row r="24" spans="1:3" ht="16.5" x14ac:dyDescent="0.3">
      <c r="A24" s="102"/>
      <c r="B24" s="47"/>
      <c r="C24" s="47"/>
    </row>
    <row r="25" spans="1:3" ht="16.5" x14ac:dyDescent="0.3">
      <c r="A25" s="102"/>
      <c r="B25" s="111"/>
      <c r="C25" s="111"/>
    </row>
    <row r="26" spans="1:3" ht="16.5" x14ac:dyDescent="0.3">
      <c r="A26" s="102"/>
      <c r="B26" s="111"/>
      <c r="C26" s="111"/>
    </row>
    <row r="27" spans="1:3" x14ac:dyDescent="0.25">
      <c r="B27" s="106"/>
      <c r="C27" s="106"/>
    </row>
    <row r="28" spans="1:3" x14ac:dyDescent="0.25">
      <c r="B28" s="106"/>
      <c r="C28" s="106"/>
    </row>
  </sheetData>
  <sheetProtection algorithmName="SHA-512" hashValue="lRyBVAlyei+1oJX/EDz4bXVR97xz6LgeO8bxKniDPagIxOhNCLqaQfOhQ00G8ythcAlI3ULek2YYrcJyRsyp5A==" saltValue="S6OZjhm6IuPJJ59EZcf5p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85" zoomScaleNormal="85" workbookViewId="0">
      <selection activeCell="Q1" sqref="Q1"/>
    </sheetView>
  </sheetViews>
  <sheetFormatPr defaultRowHeight="15" x14ac:dyDescent="0.25"/>
  <cols>
    <col min="1" max="1" width="26.7109375" customWidth="1"/>
    <col min="2" max="2" width="17.42578125" customWidth="1"/>
  </cols>
  <sheetData>
    <row r="1" spans="1:2" ht="16.5" x14ac:dyDescent="0.3">
      <c r="A1" s="126" t="s">
        <v>223</v>
      </c>
      <c r="B1" s="130">
        <v>45233</v>
      </c>
    </row>
    <row r="2" spans="1:2" ht="16.5" x14ac:dyDescent="0.3">
      <c r="A2" s="129" t="s">
        <v>179</v>
      </c>
      <c r="B2" s="47">
        <v>3928183119.75</v>
      </c>
    </row>
    <row r="3" spans="1:2" ht="16.5" x14ac:dyDescent="0.3">
      <c r="A3" s="129" t="s">
        <v>15</v>
      </c>
      <c r="B3" s="47">
        <v>22627915820.731602</v>
      </c>
    </row>
    <row r="4" spans="1:2" ht="16.5" x14ac:dyDescent="0.3">
      <c r="A4" s="129" t="s">
        <v>155</v>
      </c>
      <c r="B4" s="49">
        <v>39279784642.423355</v>
      </c>
    </row>
    <row r="5" spans="1:2" ht="16.5" x14ac:dyDescent="0.3">
      <c r="A5" s="129" t="s">
        <v>226</v>
      </c>
      <c r="B5" s="47">
        <v>46332265573.729996</v>
      </c>
    </row>
    <row r="6" spans="1:2" ht="16.5" x14ac:dyDescent="0.3">
      <c r="A6" s="129" t="s">
        <v>225</v>
      </c>
      <c r="B6" s="47">
        <v>93195143675.199997</v>
      </c>
    </row>
    <row r="7" spans="1:2" ht="16.5" x14ac:dyDescent="0.3">
      <c r="A7" s="129" t="s">
        <v>224</v>
      </c>
      <c r="B7" s="47">
        <v>296477977964.1463</v>
      </c>
    </row>
    <row r="8" spans="1:2" ht="16.5" x14ac:dyDescent="0.3">
      <c r="A8" s="129" t="s">
        <v>129</v>
      </c>
      <c r="B8" s="48">
        <v>624424131579.08496</v>
      </c>
    </row>
    <row r="9" spans="1:2" ht="16.5" x14ac:dyDescent="0.3">
      <c r="A9" s="129" t="s">
        <v>47</v>
      </c>
      <c r="B9" s="48">
        <v>868763948236.72998</v>
      </c>
    </row>
    <row r="14" spans="1:2" ht="16.5" x14ac:dyDescent="0.3">
      <c r="A14" s="103"/>
      <c r="B14" s="47"/>
    </row>
    <row r="15" spans="1:2" ht="16.5" x14ac:dyDescent="0.3">
      <c r="A15" s="103"/>
      <c r="B15" s="47"/>
    </row>
    <row r="16" spans="1:2" ht="16.5" x14ac:dyDescent="0.3">
      <c r="A16" s="103"/>
      <c r="B16" s="49"/>
    </row>
    <row r="17" spans="1:2" ht="16.5" x14ac:dyDescent="0.3">
      <c r="A17" s="103"/>
      <c r="B17" s="47"/>
    </row>
    <row r="18" spans="1:2" ht="16.5" x14ac:dyDescent="0.3">
      <c r="A18" s="103"/>
      <c r="B18" s="47"/>
    </row>
    <row r="19" spans="1:2" ht="16.5" x14ac:dyDescent="0.3">
      <c r="A19" s="103"/>
      <c r="B19" s="47"/>
    </row>
    <row r="20" spans="1:2" ht="16.5" x14ac:dyDescent="0.3">
      <c r="A20" s="103"/>
      <c r="B20" s="48"/>
    </row>
    <row r="21" spans="1:2" ht="16.5" x14ac:dyDescent="0.3">
      <c r="A21" s="103"/>
      <c r="B21" s="48"/>
    </row>
    <row r="22" spans="1:2" ht="16.5" x14ac:dyDescent="0.3">
      <c r="A22" s="99"/>
      <c r="B22" s="48"/>
    </row>
  </sheetData>
  <sheetProtection algorithmName="SHA-512" hashValue="jRaKA6zu4OOuYexlQR6peOrVMzrA8fjOAxMIlAQUesKdKIDnmqoJQ5iGV6M5KPhEnDNBpy9+DIuDHkpWQkbnnQ==" saltValue="j6cz8ptQ/wpdPmzswTUq+g==" spinCount="100000" sheet="1" objects="1" scenarios="1"/>
  <sortState ref="B14:B21">
    <sortCondition ref="B14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110" zoomScaleNormal="110" workbookViewId="0">
      <selection activeCell="A2" sqref="A2"/>
    </sheetView>
  </sheetViews>
  <sheetFormatPr defaultRowHeight="15" x14ac:dyDescent="0.25"/>
  <cols>
    <col min="1" max="1" width="10.5703125" customWidth="1"/>
    <col min="2" max="2" width="12.7109375" customWidth="1"/>
    <col min="3" max="3" width="12.7109375" bestFit="1" customWidth="1"/>
    <col min="4" max="4" width="12.7109375" customWidth="1"/>
    <col min="5" max="5" width="13.42578125" customWidth="1"/>
    <col min="6" max="6" width="13.85546875" customWidth="1"/>
    <col min="7" max="7" width="14.85546875" customWidth="1"/>
    <col min="8" max="9" width="13.140625" customWidth="1"/>
  </cols>
  <sheetData>
    <row r="1" spans="1:1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x14ac:dyDescent="0.25">
      <c r="A2" s="131" t="s">
        <v>234</v>
      </c>
      <c r="B2" s="132">
        <v>45184</v>
      </c>
      <c r="C2" s="132">
        <v>45191</v>
      </c>
      <c r="D2" s="132">
        <v>45198</v>
      </c>
      <c r="E2" s="132">
        <v>45205</v>
      </c>
      <c r="F2" s="132">
        <v>45212</v>
      </c>
      <c r="G2" s="132">
        <v>45219</v>
      </c>
      <c r="H2" s="132">
        <v>45226</v>
      </c>
      <c r="I2" s="132">
        <v>45233</v>
      </c>
      <c r="J2" s="106"/>
      <c r="K2" s="106"/>
    </row>
    <row r="3" spans="1:11" x14ac:dyDescent="0.25">
      <c r="A3" s="131" t="s">
        <v>235</v>
      </c>
      <c r="B3" s="133">
        <v>1930034404358.7712</v>
      </c>
      <c r="C3" s="133">
        <v>1927585637735.8486</v>
      </c>
      <c r="D3" s="133">
        <v>1938057005087.2852</v>
      </c>
      <c r="E3" s="133">
        <v>1935067759050.2058</v>
      </c>
      <c r="F3" s="133">
        <v>1961229345082.9329</v>
      </c>
      <c r="G3" s="133">
        <v>2002190167303.2449</v>
      </c>
      <c r="H3" s="133">
        <v>1992052361749.9485</v>
      </c>
      <c r="I3" s="133">
        <v>1995029350611.7961</v>
      </c>
      <c r="J3" s="106"/>
      <c r="K3" s="106"/>
    </row>
    <row r="4" spans="1:11" x14ac:dyDescent="0.25">
      <c r="A4" s="99"/>
      <c r="B4" s="99"/>
      <c r="C4" s="99"/>
      <c r="D4" s="99"/>
      <c r="E4" s="99"/>
      <c r="F4" s="99"/>
      <c r="G4" s="99"/>
      <c r="H4" s="99"/>
      <c r="I4" s="99"/>
    </row>
    <row r="5" spans="1:11" x14ac:dyDescent="0.25">
      <c r="A5" s="99"/>
      <c r="B5" s="99"/>
      <c r="C5" s="99"/>
      <c r="D5" s="99"/>
      <c r="E5" s="99"/>
      <c r="F5" s="99"/>
      <c r="G5" s="99"/>
      <c r="H5" s="99"/>
      <c r="I5" s="99"/>
    </row>
    <row r="6" spans="1:11" x14ac:dyDescent="0.25">
      <c r="A6" s="99"/>
      <c r="B6" s="99"/>
      <c r="C6" s="99"/>
      <c r="D6" s="99"/>
      <c r="E6" s="99"/>
      <c r="F6" s="99"/>
      <c r="G6" s="99"/>
      <c r="H6" s="99"/>
      <c r="I6" s="99"/>
    </row>
    <row r="7" spans="1:11" x14ac:dyDescent="0.25">
      <c r="A7" s="99"/>
      <c r="B7" s="99"/>
      <c r="C7" s="99"/>
      <c r="D7" s="99"/>
      <c r="E7" s="99"/>
      <c r="F7" s="99"/>
      <c r="G7" s="99"/>
      <c r="H7" s="99"/>
      <c r="I7" s="99"/>
    </row>
    <row r="8" spans="1:11" x14ac:dyDescent="0.25">
      <c r="A8" s="99"/>
      <c r="B8" s="99"/>
      <c r="C8" s="99"/>
      <c r="D8" s="99"/>
      <c r="E8" s="99"/>
      <c r="F8" s="99"/>
      <c r="G8" s="99"/>
      <c r="H8" s="99"/>
      <c r="I8" s="99"/>
    </row>
    <row r="9" spans="1:11" x14ac:dyDescent="0.25">
      <c r="A9" s="99"/>
      <c r="B9" s="99"/>
      <c r="C9" s="99"/>
      <c r="D9" s="99"/>
      <c r="E9" s="99"/>
      <c r="F9" s="99"/>
      <c r="G9" s="99"/>
      <c r="H9" s="99"/>
      <c r="I9" s="99"/>
    </row>
    <row r="10" spans="1:11" x14ac:dyDescent="0.25">
      <c r="A10" s="99"/>
      <c r="B10" s="99"/>
      <c r="C10" s="99"/>
      <c r="D10" s="99"/>
      <c r="E10" s="99"/>
      <c r="F10" s="99"/>
      <c r="G10" s="99"/>
      <c r="H10" s="99"/>
      <c r="I10" s="99"/>
    </row>
    <row r="11" spans="1:11" x14ac:dyDescent="0.25">
      <c r="A11" s="99"/>
      <c r="B11" s="99"/>
      <c r="C11" s="99"/>
      <c r="D11" s="99"/>
      <c r="E11" s="99"/>
      <c r="F11" s="99"/>
      <c r="G11" s="99"/>
      <c r="H11" s="99"/>
      <c r="I11" s="99"/>
    </row>
    <row r="12" spans="1:11" x14ac:dyDescent="0.25">
      <c r="A12" s="99"/>
      <c r="B12" s="99"/>
      <c r="C12" s="99"/>
      <c r="D12" s="99"/>
      <c r="E12" s="99"/>
      <c r="F12" s="99"/>
      <c r="G12" s="99"/>
      <c r="H12" s="99"/>
      <c r="I12" s="99"/>
    </row>
    <row r="13" spans="1:11" x14ac:dyDescent="0.25">
      <c r="A13" s="99"/>
      <c r="B13" s="99"/>
      <c r="C13" s="99"/>
      <c r="D13" s="99"/>
      <c r="E13" s="99"/>
      <c r="F13" s="99"/>
      <c r="G13" s="99"/>
      <c r="H13" s="99"/>
      <c r="I13" s="99"/>
    </row>
    <row r="14" spans="1:11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11" x14ac:dyDescent="0.25">
      <c r="A15" s="99"/>
      <c r="B15" s="99"/>
      <c r="C15" s="99"/>
      <c r="D15" s="99"/>
      <c r="E15" s="99"/>
      <c r="F15" s="99"/>
      <c r="G15" s="99"/>
      <c r="H15" s="99"/>
      <c r="I15" s="99"/>
    </row>
    <row r="16" spans="1:11" x14ac:dyDescent="0.25">
      <c r="A16" s="99"/>
      <c r="B16" s="99"/>
      <c r="C16" s="99"/>
      <c r="D16" s="99"/>
      <c r="E16" s="99"/>
      <c r="F16" s="99"/>
      <c r="G16" s="99"/>
      <c r="H16" s="99"/>
      <c r="I16" s="99"/>
    </row>
    <row r="17" spans="1:9" x14ac:dyDescent="0.25">
      <c r="A17" s="99"/>
      <c r="B17" s="99"/>
      <c r="C17" s="99"/>
      <c r="D17" s="99"/>
      <c r="E17" s="99"/>
      <c r="F17" s="99"/>
      <c r="G17" s="99"/>
      <c r="H17" s="99"/>
      <c r="I17" s="99"/>
    </row>
    <row r="18" spans="1:9" x14ac:dyDescent="0.25">
      <c r="A18" s="99"/>
      <c r="B18" s="99"/>
      <c r="C18" s="99"/>
      <c r="D18" s="99"/>
      <c r="E18" s="99"/>
      <c r="F18" s="99"/>
      <c r="G18" s="99"/>
      <c r="H18" s="99"/>
      <c r="I18" s="99"/>
    </row>
    <row r="19" spans="1:9" x14ac:dyDescent="0.25">
      <c r="A19" s="99"/>
      <c r="B19" s="99"/>
      <c r="C19" s="99"/>
      <c r="D19" s="99"/>
      <c r="E19" s="99"/>
      <c r="F19" s="99"/>
      <c r="G19" s="99"/>
      <c r="H19" s="99"/>
      <c r="I19" s="99"/>
    </row>
    <row r="20" spans="1:9" x14ac:dyDescent="0.25">
      <c r="A20" s="99"/>
      <c r="B20" s="99"/>
      <c r="C20" s="99"/>
      <c r="D20" s="99"/>
      <c r="E20" s="99"/>
      <c r="F20" s="99"/>
      <c r="G20" s="99"/>
      <c r="H20" s="99"/>
      <c r="I20" s="99"/>
    </row>
    <row r="21" spans="1:9" x14ac:dyDescent="0.25">
      <c r="A21" s="99"/>
      <c r="B21" s="99"/>
      <c r="C21" s="99"/>
      <c r="D21" s="99"/>
      <c r="E21" s="99"/>
      <c r="F21" s="99"/>
      <c r="G21" s="99"/>
      <c r="H21" s="99"/>
      <c r="I21" s="99"/>
    </row>
    <row r="22" spans="1:9" x14ac:dyDescent="0.25">
      <c r="A22" s="99"/>
      <c r="B22" s="99"/>
      <c r="C22" s="99"/>
      <c r="D22" s="99"/>
      <c r="E22" s="99"/>
      <c r="F22" s="99"/>
      <c r="G22" s="99"/>
      <c r="H22" s="99"/>
      <c r="I22" s="99"/>
    </row>
    <row r="23" spans="1:9" x14ac:dyDescent="0.25">
      <c r="A23" s="99"/>
      <c r="B23" s="99"/>
      <c r="C23" s="99"/>
      <c r="D23" s="99"/>
      <c r="E23" s="99"/>
      <c r="F23" s="99"/>
      <c r="G23" s="99"/>
      <c r="H23" s="99"/>
      <c r="I23" s="99"/>
    </row>
    <row r="24" spans="1:9" x14ac:dyDescent="0.25">
      <c r="A24" s="99"/>
      <c r="B24" s="99"/>
      <c r="C24" s="99"/>
      <c r="D24" s="99"/>
      <c r="E24" s="99"/>
      <c r="F24" s="99"/>
      <c r="G24" s="99"/>
      <c r="H24" s="99"/>
      <c r="I24" s="99"/>
    </row>
    <row r="25" spans="1:9" x14ac:dyDescent="0.25">
      <c r="A25" s="99"/>
      <c r="B25" s="99"/>
      <c r="C25" s="99"/>
      <c r="D25" s="99"/>
      <c r="E25" s="99"/>
      <c r="F25" s="99"/>
      <c r="G25" s="99"/>
      <c r="H25" s="99"/>
      <c r="I25" s="99"/>
    </row>
    <row r="26" spans="1:9" x14ac:dyDescent="0.25">
      <c r="A26" s="99"/>
      <c r="B26" s="99"/>
      <c r="C26" s="99"/>
      <c r="D26" s="99"/>
      <c r="E26" s="99"/>
      <c r="F26" s="99"/>
      <c r="G26" s="99"/>
      <c r="H26" s="99"/>
      <c r="I26" s="99"/>
    </row>
    <row r="27" spans="1:9" x14ac:dyDescent="0.25">
      <c r="A27" s="99"/>
      <c r="B27" s="99"/>
      <c r="C27" s="99"/>
      <c r="D27" s="99"/>
      <c r="E27" s="99"/>
      <c r="F27" s="99"/>
      <c r="G27" s="99"/>
      <c r="H27" s="99"/>
      <c r="I27" s="99"/>
    </row>
    <row r="28" spans="1:9" x14ac:dyDescent="0.25">
      <c r="A28" s="99"/>
      <c r="B28" s="99"/>
      <c r="C28" s="99"/>
      <c r="D28" s="99"/>
      <c r="E28" s="99"/>
      <c r="F28" s="99"/>
      <c r="G28" s="99"/>
      <c r="H28" s="99"/>
      <c r="I28" s="99"/>
    </row>
    <row r="29" spans="1:9" x14ac:dyDescent="0.25">
      <c r="A29" s="99"/>
      <c r="B29" s="99"/>
      <c r="C29" s="99"/>
      <c r="D29" s="99"/>
      <c r="E29" s="99"/>
      <c r="F29" s="99"/>
      <c r="G29" s="99"/>
      <c r="H29" s="99"/>
      <c r="I29" s="99"/>
    </row>
  </sheetData>
  <sheetProtection algorithmName="SHA-512" hashValue="MWkw36opew3j3bEv6vEm3zs9e4Qc03nal9H7hQv8COn27NP/++X5R4ZzWULwgFftPWl0dxR/iH82RZpZasD+0g==" saltValue="eueo3G8A5nBgdB47RfkGL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C1" workbookViewId="0"/>
  </sheetViews>
  <sheetFormatPr defaultRowHeight="15" x14ac:dyDescent="0.2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5703125" bestFit="1" customWidth="1"/>
  </cols>
  <sheetData>
    <row r="1" spans="1:10" ht="16.5" x14ac:dyDescent="0.3">
      <c r="A1" s="44" t="s">
        <v>223</v>
      </c>
      <c r="B1" s="45">
        <v>45177</v>
      </c>
      <c r="C1" s="45">
        <v>45184</v>
      </c>
      <c r="D1" s="45">
        <v>45191</v>
      </c>
      <c r="E1" s="45">
        <v>45198</v>
      </c>
      <c r="F1" s="45">
        <v>45205</v>
      </c>
      <c r="G1" s="45">
        <v>45212</v>
      </c>
      <c r="H1" s="45">
        <v>45219</v>
      </c>
      <c r="I1" s="45">
        <v>45226</v>
      </c>
      <c r="J1" s="45">
        <v>45233</v>
      </c>
    </row>
    <row r="2" spans="1:10" ht="16.5" x14ac:dyDescent="0.3">
      <c r="A2" s="46" t="s">
        <v>15</v>
      </c>
      <c r="B2" s="47">
        <v>23086923138.879997</v>
      </c>
      <c r="C2" s="47">
        <v>22684841502.700001</v>
      </c>
      <c r="D2" s="47">
        <v>22617340342.240005</v>
      </c>
      <c r="E2" s="47">
        <v>22347298706.340004</v>
      </c>
      <c r="F2" s="47">
        <v>22419529839.446701</v>
      </c>
      <c r="G2" s="47">
        <v>22452818441.667297</v>
      </c>
      <c r="H2" s="47">
        <v>22321023691.510902</v>
      </c>
      <c r="I2" s="47">
        <v>22297088298.263195</v>
      </c>
      <c r="J2" s="47">
        <v>22627915820.731602</v>
      </c>
    </row>
    <row r="3" spans="1:10" ht="16.5" x14ac:dyDescent="0.3">
      <c r="A3" s="46" t="s">
        <v>47</v>
      </c>
      <c r="B3" s="48">
        <v>842459027080.45435</v>
      </c>
      <c r="C3" s="48">
        <v>842959336565.12207</v>
      </c>
      <c r="D3" s="48">
        <v>849677574373.34802</v>
      </c>
      <c r="E3" s="48">
        <v>852624898169.64954</v>
      </c>
      <c r="F3" s="48">
        <v>857851239009.95007</v>
      </c>
      <c r="G3" s="48">
        <v>866430357744.91357</v>
      </c>
      <c r="H3" s="48">
        <v>868733209665.15002</v>
      </c>
      <c r="I3" s="48">
        <v>866720174597.19238</v>
      </c>
      <c r="J3" s="48">
        <v>868763948236.72998</v>
      </c>
    </row>
    <row r="4" spans="1:10" ht="16.5" x14ac:dyDescent="0.3">
      <c r="A4" s="46" t="s">
        <v>224</v>
      </c>
      <c r="B4" s="47">
        <v>320114444673.33032</v>
      </c>
      <c r="C4" s="47">
        <v>320326205967.90063</v>
      </c>
      <c r="D4" s="47">
        <v>299618437754.16949</v>
      </c>
      <c r="E4" s="47">
        <v>300146733726.06244</v>
      </c>
      <c r="F4" s="47">
        <v>298612163023.86542</v>
      </c>
      <c r="G4" s="47">
        <v>296194339533.25995</v>
      </c>
      <c r="H4" s="47">
        <v>297314764640.83484</v>
      </c>
      <c r="I4" s="47">
        <v>296829521368.71655</v>
      </c>
      <c r="J4" s="47">
        <v>296477977964.1463</v>
      </c>
    </row>
    <row r="5" spans="1:10" ht="16.5" x14ac:dyDescent="0.3">
      <c r="A5" s="46" t="s">
        <v>129</v>
      </c>
      <c r="B5" s="48">
        <v>554560757841.43372</v>
      </c>
      <c r="C5" s="48">
        <v>579242821265.46704</v>
      </c>
      <c r="D5" s="48">
        <v>573412197469.83374</v>
      </c>
      <c r="E5" s="48">
        <v>580580020013.89868</v>
      </c>
      <c r="F5" s="48">
        <v>574272210688.57068</v>
      </c>
      <c r="G5" s="48">
        <v>594856395707.72656</v>
      </c>
      <c r="H5" s="48">
        <v>631778541802.7771</v>
      </c>
      <c r="I5" s="48">
        <v>623939339182.42139</v>
      </c>
      <c r="J5" s="48">
        <v>624424131579.08496</v>
      </c>
    </row>
    <row r="6" spans="1:10" ht="16.5" x14ac:dyDescent="0.3">
      <c r="A6" s="46" t="s">
        <v>225</v>
      </c>
      <c r="B6" s="47">
        <v>92863739575.880005</v>
      </c>
      <c r="C6" s="47">
        <v>92900265036.520004</v>
      </c>
      <c r="D6" s="47">
        <v>92930445555.669998</v>
      </c>
      <c r="E6" s="47">
        <v>92953013524.979996</v>
      </c>
      <c r="F6" s="47">
        <v>93025791056.550003</v>
      </c>
      <c r="G6" s="47">
        <v>93063670940.059998</v>
      </c>
      <c r="H6" s="47">
        <v>93071505879.830002</v>
      </c>
      <c r="I6" s="47">
        <v>93122068013.900009</v>
      </c>
      <c r="J6" s="47">
        <v>93195143675.199997</v>
      </c>
    </row>
    <row r="7" spans="1:10" ht="16.5" x14ac:dyDescent="0.3">
      <c r="A7" s="46" t="s">
        <v>155</v>
      </c>
      <c r="B7" s="49">
        <v>40429036765.108025</v>
      </c>
      <c r="C7" s="49">
        <v>39999967409.311623</v>
      </c>
      <c r="D7" s="49">
        <v>40017994182.737228</v>
      </c>
      <c r="E7" s="49">
        <v>39835802330.054489</v>
      </c>
      <c r="F7" s="49">
        <v>39656232639.742752</v>
      </c>
      <c r="G7" s="49">
        <v>39055524237.135551</v>
      </c>
      <c r="H7" s="49">
        <v>39125729977.492111</v>
      </c>
      <c r="I7" s="49">
        <v>39115203974.124908</v>
      </c>
      <c r="J7" s="49">
        <v>39279784642.423355</v>
      </c>
    </row>
    <row r="8" spans="1:10" ht="16.5" x14ac:dyDescent="0.3">
      <c r="A8" s="46" t="s">
        <v>179</v>
      </c>
      <c r="B8" s="47">
        <v>3988679154.2799997</v>
      </c>
      <c r="C8" s="47">
        <v>3887178325.5900002</v>
      </c>
      <c r="D8" s="47">
        <v>3868880759.98</v>
      </c>
      <c r="E8" s="47">
        <v>3871825099.96</v>
      </c>
      <c r="F8" s="47">
        <v>3871834604.0900002</v>
      </c>
      <c r="G8" s="47">
        <v>3847653774.98</v>
      </c>
      <c r="H8" s="47">
        <v>3851756766.6799998</v>
      </c>
      <c r="I8" s="47">
        <v>3850205746.29</v>
      </c>
      <c r="J8" s="47">
        <v>3928183119.75</v>
      </c>
    </row>
    <row r="9" spans="1:10" ht="16.5" x14ac:dyDescent="0.3">
      <c r="A9" s="46" t="s">
        <v>226</v>
      </c>
      <c r="B9" s="47">
        <v>28062421939.949997</v>
      </c>
      <c r="C9" s="47">
        <v>28033788286.160004</v>
      </c>
      <c r="D9" s="47">
        <v>45442767297.869995</v>
      </c>
      <c r="E9" s="47">
        <v>45697413516.340004</v>
      </c>
      <c r="F9" s="47">
        <v>45358758187.989998</v>
      </c>
      <c r="G9" s="47">
        <v>45328584703.190002</v>
      </c>
      <c r="H9" s="47">
        <v>45993634878.969994</v>
      </c>
      <c r="I9" s="47">
        <v>46178760569.040001</v>
      </c>
      <c r="J9" s="47">
        <v>46332265573.729996</v>
      </c>
    </row>
    <row r="10" spans="1:10" ht="15.75" x14ac:dyDescent="0.25">
      <c r="A10" s="50" t="s">
        <v>227</v>
      </c>
      <c r="B10" s="51">
        <f t="shared" ref="B10:H10" si="0">SUM(B2:B9)</f>
        <v>1905565030169.3159</v>
      </c>
      <c r="C10" s="51">
        <f t="shared" si="0"/>
        <v>1930034404358.7712</v>
      </c>
      <c r="D10" s="51">
        <f t="shared" si="0"/>
        <v>1927585637735.8486</v>
      </c>
      <c r="E10" s="51">
        <f t="shared" si="0"/>
        <v>1938057005087.2852</v>
      </c>
      <c r="F10" s="51">
        <f t="shared" si="0"/>
        <v>1935067759050.2058</v>
      </c>
      <c r="G10" s="51">
        <f t="shared" si="0"/>
        <v>1961229345082.9329</v>
      </c>
      <c r="H10" s="51">
        <f t="shared" si="0"/>
        <v>2002190167303.2449</v>
      </c>
      <c r="I10" s="51">
        <f>SUM(I2:I9)</f>
        <v>1992052361749.9485</v>
      </c>
      <c r="J10" s="51">
        <f>SUM(J2:J9)</f>
        <v>1995029350611.7961</v>
      </c>
    </row>
    <row r="11" spans="1:10" ht="16.5" x14ac:dyDescent="0.3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 x14ac:dyDescent="0.25">
      <c r="A12" s="54" t="s">
        <v>228</v>
      </c>
      <c r="B12" s="55" t="s">
        <v>229</v>
      </c>
      <c r="C12" s="56">
        <f>(B10+C10)/2</f>
        <v>1917799717264.0435</v>
      </c>
      <c r="D12" s="57">
        <f t="shared" ref="D12:J12" si="1">(C10+D10)/2</f>
        <v>1928810021047.3101</v>
      </c>
      <c r="E12" s="57">
        <f t="shared" si="1"/>
        <v>1932821321411.5669</v>
      </c>
      <c r="F12" s="57">
        <f t="shared" si="1"/>
        <v>1936562382068.7456</v>
      </c>
      <c r="G12" s="57">
        <f>(F10+G10)/2</f>
        <v>1948148552066.5693</v>
      </c>
      <c r="H12" s="57">
        <f t="shared" si="1"/>
        <v>1981709756193.0889</v>
      </c>
      <c r="I12" s="57">
        <f t="shared" si="1"/>
        <v>1997121264526.5967</v>
      </c>
      <c r="J12" s="57">
        <f t="shared" si="1"/>
        <v>1993540856180.8723</v>
      </c>
    </row>
    <row r="15" spans="1:10" ht="16.5" x14ac:dyDescent="0.3">
      <c r="A15" s="44" t="s">
        <v>223</v>
      </c>
      <c r="B15" s="45">
        <v>45226</v>
      </c>
      <c r="C15" s="45">
        <v>45233</v>
      </c>
    </row>
    <row r="16" spans="1:10" ht="16.5" x14ac:dyDescent="0.3">
      <c r="A16" s="46" t="s">
        <v>15</v>
      </c>
      <c r="B16" s="47">
        <v>22297088298.263195</v>
      </c>
      <c r="C16" s="47">
        <v>22627915820.731602</v>
      </c>
    </row>
    <row r="17" spans="1:12" ht="16.5" x14ac:dyDescent="0.3">
      <c r="A17" s="46" t="s">
        <v>47</v>
      </c>
      <c r="B17" s="48">
        <v>866720174597.19238</v>
      </c>
      <c r="C17" s="48">
        <v>868763948236.72998</v>
      </c>
    </row>
    <row r="18" spans="1:12" ht="16.5" x14ac:dyDescent="0.3">
      <c r="A18" s="46" t="s">
        <v>224</v>
      </c>
      <c r="B18" s="47">
        <v>296829521368.71655</v>
      </c>
      <c r="C18" s="47">
        <v>296477977964.1463</v>
      </c>
    </row>
    <row r="19" spans="1:12" ht="16.5" x14ac:dyDescent="0.3">
      <c r="A19" s="46" t="s">
        <v>129</v>
      </c>
      <c r="B19" s="48">
        <v>623939339182.42139</v>
      </c>
      <c r="C19" s="48">
        <v>624424131579.08496</v>
      </c>
    </row>
    <row r="20" spans="1:12" ht="16.5" x14ac:dyDescent="0.3">
      <c r="A20" s="46" t="s">
        <v>225</v>
      </c>
      <c r="B20" s="47">
        <v>93122068013.900009</v>
      </c>
      <c r="C20" s="47">
        <v>93195143675.199997</v>
      </c>
      <c r="E20" s="112"/>
      <c r="F20" s="112"/>
      <c r="G20" s="112"/>
      <c r="H20" s="112"/>
      <c r="I20" s="112"/>
      <c r="J20" s="112"/>
      <c r="K20" s="112"/>
      <c r="L20" s="112"/>
    </row>
    <row r="21" spans="1:12" ht="16.5" x14ac:dyDescent="0.3">
      <c r="A21" s="46" t="s">
        <v>155</v>
      </c>
      <c r="B21" s="49">
        <v>39115203974.124908</v>
      </c>
      <c r="C21" s="49">
        <v>39279784642.423355</v>
      </c>
    </row>
    <row r="22" spans="1:12" ht="16.5" x14ac:dyDescent="0.3">
      <c r="A22" s="46" t="s">
        <v>179</v>
      </c>
      <c r="B22" s="47">
        <v>3850205746.29</v>
      </c>
      <c r="C22" s="47">
        <v>3928183119.75</v>
      </c>
    </row>
    <row r="23" spans="1:12" ht="16.5" x14ac:dyDescent="0.3">
      <c r="A23" s="46" t="s">
        <v>226</v>
      </c>
      <c r="B23" s="47">
        <v>46178760569.040001</v>
      </c>
      <c r="C23" s="47">
        <v>46332265573.729996</v>
      </c>
    </row>
    <row r="28" spans="1:12" x14ac:dyDescent="0.25">
      <c r="C28" s="71"/>
      <c r="D28" s="71"/>
      <c r="E28" s="71"/>
      <c r="F28" s="71"/>
      <c r="G28" s="71"/>
      <c r="H28" s="71"/>
      <c r="I28" s="71"/>
      <c r="J28" s="71"/>
    </row>
  </sheetData>
  <sheetProtection algorithmName="SHA-512" hashValue="GEUUeVBdSIYnvsX0XHnCdtxk165Iq/2FXBiPqPD8FUjNUOf8FitOpXfdMNUulNB+vOEwufEO85vie4ZaZ/nvOg==" saltValue="Gg44I8+NAtOzltXos/bto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2023-11-13T13:11:15Z</dcterms:modified>
</cp:coreProperties>
</file>