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za\OneDrive\Desktop\Tunde Isaac\Weekly NAV\"/>
    </mc:Choice>
  </mc:AlternateContent>
  <bookViews>
    <workbookView xWindow="0" yWindow="0" windowWidth="15345" windowHeight="4725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2" l="1"/>
  <c r="C5" i="2"/>
  <c r="N97" i="1"/>
  <c r="M97" i="1"/>
  <c r="K97" i="1"/>
  <c r="C12" i="2"/>
  <c r="B12" i="2"/>
  <c r="C11" i="2"/>
  <c r="B11" i="2"/>
  <c r="C10" i="2"/>
  <c r="B10" i="2"/>
  <c r="C9" i="2"/>
  <c r="B9" i="2"/>
  <c r="B8" i="2"/>
  <c r="C7" i="2"/>
  <c r="B7" i="2"/>
  <c r="C6" i="2"/>
  <c r="B6" i="2"/>
  <c r="B5" i="2"/>
  <c r="N109" i="1" l="1"/>
  <c r="M109" i="1"/>
  <c r="N92" i="1"/>
  <c r="M92" i="1"/>
  <c r="N98" i="1" l="1"/>
  <c r="M98" i="1"/>
  <c r="K98" i="1"/>
  <c r="N93" i="1" l="1"/>
  <c r="M93" i="1"/>
  <c r="K93" i="1"/>
  <c r="N99" i="1"/>
  <c r="M99" i="1"/>
  <c r="K99" i="1"/>
  <c r="N113" i="1" l="1"/>
  <c r="M113" i="1"/>
  <c r="N100" i="1"/>
  <c r="M100" i="1"/>
  <c r="K100" i="1"/>
  <c r="N106" i="1" l="1"/>
  <c r="M106" i="1"/>
  <c r="K106" i="1"/>
  <c r="N110" i="1" l="1"/>
  <c r="M110" i="1"/>
  <c r="N102" i="1"/>
  <c r="M102" i="1"/>
  <c r="K102" i="1"/>
  <c r="R85" i="1" l="1"/>
  <c r="S85" i="1"/>
  <c r="T85" i="1"/>
  <c r="U85" i="1"/>
  <c r="V85" i="1"/>
  <c r="D192" i="1"/>
  <c r="D171" i="1"/>
  <c r="D154" i="1"/>
  <c r="D121" i="1"/>
  <c r="G113" i="1"/>
  <c r="F113" i="1"/>
  <c r="G110" i="1"/>
  <c r="F110" i="1"/>
  <c r="G109" i="1"/>
  <c r="F109" i="1"/>
  <c r="G106" i="1"/>
  <c r="F106" i="1"/>
  <c r="D106" i="1"/>
  <c r="G102" i="1"/>
  <c r="F102" i="1"/>
  <c r="G100" i="1"/>
  <c r="F100" i="1"/>
  <c r="G99" i="1"/>
  <c r="F99" i="1"/>
  <c r="G98" i="1"/>
  <c r="F98" i="1"/>
  <c r="G97" i="1"/>
  <c r="F97" i="1"/>
  <c r="G93" i="1"/>
  <c r="F93" i="1"/>
  <c r="G92" i="1"/>
  <c r="F92" i="1"/>
  <c r="D102" i="1"/>
  <c r="D100" i="1"/>
  <c r="D99" i="1"/>
  <c r="D98" i="1"/>
  <c r="D97" i="1"/>
  <c r="D93" i="1"/>
  <c r="D54" i="1"/>
  <c r="R152" i="1" l="1"/>
  <c r="R77" i="1" l="1"/>
  <c r="S77" i="1"/>
  <c r="T77" i="1"/>
  <c r="V77" i="1"/>
  <c r="U77" i="1"/>
  <c r="D22" i="1" l="1"/>
  <c r="R107" i="1" l="1"/>
  <c r="R19" i="1" l="1"/>
  <c r="R181" i="1" l="1"/>
  <c r="S181" i="1"/>
  <c r="T181" i="1"/>
  <c r="U181" i="1"/>
  <c r="V181" i="1"/>
  <c r="R182" i="1"/>
  <c r="S182" i="1"/>
  <c r="T182" i="1"/>
  <c r="U182" i="1"/>
  <c r="V182" i="1"/>
  <c r="R183" i="1"/>
  <c r="S183" i="1"/>
  <c r="T183" i="1"/>
  <c r="U183" i="1"/>
  <c r="V183" i="1"/>
  <c r="R184" i="1"/>
  <c r="S184" i="1"/>
  <c r="T184" i="1"/>
  <c r="U184" i="1"/>
  <c r="V184" i="1"/>
  <c r="R185" i="1"/>
  <c r="S185" i="1"/>
  <c r="T185" i="1"/>
  <c r="U185" i="1"/>
  <c r="V185" i="1"/>
  <c r="R186" i="1"/>
  <c r="S186" i="1"/>
  <c r="T186" i="1"/>
  <c r="U186" i="1"/>
  <c r="V186" i="1"/>
  <c r="R187" i="1"/>
  <c r="S187" i="1"/>
  <c r="T187" i="1"/>
  <c r="U187" i="1"/>
  <c r="V187" i="1"/>
  <c r="R188" i="1"/>
  <c r="S188" i="1"/>
  <c r="T188" i="1"/>
  <c r="U188" i="1"/>
  <c r="V188" i="1"/>
  <c r="R189" i="1"/>
  <c r="S189" i="1"/>
  <c r="T189" i="1"/>
  <c r="U189" i="1"/>
  <c r="V189" i="1"/>
  <c r="R190" i="1"/>
  <c r="S190" i="1"/>
  <c r="T190" i="1"/>
  <c r="U190" i="1"/>
  <c r="V190" i="1"/>
  <c r="R191" i="1"/>
  <c r="S191" i="1"/>
  <c r="T191" i="1"/>
  <c r="U191" i="1"/>
  <c r="V191" i="1"/>
  <c r="S192" i="1"/>
  <c r="U192" i="1"/>
  <c r="V192" i="1"/>
  <c r="V180" i="1"/>
  <c r="U180" i="1"/>
  <c r="T180" i="1"/>
  <c r="S180" i="1"/>
  <c r="R180" i="1"/>
  <c r="V176" i="1"/>
  <c r="U176" i="1"/>
  <c r="T176" i="1"/>
  <c r="S176" i="1"/>
  <c r="R176" i="1"/>
  <c r="V175" i="1"/>
  <c r="U175" i="1"/>
  <c r="T175" i="1"/>
  <c r="S175" i="1"/>
  <c r="R175" i="1"/>
  <c r="R163" i="1"/>
  <c r="S163" i="1"/>
  <c r="T163" i="1"/>
  <c r="U163" i="1"/>
  <c r="V163" i="1"/>
  <c r="R164" i="1"/>
  <c r="S164" i="1"/>
  <c r="T164" i="1"/>
  <c r="U164" i="1"/>
  <c r="V164" i="1"/>
  <c r="R165" i="1"/>
  <c r="S165" i="1"/>
  <c r="T165" i="1"/>
  <c r="U165" i="1"/>
  <c r="V165" i="1"/>
  <c r="R166" i="1"/>
  <c r="S166" i="1"/>
  <c r="T166" i="1"/>
  <c r="U166" i="1"/>
  <c r="V166" i="1"/>
  <c r="R167" i="1"/>
  <c r="S167" i="1"/>
  <c r="T167" i="1"/>
  <c r="U167" i="1"/>
  <c r="V167" i="1"/>
  <c r="R168" i="1"/>
  <c r="S168" i="1"/>
  <c r="T168" i="1"/>
  <c r="U168" i="1"/>
  <c r="V168" i="1"/>
  <c r="R169" i="1"/>
  <c r="S169" i="1"/>
  <c r="T169" i="1"/>
  <c r="U169" i="1"/>
  <c r="V169" i="1"/>
  <c r="R170" i="1"/>
  <c r="S170" i="1"/>
  <c r="T170" i="1"/>
  <c r="U170" i="1"/>
  <c r="V170" i="1"/>
  <c r="S171" i="1"/>
  <c r="U171" i="1"/>
  <c r="V171" i="1"/>
  <c r="V162" i="1"/>
  <c r="U162" i="1"/>
  <c r="T162" i="1"/>
  <c r="S162" i="1"/>
  <c r="R162" i="1"/>
  <c r="V159" i="1"/>
  <c r="U159" i="1"/>
  <c r="T159" i="1"/>
  <c r="S159" i="1"/>
  <c r="R159" i="1"/>
  <c r="V158" i="1"/>
  <c r="U158" i="1"/>
  <c r="T158" i="1"/>
  <c r="S158" i="1"/>
  <c r="R158" i="1"/>
  <c r="S152" i="1"/>
  <c r="T152" i="1"/>
  <c r="U152" i="1"/>
  <c r="V152" i="1"/>
  <c r="R153" i="1"/>
  <c r="S153" i="1"/>
  <c r="T153" i="1"/>
  <c r="U153" i="1"/>
  <c r="V153" i="1"/>
  <c r="S154" i="1"/>
  <c r="U154" i="1"/>
  <c r="V154" i="1"/>
  <c r="V151" i="1"/>
  <c r="U151" i="1"/>
  <c r="T151" i="1"/>
  <c r="S151" i="1"/>
  <c r="R151" i="1"/>
  <c r="R125" i="1"/>
  <c r="S125" i="1"/>
  <c r="T125" i="1"/>
  <c r="U125" i="1"/>
  <c r="V125" i="1"/>
  <c r="R126" i="1"/>
  <c r="S126" i="1"/>
  <c r="T126" i="1"/>
  <c r="U126" i="1"/>
  <c r="V126" i="1"/>
  <c r="R127" i="1"/>
  <c r="S127" i="1"/>
  <c r="T127" i="1"/>
  <c r="U127" i="1"/>
  <c r="V127" i="1" s="1"/>
  <c r="R128" i="1"/>
  <c r="S128" i="1"/>
  <c r="T128" i="1"/>
  <c r="U128" i="1"/>
  <c r="V128" i="1"/>
  <c r="R129" i="1"/>
  <c r="S129" i="1"/>
  <c r="T129" i="1"/>
  <c r="U129" i="1"/>
  <c r="V129" i="1"/>
  <c r="R130" i="1"/>
  <c r="S130" i="1"/>
  <c r="T130" i="1"/>
  <c r="U130" i="1"/>
  <c r="V130" i="1"/>
  <c r="R131" i="1"/>
  <c r="S131" i="1"/>
  <c r="T131" i="1"/>
  <c r="U131" i="1"/>
  <c r="V131" i="1"/>
  <c r="R132" i="1"/>
  <c r="S132" i="1"/>
  <c r="T132" i="1"/>
  <c r="U132" i="1"/>
  <c r="V132" i="1"/>
  <c r="R133" i="1"/>
  <c r="S133" i="1"/>
  <c r="T133" i="1"/>
  <c r="U133" i="1"/>
  <c r="V133" i="1"/>
  <c r="R134" i="1"/>
  <c r="S134" i="1"/>
  <c r="T134" i="1"/>
  <c r="U134" i="1"/>
  <c r="V134" i="1"/>
  <c r="R135" i="1"/>
  <c r="S135" i="1"/>
  <c r="T135" i="1"/>
  <c r="U135" i="1"/>
  <c r="V135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V144" i="1"/>
  <c r="R145" i="1"/>
  <c r="S145" i="1"/>
  <c r="T145" i="1"/>
  <c r="U145" i="1"/>
  <c r="V145" i="1"/>
  <c r="R146" i="1"/>
  <c r="S146" i="1"/>
  <c r="T146" i="1"/>
  <c r="U146" i="1"/>
  <c r="V146" i="1"/>
  <c r="R147" i="1"/>
  <c r="S147" i="1"/>
  <c r="T147" i="1"/>
  <c r="U147" i="1"/>
  <c r="V147" i="1"/>
  <c r="S148" i="1"/>
  <c r="U148" i="1"/>
  <c r="V148" i="1"/>
  <c r="V124" i="1"/>
  <c r="U124" i="1"/>
  <c r="T124" i="1"/>
  <c r="S124" i="1"/>
  <c r="R124" i="1"/>
  <c r="R118" i="1"/>
  <c r="S118" i="1"/>
  <c r="T118" i="1"/>
  <c r="U118" i="1"/>
  <c r="V118" i="1"/>
  <c r="R119" i="1"/>
  <c r="S119" i="1"/>
  <c r="T119" i="1"/>
  <c r="U119" i="1"/>
  <c r="V119" i="1"/>
  <c r="R120" i="1"/>
  <c r="S120" i="1"/>
  <c r="T120" i="1"/>
  <c r="U120" i="1"/>
  <c r="V120" i="1"/>
  <c r="S121" i="1"/>
  <c r="U121" i="1"/>
  <c r="V121" i="1"/>
  <c r="V117" i="1"/>
  <c r="U117" i="1"/>
  <c r="T117" i="1"/>
  <c r="S117" i="1"/>
  <c r="R117" i="1"/>
  <c r="R106" i="1"/>
  <c r="S106" i="1"/>
  <c r="T106" i="1"/>
  <c r="U106" i="1"/>
  <c r="V106" i="1"/>
  <c r="S107" i="1"/>
  <c r="T107" i="1"/>
  <c r="U107" i="1"/>
  <c r="V107" i="1"/>
  <c r="R108" i="1"/>
  <c r="S108" i="1"/>
  <c r="T108" i="1"/>
  <c r="U108" i="1"/>
  <c r="V108" i="1"/>
  <c r="R109" i="1"/>
  <c r="S109" i="1"/>
  <c r="T109" i="1"/>
  <c r="U109" i="1"/>
  <c r="V109" i="1"/>
  <c r="R110" i="1"/>
  <c r="S110" i="1"/>
  <c r="T110" i="1"/>
  <c r="U110" i="1"/>
  <c r="V110" i="1"/>
  <c r="R111" i="1"/>
  <c r="S111" i="1"/>
  <c r="T111" i="1"/>
  <c r="U111" i="1"/>
  <c r="V111" i="1"/>
  <c r="R112" i="1"/>
  <c r="S112" i="1"/>
  <c r="T112" i="1"/>
  <c r="U112" i="1"/>
  <c r="V112" i="1"/>
  <c r="R113" i="1"/>
  <c r="S113" i="1"/>
  <c r="T113" i="1"/>
  <c r="U113" i="1"/>
  <c r="V113" i="1"/>
  <c r="S114" i="1"/>
  <c r="U114" i="1"/>
  <c r="V114" i="1"/>
  <c r="V105" i="1"/>
  <c r="U105" i="1"/>
  <c r="T105" i="1"/>
  <c r="S105" i="1"/>
  <c r="R105" i="1"/>
  <c r="R93" i="1"/>
  <c r="S93" i="1"/>
  <c r="T93" i="1"/>
  <c r="U93" i="1"/>
  <c r="V93" i="1"/>
  <c r="R94" i="1"/>
  <c r="S94" i="1"/>
  <c r="T94" i="1"/>
  <c r="U94" i="1"/>
  <c r="V94" i="1"/>
  <c r="R95" i="1"/>
  <c r="S95" i="1"/>
  <c r="T95" i="1"/>
  <c r="U95" i="1"/>
  <c r="V95" i="1"/>
  <c r="R96" i="1"/>
  <c r="S96" i="1"/>
  <c r="T96" i="1"/>
  <c r="U96" i="1"/>
  <c r="V96" i="1"/>
  <c r="R97" i="1"/>
  <c r="S97" i="1"/>
  <c r="T97" i="1"/>
  <c r="U97" i="1"/>
  <c r="V97" i="1"/>
  <c r="R98" i="1"/>
  <c r="S98" i="1"/>
  <c r="T98" i="1"/>
  <c r="U98" i="1"/>
  <c r="V98" i="1"/>
  <c r="R99" i="1"/>
  <c r="S99" i="1"/>
  <c r="T99" i="1"/>
  <c r="U99" i="1"/>
  <c r="V99" i="1"/>
  <c r="R100" i="1"/>
  <c r="S100" i="1"/>
  <c r="T100" i="1"/>
  <c r="U100" i="1"/>
  <c r="V100" i="1"/>
  <c r="R101" i="1"/>
  <c r="S101" i="1"/>
  <c r="T101" i="1"/>
  <c r="U101" i="1"/>
  <c r="V101" i="1"/>
  <c r="R102" i="1"/>
  <c r="S102" i="1"/>
  <c r="T102" i="1"/>
  <c r="U102" i="1"/>
  <c r="V102" i="1"/>
  <c r="V92" i="1"/>
  <c r="U92" i="1"/>
  <c r="T92" i="1"/>
  <c r="S92" i="1"/>
  <c r="R92" i="1"/>
  <c r="R58" i="1"/>
  <c r="S58" i="1"/>
  <c r="T58" i="1"/>
  <c r="U58" i="1"/>
  <c r="V58" i="1"/>
  <c r="R59" i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V62" i="1" s="1"/>
  <c r="R63" i="1"/>
  <c r="S63" i="1"/>
  <c r="T63" i="1"/>
  <c r="U63" i="1"/>
  <c r="V63" i="1"/>
  <c r="R64" i="1"/>
  <c r="S64" i="1"/>
  <c r="T64" i="1"/>
  <c r="U64" i="1"/>
  <c r="V64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R70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8" i="1"/>
  <c r="S78" i="1"/>
  <c r="T78" i="1"/>
  <c r="U78" i="1"/>
  <c r="V78" i="1"/>
  <c r="R79" i="1"/>
  <c r="S79" i="1"/>
  <c r="T79" i="1"/>
  <c r="U79" i="1"/>
  <c r="V79" i="1"/>
  <c r="R80" i="1"/>
  <c r="S80" i="1"/>
  <c r="T80" i="1"/>
  <c r="U80" i="1"/>
  <c r="V80" i="1"/>
  <c r="R81" i="1"/>
  <c r="S81" i="1"/>
  <c r="T81" i="1"/>
  <c r="U81" i="1"/>
  <c r="V81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6" i="1"/>
  <c r="S86" i="1"/>
  <c r="T86" i="1"/>
  <c r="U86" i="1"/>
  <c r="V86" i="1"/>
  <c r="R87" i="1"/>
  <c r="S87" i="1"/>
  <c r="T87" i="1"/>
  <c r="U87" i="1"/>
  <c r="V87" i="1"/>
  <c r="S88" i="1"/>
  <c r="U88" i="1"/>
  <c r="V88" i="1"/>
  <c r="V57" i="1"/>
  <c r="U57" i="1"/>
  <c r="T57" i="1"/>
  <c r="S57" i="1"/>
  <c r="R57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T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S54" i="1"/>
  <c r="U54" i="1"/>
  <c r="V54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R12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S19" i="1"/>
  <c r="T19" i="1"/>
  <c r="U19" i="1"/>
  <c r="V19" i="1"/>
  <c r="R20" i="1"/>
  <c r="S20" i="1"/>
  <c r="T20" i="1"/>
  <c r="U20" i="1"/>
  <c r="V20" i="1"/>
  <c r="R21" i="1"/>
  <c r="S21" i="1"/>
  <c r="T21" i="1"/>
  <c r="U21" i="1"/>
  <c r="V21" i="1"/>
  <c r="S22" i="1"/>
  <c r="U22" i="1"/>
  <c r="V22" i="1"/>
  <c r="V6" i="1"/>
  <c r="U6" i="1"/>
  <c r="T6" i="1"/>
  <c r="I10" i="4" l="1"/>
  <c r="H10" i="4"/>
  <c r="G10" i="4"/>
  <c r="F10" i="4"/>
  <c r="E10" i="4"/>
  <c r="D10" i="4"/>
  <c r="C10" i="4"/>
  <c r="B10" i="4"/>
  <c r="O171" i="1" l="1"/>
  <c r="O192" i="1"/>
  <c r="K192" i="1"/>
  <c r="L191" i="1" s="1"/>
  <c r="H192" i="1"/>
  <c r="K177" i="1"/>
  <c r="H177" i="1"/>
  <c r="D177" i="1"/>
  <c r="H171" i="1"/>
  <c r="K171" i="1"/>
  <c r="L168" i="1" s="1"/>
  <c r="H154" i="1"/>
  <c r="O154" i="1"/>
  <c r="K154" i="1"/>
  <c r="O148" i="1"/>
  <c r="K148" i="1"/>
  <c r="L143" i="1" s="1"/>
  <c r="H148" i="1"/>
  <c r="D148" i="1"/>
  <c r="O121" i="1"/>
  <c r="K121" i="1"/>
  <c r="H121" i="1"/>
  <c r="T121" i="1" s="1"/>
  <c r="H114" i="1"/>
  <c r="D114" i="1"/>
  <c r="O114" i="1"/>
  <c r="K114" i="1"/>
  <c r="L92" i="1" s="1"/>
  <c r="O88" i="1"/>
  <c r="K88" i="1"/>
  <c r="L80" i="1" s="1"/>
  <c r="H88" i="1"/>
  <c r="D88" i="1"/>
  <c r="O54" i="1"/>
  <c r="K54" i="1"/>
  <c r="L25" i="1" s="1"/>
  <c r="H54" i="1"/>
  <c r="O22" i="1"/>
  <c r="H22" i="1"/>
  <c r="T171" i="1" l="1"/>
  <c r="L84" i="1"/>
  <c r="L85" i="1"/>
  <c r="E77" i="1"/>
  <c r="E85" i="1"/>
  <c r="T192" i="1"/>
  <c r="L77" i="1"/>
  <c r="T54" i="1"/>
  <c r="T154" i="1"/>
  <c r="R154" i="1"/>
  <c r="T88" i="1"/>
  <c r="T148" i="1"/>
  <c r="T22" i="1"/>
  <c r="R121" i="1"/>
  <c r="R192" i="1"/>
  <c r="T114" i="1"/>
  <c r="O172" i="1"/>
  <c r="O193" i="1" s="1"/>
  <c r="R148" i="1"/>
  <c r="L138" i="1"/>
  <c r="L139" i="1"/>
  <c r="R114" i="1"/>
  <c r="R88" i="1"/>
  <c r="L59" i="1"/>
  <c r="L61" i="1"/>
  <c r="L63" i="1"/>
  <c r="L65" i="1"/>
  <c r="L67" i="1"/>
  <c r="L69" i="1"/>
  <c r="L71" i="1"/>
  <c r="L73" i="1"/>
  <c r="L75" i="1"/>
  <c r="L78" i="1"/>
  <c r="L82" i="1"/>
  <c r="L87" i="1"/>
  <c r="L58" i="1"/>
  <c r="L60" i="1"/>
  <c r="L62" i="1"/>
  <c r="L64" i="1"/>
  <c r="L66" i="1"/>
  <c r="L68" i="1"/>
  <c r="L70" i="1"/>
  <c r="L72" i="1"/>
  <c r="L74" i="1"/>
  <c r="L76" i="1"/>
  <c r="L79" i="1"/>
  <c r="L81" i="1"/>
  <c r="L83" i="1"/>
  <c r="L86" i="1"/>
  <c r="E27" i="1"/>
  <c r="E29" i="1"/>
  <c r="E31" i="1"/>
  <c r="E33" i="1"/>
  <c r="E35" i="1"/>
  <c r="E37" i="1"/>
  <c r="E39" i="1"/>
  <c r="E41" i="1"/>
  <c r="E43" i="1"/>
  <c r="E45" i="1"/>
  <c r="E47" i="1"/>
  <c r="E49" i="1"/>
  <c r="E51" i="1"/>
  <c r="E53" i="1"/>
  <c r="E26" i="1"/>
  <c r="E28" i="1"/>
  <c r="E30" i="1"/>
  <c r="E32" i="1"/>
  <c r="E34" i="1"/>
  <c r="E36" i="1"/>
  <c r="E38" i="1"/>
  <c r="E40" i="1"/>
  <c r="E42" i="1"/>
  <c r="E44" i="1"/>
  <c r="E46" i="1"/>
  <c r="E48" i="1"/>
  <c r="E50" i="1"/>
  <c r="E52" i="1"/>
  <c r="E25" i="1"/>
  <c r="E164" i="1"/>
  <c r="E166" i="1"/>
  <c r="E168" i="1"/>
  <c r="E170" i="1"/>
  <c r="E163" i="1"/>
  <c r="E165" i="1"/>
  <c r="E167" i="1"/>
  <c r="E169" i="1"/>
  <c r="R171" i="1"/>
  <c r="H172" i="1"/>
  <c r="H193" i="1" s="1"/>
  <c r="J10" i="4"/>
  <c r="J12" i="4" s="1"/>
  <c r="I12" i="4"/>
  <c r="H12" i="4"/>
  <c r="G12" i="4"/>
  <c r="F12" i="4"/>
  <c r="E12" i="4"/>
  <c r="C12" i="4"/>
  <c r="L190" i="1"/>
  <c r="E188" i="1"/>
  <c r="L189" i="1"/>
  <c r="L188" i="1"/>
  <c r="L186" i="1"/>
  <c r="L185" i="1"/>
  <c r="L184" i="1"/>
  <c r="L182" i="1"/>
  <c r="L181" i="1"/>
  <c r="L180" i="1"/>
  <c r="V177" i="1"/>
  <c r="U177" i="1"/>
  <c r="L175" i="1"/>
  <c r="E175" i="1"/>
  <c r="L169" i="1"/>
  <c r="L163" i="1"/>
  <c r="L159" i="1"/>
  <c r="L151" i="1"/>
  <c r="E153" i="1"/>
  <c r="L144" i="1"/>
  <c r="E147" i="1"/>
  <c r="E144" i="1"/>
  <c r="L137" i="1"/>
  <c r="L135" i="1"/>
  <c r="L132" i="1"/>
  <c r="L129" i="1"/>
  <c r="L127" i="1"/>
  <c r="L124" i="1"/>
  <c r="L119" i="1"/>
  <c r="E120" i="1"/>
  <c r="L120" i="1"/>
  <c r="E84" i="1"/>
  <c r="E86" i="1"/>
  <c r="E83" i="1"/>
  <c r="E81" i="1"/>
  <c r="E79" i="1"/>
  <c r="E76" i="1"/>
  <c r="E74" i="1"/>
  <c r="E72" i="1"/>
  <c r="E70" i="1"/>
  <c r="E68" i="1"/>
  <c r="E66" i="1"/>
  <c r="E64" i="1"/>
  <c r="E62" i="1"/>
  <c r="E60" i="1"/>
  <c r="E58" i="1"/>
  <c r="L50" i="1"/>
  <c r="R54" i="1"/>
  <c r="L51" i="1"/>
  <c r="L32" i="1"/>
  <c r="K22" i="1"/>
  <c r="L13" i="1" s="1"/>
  <c r="E14" i="1"/>
  <c r="S6" i="1"/>
  <c r="R6" i="1"/>
  <c r="E8" i="1" l="1"/>
  <c r="E6" i="1"/>
  <c r="E10" i="1"/>
  <c r="E9" i="1"/>
  <c r="L8" i="1"/>
  <c r="L10" i="1"/>
  <c r="L12" i="1"/>
  <c r="L14" i="1"/>
  <c r="L16" i="1"/>
  <c r="L18" i="1"/>
  <c r="L20" i="1"/>
  <c r="L7" i="1"/>
  <c r="L9" i="1"/>
  <c r="L11" i="1"/>
  <c r="L15" i="1"/>
  <c r="L17" i="1"/>
  <c r="L19" i="1"/>
  <c r="L21" i="1"/>
  <c r="E19" i="1"/>
  <c r="R22" i="1"/>
  <c r="L6" i="1"/>
  <c r="L40" i="1"/>
  <c r="L117" i="1"/>
  <c r="L125" i="1"/>
  <c r="L128" i="1"/>
  <c r="L131" i="1"/>
  <c r="L133" i="1"/>
  <c r="L136" i="1"/>
  <c r="L140" i="1"/>
  <c r="E18" i="1"/>
  <c r="L57" i="1"/>
  <c r="E61" i="1"/>
  <c r="E117" i="1"/>
  <c r="E124" i="1"/>
  <c r="E125" i="1"/>
  <c r="E126" i="1"/>
  <c r="E131" i="1"/>
  <c r="E132" i="1"/>
  <c r="E133" i="1"/>
  <c r="E134" i="1"/>
  <c r="E139" i="1"/>
  <c r="E142" i="1"/>
  <c r="E146" i="1"/>
  <c r="L165" i="1"/>
  <c r="L167" i="1"/>
  <c r="E11" i="1"/>
  <c r="E13" i="1"/>
  <c r="E16" i="1"/>
  <c r="E20" i="1"/>
  <c r="L29" i="1"/>
  <c r="L37" i="1"/>
  <c r="L43" i="1"/>
  <c r="K172" i="1"/>
  <c r="L118" i="1"/>
  <c r="E127" i="1"/>
  <c r="E128" i="1"/>
  <c r="E129" i="1"/>
  <c r="E130" i="1"/>
  <c r="E135" i="1"/>
  <c r="E136" i="1"/>
  <c r="E137" i="1"/>
  <c r="E138" i="1"/>
  <c r="E140" i="1"/>
  <c r="E141" i="1"/>
  <c r="E143" i="1"/>
  <c r="E145" i="1"/>
  <c r="L158" i="1"/>
  <c r="L164" i="1"/>
  <c r="L97" i="1"/>
  <c r="L107" i="1"/>
  <c r="L96" i="1"/>
  <c r="L48" i="1"/>
  <c r="L33" i="1"/>
  <c r="L44" i="1"/>
  <c r="L52" i="1"/>
  <c r="E119" i="1"/>
  <c r="L142" i="1"/>
  <c r="L146" i="1"/>
  <c r="L153" i="1"/>
  <c r="E183" i="1"/>
  <c r="E187" i="1"/>
  <c r="E191" i="1"/>
  <c r="D12" i="4"/>
  <c r="E93" i="1"/>
  <c r="L36" i="1"/>
  <c r="L39" i="1"/>
  <c r="L30" i="1"/>
  <c r="L38" i="1"/>
  <c r="L41" i="1"/>
  <c r="L49" i="1"/>
  <c r="L126" i="1"/>
  <c r="L130" i="1"/>
  <c r="L134" i="1"/>
  <c r="E152" i="1"/>
  <c r="E162" i="1"/>
  <c r="E176" i="1"/>
  <c r="L183" i="1"/>
  <c r="L187" i="1"/>
  <c r="L28" i="1"/>
  <c r="L47" i="1"/>
  <c r="E7" i="1"/>
  <c r="E17" i="1"/>
  <c r="E21" i="1"/>
  <c r="L27" i="1"/>
  <c r="L35" i="1"/>
  <c r="L46" i="1"/>
  <c r="E57" i="1"/>
  <c r="E65" i="1"/>
  <c r="E69" i="1"/>
  <c r="E73" i="1"/>
  <c r="E78" i="1"/>
  <c r="E82" i="1"/>
  <c r="E87" i="1"/>
  <c r="E118" i="1"/>
  <c r="L141" i="1"/>
  <c r="L145" i="1"/>
  <c r="L152" i="1"/>
  <c r="L162" i="1"/>
  <c r="L166" i="1"/>
  <c r="L170" i="1"/>
  <c r="L176" i="1"/>
  <c r="R177" i="1"/>
  <c r="E182" i="1"/>
  <c r="E186" i="1"/>
  <c r="E190" i="1"/>
  <c r="E151" i="1"/>
  <c r="E159" i="1"/>
  <c r="E181" i="1"/>
  <c r="E185" i="1"/>
  <c r="E189" i="1"/>
  <c r="L45" i="1"/>
  <c r="L53" i="1"/>
  <c r="E102" i="1"/>
  <c r="L26" i="1"/>
  <c r="L34" i="1"/>
  <c r="E158" i="1"/>
  <c r="E12" i="1"/>
  <c r="E15" i="1"/>
  <c r="L31" i="1"/>
  <c r="L42" i="1"/>
  <c r="E59" i="1"/>
  <c r="E63" i="1"/>
  <c r="E67" i="1"/>
  <c r="E71" i="1"/>
  <c r="E75" i="1"/>
  <c r="E80" i="1"/>
  <c r="L147" i="1"/>
  <c r="E180" i="1"/>
  <c r="E184" i="1"/>
  <c r="L108" i="1" l="1"/>
  <c r="L93" i="1"/>
  <c r="L94" i="1"/>
  <c r="L100" i="1"/>
  <c r="L110" i="1"/>
  <c r="E106" i="1"/>
  <c r="L95" i="1"/>
  <c r="K193" i="1"/>
  <c r="L22" i="1"/>
  <c r="L148" i="1"/>
  <c r="L54" i="1"/>
  <c r="L121" i="1"/>
  <c r="L88" i="1"/>
  <c r="L114" i="1"/>
  <c r="L171" i="1"/>
  <c r="L154" i="1"/>
  <c r="L102" i="1"/>
  <c r="L99" i="1"/>
  <c r="L98" i="1"/>
  <c r="L113" i="1"/>
  <c r="L105" i="1"/>
  <c r="L109" i="1"/>
  <c r="L111" i="1"/>
  <c r="L101" i="1"/>
  <c r="L112" i="1"/>
  <c r="L106" i="1"/>
  <c r="E112" i="1"/>
  <c r="E109" i="1"/>
  <c r="E101" i="1"/>
  <c r="E98" i="1"/>
  <c r="E95" i="1"/>
  <c r="E100" i="1"/>
  <c r="E96" i="1"/>
  <c r="E107" i="1"/>
  <c r="E97" i="1"/>
  <c r="D172" i="1"/>
  <c r="E114" i="1" s="1"/>
  <c r="E113" i="1"/>
  <c r="E92" i="1"/>
  <c r="E99" i="1"/>
  <c r="E94" i="1"/>
  <c r="E111" i="1"/>
  <c r="E110" i="1"/>
  <c r="E108" i="1"/>
  <c r="E105" i="1"/>
  <c r="E54" i="1" l="1"/>
  <c r="E148" i="1"/>
  <c r="D193" i="1"/>
  <c r="E88" i="1"/>
  <c r="E22" i="1"/>
  <c r="E171" i="1"/>
  <c r="E121" i="1"/>
  <c r="E154" i="1"/>
</calcChain>
</file>

<file path=xl/sharedStrings.xml><?xml version="1.0" encoding="utf-8"?>
<sst xmlns="http://schemas.openxmlformats.org/spreadsheetml/2006/main" count="401" uniqueCount="250">
  <si>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</si>
  <si>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</si>
  <si>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</si>
  <si>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</si>
  <si>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</si>
  <si>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</si>
  <si>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</si>
  <si>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</si>
  <si>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</si>
  <si>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</si>
  <si>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</si>
  <si>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</si>
  <si>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</si>
  <si>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</si>
  <si>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</si>
  <si>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</si>
  <si>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</si>
  <si>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</si>
  <si>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</si>
  <si>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</si>
  <si>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</si>
  <si>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</si>
  <si>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</si>
  <si>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</si>
  <si>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</si>
  <si>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</si>
  <si>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</si>
  <si>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</si>
  <si>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</si>
  <si>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</si>
  <si>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</si>
  <si>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</si>
  <si>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</si>
  <si>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</si>
  <si>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</si>
  <si>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</si>
  <si>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</si>
  <si>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</si>
  <si>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</si>
  <si>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</si>
  <si>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</si>
  <si>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</si>
  <si>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</si>
  <si>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</si>
  <si>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</si>
  <si>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</si>
  <si>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</si>
  <si>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</si>
  <si>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</si>
  <si>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</si>
  <si>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</si>
  <si>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</si>
  <si>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</si>
  <si>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</si>
  <si>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</si>
  <si>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</si>
  <si>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</si>
  <si>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</si>
  <si>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</si>
  <si>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</si>
  <si>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</si>
  <si>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</si>
  <si>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</si>
  <si>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</si>
  <si>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</si>
  <si>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</si>
  <si>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</si>
  <si>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</si>
  <si>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</si>
  <si>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</si>
  <si>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</si>
  <si>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</si>
  <si>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</si>
  <si>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</si>
  <si>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</si>
  <si>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</si>
  <si>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</si>
  <si>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</si>
  <si>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</si>
  <si>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</si>
  <si>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</si>
  <si>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</si>
  <si>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</si>
  <si>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</si>
  <si>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</si>
  <si>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</si>
  <si>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</si>
  <si>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</si>
  <si>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</si>
  <si>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</si>
  <si>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</si>
  <si>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</si>
  <si>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</si>
  <si>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</si>
  <si>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</si>
  <si>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</si>
  <si>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</si>
  <si>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</si>
  <si>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</si>
  <si>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</si>
  <si>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</si>
  <si>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</si>
  <si>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</si>
  <si>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</si>
  <si>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</si>
  <si>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</si>
  <si>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</si>
  <si>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</si>
  <si>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</si>
  <si>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</si>
  <si>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</si>
  <si>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</si>
  <si>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</si>
  <si>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</si>
  <si>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</si>
  <si>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</si>
  <si>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</si>
  <si>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</si>
  <si>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</si>
  <si>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</si>
  <si>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</si>
  <si>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</si>
  <si>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</si>
  <si>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</si>
  <si>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</si>
  <si>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</si>
  <si>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</si>
  <si>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Vantage Guaranteed Income Fund (VGIF)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</si>
  <si>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</si>
  <si>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</si>
  <si>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</si>
  <si>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</si>
  <si>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</si>
  <si>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</si>
  <si>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</si>
  <si>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</si>
  <si>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</si>
  <si>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</si>
  <si>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</si>
  <si>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</si>
  <si>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</si>
  <si>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</si>
  <si>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</si>
  <si>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</si>
  <si>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</si>
  <si>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</si>
  <si>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</si>
  <si>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</si>
  <si>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</si>
  <si>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</si>
  <si>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</si>
  <si>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</si>
  <si>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</si>
  <si>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</si>
  <si>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</si>
  <si>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</si>
  <si>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</si>
  <si>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</si>
  <si>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</si>
  <si>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</si>
  <si>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</si>
  <si>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</si>
  <si>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</si>
  <si>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</si>
  <si>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</si>
  <si>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</si>
  <si>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</si>
  <si>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</si>
  <si>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</si>
  <si>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</si>
  <si>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</si>
  <si>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</si>
  <si>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</si>
  <si>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</si>
  <si>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</si>
  <si>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</si>
  <si>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</si>
  <si>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</si>
  <si>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</si>
  <si>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</si>
  <si>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</si>
  <si>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</si>
  <si>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</si>
  <si>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</si>
  <si>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</si>
  <si>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</si>
  <si>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</si>
  <si>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</si>
  <si>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</si>
  <si>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</si>
  <si>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</si>
  <si>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</si>
  <si>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</si>
  <si>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</si>
  <si>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</si>
  <si>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</si>
  <si>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</si>
  <si>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</si>
  <si>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</si>
  <si>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</si>
  <si>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</si>
  <si>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</si>
  <si>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</si>
  <si>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</si>
  <si>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</si>
  <si>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</si>
  <si>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</si>
  <si>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</si>
  <si>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</si>
  <si>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</si>
  <si>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</si>
  <si>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</si>
  <si>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</si>
  <si>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</si>
  <si>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</si>
  <si>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</si>
  <si>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</si>
  <si>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</si>
  <si>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</si>
  <si>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</si>
  <si>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</si>
  <si>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</si>
  <si>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</si>
  <si>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</si>
  <si>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</si>
  <si>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</si>
  <si>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</si>
  <si>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</si>
  <si>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</si>
  <si>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</si>
  <si>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Unitholders</t>
  </si>
  <si>
    <t>EUROBONDS</t>
  </si>
  <si>
    <t>FIXED INCOME</t>
  </si>
  <si>
    <t>EQUITIES</t>
  </si>
  <si>
    <t>DATE</t>
  </si>
  <si>
    <t>TOTAL NAV</t>
  </si>
  <si>
    <t>Uniholders</t>
  </si>
  <si>
    <t>NAV, Unit Price and Yield as at Week Ended October 20, 2023</t>
  </si>
  <si>
    <t>Radix Horizon Fund</t>
  </si>
  <si>
    <t>Radix Capital Partners Limited</t>
  </si>
  <si>
    <t>Guaranty Trust Equity Income Fund</t>
  </si>
  <si>
    <t>Guaranty Trust Money Market Fund</t>
  </si>
  <si>
    <t>Guaranty Trust Balanced Fund</t>
  </si>
  <si>
    <t>Week Ended October 20, 2023</t>
  </si>
  <si>
    <t>WEEKLY VALUATION REPORT OF COLLECTIVE INVESTMENT SCHEMES AS AT WEEK ENDED FRIDAY, OCTOBER 27, 2023</t>
  </si>
  <si>
    <t>NAV, Unit Price and Yield as at Week Ended October 27, 2023</t>
  </si>
  <si>
    <t>Utica Custodian Assured Fixed Income Fund</t>
  </si>
  <si>
    <t>Utica Capital Limited</t>
  </si>
  <si>
    <t> 370.74</t>
  </si>
  <si>
    <t>Week Ended October 27,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</si>
</sst>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5" xfId="0" applyFont="1" applyFill="1" applyBorder="1"/>
    <xf numFmtId="43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43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43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43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43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43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43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43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164" fontId="6" fillId="3" borderId="5" xfId="0" applyNumberFormat="1" applyFont="1" applyFill="1" applyBorder="1"/>
    <xf numFmtId="164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43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164" fontId="13" fillId="4" borderId="5" xfId="0" applyNumberFormat="1" applyFont="1" applyFill="1" applyBorder="1"/>
    <xf numFmtId="0" fontId="11" fillId="0" borderId="0" xfId="0" applyFont="1"/>
    <xf numFmtId="43" fontId="11" fillId="0" borderId="0" xfId="1" applyFont="1"/>
    <xf numFmtId="0" fontId="9" fillId="9" borderId="5" xfId="0" applyFont="1" applyFill="1" applyBorder="1" applyAlignment="1">
      <alignment horizontal="right"/>
    </xf>
    <xf numFmtId="164" fontId="9" fillId="9" borderId="5" xfId="0" quotePrefix="1" applyNumberFormat="1" applyFont="1" applyFill="1" applyBorder="1" applyAlignment="1">
      <alignment horizontal="center"/>
    </xf>
    <xf numFmtId="164" fontId="9" fillId="9" borderId="5" xfId="0" applyNumberFormat="1" applyFont="1" applyFill="1" applyBorder="1"/>
    <xf numFmtId="43" fontId="9" fillId="9" borderId="5" xfId="1" applyFont="1" applyFill="1" applyBorder="1"/>
    <xf numFmtId="43" fontId="3" fillId="3" borderId="5" xfId="1" applyFont="1" applyFill="1" applyBorder="1" applyAlignment="1">
      <alignment horizontal="right" vertical="top" wrapText="1"/>
    </xf>
    <xf numFmtId="43" fontId="3" fillId="3" borderId="5" xfId="1" applyFont="1" applyFill="1" applyBorder="1" applyAlignment="1">
      <alignment horizontal="right"/>
    </xf>
    <xf numFmtId="43" fontId="6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wrapText="1"/>
    </xf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3" fontId="4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vertical="top" wrapText="1"/>
    </xf>
    <xf numFmtId="43" fontId="6" fillId="5" borderId="5" xfId="1" quotePrefix="1" applyFont="1" applyFill="1" applyBorder="1" applyAlignment="1">
      <alignment horizontal="center"/>
    </xf>
    <xf numFmtId="0" fontId="14" fillId="0" borderId="0" xfId="0" applyFont="1"/>
    <xf numFmtId="43" fontId="3" fillId="5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43" fontId="3" fillId="5" borderId="5" xfId="1" applyFont="1" applyFill="1" applyBorder="1" applyAlignment="1">
      <alignment horizontal="center" wrapText="1"/>
    </xf>
    <xf numFmtId="43" fontId="3" fillId="7" borderId="5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5" xfId="0" applyFont="1" applyFill="1" applyBorder="1" applyAlignment="1">
      <alignment horizontal="right"/>
    </xf>
    <xf numFmtId="43" fontId="3" fillId="3" borderId="5" xfId="1" applyFont="1" applyFill="1" applyBorder="1"/>
    <xf numFmtId="43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43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43" fontId="5" fillId="8" borderId="5" xfId="1" applyFont="1" applyFill="1" applyBorder="1" applyAlignment="1">
      <alignment horizontal="right" vertical="top" wrapText="1"/>
    </xf>
    <xf numFmtId="43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0" fontId="18" fillId="0" borderId="0" xfId="0" applyFont="1" applyBorder="1"/>
    <xf numFmtId="0" fontId="0" fillId="0" borderId="0" xfId="0" applyBorder="1"/>
    <xf numFmtId="0" fontId="21" fillId="0" borderId="5" xfId="0" applyFont="1" applyBorder="1" applyAlignment="1">
      <alignment horizontal="right"/>
    </xf>
    <xf numFmtId="16" fontId="22" fillId="3" borderId="5" xfId="0" applyNumberFormat="1" applyFont="1" applyFill="1" applyBorder="1"/>
    <xf numFmtId="0" fontId="22" fillId="0" borderId="5" xfId="0" applyFont="1" applyBorder="1" applyAlignment="1">
      <alignment horizontal="right"/>
    </xf>
    <xf numFmtId="4" fontId="20" fillId="3" borderId="5" xfId="0" applyNumberFormat="1" applyFont="1" applyFill="1" applyBorder="1"/>
    <xf numFmtId="43" fontId="20" fillId="3" borderId="5" xfId="1" applyFont="1" applyFill="1" applyBorder="1" applyAlignment="1">
      <alignment horizontal="right" vertical="top" wrapText="1"/>
    </xf>
    <xf numFmtId="4" fontId="20" fillId="3" borderId="5" xfId="0" applyNumberFormat="1" applyFont="1" applyFill="1" applyBorder="1" applyAlignment="1">
      <alignment horizontal="right"/>
    </xf>
    <xf numFmtId="4" fontId="6" fillId="3" borderId="9" xfId="0" applyNumberFormat="1" applyFont="1" applyFill="1" applyBorder="1" applyAlignment="1">
      <alignment horizontal="right" wrapText="1"/>
    </xf>
    <xf numFmtId="0" fontId="9" fillId="0" borderId="0" xfId="0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0" fontId="19" fillId="0" borderId="0" xfId="0" applyFont="1"/>
    <xf numFmtId="16" fontId="22" fillId="3" borderId="5" xfId="0" applyNumberFormat="1" applyFont="1" applyFill="1" applyBorder="1" applyAlignment="1">
      <alignment wrapText="1"/>
    </xf>
    <xf numFmtId="0" fontId="22" fillId="0" borderId="5" xfId="0" applyFont="1" applyBorder="1" applyAlignment="1">
      <alignment horizontal="right" wrapText="1"/>
    </xf>
    <xf numFmtId="10" fontId="24" fillId="2" borderId="5" xfId="2" applyNumberFormat="1" applyFont="1" applyFill="1" applyBorder="1" applyAlignment="1">
      <alignment horizontal="center" vertical="top" wrapText="1"/>
    </xf>
    <xf numFmtId="0" fontId="26" fillId="0" borderId="0" xfId="0" applyFont="1"/>
    <xf numFmtId="10" fontId="25" fillId="10" borderId="0" xfId="0" applyNumberFormat="1" applyFont="1" applyFill="1" applyBorder="1" applyAlignment="1">
      <alignment horizontal="right" vertical="center" wrapText="1"/>
    </xf>
    <xf numFmtId="2" fontId="0" fillId="0" borderId="0" xfId="0" applyNumberFormat="1" applyBorder="1"/>
    <xf numFmtId="4" fontId="15" fillId="10" borderId="0" xfId="0" applyNumberFormat="1" applyFont="1" applyFill="1" applyBorder="1" applyAlignment="1">
      <alignment horizontal="right" vertical="center" wrapText="1"/>
    </xf>
    <xf numFmtId="0" fontId="0" fillId="0" borderId="0" xfId="0" quotePrefix="1"/>
    <xf numFmtId="4" fontId="12" fillId="3" borderId="0" xfId="0" applyNumberFormat="1" applyFont="1" applyFill="1" applyBorder="1"/>
    <xf numFmtId="16" fontId="27" fillId="3" borderId="0" xfId="0" applyNumberFormat="1" applyFont="1" applyFill="1" applyBorder="1"/>
    <xf numFmtId="43" fontId="28" fillId="0" borderId="0" xfId="1" applyFont="1" applyBorder="1"/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4" fontId="6" fillId="0" borderId="5" xfId="0" applyNumberFormat="1" applyFont="1" applyBorder="1" applyAlignment="1">
      <alignment wrapText="1"/>
    </xf>
    <xf numFmtId="49" fontId="6" fillId="0" borderId="5" xfId="0" applyNumberFormat="1" applyFont="1" applyBorder="1" applyAlignment="1">
      <alignment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left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13" fillId="11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5" fillId="6" borderId="5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/>
    </xf>
    <xf numFmtId="43" fontId="29" fillId="0" borderId="0" xfId="1" applyFont="1"/>
  </cellXfs>
  <cellStyles count="6">
    <cellStyle name="Comma" xfId="1" builtinId="3"/>
    <cellStyle name="Comma 10 13" xfId="3"/>
    <cellStyle name="Comma 3 2" xfId="4"/>
    <cellStyle name="Normal" xfId="0" builtinId="0"/>
    <cellStyle name="Percent" xfId="2" builtinId="5"/>
    <cellStyle name="Percent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Week Ended October 20,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#,##0.00</c:formatCode>
                <c:ptCount val="8"/>
                <c:pt idx="0">
                  <c:v>22.321023691510899</c:v>
                </c:pt>
                <c:pt idx="1">
                  <c:v>868.73320966515007</c:v>
                </c:pt>
                <c:pt idx="2">
                  <c:v>297.31476464083499</c:v>
                </c:pt>
                <c:pt idx="3">
                  <c:v>631.778541802777</c:v>
                </c:pt>
                <c:pt idx="4">
                  <c:v>93.071505879829999</c:v>
                </c:pt>
                <c:pt idx="5" formatCode="_(* #,##0.00_);_(* \(#,##0.00\);_(* &quot;-&quot;??_);_(@_)">
                  <c:v>39.125729977492107</c:v>
                </c:pt>
                <c:pt idx="6">
                  <c:v>3.8517567666799999</c:v>
                </c:pt>
                <c:pt idx="7">
                  <c:v>45.993634878969999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Week Ended October 27,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#,##0.00</c:formatCode>
                <c:ptCount val="8"/>
                <c:pt idx="0">
                  <c:v>22.297088298263198</c:v>
                </c:pt>
                <c:pt idx="1">
                  <c:v>866.720174597192</c:v>
                </c:pt>
                <c:pt idx="2">
                  <c:v>296.829521368717</c:v>
                </c:pt>
                <c:pt idx="3">
                  <c:v>623.93933918242101</c:v>
                </c:pt>
                <c:pt idx="4">
                  <c:v>93.122068013899991</c:v>
                </c:pt>
                <c:pt idx="5" formatCode="_(* #,##0.00_);_(* \(#,##0.00\);_(* &quot;-&quot;??_);_(@_)">
                  <c:v>39.115203974124903</c:v>
                </c:pt>
                <c:pt idx="6">
                  <c:v>38.502057462899998</c:v>
                </c:pt>
                <c:pt idx="7">
                  <c:v>46.178760569040001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  <a:endParaRPr lang="en-US" sz="2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27-Oct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3850205746.29</c:v>
                </c:pt>
                <c:pt idx="1">
                  <c:v>22297088298.263195</c:v>
                </c:pt>
                <c:pt idx="2">
                  <c:v>39115203974.124908</c:v>
                </c:pt>
                <c:pt idx="3">
                  <c:v>46178760569.040001</c:v>
                </c:pt>
                <c:pt idx="4">
                  <c:v>93122068013.900009</c:v>
                </c:pt>
                <c:pt idx="5" formatCode="_(* #,##0.00_);_(* \(#,##0.00\);_(* &quot;-&quot;??_);_(@_)">
                  <c:v>296829521368.71655</c:v>
                </c:pt>
                <c:pt idx="6">
                  <c:v>623939339182.42139</c:v>
                </c:pt>
                <c:pt idx="7">
                  <c:v>866720174597.19238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</a:t>
            </a:r>
          </a:p>
        </c:rich>
      </c:tx>
      <c:layout>
        <c:manualLayout>
          <c:xMode val="edge"/>
          <c:yMode val="edge"/>
          <c:x val="0.34965431646625561"/>
          <c:y val="1.5686278384753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'NAV Movement'!$C$2:$I$2</c:f>
              <c:numCache>
                <c:formatCode>d\-mmm</c:formatCode>
                <c:ptCount val="7"/>
                <c:pt idx="0">
                  <c:v>45184</c:v>
                </c:pt>
                <c:pt idx="1">
                  <c:v>45191</c:v>
                </c:pt>
                <c:pt idx="2">
                  <c:v>45198</c:v>
                </c:pt>
                <c:pt idx="3">
                  <c:v>45205</c:v>
                </c:pt>
                <c:pt idx="4">
                  <c:v>45212</c:v>
                </c:pt>
                <c:pt idx="5">
                  <c:v>45219</c:v>
                </c:pt>
                <c:pt idx="6">
                  <c:v>45226</c:v>
                </c:pt>
              </c:numCache>
            </c:numRef>
          </c:cat>
          <c:val>
            <c:numRef>
              <c:f>'NAV Movement'!$C$3:$I$3</c:f>
              <c:numCache>
                <c:formatCode>_(* #,##0.00_);_(* \(#,##0.00\);_(* "-"??_);_(@_)</c:formatCode>
                <c:ptCount val="7"/>
                <c:pt idx="0">
                  <c:v>1930034404358.7712</c:v>
                </c:pt>
                <c:pt idx="1">
                  <c:v>1927585637735.8486</c:v>
                </c:pt>
                <c:pt idx="2">
                  <c:v>1938057005087.2852</c:v>
                </c:pt>
                <c:pt idx="3">
                  <c:v>1935067759050.2058</c:v>
                </c:pt>
                <c:pt idx="4">
                  <c:v>1961229345082.9329</c:v>
                </c:pt>
                <c:pt idx="5">
                  <c:v>2002190167303.2449</c:v>
                </c:pt>
                <c:pt idx="6">
                  <c:v>1992052361749.9485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520065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304800</xdr:colOff>
      <xdr:row>29</xdr:row>
      <xdr:rowOff>134469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21</xdr:row>
      <xdr:rowOff>47624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3"/>
  <sheetViews>
    <sheetView tabSelected="1" zoomScale="120" zoomScaleNormal="120" workbookViewId="0">
      <pane ySplit="3" topLeftCell="A4" activePane="bottomLeft" state="frozen"/>
      <selection pane="bottomLeft" activeCell="A2" sqref="A2"/>
    </sheetView>
  </sheetViews>
  <sheetFormatPr defaultRowHeight="15" x14ac:dyDescent="0.2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42578125" customWidth="1"/>
    <col min="11" max="11" width="19.28515625" customWidth="1"/>
    <col min="13" max="13" width="10.28515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1.5703125" bestFit="1" customWidth="1"/>
    <col min="27" max="27" width="17.28515625" customWidth="1"/>
  </cols>
  <sheetData>
    <row r="1" spans="1:25" ht="26.25" x14ac:dyDescent="0.45">
      <c r="A1" s="136" t="s">
        <v>244</v>
      </c>
      <c r="B1" s="137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9"/>
    </row>
    <row r="2" spans="1:25" ht="15" customHeight="1" x14ac:dyDescent="0.25">
      <c r="A2" s="1"/>
      <c r="B2" s="1"/>
      <c r="C2" s="1"/>
      <c r="D2" s="143" t="s">
        <v>237</v>
      </c>
      <c r="E2" s="144"/>
      <c r="F2" s="144"/>
      <c r="G2" s="144"/>
      <c r="H2" s="144"/>
      <c r="I2" s="144"/>
      <c r="J2" s="145"/>
      <c r="K2" s="143" t="s">
        <v>245</v>
      </c>
      <c r="L2" s="144"/>
      <c r="M2" s="144"/>
      <c r="N2" s="144"/>
      <c r="O2" s="144"/>
      <c r="P2" s="144"/>
      <c r="Q2" s="145"/>
      <c r="R2" s="143" t="s">
        <v>0</v>
      </c>
      <c r="S2" s="144"/>
      <c r="T2" s="145"/>
      <c r="U2" s="140" t="s">
        <v>1</v>
      </c>
      <c r="V2" s="140"/>
    </row>
    <row r="3" spans="1:25" ht="25.5" x14ac:dyDescent="0.25">
      <c r="A3" s="85" t="s">
        <v>2</v>
      </c>
      <c r="B3" s="79" t="s">
        <v>3</v>
      </c>
      <c r="C3" s="79" t="s">
        <v>4</v>
      </c>
      <c r="D3" s="80" t="s">
        <v>5</v>
      </c>
      <c r="E3" s="81" t="s">
        <v>6</v>
      </c>
      <c r="F3" s="81" t="s">
        <v>7</v>
      </c>
      <c r="G3" s="81" t="s">
        <v>8</v>
      </c>
      <c r="H3" s="81" t="s">
        <v>230</v>
      </c>
      <c r="I3" s="81" t="s">
        <v>9</v>
      </c>
      <c r="J3" s="81" t="s">
        <v>10</v>
      </c>
      <c r="K3" s="82" t="s">
        <v>5</v>
      </c>
      <c r="L3" s="81" t="s">
        <v>6</v>
      </c>
      <c r="M3" s="81" t="s">
        <v>7</v>
      </c>
      <c r="N3" s="81" t="s">
        <v>8</v>
      </c>
      <c r="O3" s="81" t="s">
        <v>230</v>
      </c>
      <c r="P3" s="81" t="s">
        <v>9</v>
      </c>
      <c r="Q3" s="81" t="s">
        <v>10</v>
      </c>
      <c r="R3" s="80" t="s">
        <v>11</v>
      </c>
      <c r="S3" s="81" t="s">
        <v>12</v>
      </c>
      <c r="T3" s="81" t="s">
        <v>236</v>
      </c>
      <c r="U3" s="81" t="s">
        <v>13</v>
      </c>
      <c r="V3" s="81" t="s">
        <v>14</v>
      </c>
    </row>
    <row r="4" spans="1:25" ht="7.5" customHeight="1" x14ac:dyDescent="0.25">
      <c r="A4" s="141"/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</row>
    <row r="5" spans="1:25" ht="15" customHeight="1" x14ac:dyDescent="0.25">
      <c r="A5" s="142" t="s">
        <v>15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/>
      <c r="U5" s="142"/>
      <c r="V5" s="142"/>
    </row>
    <row r="6" spans="1:25" x14ac:dyDescent="0.25">
      <c r="A6" s="127">
        <v>1</v>
      </c>
      <c r="B6" s="62" t="s">
        <v>16</v>
      </c>
      <c r="C6" s="63" t="s">
        <v>17</v>
      </c>
      <c r="D6" s="2">
        <v>659601948.73000002</v>
      </c>
      <c r="E6" s="3">
        <f t="shared" ref="E6:E21" si="0">(D6/$D$22)</f>
        <v>2.9550703312091319E-2</v>
      </c>
      <c r="F6" s="4">
        <v>260.8</v>
      </c>
      <c r="G6" s="4">
        <v>264.29000000000002</v>
      </c>
      <c r="H6" s="60">
        <v>1790</v>
      </c>
      <c r="I6" s="5">
        <v>-5.9200000000000003E-2</v>
      </c>
      <c r="J6" s="5">
        <v>0.38350000000000001</v>
      </c>
      <c r="K6" s="2">
        <v>684915752.39999998</v>
      </c>
      <c r="L6" s="3">
        <f>(K6/$K$22)</f>
        <v>3.0717721670113791E-2</v>
      </c>
      <c r="M6" s="4">
        <v>274.59980000000002</v>
      </c>
      <c r="N6" s="4">
        <v>278.08769999999998</v>
      </c>
      <c r="O6" s="60">
        <v>1790</v>
      </c>
      <c r="P6" s="5">
        <v>5.2900000000000003E-2</v>
      </c>
      <c r="Q6" s="5">
        <v>0.45669999999999999</v>
      </c>
      <c r="R6" s="83">
        <f>((K6-D6)/D6)</f>
        <v>3.8377393697425009E-2</v>
      </c>
      <c r="S6" s="83">
        <f t="shared" ref="S6" si="1">((N6-G6)/G6)</f>
        <v>5.2206666918914686E-2</v>
      </c>
      <c r="T6" s="83">
        <f>((O6-H6)/H6)</f>
        <v>0</v>
      </c>
      <c r="U6" s="84">
        <f>P6-I6</f>
        <v>0.11210000000000001</v>
      </c>
      <c r="V6" s="86">
        <f>Q6-J6</f>
        <v>7.3199999999999987E-2</v>
      </c>
    </row>
    <row r="7" spans="1:25" x14ac:dyDescent="0.25">
      <c r="A7" s="132">
        <v>2</v>
      </c>
      <c r="B7" s="62" t="s">
        <v>18</v>
      </c>
      <c r="C7" s="63" t="s">
        <v>19</v>
      </c>
      <c r="D7" s="4">
        <v>492181757.69999999</v>
      </c>
      <c r="E7" s="3">
        <f t="shared" si="0"/>
        <v>2.2050142704126325E-2</v>
      </c>
      <c r="F7" s="4">
        <v>180.523</v>
      </c>
      <c r="G7" s="4">
        <v>182.94540000000001</v>
      </c>
      <c r="H7" s="60">
        <v>364</v>
      </c>
      <c r="I7" s="5">
        <v>-4.8149999999999998E-3</v>
      </c>
      <c r="J7" s="5">
        <v>0.24540000000000001</v>
      </c>
      <c r="K7" s="4">
        <v>490242092.77999997</v>
      </c>
      <c r="L7" s="3">
        <f t="shared" ref="L7:L21" si="2">(K7/$K$22)</f>
        <v>2.1986821158984548E-2</v>
      </c>
      <c r="M7" s="4">
        <v>179.8288</v>
      </c>
      <c r="N7" s="4">
        <v>182.24539999999999</v>
      </c>
      <c r="O7" s="60">
        <v>364</v>
      </c>
      <c r="P7" s="5">
        <v>-1.5449999999999999E-3</v>
      </c>
      <c r="Q7" s="5">
        <v>0.24060000000000001</v>
      </c>
      <c r="R7" s="83">
        <f t="shared" ref="R7:R22" si="3">((K7-D7)/D7)</f>
        <v>-3.940952482806773E-3</v>
      </c>
      <c r="S7" s="83">
        <f t="shared" ref="S7:S22" si="4">((N7-G7)/G7)</f>
        <v>-3.8262782229015707E-3</v>
      </c>
      <c r="T7" s="83">
        <f t="shared" ref="T7:T22" si="5">((O7-H7)/H7)</f>
        <v>0</v>
      </c>
      <c r="U7" s="84">
        <f t="shared" ref="U7:U22" si="6">P7-I7</f>
        <v>3.2699999999999999E-3</v>
      </c>
      <c r="V7" s="86">
        <f t="shared" ref="V7:V22" si="7">Q7-J7</f>
        <v>-4.7999999999999987E-3</v>
      </c>
    </row>
    <row r="8" spans="1:25" x14ac:dyDescent="0.25">
      <c r="A8" s="127">
        <v>3</v>
      </c>
      <c r="B8" s="62" t="s">
        <v>20</v>
      </c>
      <c r="C8" s="63" t="s">
        <v>21</v>
      </c>
      <c r="D8" s="4">
        <v>3148008195.1900001</v>
      </c>
      <c r="E8" s="3">
        <f t="shared" si="0"/>
        <v>0.14103332529445078</v>
      </c>
      <c r="F8" s="4">
        <v>28.948899999999998</v>
      </c>
      <c r="G8" s="4">
        <v>29.8218</v>
      </c>
      <c r="H8" s="64">
        <v>6327</v>
      </c>
      <c r="I8" s="6">
        <v>-0.17430000000000001</v>
      </c>
      <c r="J8" s="6">
        <v>0.38140000000000002</v>
      </c>
      <c r="K8" s="4">
        <v>3141637836.54</v>
      </c>
      <c r="L8" s="3">
        <f t="shared" si="2"/>
        <v>0.1408990175988456</v>
      </c>
      <c r="M8" s="4">
        <v>28.919599999999999</v>
      </c>
      <c r="N8" s="4">
        <v>29.791499999999999</v>
      </c>
      <c r="O8" s="64">
        <v>6328</v>
      </c>
      <c r="P8" s="6">
        <v>-5.2999999999999999E-2</v>
      </c>
      <c r="Q8" s="6">
        <v>0.37080000000000002</v>
      </c>
      <c r="R8" s="83">
        <f t="shared" si="3"/>
        <v>-2.0236156499635824E-3</v>
      </c>
      <c r="S8" s="83">
        <f t="shared" si="4"/>
        <v>-1.0160352493813398E-3</v>
      </c>
      <c r="T8" s="83">
        <f t="shared" si="5"/>
        <v>1.58052789631737E-4</v>
      </c>
      <c r="U8" s="84">
        <f t="shared" si="6"/>
        <v>0.12130000000000002</v>
      </c>
      <c r="V8" s="86">
        <f t="shared" si="7"/>
        <v>-1.0599999999999998E-2</v>
      </c>
      <c r="X8" s="118"/>
      <c r="Y8" s="118"/>
    </row>
    <row r="9" spans="1:25" x14ac:dyDescent="0.25">
      <c r="A9" s="127">
        <v>4</v>
      </c>
      <c r="B9" s="62" t="s">
        <v>22</v>
      </c>
      <c r="C9" s="63" t="s">
        <v>23</v>
      </c>
      <c r="D9" s="4">
        <v>408981220.92000002</v>
      </c>
      <c r="E9" s="3">
        <f t="shared" si="0"/>
        <v>1.8322691045551964E-2</v>
      </c>
      <c r="F9" s="4">
        <v>180.26</v>
      </c>
      <c r="G9" s="4">
        <v>180.26</v>
      </c>
      <c r="H9" s="60">
        <v>1662</v>
      </c>
      <c r="I9" s="5">
        <v>-5.8999999999999999E-3</v>
      </c>
      <c r="J9" s="5">
        <v>0.32</v>
      </c>
      <c r="K9" s="4">
        <v>398949115.75999999</v>
      </c>
      <c r="L9" s="3">
        <f t="shared" si="2"/>
        <v>1.7892431084424402E-2</v>
      </c>
      <c r="M9" s="4">
        <v>180.47</v>
      </c>
      <c r="N9" s="4">
        <v>180.47</v>
      </c>
      <c r="O9" s="60">
        <v>1659</v>
      </c>
      <c r="P9" s="5">
        <v>1.1999999999999999E-3</v>
      </c>
      <c r="Q9" s="5">
        <v>0.3216</v>
      </c>
      <c r="R9" s="83">
        <f t="shared" si="3"/>
        <v>-2.4529500737058011E-2</v>
      </c>
      <c r="S9" s="83">
        <f t="shared" si="4"/>
        <v>1.1649839121269719E-3</v>
      </c>
      <c r="T9" s="83">
        <f t="shared" si="5"/>
        <v>-1.8050541516245488E-3</v>
      </c>
      <c r="U9" s="84">
        <f t="shared" si="6"/>
        <v>7.0999999999999995E-3</v>
      </c>
      <c r="V9" s="86">
        <f t="shared" si="7"/>
        <v>1.5999999999999903E-3</v>
      </c>
    </row>
    <row r="10" spans="1:25" x14ac:dyDescent="0.25">
      <c r="A10" s="127">
        <v>5</v>
      </c>
      <c r="B10" s="62" t="s">
        <v>24</v>
      </c>
      <c r="C10" s="63" t="s">
        <v>25</v>
      </c>
      <c r="D10" s="7">
        <v>120898033.97</v>
      </c>
      <c r="E10" s="3">
        <f t="shared" si="0"/>
        <v>5.4163301666123745E-3</v>
      </c>
      <c r="F10" s="4">
        <v>126.13890000000001</v>
      </c>
      <c r="G10" s="4">
        <v>126.8539</v>
      </c>
      <c r="H10" s="64">
        <v>51</v>
      </c>
      <c r="I10" s="6">
        <v>-2.31E-3</v>
      </c>
      <c r="J10" s="6">
        <v>0.2006</v>
      </c>
      <c r="K10" s="7">
        <v>120939360.98</v>
      </c>
      <c r="L10" s="3">
        <f t="shared" si="2"/>
        <v>5.4239979392026912E-3</v>
      </c>
      <c r="M10" s="4">
        <v>126.07380000000001</v>
      </c>
      <c r="N10" s="4">
        <v>126.78660000000001</v>
      </c>
      <c r="O10" s="64">
        <v>51</v>
      </c>
      <c r="P10" s="6">
        <v>-3.2000000000000003E-4</v>
      </c>
      <c r="Q10" s="6">
        <v>0.2</v>
      </c>
      <c r="R10" s="83">
        <f t="shared" si="3"/>
        <v>3.4183359847076068E-4</v>
      </c>
      <c r="S10" s="83">
        <f t="shared" si="4"/>
        <v>-5.3053158003016712E-4</v>
      </c>
      <c r="T10" s="83">
        <f t="shared" si="5"/>
        <v>0</v>
      </c>
      <c r="U10" s="84">
        <f t="shared" si="6"/>
        <v>1.99E-3</v>
      </c>
      <c r="V10" s="86">
        <f t="shared" si="7"/>
        <v>-5.9999999999998943E-4</v>
      </c>
    </row>
    <row r="11" spans="1:25" x14ac:dyDescent="0.25">
      <c r="A11" s="126">
        <v>6</v>
      </c>
      <c r="B11" s="62" t="s">
        <v>26</v>
      </c>
      <c r="C11" s="63" t="s">
        <v>27</v>
      </c>
      <c r="D11" s="4">
        <v>713036889.08000004</v>
      </c>
      <c r="E11" s="3">
        <f t="shared" si="0"/>
        <v>3.194463206233597E-2</v>
      </c>
      <c r="F11" s="4">
        <v>225.91</v>
      </c>
      <c r="G11" s="4">
        <v>228.78</v>
      </c>
      <c r="H11" s="64">
        <v>1567</v>
      </c>
      <c r="I11" s="6">
        <v>-7.1999999999999998E-3</v>
      </c>
      <c r="J11" s="6">
        <v>0.5</v>
      </c>
      <c r="K11" s="4">
        <v>714344165.63</v>
      </c>
      <c r="L11" s="3">
        <f t="shared" si="2"/>
        <v>3.2037553786143591E-2</v>
      </c>
      <c r="M11" s="4">
        <v>226.06</v>
      </c>
      <c r="N11" s="4">
        <v>228.93</v>
      </c>
      <c r="O11" s="64">
        <v>1569</v>
      </c>
      <c r="P11" s="6">
        <v>6.9999999999999999E-4</v>
      </c>
      <c r="Q11" s="6">
        <v>0.501</v>
      </c>
      <c r="R11" s="83">
        <f t="shared" si="3"/>
        <v>1.8333925916324937E-3</v>
      </c>
      <c r="S11" s="83">
        <f t="shared" si="4"/>
        <v>6.5565171780752548E-4</v>
      </c>
      <c r="T11" s="83">
        <f t="shared" si="5"/>
        <v>1.2763241863433313E-3</v>
      </c>
      <c r="U11" s="84">
        <f t="shared" si="6"/>
        <v>7.899999999999999E-3</v>
      </c>
      <c r="V11" s="86">
        <f t="shared" si="7"/>
        <v>1.0000000000000009E-3</v>
      </c>
    </row>
    <row r="12" spans="1:25" x14ac:dyDescent="0.25">
      <c r="A12" s="130">
        <v>7</v>
      </c>
      <c r="B12" s="62" t="s">
        <v>28</v>
      </c>
      <c r="C12" s="63" t="s">
        <v>29</v>
      </c>
      <c r="D12" s="2">
        <v>316368934.80000001</v>
      </c>
      <c r="E12" s="3">
        <f t="shared" si="0"/>
        <v>1.4173585368323451E-2</v>
      </c>
      <c r="F12" s="4">
        <v>159.13999999999999</v>
      </c>
      <c r="G12" s="4">
        <v>163.46</v>
      </c>
      <c r="H12" s="60">
        <v>0</v>
      </c>
      <c r="I12" s="5">
        <v>1.3695000000000001E-2</v>
      </c>
      <c r="J12" s="5">
        <v>0.26592949999999999</v>
      </c>
      <c r="K12" s="2">
        <v>321115760.94999999</v>
      </c>
      <c r="L12" s="3">
        <f t="shared" si="2"/>
        <v>1.4401690330795924E-2</v>
      </c>
      <c r="M12" s="4">
        <v>161.52000000000001</v>
      </c>
      <c r="N12" s="4">
        <v>166.26</v>
      </c>
      <c r="O12" s="60">
        <v>0</v>
      </c>
      <c r="P12" s="5">
        <v>1.4959999999999999E-2</v>
      </c>
      <c r="Q12" s="5">
        <v>0.28486</v>
      </c>
      <c r="R12" s="83">
        <f t="shared" si="3"/>
        <v>1.5004084244240962E-2</v>
      </c>
      <c r="S12" s="83">
        <f t="shared" si="4"/>
        <v>1.7129572984216218E-2</v>
      </c>
      <c r="T12" s="83" t="e">
        <f t="shared" si="5"/>
        <v>#DIV/0!</v>
      </c>
      <c r="U12" s="84">
        <f t="shared" si="6"/>
        <v>1.2649999999999988E-3</v>
      </c>
      <c r="V12" s="86">
        <f t="shared" si="7"/>
        <v>1.8930500000000017E-2</v>
      </c>
    </row>
    <row r="13" spans="1:25" x14ac:dyDescent="0.25">
      <c r="A13" s="134">
        <v>8</v>
      </c>
      <c r="B13" s="62" t="s">
        <v>30</v>
      </c>
      <c r="C13" s="63" t="s">
        <v>31</v>
      </c>
      <c r="D13" s="7">
        <v>34174907.740000002</v>
      </c>
      <c r="E13" s="3">
        <f t="shared" si="0"/>
        <v>1.5310636381340051E-3</v>
      </c>
      <c r="F13" s="4">
        <v>132.47999999999999</v>
      </c>
      <c r="G13" s="4">
        <v>137.29</v>
      </c>
      <c r="H13" s="60">
        <v>3</v>
      </c>
      <c r="I13" s="5">
        <v>-1.1900000000000001E-2</v>
      </c>
      <c r="J13" s="5">
        <v>0.36709999999999998</v>
      </c>
      <c r="K13" s="7">
        <v>43667953.210000001</v>
      </c>
      <c r="L13" s="3">
        <f t="shared" si="2"/>
        <v>1.9584598951156084E-3</v>
      </c>
      <c r="M13" s="4">
        <v>166.66</v>
      </c>
      <c r="N13" s="4">
        <v>171.81</v>
      </c>
      <c r="O13" s="60">
        <v>3</v>
      </c>
      <c r="P13" s="5">
        <v>7.6E-3</v>
      </c>
      <c r="Q13" s="5">
        <v>0.72260000000000002</v>
      </c>
      <c r="R13" s="83">
        <f t="shared" si="3"/>
        <v>0.27777823256239165</v>
      </c>
      <c r="S13" s="83">
        <f t="shared" si="4"/>
        <v>0.25143856071090404</v>
      </c>
      <c r="T13" s="83">
        <f t="shared" si="5"/>
        <v>0</v>
      </c>
      <c r="U13" s="84">
        <f t="shared" si="6"/>
        <v>1.95E-2</v>
      </c>
      <c r="V13" s="86">
        <f t="shared" si="7"/>
        <v>0.35550000000000004</v>
      </c>
    </row>
    <row r="14" spans="1:25" ht="12" customHeight="1" x14ac:dyDescent="0.25">
      <c r="A14" s="126">
        <v>9</v>
      </c>
      <c r="B14" s="62" t="s">
        <v>240</v>
      </c>
      <c r="C14" s="63" t="s">
        <v>32</v>
      </c>
      <c r="D14" s="2">
        <v>514490868.1609</v>
      </c>
      <c r="E14" s="3">
        <f t="shared" si="0"/>
        <v>2.304960898171397E-2</v>
      </c>
      <c r="F14" s="4">
        <v>1.6134999999999999</v>
      </c>
      <c r="G14" s="4">
        <v>1.6623000000000001</v>
      </c>
      <c r="H14" s="60">
        <v>331</v>
      </c>
      <c r="I14" s="5">
        <v>-2.3482418447013376E-2</v>
      </c>
      <c r="J14" s="5">
        <v>0.30026593601418328</v>
      </c>
      <c r="K14" s="2">
        <v>513969602.40319997</v>
      </c>
      <c r="L14" s="3">
        <f t="shared" si="2"/>
        <v>2.3050973989426009E-2</v>
      </c>
      <c r="M14" s="4">
        <v>1.6125</v>
      </c>
      <c r="N14" s="4">
        <v>1.6613</v>
      </c>
      <c r="O14" s="60">
        <v>337</v>
      </c>
      <c r="P14" s="5">
        <v>-6.197706848465323E-4</v>
      </c>
      <c r="Q14" s="5">
        <v>0.29946006930453728</v>
      </c>
      <c r="R14" s="83">
        <f t="shared" si="3"/>
        <v>-1.0131681434178677E-3</v>
      </c>
      <c r="S14" s="83">
        <f t="shared" si="4"/>
        <v>-6.0157612945925033E-4</v>
      </c>
      <c r="T14" s="83">
        <f t="shared" si="5"/>
        <v>1.812688821752266E-2</v>
      </c>
      <c r="U14" s="84">
        <f t="shared" si="6"/>
        <v>2.2862647762166843E-2</v>
      </c>
      <c r="V14" s="86">
        <f t="shared" si="7"/>
        <v>-8.0586670964599705E-4</v>
      </c>
    </row>
    <row r="15" spans="1:25" x14ac:dyDescent="0.25">
      <c r="A15" s="127">
        <v>10</v>
      </c>
      <c r="B15" s="62" t="s">
        <v>33</v>
      </c>
      <c r="C15" s="63" t="s">
        <v>34</v>
      </c>
      <c r="D15" s="2">
        <v>1278766793.8</v>
      </c>
      <c r="E15" s="3">
        <f t="shared" si="0"/>
        <v>5.7289791520016106E-2</v>
      </c>
      <c r="F15" s="4">
        <v>2.57</v>
      </c>
      <c r="G15" s="4">
        <v>2.63</v>
      </c>
      <c r="H15" s="60">
        <v>3672</v>
      </c>
      <c r="I15" s="5">
        <v>0.2099</v>
      </c>
      <c r="J15" s="5">
        <v>0.30080000000000001</v>
      </c>
      <c r="K15" s="2">
        <v>1279699253.47</v>
      </c>
      <c r="L15" s="3">
        <f t="shared" si="2"/>
        <v>5.7393110542136604E-2</v>
      </c>
      <c r="M15" s="4">
        <v>2.58</v>
      </c>
      <c r="N15" s="4">
        <v>2.63</v>
      </c>
      <c r="O15" s="60">
        <v>3672</v>
      </c>
      <c r="P15" s="5">
        <v>0.2099</v>
      </c>
      <c r="Q15" s="5">
        <v>0.30170000000000002</v>
      </c>
      <c r="R15" s="83">
        <f t="shared" si="3"/>
        <v>7.2918664647927478E-4</v>
      </c>
      <c r="S15" s="83">
        <f t="shared" si="4"/>
        <v>0</v>
      </c>
      <c r="T15" s="83">
        <f t="shared" si="5"/>
        <v>0</v>
      </c>
      <c r="U15" s="84">
        <f t="shared" si="6"/>
        <v>0</v>
      </c>
      <c r="V15" s="86">
        <f t="shared" si="7"/>
        <v>9.000000000000119E-4</v>
      </c>
    </row>
    <row r="16" spans="1:25" x14ac:dyDescent="0.25">
      <c r="A16" s="127">
        <v>11</v>
      </c>
      <c r="B16" s="62" t="s">
        <v>35</v>
      </c>
      <c r="C16" s="63" t="s">
        <v>36</v>
      </c>
      <c r="D16" s="4">
        <v>428877983.17000002</v>
      </c>
      <c r="E16" s="3">
        <f t="shared" si="0"/>
        <v>1.9214082162956989E-2</v>
      </c>
      <c r="F16" s="4">
        <v>16.278689</v>
      </c>
      <c r="G16" s="4">
        <v>16.403319</v>
      </c>
      <c r="H16" s="60">
        <v>240</v>
      </c>
      <c r="I16" s="5">
        <v>5.3794603333201518E-3</v>
      </c>
      <c r="J16" s="5">
        <v>0.39718350745544528</v>
      </c>
      <c r="K16" s="4">
        <v>428843845.12</v>
      </c>
      <c r="L16" s="3">
        <f t="shared" si="2"/>
        <v>1.9233176968375922E-2</v>
      </c>
      <c r="M16" s="4">
        <v>16.300044</v>
      </c>
      <c r="N16" s="4">
        <v>16.431215000000002</v>
      </c>
      <c r="O16" s="60">
        <v>243</v>
      </c>
      <c r="P16" s="5">
        <v>1.3118378267438224E-3</v>
      </c>
      <c r="Q16" s="5">
        <v>0.39891030824465501</v>
      </c>
      <c r="R16" s="83">
        <f t="shared" si="3"/>
        <v>-7.9598513655759697E-5</v>
      </c>
      <c r="S16" s="83">
        <f t="shared" si="4"/>
        <v>1.7006314392838376E-3</v>
      </c>
      <c r="T16" s="83">
        <f t="shared" si="5"/>
        <v>1.2500000000000001E-2</v>
      </c>
      <c r="U16" s="84">
        <f t="shared" si="6"/>
        <v>-4.0676225065763294E-3</v>
      </c>
      <c r="V16" s="86">
        <f t="shared" si="7"/>
        <v>1.7268007892097259E-3</v>
      </c>
    </row>
    <row r="17" spans="1:22" x14ac:dyDescent="0.25">
      <c r="A17" s="126">
        <v>12</v>
      </c>
      <c r="B17" s="62" t="s">
        <v>37</v>
      </c>
      <c r="C17" s="63" t="s">
        <v>38</v>
      </c>
      <c r="D17" s="4">
        <v>344474065.31999999</v>
      </c>
      <c r="E17" s="3">
        <f t="shared" si="0"/>
        <v>1.5432718054549167E-2</v>
      </c>
      <c r="F17" s="4">
        <v>1.91</v>
      </c>
      <c r="G17" s="4">
        <v>1.94</v>
      </c>
      <c r="H17" s="60">
        <v>17</v>
      </c>
      <c r="I17" s="5">
        <v>8.9999999999999998E-4</v>
      </c>
      <c r="J17" s="5">
        <v>0.34470000000000001</v>
      </c>
      <c r="K17" s="4">
        <v>344347500.38999999</v>
      </c>
      <c r="L17" s="3">
        <f t="shared" si="2"/>
        <v>1.5443608411275052E-2</v>
      </c>
      <c r="M17" s="4">
        <v>2.4810270000000001</v>
      </c>
      <c r="N17" s="4">
        <v>2.503104</v>
      </c>
      <c r="O17" s="60">
        <v>17</v>
      </c>
      <c r="P17" s="5">
        <v>2.03480314206342E-3</v>
      </c>
      <c r="Q17" s="5">
        <v>0.74270314685314698</v>
      </c>
      <c r="R17" s="83">
        <f t="shared" si="3"/>
        <v>-3.6741497471641114E-4</v>
      </c>
      <c r="S17" s="83">
        <f t="shared" si="4"/>
        <v>0.29025979381443301</v>
      </c>
      <c r="T17" s="83">
        <f t="shared" si="5"/>
        <v>0</v>
      </c>
      <c r="U17" s="84">
        <f t="shared" si="6"/>
        <v>1.13480314206342E-3</v>
      </c>
      <c r="V17" s="86">
        <f t="shared" si="7"/>
        <v>0.39800314685314697</v>
      </c>
    </row>
    <row r="18" spans="1:22" x14ac:dyDescent="0.25">
      <c r="A18" s="127">
        <v>13</v>
      </c>
      <c r="B18" s="62" t="s">
        <v>39</v>
      </c>
      <c r="C18" s="63" t="s">
        <v>40</v>
      </c>
      <c r="D18" s="2">
        <v>990311761.04999995</v>
      </c>
      <c r="E18" s="3">
        <f t="shared" si="0"/>
        <v>4.4366771647065352E-2</v>
      </c>
      <c r="F18" s="4">
        <v>23.87</v>
      </c>
      <c r="G18" s="4">
        <v>24.35</v>
      </c>
      <c r="H18" s="60">
        <v>8863</v>
      </c>
      <c r="I18" s="5">
        <v>-2E-3</v>
      </c>
      <c r="J18" s="5">
        <v>0.38690000000000002</v>
      </c>
      <c r="K18" s="2">
        <v>992415518.59000003</v>
      </c>
      <c r="L18" s="3">
        <f t="shared" si="2"/>
        <v>4.4508749542302481E-2</v>
      </c>
      <c r="M18" s="4">
        <v>23.87</v>
      </c>
      <c r="N18" s="4">
        <v>24.35</v>
      </c>
      <c r="O18" s="60">
        <v>8863</v>
      </c>
      <c r="P18" s="5">
        <v>6.9999999999999999E-4</v>
      </c>
      <c r="Q18" s="5">
        <v>0.38779999999999998</v>
      </c>
      <c r="R18" s="83">
        <f t="shared" si="3"/>
        <v>2.1243386403585933E-3</v>
      </c>
      <c r="S18" s="83">
        <f t="shared" si="4"/>
        <v>0</v>
      </c>
      <c r="T18" s="83">
        <f t="shared" si="5"/>
        <v>0</v>
      </c>
      <c r="U18" s="84">
        <f t="shared" si="6"/>
        <v>2.7000000000000001E-3</v>
      </c>
      <c r="V18" s="86">
        <f t="shared" si="7"/>
        <v>8.9999999999995639E-4</v>
      </c>
    </row>
    <row r="19" spans="1:22" ht="12.75" customHeight="1" x14ac:dyDescent="0.25">
      <c r="A19" s="127">
        <v>14</v>
      </c>
      <c r="B19" s="62" t="s">
        <v>41</v>
      </c>
      <c r="C19" s="63" t="s">
        <v>42</v>
      </c>
      <c r="D19" s="2">
        <v>497908300.19</v>
      </c>
      <c r="E19" s="3">
        <f t="shared" si="0"/>
        <v>2.2306696461209516E-2</v>
      </c>
      <c r="F19" s="4">
        <v>4859.63</v>
      </c>
      <c r="G19" s="4">
        <v>4919.49</v>
      </c>
      <c r="H19" s="60">
        <v>1135</v>
      </c>
      <c r="I19" s="5">
        <v>-1.9E-3</v>
      </c>
      <c r="J19" s="5">
        <v>0.50249999999999995</v>
      </c>
      <c r="K19" s="2">
        <v>500703304.45999998</v>
      </c>
      <c r="L19" s="3">
        <f t="shared" si="2"/>
        <v>2.2455995050214769E-2</v>
      </c>
      <c r="M19" s="4">
        <v>4886.99</v>
      </c>
      <c r="N19" s="4">
        <v>4947.05</v>
      </c>
      <c r="O19" s="60">
        <v>1135</v>
      </c>
      <c r="P19" s="5">
        <v>5.5999999999999999E-3</v>
      </c>
      <c r="Q19" s="5">
        <v>0.51090000000000002</v>
      </c>
      <c r="R19" s="83">
        <f t="shared" si="3"/>
        <v>5.6134920203849128E-3</v>
      </c>
      <c r="S19" s="83">
        <f t="shared" si="4"/>
        <v>5.6022067328118158E-3</v>
      </c>
      <c r="T19" s="83">
        <f t="shared" si="5"/>
        <v>0</v>
      </c>
      <c r="U19" s="84">
        <f t="shared" si="6"/>
        <v>7.4999999999999997E-3</v>
      </c>
      <c r="V19" s="86">
        <f t="shared" si="7"/>
        <v>8.4000000000000741E-3</v>
      </c>
    </row>
    <row r="20" spans="1:22" x14ac:dyDescent="0.25">
      <c r="A20" s="127">
        <v>15</v>
      </c>
      <c r="B20" s="62" t="s">
        <v>43</v>
      </c>
      <c r="C20" s="63" t="s">
        <v>42</v>
      </c>
      <c r="D20" s="4">
        <v>9884903900.6100006</v>
      </c>
      <c r="E20" s="3">
        <f t="shared" si="0"/>
        <v>0.44285172746666684</v>
      </c>
      <c r="F20" s="4">
        <v>16827.07</v>
      </c>
      <c r="G20" s="4">
        <v>17032.62</v>
      </c>
      <c r="H20" s="60">
        <v>29383</v>
      </c>
      <c r="I20" s="5">
        <v>1E-3</v>
      </c>
      <c r="J20" s="5">
        <v>0.37669999999999998</v>
      </c>
      <c r="K20" s="4">
        <v>9814937699.8899994</v>
      </c>
      <c r="L20" s="3">
        <f t="shared" si="2"/>
        <v>0.44018921074347284</v>
      </c>
      <c r="M20" s="4">
        <v>16856.29</v>
      </c>
      <c r="N20" s="4">
        <v>17062.990000000002</v>
      </c>
      <c r="O20" s="60">
        <v>29387</v>
      </c>
      <c r="P20" s="5">
        <v>1.8E-3</v>
      </c>
      <c r="Q20" s="5">
        <v>0.37919999999999998</v>
      </c>
      <c r="R20" s="83">
        <f t="shared" si="3"/>
        <v>-7.0780860819176583E-3</v>
      </c>
      <c r="S20" s="83">
        <f t="shared" si="4"/>
        <v>1.7830492314161075E-3</v>
      </c>
      <c r="T20" s="83">
        <f t="shared" si="5"/>
        <v>1.3613313820916856E-4</v>
      </c>
      <c r="U20" s="84">
        <f t="shared" si="6"/>
        <v>7.9999999999999993E-4</v>
      </c>
      <c r="V20" s="86">
        <f t="shared" si="7"/>
        <v>2.5000000000000022E-3</v>
      </c>
    </row>
    <row r="21" spans="1:22" x14ac:dyDescent="0.25">
      <c r="A21" s="127">
        <v>16</v>
      </c>
      <c r="B21" s="63" t="s">
        <v>44</v>
      </c>
      <c r="C21" s="63" t="s">
        <v>45</v>
      </c>
      <c r="D21" s="4">
        <v>2488038131.0799999</v>
      </c>
      <c r="E21" s="3">
        <f t="shared" si="0"/>
        <v>0.11146613011419573</v>
      </c>
      <c r="F21" s="4">
        <v>1.2266999999999999</v>
      </c>
      <c r="G21" s="8">
        <v>1.2383999999999999</v>
      </c>
      <c r="H21" s="60">
        <v>3419</v>
      </c>
      <c r="I21" s="5">
        <v>-1.4E-3</v>
      </c>
      <c r="J21" s="5">
        <v>0.34670000000000001</v>
      </c>
      <c r="K21" s="4">
        <v>2506359535.6900001</v>
      </c>
      <c r="L21" s="3">
        <f t="shared" si="2"/>
        <v>0.11240748128917039</v>
      </c>
      <c r="M21" s="4">
        <v>1.2366999999999999</v>
      </c>
      <c r="N21" s="8">
        <v>1.2484999999999999</v>
      </c>
      <c r="O21" s="60">
        <v>3419</v>
      </c>
      <c r="P21" s="5">
        <v>8.2000000000000007E-3</v>
      </c>
      <c r="Q21" s="5">
        <v>0.35539999999999999</v>
      </c>
      <c r="R21" s="83">
        <f t="shared" si="3"/>
        <v>7.363795747795567E-3</v>
      </c>
      <c r="S21" s="83">
        <f t="shared" si="4"/>
        <v>8.1556847545219621E-3</v>
      </c>
      <c r="T21" s="83">
        <f t="shared" si="5"/>
        <v>0</v>
      </c>
      <c r="U21" s="84">
        <f t="shared" si="6"/>
        <v>9.6000000000000009E-3</v>
      </c>
      <c r="V21" s="86">
        <f t="shared" si="7"/>
        <v>8.6999999999999855E-3</v>
      </c>
    </row>
    <row r="22" spans="1:22" x14ac:dyDescent="0.25">
      <c r="A22" s="78"/>
      <c r="B22" s="19"/>
      <c r="C22" s="74" t="s">
        <v>46</v>
      </c>
      <c r="D22" s="58">
        <f>SUM(D6:D21)</f>
        <v>22321023691.510902</v>
      </c>
      <c r="E22" s="116">
        <f>(D22/$D$172)</f>
        <v>1.1148303520826469E-2</v>
      </c>
      <c r="F22" s="30"/>
      <c r="G22" s="31"/>
      <c r="H22" s="68">
        <f>SUM(H6:H21)</f>
        <v>58824</v>
      </c>
      <c r="I22" s="28"/>
      <c r="J22" s="60">
        <v>0</v>
      </c>
      <c r="K22" s="58">
        <f>SUM(K6:K21)</f>
        <v>22297088298.263195</v>
      </c>
      <c r="L22" s="116">
        <f>(K22/$K$172)</f>
        <v>1.119302319878579E-2</v>
      </c>
      <c r="M22" s="30"/>
      <c r="N22" s="31"/>
      <c r="O22" s="68">
        <f>SUM(O6:O21)</f>
        <v>58837</v>
      </c>
      <c r="P22" s="28"/>
      <c r="Q22" s="68"/>
      <c r="R22" s="83">
        <f t="shared" si="3"/>
        <v>-1.0723250679945491E-3</v>
      </c>
      <c r="S22" s="83" t="e">
        <f t="shared" si="4"/>
        <v>#DIV/0!</v>
      </c>
      <c r="T22" s="83">
        <f t="shared" si="5"/>
        <v>2.2099823201414387E-4</v>
      </c>
      <c r="U22" s="84">
        <f t="shared" si="6"/>
        <v>0</v>
      </c>
      <c r="V22" s="86">
        <f t="shared" si="7"/>
        <v>0</v>
      </c>
    </row>
    <row r="23" spans="1:22" ht="9" customHeight="1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</row>
    <row r="24" spans="1:22" ht="15" customHeight="1" x14ac:dyDescent="0.25">
      <c r="A24" s="142" t="s">
        <v>47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</row>
    <row r="25" spans="1:22" x14ac:dyDescent="0.25">
      <c r="A25" s="127">
        <v>17</v>
      </c>
      <c r="B25" s="62" t="s">
        <v>48</v>
      </c>
      <c r="C25" s="63" t="s">
        <v>17</v>
      </c>
      <c r="D25" s="9">
        <v>847109213.23000002</v>
      </c>
      <c r="E25" s="3">
        <f>(D25/$K$54)</f>
        <v>9.7737336461989409E-4</v>
      </c>
      <c r="F25" s="8">
        <v>100</v>
      </c>
      <c r="G25" s="8">
        <v>100</v>
      </c>
      <c r="H25" s="60">
        <v>947</v>
      </c>
      <c r="I25" s="5">
        <v>8.0299999999999996E-2</v>
      </c>
      <c r="J25" s="5">
        <v>8.0299999999999996E-2</v>
      </c>
      <c r="K25" s="9">
        <v>847542393.01999998</v>
      </c>
      <c r="L25" s="3">
        <f t="shared" ref="L25:L53" si="8">(K25/$K$54)</f>
        <v>9.778731565973928E-4</v>
      </c>
      <c r="M25" s="8">
        <v>100</v>
      </c>
      <c r="N25" s="8">
        <v>100</v>
      </c>
      <c r="O25" s="60">
        <v>947</v>
      </c>
      <c r="P25" s="5">
        <v>8.2299999999999998E-2</v>
      </c>
      <c r="Q25" s="5">
        <v>8.2299999999999998E-2</v>
      </c>
      <c r="R25" s="83">
        <f t="shared" ref="R25" si="9">((K25-D25)/D25)</f>
        <v>5.1136238779443959E-4</v>
      </c>
      <c r="S25" s="83">
        <f t="shared" ref="S25" si="10">((N25-G25)/G25)</f>
        <v>0</v>
      </c>
      <c r="T25" s="83">
        <f t="shared" ref="T25" si="11">((O25-H25)/H25)</f>
        <v>0</v>
      </c>
      <c r="U25" s="84">
        <f t="shared" ref="U25" si="12">P25-I25</f>
        <v>2.0000000000000018E-3</v>
      </c>
      <c r="V25" s="86">
        <f t="shared" ref="V25" si="13">Q25-J25</f>
        <v>2.0000000000000018E-3</v>
      </c>
    </row>
    <row r="26" spans="1:22" x14ac:dyDescent="0.25">
      <c r="A26" s="126">
        <v>18</v>
      </c>
      <c r="B26" s="62" t="s">
        <v>49</v>
      </c>
      <c r="C26" s="63" t="s">
        <v>50</v>
      </c>
      <c r="D26" s="9">
        <v>3913377316.1300001</v>
      </c>
      <c r="E26" s="3">
        <f t="shared" ref="E26:E53" si="14">(D26/$K$54)</f>
        <v>4.5151565993588874E-3</v>
      </c>
      <c r="F26" s="8">
        <v>100</v>
      </c>
      <c r="G26" s="8">
        <v>100</v>
      </c>
      <c r="H26" s="60">
        <v>1133</v>
      </c>
      <c r="I26" s="5">
        <v>0.1323</v>
      </c>
      <c r="J26" s="5">
        <v>0.1323</v>
      </c>
      <c r="K26" s="9">
        <v>3939163118.5900002</v>
      </c>
      <c r="L26" s="3">
        <f t="shared" si="8"/>
        <v>4.5449076115260884E-3</v>
      </c>
      <c r="M26" s="8">
        <v>100</v>
      </c>
      <c r="N26" s="8">
        <v>100</v>
      </c>
      <c r="O26" s="60">
        <v>1139</v>
      </c>
      <c r="P26" s="5">
        <v>0.13489999999999999</v>
      </c>
      <c r="Q26" s="5">
        <v>0.13489999999999999</v>
      </c>
      <c r="R26" s="83">
        <f t="shared" ref="R26:R54" si="15">((K26-D26)/D26)</f>
        <v>6.5891429261669097E-3</v>
      </c>
      <c r="S26" s="83">
        <f t="shared" ref="S26:S54" si="16">((N26-G26)/G26)</f>
        <v>0</v>
      </c>
      <c r="T26" s="83">
        <f t="shared" ref="T26:T54" si="17">((O26-H26)/H26)</f>
        <v>5.2956751985878204E-3</v>
      </c>
      <c r="U26" s="84">
        <f t="shared" ref="U26:U54" si="18">P26-I26</f>
        <v>2.5999999999999912E-3</v>
      </c>
      <c r="V26" s="86">
        <f t="shared" ref="V26:V54" si="19">Q26-J26</f>
        <v>2.5999999999999912E-3</v>
      </c>
    </row>
    <row r="27" spans="1:22" x14ac:dyDescent="0.25">
      <c r="A27" s="132">
        <v>19</v>
      </c>
      <c r="B27" s="62" t="s">
        <v>51</v>
      </c>
      <c r="C27" s="63" t="s">
        <v>19</v>
      </c>
      <c r="D27" s="9">
        <v>365937800.13</v>
      </c>
      <c r="E27" s="3">
        <f t="shared" si="14"/>
        <v>4.222098560242576E-4</v>
      </c>
      <c r="F27" s="8">
        <v>100</v>
      </c>
      <c r="G27" s="8">
        <v>100</v>
      </c>
      <c r="H27" s="60">
        <v>1311</v>
      </c>
      <c r="I27" s="5">
        <v>2.43E-4</v>
      </c>
      <c r="J27" s="5">
        <v>8.9800000000000005E-2</v>
      </c>
      <c r="K27" s="9">
        <v>389181855.88</v>
      </c>
      <c r="L27" s="3">
        <f t="shared" si="8"/>
        <v>4.4902826458478596E-4</v>
      </c>
      <c r="M27" s="8">
        <v>100</v>
      </c>
      <c r="N27" s="8">
        <v>100</v>
      </c>
      <c r="O27" s="60">
        <v>1314</v>
      </c>
      <c r="P27" s="5">
        <v>9.1399999999999995E-2</v>
      </c>
      <c r="Q27" s="5">
        <v>9.1399999999999995E-2</v>
      </c>
      <c r="R27" s="83">
        <f t="shared" si="15"/>
        <v>6.3519143804609726E-2</v>
      </c>
      <c r="S27" s="83">
        <f t="shared" si="16"/>
        <v>0</v>
      </c>
      <c r="T27" s="83">
        <f t="shared" si="17"/>
        <v>2.2883295194508009E-3</v>
      </c>
      <c r="U27" s="84">
        <f t="shared" si="18"/>
        <v>9.1157000000000002E-2</v>
      </c>
      <c r="V27" s="86">
        <f t="shared" si="19"/>
        <v>1.5999999999999903E-3</v>
      </c>
    </row>
    <row r="28" spans="1:22" x14ac:dyDescent="0.25">
      <c r="A28" s="127">
        <v>20</v>
      </c>
      <c r="B28" s="62" t="s">
        <v>52</v>
      </c>
      <c r="C28" s="63" t="s">
        <v>21</v>
      </c>
      <c r="D28" s="9">
        <v>81480575141.039993</v>
      </c>
      <c r="E28" s="3">
        <f t="shared" si="14"/>
        <v>9.40102440547297E-2</v>
      </c>
      <c r="F28" s="8">
        <v>1</v>
      </c>
      <c r="G28" s="8">
        <v>1</v>
      </c>
      <c r="H28" s="60">
        <v>53923</v>
      </c>
      <c r="I28" s="5">
        <v>9.0499999999999997E-2</v>
      </c>
      <c r="J28" s="5">
        <v>9.0499999999999997E-2</v>
      </c>
      <c r="K28" s="9">
        <v>80880029567.389999</v>
      </c>
      <c r="L28" s="3">
        <f t="shared" si="8"/>
        <v>9.3317349633610339E-2</v>
      </c>
      <c r="M28" s="8">
        <v>1</v>
      </c>
      <c r="N28" s="8">
        <v>1</v>
      </c>
      <c r="O28" s="60">
        <v>54059</v>
      </c>
      <c r="P28" s="5">
        <v>8.8999999999999996E-2</v>
      </c>
      <c r="Q28" s="5">
        <v>8.8999999999999996E-2</v>
      </c>
      <c r="R28" s="83">
        <f t="shared" si="15"/>
        <v>-7.3704140233481511E-3</v>
      </c>
      <c r="S28" s="83">
        <f t="shared" si="16"/>
        <v>0</v>
      </c>
      <c r="T28" s="83">
        <f t="shared" si="17"/>
        <v>2.5221148674962448E-3</v>
      </c>
      <c r="U28" s="84">
        <f t="shared" si="18"/>
        <v>-1.5000000000000013E-3</v>
      </c>
      <c r="V28" s="86">
        <f t="shared" si="19"/>
        <v>-1.5000000000000013E-3</v>
      </c>
    </row>
    <row r="29" spans="1:22" x14ac:dyDescent="0.25">
      <c r="A29" s="125">
        <v>21</v>
      </c>
      <c r="B29" s="62" t="s">
        <v>53</v>
      </c>
      <c r="C29" s="63" t="s">
        <v>23</v>
      </c>
      <c r="D29" s="9">
        <v>41281176695.019997</v>
      </c>
      <c r="E29" s="3">
        <f t="shared" si="14"/>
        <v>4.7629186333646142E-2</v>
      </c>
      <c r="F29" s="8">
        <v>1</v>
      </c>
      <c r="G29" s="8">
        <v>1</v>
      </c>
      <c r="H29" s="60">
        <v>26099</v>
      </c>
      <c r="I29" s="5">
        <v>9.5100000000000004E-2</v>
      </c>
      <c r="J29" s="5">
        <v>9.5100000000000004E-2</v>
      </c>
      <c r="K29" s="9">
        <v>41286950343.959999</v>
      </c>
      <c r="L29" s="3">
        <f t="shared" si="8"/>
        <v>4.7635847824989287E-2</v>
      </c>
      <c r="M29" s="8">
        <v>1</v>
      </c>
      <c r="N29" s="8">
        <v>1</v>
      </c>
      <c r="O29" s="60">
        <v>26110</v>
      </c>
      <c r="P29" s="5">
        <v>9.3399999999999997E-2</v>
      </c>
      <c r="Q29" s="5">
        <v>9.3399999999999997E-2</v>
      </c>
      <c r="R29" s="83">
        <f t="shared" si="15"/>
        <v>1.3986153986494655E-4</v>
      </c>
      <c r="S29" s="83">
        <f t="shared" si="16"/>
        <v>0</v>
      </c>
      <c r="T29" s="83">
        <f t="shared" si="17"/>
        <v>4.2147208705314382E-4</v>
      </c>
      <c r="U29" s="84">
        <f t="shared" si="18"/>
        <v>-1.7000000000000071E-3</v>
      </c>
      <c r="V29" s="86">
        <f t="shared" si="19"/>
        <v>-1.7000000000000071E-3</v>
      </c>
    </row>
    <row r="30" spans="1:22" ht="15" customHeight="1" x14ac:dyDescent="0.25">
      <c r="A30" s="127">
        <v>22</v>
      </c>
      <c r="B30" s="62" t="s">
        <v>54</v>
      </c>
      <c r="C30" s="63" t="s">
        <v>40</v>
      </c>
      <c r="D30" s="9">
        <v>6814682054.79</v>
      </c>
      <c r="E30" s="3">
        <f t="shared" si="14"/>
        <v>7.8626092417395481E-3</v>
      </c>
      <c r="F30" s="8">
        <v>100</v>
      </c>
      <c r="G30" s="8">
        <v>100</v>
      </c>
      <c r="H30" s="60">
        <v>2705</v>
      </c>
      <c r="I30" s="5">
        <v>9.3200000000000005E-2</v>
      </c>
      <c r="J30" s="5">
        <v>9.3200000000000005E-2</v>
      </c>
      <c r="K30" s="9">
        <v>7178490415.3800001</v>
      </c>
      <c r="L30" s="3">
        <f t="shared" si="8"/>
        <v>8.2823622038291633E-3</v>
      </c>
      <c r="M30" s="8">
        <v>100</v>
      </c>
      <c r="N30" s="8">
        <v>100</v>
      </c>
      <c r="O30" s="60">
        <v>2705</v>
      </c>
      <c r="P30" s="5">
        <v>9.3200000000000005E-2</v>
      </c>
      <c r="Q30" s="5">
        <v>9.3200000000000005E-2</v>
      </c>
      <c r="R30" s="83">
        <f t="shared" si="15"/>
        <v>5.3385962494652467E-2</v>
      </c>
      <c r="S30" s="83">
        <f t="shared" si="16"/>
        <v>0</v>
      </c>
      <c r="T30" s="83">
        <f t="shared" si="17"/>
        <v>0</v>
      </c>
      <c r="U30" s="84">
        <f t="shared" si="18"/>
        <v>0</v>
      </c>
      <c r="V30" s="86">
        <f t="shared" si="19"/>
        <v>0</v>
      </c>
    </row>
    <row r="31" spans="1:22" x14ac:dyDescent="0.25">
      <c r="A31" s="126">
        <v>23</v>
      </c>
      <c r="B31" s="62" t="s">
        <v>55</v>
      </c>
      <c r="C31" s="63" t="s">
        <v>56</v>
      </c>
      <c r="D31" s="9">
        <v>12600498264.370001</v>
      </c>
      <c r="E31" s="3">
        <f t="shared" si="14"/>
        <v>1.4538138875359713E-2</v>
      </c>
      <c r="F31" s="8">
        <v>100</v>
      </c>
      <c r="G31" s="8">
        <v>100</v>
      </c>
      <c r="H31" s="60">
        <v>1717</v>
      </c>
      <c r="I31" s="5">
        <v>0.107841380945379</v>
      </c>
      <c r="J31" s="5">
        <v>0.107841380945379</v>
      </c>
      <c r="K31" s="9">
        <v>12912495877.309999</v>
      </c>
      <c r="L31" s="3">
        <f t="shared" si="8"/>
        <v>1.489811389623078E-2</v>
      </c>
      <c r="M31" s="8">
        <v>100</v>
      </c>
      <c r="N31" s="8">
        <v>100</v>
      </c>
      <c r="O31" s="60">
        <v>1738</v>
      </c>
      <c r="P31" s="5">
        <v>9.9542202648544895E-2</v>
      </c>
      <c r="Q31" s="5">
        <v>9.9542202648544895E-2</v>
      </c>
      <c r="R31" s="83">
        <f t="shared" si="15"/>
        <v>2.4760736154555381E-2</v>
      </c>
      <c r="S31" s="83">
        <f t="shared" si="16"/>
        <v>0</v>
      </c>
      <c r="T31" s="83">
        <f t="shared" si="17"/>
        <v>1.2230634828188701E-2</v>
      </c>
      <c r="U31" s="84">
        <f t="shared" si="18"/>
        <v>-8.2991782968341032E-3</v>
      </c>
      <c r="V31" s="86">
        <f t="shared" si="19"/>
        <v>-8.2991782968341032E-3</v>
      </c>
    </row>
    <row r="32" spans="1:22" x14ac:dyDescent="0.25">
      <c r="A32" s="126">
        <v>24</v>
      </c>
      <c r="B32" s="62" t="s">
        <v>57</v>
      </c>
      <c r="C32" s="63" t="s">
        <v>58</v>
      </c>
      <c r="D32" s="9">
        <v>6745076671.8999996</v>
      </c>
      <c r="E32" s="3">
        <f t="shared" si="14"/>
        <v>7.7823002966727634E-3</v>
      </c>
      <c r="F32" s="8">
        <v>100</v>
      </c>
      <c r="G32" s="8">
        <v>100</v>
      </c>
      <c r="H32" s="60">
        <v>5646</v>
      </c>
      <c r="I32" s="5">
        <v>8.8300000000000003E-2</v>
      </c>
      <c r="J32" s="5">
        <v>8.8300000000000003E-2</v>
      </c>
      <c r="K32" s="9">
        <v>6472324407.4099998</v>
      </c>
      <c r="L32" s="3">
        <f t="shared" si="8"/>
        <v>7.4676055745650644E-3</v>
      </c>
      <c r="M32" s="8">
        <v>100</v>
      </c>
      <c r="N32" s="8">
        <v>100</v>
      </c>
      <c r="O32" s="60">
        <v>5650</v>
      </c>
      <c r="P32" s="5">
        <v>9.3299999999999994E-2</v>
      </c>
      <c r="Q32" s="5">
        <v>9.3299999999999994E-2</v>
      </c>
      <c r="R32" s="83">
        <f t="shared" si="15"/>
        <v>-4.0437237077865423E-2</v>
      </c>
      <c r="S32" s="83">
        <f t="shared" si="16"/>
        <v>0</v>
      </c>
      <c r="T32" s="83">
        <f t="shared" si="17"/>
        <v>7.0846617074034714E-4</v>
      </c>
      <c r="U32" s="84">
        <f t="shared" si="18"/>
        <v>4.9999999999999906E-3</v>
      </c>
      <c r="V32" s="86">
        <f t="shared" si="19"/>
        <v>4.9999999999999906E-3</v>
      </c>
    </row>
    <row r="33" spans="1:22" x14ac:dyDescent="0.25">
      <c r="A33" s="132">
        <v>25</v>
      </c>
      <c r="B33" s="62" t="s">
        <v>59</v>
      </c>
      <c r="C33" s="63" t="s">
        <v>60</v>
      </c>
      <c r="D33" s="9">
        <v>44514190.369999997</v>
      </c>
      <c r="E33" s="3">
        <f t="shared" si="14"/>
        <v>5.1359356427451268E-5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8"/>
        <v>5.1359356427451268E-5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3">
        <f t="shared" si="15"/>
        <v>0</v>
      </c>
      <c r="S33" s="83">
        <f t="shared" si="16"/>
        <v>0</v>
      </c>
      <c r="T33" s="83" t="e">
        <f t="shared" si="17"/>
        <v>#DIV/0!</v>
      </c>
      <c r="U33" s="84">
        <f t="shared" si="18"/>
        <v>0</v>
      </c>
      <c r="V33" s="86">
        <f t="shared" si="19"/>
        <v>0</v>
      </c>
    </row>
    <row r="34" spans="1:22" x14ac:dyDescent="0.25">
      <c r="A34" s="132">
        <v>26</v>
      </c>
      <c r="B34" s="62" t="s">
        <v>61</v>
      </c>
      <c r="C34" s="63" t="s">
        <v>62</v>
      </c>
      <c r="D34" s="9">
        <v>4946220910</v>
      </c>
      <c r="E34" s="3">
        <f t="shared" si="14"/>
        <v>5.7068256341197467E-3</v>
      </c>
      <c r="F34" s="8">
        <v>1</v>
      </c>
      <c r="G34" s="8">
        <v>1</v>
      </c>
      <c r="H34" s="60">
        <v>0</v>
      </c>
      <c r="I34" s="5">
        <v>0.1037</v>
      </c>
      <c r="J34" s="5">
        <v>0.1037</v>
      </c>
      <c r="K34" s="9">
        <v>4854070292</v>
      </c>
      <c r="L34" s="3">
        <f t="shared" si="8"/>
        <v>5.6005045622203563E-3</v>
      </c>
      <c r="M34" s="8">
        <v>1</v>
      </c>
      <c r="N34" s="8">
        <v>1</v>
      </c>
      <c r="O34" s="60">
        <v>1637</v>
      </c>
      <c r="P34" s="5">
        <v>9.7000000000000003E-2</v>
      </c>
      <c r="Q34" s="5">
        <v>9.7000000000000003E-2</v>
      </c>
      <c r="R34" s="83">
        <f t="shared" si="15"/>
        <v>-1.8630509974533263E-2</v>
      </c>
      <c r="S34" s="83">
        <f t="shared" si="16"/>
        <v>0</v>
      </c>
      <c r="T34" s="83" t="e">
        <f t="shared" si="17"/>
        <v>#DIV/0!</v>
      </c>
      <c r="U34" s="84">
        <f t="shared" si="18"/>
        <v>-6.6999999999999976E-3</v>
      </c>
      <c r="V34" s="86">
        <f t="shared" si="19"/>
        <v>-6.6999999999999976E-3</v>
      </c>
    </row>
    <row r="35" spans="1:22" x14ac:dyDescent="0.25">
      <c r="A35" s="126">
        <v>27</v>
      </c>
      <c r="B35" s="62" t="s">
        <v>63</v>
      </c>
      <c r="C35" s="63" t="s">
        <v>64</v>
      </c>
      <c r="D35" s="9">
        <v>14100360847.379999</v>
      </c>
      <c r="E35" s="3">
        <f t="shared" si="14"/>
        <v>1.6268642706895719E-2</v>
      </c>
      <c r="F35" s="11">
        <v>100</v>
      </c>
      <c r="G35" s="11">
        <v>100</v>
      </c>
      <c r="H35" s="60">
        <v>2535</v>
      </c>
      <c r="I35" s="5">
        <v>9.4700000000000006E-2</v>
      </c>
      <c r="J35" s="5">
        <v>9.4700000000000006E-2</v>
      </c>
      <c r="K35" s="9">
        <v>14017970369.98</v>
      </c>
      <c r="L35" s="3">
        <f t="shared" si="8"/>
        <v>1.6173582640435065E-2</v>
      </c>
      <c r="M35" s="11">
        <v>100</v>
      </c>
      <c r="N35" s="11">
        <v>100</v>
      </c>
      <c r="O35" s="60">
        <v>2560</v>
      </c>
      <c r="P35" s="5">
        <v>9.7799999999999998E-2</v>
      </c>
      <c r="Q35" s="5">
        <v>9.7799999999999998E-2</v>
      </c>
      <c r="R35" s="83">
        <f t="shared" si="15"/>
        <v>-5.8431467316177703E-3</v>
      </c>
      <c r="S35" s="83">
        <f t="shared" si="16"/>
        <v>0</v>
      </c>
      <c r="T35" s="83">
        <f t="shared" si="17"/>
        <v>9.8619329388560158E-3</v>
      </c>
      <c r="U35" s="84">
        <f t="shared" si="18"/>
        <v>3.0999999999999917E-3</v>
      </c>
      <c r="V35" s="86">
        <f t="shared" si="19"/>
        <v>3.0999999999999917E-3</v>
      </c>
    </row>
    <row r="36" spans="1:22" x14ac:dyDescent="0.25">
      <c r="A36" s="126">
        <v>28</v>
      </c>
      <c r="B36" s="62" t="s">
        <v>65</v>
      </c>
      <c r="C36" s="63" t="s">
        <v>64</v>
      </c>
      <c r="D36" s="9">
        <v>1372315570.1500001</v>
      </c>
      <c r="E36" s="3">
        <f t="shared" si="14"/>
        <v>1.5833432869931554E-3</v>
      </c>
      <c r="F36" s="11">
        <v>1000000</v>
      </c>
      <c r="G36" s="11">
        <v>1000000</v>
      </c>
      <c r="H36" s="60">
        <v>9</v>
      </c>
      <c r="I36" s="5">
        <v>8.9499999999999996E-2</v>
      </c>
      <c r="J36" s="5">
        <v>8.9499999999999996E-2</v>
      </c>
      <c r="K36" s="9">
        <v>1374314905.8399999</v>
      </c>
      <c r="L36" s="3">
        <f t="shared" si="8"/>
        <v>1.5856500703686884E-3</v>
      </c>
      <c r="M36" s="11">
        <v>1000000</v>
      </c>
      <c r="N36" s="11">
        <v>1000000</v>
      </c>
      <c r="O36" s="60">
        <v>9</v>
      </c>
      <c r="P36" s="5">
        <v>9.3299999999999994E-2</v>
      </c>
      <c r="Q36" s="5">
        <v>9.3299999999999994E-2</v>
      </c>
      <c r="R36" s="83">
        <f t="shared" si="15"/>
        <v>1.456906657250331E-3</v>
      </c>
      <c r="S36" s="83">
        <f t="shared" si="16"/>
        <v>0</v>
      </c>
      <c r="T36" s="83">
        <f t="shared" si="17"/>
        <v>0</v>
      </c>
      <c r="U36" s="84">
        <f t="shared" si="18"/>
        <v>3.7999999999999978E-3</v>
      </c>
      <c r="V36" s="86">
        <f t="shared" si="19"/>
        <v>3.7999999999999978E-3</v>
      </c>
    </row>
    <row r="37" spans="1:22" x14ac:dyDescent="0.25">
      <c r="A37" s="127">
        <v>29</v>
      </c>
      <c r="B37" s="62" t="s">
        <v>66</v>
      </c>
      <c r="C37" s="63" t="s">
        <v>67</v>
      </c>
      <c r="D37" s="9">
        <v>2789268132.73</v>
      </c>
      <c r="E37" s="3">
        <f t="shared" si="14"/>
        <v>3.2181876163506987E-3</v>
      </c>
      <c r="F37" s="8">
        <v>1</v>
      </c>
      <c r="G37" s="8">
        <v>1</v>
      </c>
      <c r="H37" s="60">
        <v>429</v>
      </c>
      <c r="I37" s="5">
        <v>0.1295</v>
      </c>
      <c r="J37" s="5">
        <v>0.1295</v>
      </c>
      <c r="K37" s="9">
        <v>2789268132.73</v>
      </c>
      <c r="L37" s="3">
        <f t="shared" si="8"/>
        <v>3.2181876163506987E-3</v>
      </c>
      <c r="M37" s="8">
        <v>1</v>
      </c>
      <c r="N37" s="8">
        <v>1</v>
      </c>
      <c r="O37" s="60">
        <v>429</v>
      </c>
      <c r="P37" s="5">
        <v>0.12620000000000001</v>
      </c>
      <c r="Q37" s="5">
        <v>0.12620000000000001</v>
      </c>
      <c r="R37" s="83">
        <f t="shared" si="15"/>
        <v>0</v>
      </c>
      <c r="S37" s="83">
        <f t="shared" si="16"/>
        <v>0</v>
      </c>
      <c r="T37" s="83">
        <f t="shared" si="17"/>
        <v>0</v>
      </c>
      <c r="U37" s="84">
        <f t="shared" si="18"/>
        <v>-3.2999999999999974E-3</v>
      </c>
      <c r="V37" s="86">
        <f t="shared" si="19"/>
        <v>-3.2999999999999974E-3</v>
      </c>
    </row>
    <row r="38" spans="1:22" x14ac:dyDescent="0.25">
      <c r="A38" s="126">
        <v>30</v>
      </c>
      <c r="B38" s="62" t="s">
        <v>68</v>
      </c>
      <c r="C38" s="63" t="s">
        <v>27</v>
      </c>
      <c r="D38" s="9">
        <v>193224908947.26001</v>
      </c>
      <c r="E38" s="3">
        <f t="shared" si="14"/>
        <v>0.22293805383849655</v>
      </c>
      <c r="F38" s="8">
        <v>100</v>
      </c>
      <c r="G38" s="8">
        <v>100</v>
      </c>
      <c r="H38" s="60">
        <v>14754</v>
      </c>
      <c r="I38" s="5">
        <v>0.1021</v>
      </c>
      <c r="J38" s="5">
        <v>0.1021</v>
      </c>
      <c r="K38" s="9">
        <v>190664479132.14001</v>
      </c>
      <c r="L38" s="3">
        <f t="shared" si="8"/>
        <v>0.21998389413371069</v>
      </c>
      <c r="M38" s="8">
        <v>100</v>
      </c>
      <c r="N38" s="8">
        <v>100</v>
      </c>
      <c r="O38" s="60">
        <v>14819</v>
      </c>
      <c r="P38" s="5">
        <v>0.1013</v>
      </c>
      <c r="Q38" s="5">
        <v>0.1013</v>
      </c>
      <c r="R38" s="83">
        <f t="shared" si="15"/>
        <v>-1.3251033881034741E-2</v>
      </c>
      <c r="S38" s="83">
        <f t="shared" si="16"/>
        <v>0</v>
      </c>
      <c r="T38" s="83">
        <f t="shared" si="17"/>
        <v>4.4055849261217294E-3</v>
      </c>
      <c r="U38" s="84">
        <f t="shared" si="18"/>
        <v>-7.9999999999999516E-4</v>
      </c>
      <c r="V38" s="86">
        <f t="shared" si="19"/>
        <v>-7.9999999999999516E-4</v>
      </c>
    </row>
    <row r="39" spans="1:22" x14ac:dyDescent="0.25">
      <c r="A39" s="125">
        <v>31</v>
      </c>
      <c r="B39" s="62" t="s">
        <v>69</v>
      </c>
      <c r="C39" s="63" t="s">
        <v>70</v>
      </c>
      <c r="D39" s="9">
        <v>273909450.56</v>
      </c>
      <c r="E39" s="3">
        <f t="shared" si="14"/>
        <v>3.1602985437289405E-4</v>
      </c>
      <c r="F39" s="8">
        <v>1</v>
      </c>
      <c r="G39" s="8">
        <v>1</v>
      </c>
      <c r="H39" s="61">
        <v>433</v>
      </c>
      <c r="I39" s="12">
        <v>6.5299999999999997E-2</v>
      </c>
      <c r="J39" s="12">
        <v>6.5299999999999997E-2</v>
      </c>
      <c r="K39" s="9">
        <v>274299104.54000002</v>
      </c>
      <c r="L39" s="3">
        <f t="shared" si="8"/>
        <v>3.1647942736244756E-4</v>
      </c>
      <c r="M39" s="8">
        <v>1</v>
      </c>
      <c r="N39" s="8">
        <v>1</v>
      </c>
      <c r="O39" s="61">
        <v>433</v>
      </c>
      <c r="P39" s="12">
        <v>6.54E-2</v>
      </c>
      <c r="Q39" s="12">
        <v>6.54E-2</v>
      </c>
      <c r="R39" s="83">
        <f t="shared" si="15"/>
        <v>1.4225649359793271E-3</v>
      </c>
      <c r="S39" s="83">
        <f t="shared" si="16"/>
        <v>0</v>
      </c>
      <c r="T39" s="83">
        <f t="shared" si="17"/>
        <v>0</v>
      </c>
      <c r="U39" s="84">
        <f t="shared" si="18"/>
        <v>1.0000000000000286E-4</v>
      </c>
      <c r="V39" s="86">
        <f t="shared" si="19"/>
        <v>1.0000000000000286E-4</v>
      </c>
    </row>
    <row r="40" spans="1:22" x14ac:dyDescent="0.25">
      <c r="A40" s="132">
        <v>32</v>
      </c>
      <c r="B40" s="62" t="s">
        <v>71</v>
      </c>
      <c r="C40" s="63" t="s">
        <v>72</v>
      </c>
      <c r="D40" s="9">
        <v>605692612.35000002</v>
      </c>
      <c r="E40" s="3">
        <f t="shared" si="14"/>
        <v>6.9883294528305542E-4</v>
      </c>
      <c r="F40" s="8">
        <v>10</v>
      </c>
      <c r="G40" s="8">
        <v>10</v>
      </c>
      <c r="H40" s="60">
        <v>284</v>
      </c>
      <c r="I40" s="5">
        <v>8.2799999999999999E-2</v>
      </c>
      <c r="J40" s="5">
        <v>8.2799999999999999E-2</v>
      </c>
      <c r="K40" s="9">
        <v>605517623.01999998</v>
      </c>
      <c r="L40" s="3">
        <f t="shared" si="8"/>
        <v>6.9863104698285566E-4</v>
      </c>
      <c r="M40" s="8">
        <v>10</v>
      </c>
      <c r="N40" s="8">
        <v>10</v>
      </c>
      <c r="O40" s="60">
        <v>286</v>
      </c>
      <c r="P40" s="5">
        <v>9.1999999999999998E-2</v>
      </c>
      <c r="Q40" s="5">
        <v>9.1999999999999998E-2</v>
      </c>
      <c r="R40" s="83">
        <f t="shared" si="15"/>
        <v>-2.889078163280043E-4</v>
      </c>
      <c r="S40" s="83">
        <f t="shared" si="16"/>
        <v>0</v>
      </c>
      <c r="T40" s="83">
        <f t="shared" si="17"/>
        <v>7.0422535211267607E-3</v>
      </c>
      <c r="U40" s="84">
        <f t="shared" si="18"/>
        <v>9.1999999999999998E-3</v>
      </c>
      <c r="V40" s="86">
        <f t="shared" si="19"/>
        <v>9.1999999999999998E-3</v>
      </c>
    </row>
    <row r="41" spans="1:22" x14ac:dyDescent="0.25">
      <c r="A41" s="126">
        <v>33</v>
      </c>
      <c r="B41" s="62" t="s">
        <v>73</v>
      </c>
      <c r="C41" s="63" t="s">
        <v>74</v>
      </c>
      <c r="D41" s="9">
        <v>3137947149.8440833</v>
      </c>
      <c r="E41" s="3">
        <f t="shared" si="14"/>
        <v>3.6204847213836253E-3</v>
      </c>
      <c r="F41" s="8">
        <v>100</v>
      </c>
      <c r="G41" s="8">
        <v>100</v>
      </c>
      <c r="H41" s="60">
        <v>565</v>
      </c>
      <c r="I41" s="5">
        <v>9.8400000000000001E-2</v>
      </c>
      <c r="J41" s="5">
        <v>9.8400000000000001E-2</v>
      </c>
      <c r="K41" s="9">
        <v>3010737313.9302692</v>
      </c>
      <c r="L41" s="3">
        <f t="shared" si="8"/>
        <v>3.4737132031448415E-3</v>
      </c>
      <c r="M41" s="8">
        <v>100</v>
      </c>
      <c r="N41" s="8">
        <v>100</v>
      </c>
      <c r="O41" s="60">
        <v>565</v>
      </c>
      <c r="P41" s="5">
        <v>9.2600000000000002E-2</v>
      </c>
      <c r="Q41" s="5">
        <v>9.2600000000000002E-2</v>
      </c>
      <c r="R41" s="83">
        <f t="shared" si="15"/>
        <v>-4.0539190062565206E-2</v>
      </c>
      <c r="S41" s="83">
        <f t="shared" si="16"/>
        <v>0</v>
      </c>
      <c r="T41" s="83">
        <f t="shared" si="17"/>
        <v>0</v>
      </c>
      <c r="U41" s="84">
        <f t="shared" si="18"/>
        <v>-5.7999999999999996E-3</v>
      </c>
      <c r="V41" s="86">
        <f t="shared" si="19"/>
        <v>-5.7999999999999996E-3</v>
      </c>
    </row>
    <row r="42" spans="1:22" ht="15.75" customHeight="1" x14ac:dyDescent="0.25">
      <c r="A42" s="127">
        <v>34</v>
      </c>
      <c r="B42" s="62" t="s">
        <v>241</v>
      </c>
      <c r="C42" s="63" t="s">
        <v>32</v>
      </c>
      <c r="D42" s="9">
        <v>21577529361.375999</v>
      </c>
      <c r="E42" s="3">
        <f t="shared" si="14"/>
        <v>2.4895612210024003E-2</v>
      </c>
      <c r="F42" s="8">
        <v>100</v>
      </c>
      <c r="G42" s="8">
        <v>100</v>
      </c>
      <c r="H42" s="60">
        <v>10703</v>
      </c>
      <c r="I42" s="5">
        <v>9.3426468425913428E-2</v>
      </c>
      <c r="J42" s="5">
        <v>9.3426468425913428E-2</v>
      </c>
      <c r="K42" s="9">
        <v>21990566093.552101</v>
      </c>
      <c r="L42" s="3">
        <f t="shared" si="8"/>
        <v>2.5372163632595954E-2</v>
      </c>
      <c r="M42" s="8">
        <v>100</v>
      </c>
      <c r="N42" s="8">
        <v>100</v>
      </c>
      <c r="O42" s="60">
        <v>10756</v>
      </c>
      <c r="P42" s="5">
        <v>9.3700000000000006E-2</v>
      </c>
      <c r="Q42" s="5">
        <v>9.3700000000000006E-2</v>
      </c>
      <c r="R42" s="83">
        <f t="shared" si="15"/>
        <v>1.914198448110754E-2</v>
      </c>
      <c r="S42" s="83">
        <f t="shared" si="16"/>
        <v>0</v>
      </c>
      <c r="T42" s="83">
        <f t="shared" si="17"/>
        <v>4.9518826497243762E-3</v>
      </c>
      <c r="U42" s="84">
        <f t="shared" si="18"/>
        <v>2.7353157408657736E-4</v>
      </c>
      <c r="V42" s="86">
        <f t="shared" si="19"/>
        <v>2.7353157408657736E-4</v>
      </c>
    </row>
    <row r="43" spans="1:22" x14ac:dyDescent="0.25">
      <c r="A43" s="127">
        <v>35</v>
      </c>
      <c r="B43" s="62" t="s">
        <v>75</v>
      </c>
      <c r="C43" s="63" t="s">
        <v>34</v>
      </c>
      <c r="D43" s="9">
        <v>3021619431.5900002</v>
      </c>
      <c r="E43" s="3">
        <f t="shared" si="14"/>
        <v>3.4862687175757686E-3</v>
      </c>
      <c r="F43" s="8">
        <v>1</v>
      </c>
      <c r="G43" s="8">
        <v>1</v>
      </c>
      <c r="H43" s="60">
        <v>824</v>
      </c>
      <c r="I43" s="5">
        <v>7.5600000000000001E-2</v>
      </c>
      <c r="J43" s="5">
        <v>7.5600000000000001E-2</v>
      </c>
      <c r="K43" s="9">
        <v>2982374484.1399999</v>
      </c>
      <c r="L43" s="3">
        <f t="shared" si="8"/>
        <v>3.4409888814761424E-3</v>
      </c>
      <c r="M43" s="8">
        <v>1</v>
      </c>
      <c r="N43" s="8">
        <v>1</v>
      </c>
      <c r="O43" s="60">
        <v>825</v>
      </c>
      <c r="P43" s="5">
        <v>7.5999999999999998E-2</v>
      </c>
      <c r="Q43" s="5">
        <v>7.5999999999999998E-2</v>
      </c>
      <c r="R43" s="83">
        <f t="shared" si="15"/>
        <v>-1.29880510562342E-2</v>
      </c>
      <c r="S43" s="83">
        <f t="shared" si="16"/>
        <v>0</v>
      </c>
      <c r="T43" s="83">
        <f t="shared" si="17"/>
        <v>1.2135922330097086E-3</v>
      </c>
      <c r="U43" s="84">
        <f t="shared" si="18"/>
        <v>3.9999999999999758E-4</v>
      </c>
      <c r="V43" s="86">
        <f t="shared" si="19"/>
        <v>3.9999999999999758E-4</v>
      </c>
    </row>
    <row r="44" spans="1:22" x14ac:dyDescent="0.25">
      <c r="A44" s="127">
        <v>36</v>
      </c>
      <c r="B44" s="62" t="s">
        <v>76</v>
      </c>
      <c r="C44" s="63" t="s">
        <v>36</v>
      </c>
      <c r="D44" s="13">
        <v>3228270849.6999998</v>
      </c>
      <c r="E44" s="3">
        <f t="shared" si="14"/>
        <v>3.7246979409477072E-3</v>
      </c>
      <c r="F44" s="8">
        <v>10</v>
      </c>
      <c r="G44" s="8">
        <v>10</v>
      </c>
      <c r="H44" s="60">
        <v>1858</v>
      </c>
      <c r="I44" s="5">
        <v>0.1138</v>
      </c>
      <c r="J44" s="5">
        <v>0.1138</v>
      </c>
      <c r="K44" s="13">
        <v>3282116144.54</v>
      </c>
      <c r="L44" s="3">
        <f t="shared" si="8"/>
        <v>3.786823291687379E-3</v>
      </c>
      <c r="M44" s="8">
        <v>10</v>
      </c>
      <c r="N44" s="8">
        <v>10</v>
      </c>
      <c r="O44" s="60">
        <v>1864</v>
      </c>
      <c r="P44" s="5">
        <v>0.1139</v>
      </c>
      <c r="Q44" s="5">
        <v>0.1139</v>
      </c>
      <c r="R44" s="83">
        <f t="shared" si="15"/>
        <v>1.6679299026289552E-2</v>
      </c>
      <c r="S44" s="83">
        <f t="shared" si="16"/>
        <v>0</v>
      </c>
      <c r="T44" s="83">
        <f t="shared" si="17"/>
        <v>3.2292787944025836E-3</v>
      </c>
      <c r="U44" s="84">
        <f t="shared" si="18"/>
        <v>1.0000000000000286E-4</v>
      </c>
      <c r="V44" s="86">
        <f t="shared" si="19"/>
        <v>1.0000000000000286E-4</v>
      </c>
    </row>
    <row r="45" spans="1:22" x14ac:dyDescent="0.25">
      <c r="A45" s="127">
        <v>37</v>
      </c>
      <c r="B45" s="62" t="s">
        <v>77</v>
      </c>
      <c r="C45" s="63" t="s">
        <v>78</v>
      </c>
      <c r="D45" s="9">
        <v>5765473057.7099991</v>
      </c>
      <c r="E45" s="3">
        <f t="shared" si="14"/>
        <v>6.6520582152013469E-3</v>
      </c>
      <c r="F45" s="8">
        <v>100</v>
      </c>
      <c r="G45" s="8">
        <v>100</v>
      </c>
      <c r="H45" s="60">
        <v>1861</v>
      </c>
      <c r="I45" s="5">
        <v>0.1186</v>
      </c>
      <c r="J45" s="5">
        <v>0.1186</v>
      </c>
      <c r="K45" s="9">
        <v>5765860043.3400002</v>
      </c>
      <c r="L45" s="3">
        <f t="shared" si="8"/>
        <v>6.6525047095155939E-3</v>
      </c>
      <c r="M45" s="8">
        <v>100</v>
      </c>
      <c r="N45" s="8">
        <v>100</v>
      </c>
      <c r="O45" s="60">
        <v>1887</v>
      </c>
      <c r="P45" s="5">
        <v>0.1207</v>
      </c>
      <c r="Q45" s="5">
        <v>0.1207</v>
      </c>
      <c r="R45" s="83">
        <f t="shared" si="15"/>
        <v>6.7121227716702885E-5</v>
      </c>
      <c r="S45" s="83">
        <f t="shared" si="16"/>
        <v>0</v>
      </c>
      <c r="T45" s="83">
        <f t="shared" si="17"/>
        <v>1.3970983342289092E-2</v>
      </c>
      <c r="U45" s="84">
        <f t="shared" si="18"/>
        <v>2.1000000000000046E-3</v>
      </c>
      <c r="V45" s="86">
        <f t="shared" si="19"/>
        <v>2.1000000000000046E-3</v>
      </c>
    </row>
    <row r="46" spans="1:22" x14ac:dyDescent="0.25">
      <c r="A46" s="126">
        <v>38</v>
      </c>
      <c r="B46" s="62" t="s">
        <v>79</v>
      </c>
      <c r="C46" s="63" t="s">
        <v>80</v>
      </c>
      <c r="D46" s="9">
        <v>162316006.78999999</v>
      </c>
      <c r="E46" s="3">
        <f t="shared" si="14"/>
        <v>1.8727613772857686E-4</v>
      </c>
      <c r="F46" s="8">
        <v>1</v>
      </c>
      <c r="G46" s="8">
        <v>1</v>
      </c>
      <c r="H46" s="60">
        <v>59</v>
      </c>
      <c r="I46" s="5">
        <v>6.9400000000000003E-2</v>
      </c>
      <c r="J46" s="5">
        <v>6.9400000000000003E-2</v>
      </c>
      <c r="K46" s="9">
        <v>163166000.25</v>
      </c>
      <c r="L46" s="3">
        <f t="shared" si="8"/>
        <v>1.8825683886478274E-4</v>
      </c>
      <c r="M46" s="8">
        <v>1</v>
      </c>
      <c r="N46" s="8">
        <v>1</v>
      </c>
      <c r="O46" s="60">
        <v>59</v>
      </c>
      <c r="P46" s="5">
        <v>6.9400000000000003E-2</v>
      </c>
      <c r="Q46" s="5">
        <v>6.9400000000000003E-2</v>
      </c>
      <c r="R46" s="83">
        <f t="shared" si="15"/>
        <v>5.2366582742496039E-3</v>
      </c>
      <c r="S46" s="83">
        <f t="shared" si="16"/>
        <v>0</v>
      </c>
      <c r="T46" s="83">
        <f t="shared" si="17"/>
        <v>0</v>
      </c>
      <c r="U46" s="84">
        <f t="shared" si="18"/>
        <v>0</v>
      </c>
      <c r="V46" s="86">
        <f t="shared" si="19"/>
        <v>0</v>
      </c>
    </row>
    <row r="47" spans="1:22" x14ac:dyDescent="0.25">
      <c r="A47" s="126">
        <v>39</v>
      </c>
      <c r="B47" s="62" t="s">
        <v>81</v>
      </c>
      <c r="C47" s="63" t="s">
        <v>38</v>
      </c>
      <c r="D47" s="13">
        <v>732040145.75</v>
      </c>
      <c r="E47" s="3">
        <f t="shared" si="14"/>
        <v>8.4460956050805573E-4</v>
      </c>
      <c r="F47" s="8">
        <v>10</v>
      </c>
      <c r="G47" s="8">
        <v>10</v>
      </c>
      <c r="H47" s="60">
        <v>624</v>
      </c>
      <c r="I47" s="5">
        <v>0.1135</v>
      </c>
      <c r="J47" s="5">
        <v>0.1135</v>
      </c>
      <c r="K47" s="13">
        <v>697748503.19000006</v>
      </c>
      <c r="L47" s="3">
        <f t="shared" si="8"/>
        <v>8.050447233610066E-4</v>
      </c>
      <c r="M47" s="8">
        <v>10</v>
      </c>
      <c r="N47" s="8">
        <v>10</v>
      </c>
      <c r="O47" s="60">
        <v>624</v>
      </c>
      <c r="P47" s="5">
        <v>0.1101</v>
      </c>
      <c r="Q47" s="5">
        <v>0.1101</v>
      </c>
      <c r="R47" s="83">
        <f t="shared" si="15"/>
        <v>-4.6843937124332151E-2</v>
      </c>
      <c r="S47" s="83">
        <f t="shared" si="16"/>
        <v>0</v>
      </c>
      <c r="T47" s="83">
        <f t="shared" si="17"/>
        <v>0</v>
      </c>
      <c r="U47" s="84">
        <f t="shared" si="18"/>
        <v>-3.4000000000000002E-3</v>
      </c>
      <c r="V47" s="86">
        <f t="shared" si="19"/>
        <v>-3.4000000000000002E-3</v>
      </c>
    </row>
    <row r="48" spans="1:22" x14ac:dyDescent="0.25">
      <c r="A48" s="127">
        <v>40</v>
      </c>
      <c r="B48" s="62" t="s">
        <v>82</v>
      </c>
      <c r="C48" s="63" t="s">
        <v>42</v>
      </c>
      <c r="D48" s="9">
        <v>383969715304.21002</v>
      </c>
      <c r="E48" s="3">
        <f t="shared" si="14"/>
        <v>0.44301462750957621</v>
      </c>
      <c r="F48" s="8">
        <v>100</v>
      </c>
      <c r="G48" s="8">
        <v>100</v>
      </c>
      <c r="H48" s="60">
        <v>129530</v>
      </c>
      <c r="I48" s="5">
        <v>9.6100000000000005E-2</v>
      </c>
      <c r="J48" s="5">
        <v>9.6100000000000005E-2</v>
      </c>
      <c r="K48" s="9">
        <v>386033874802.46002</v>
      </c>
      <c r="L48" s="3">
        <f t="shared" si="8"/>
        <v>0.44539620296927901</v>
      </c>
      <c r="M48" s="8">
        <v>100</v>
      </c>
      <c r="N48" s="8">
        <v>100</v>
      </c>
      <c r="O48" s="60">
        <v>129812</v>
      </c>
      <c r="P48" s="5">
        <v>9.7100000000000006E-2</v>
      </c>
      <c r="Q48" s="5">
        <v>9.7100000000000006E-2</v>
      </c>
      <c r="R48" s="83">
        <f t="shared" si="15"/>
        <v>5.3758393330958819E-3</v>
      </c>
      <c r="S48" s="83">
        <f t="shared" si="16"/>
        <v>0</v>
      </c>
      <c r="T48" s="83">
        <f t="shared" si="17"/>
        <v>2.1771018296919634E-3</v>
      </c>
      <c r="U48" s="84">
        <f t="shared" si="18"/>
        <v>1.0000000000000009E-3</v>
      </c>
      <c r="V48" s="86">
        <f t="shared" si="19"/>
        <v>1.0000000000000009E-3</v>
      </c>
    </row>
    <row r="49" spans="1:22" x14ac:dyDescent="0.25">
      <c r="A49" s="126">
        <v>41</v>
      </c>
      <c r="B49" s="62" t="s">
        <v>83</v>
      </c>
      <c r="C49" s="63" t="s">
        <v>84</v>
      </c>
      <c r="D49" s="9">
        <v>2676678807.0799999</v>
      </c>
      <c r="E49" s="3">
        <f t="shared" si="14"/>
        <v>3.0882848761700794E-3</v>
      </c>
      <c r="F49" s="8">
        <v>1</v>
      </c>
      <c r="G49" s="8">
        <v>1</v>
      </c>
      <c r="H49" s="60">
        <v>309</v>
      </c>
      <c r="I49" s="5">
        <v>0.13034404212740136</v>
      </c>
      <c r="J49" s="5">
        <v>0.13034404212740136</v>
      </c>
      <c r="K49" s="9">
        <v>2535130880.9400001</v>
      </c>
      <c r="L49" s="3">
        <f t="shared" si="8"/>
        <v>2.924970429029416E-3</v>
      </c>
      <c r="M49" s="8">
        <v>1</v>
      </c>
      <c r="N49" s="8">
        <v>1</v>
      </c>
      <c r="O49" s="60">
        <v>307</v>
      </c>
      <c r="P49" s="5">
        <v>0.13379452756853444</v>
      </c>
      <c r="Q49" s="5">
        <v>0.13379452756853444</v>
      </c>
      <c r="R49" s="83">
        <f t="shared" si="15"/>
        <v>-5.2881924333093626E-2</v>
      </c>
      <c r="S49" s="83">
        <f t="shared" si="16"/>
        <v>0</v>
      </c>
      <c r="T49" s="83">
        <f t="shared" si="17"/>
        <v>-6.4724919093851136E-3</v>
      </c>
      <c r="U49" s="84">
        <f t="shared" si="18"/>
        <v>3.4504854411330776E-3</v>
      </c>
      <c r="V49" s="86">
        <f t="shared" si="19"/>
        <v>3.4504854411330776E-3</v>
      </c>
    </row>
    <row r="50" spans="1:22" x14ac:dyDescent="0.25">
      <c r="A50" s="127">
        <v>42</v>
      </c>
      <c r="B50" s="62" t="s">
        <v>85</v>
      </c>
      <c r="C50" s="63" t="s">
        <v>45</v>
      </c>
      <c r="D50" s="9">
        <v>44174608416.349998</v>
      </c>
      <c r="E50" s="3">
        <f t="shared" si="14"/>
        <v>5.0967555286087714E-2</v>
      </c>
      <c r="F50" s="8">
        <v>1</v>
      </c>
      <c r="G50" s="8">
        <v>1</v>
      </c>
      <c r="H50" s="60">
        <v>18436</v>
      </c>
      <c r="I50" s="5">
        <v>9.69E-2</v>
      </c>
      <c r="J50" s="5">
        <v>9.69E-2</v>
      </c>
      <c r="K50" s="9">
        <v>43196914337.599998</v>
      </c>
      <c r="L50" s="3">
        <f t="shared" si="8"/>
        <v>4.983951637871558E-2</v>
      </c>
      <c r="M50" s="8">
        <v>1</v>
      </c>
      <c r="N50" s="8">
        <v>1</v>
      </c>
      <c r="O50" s="60">
        <v>18436</v>
      </c>
      <c r="P50" s="5">
        <v>9.6100000000000005E-2</v>
      </c>
      <c r="Q50" s="5">
        <v>9.6100000000000005E-2</v>
      </c>
      <c r="R50" s="83">
        <f t="shared" si="15"/>
        <v>-2.2132489993689084E-2</v>
      </c>
      <c r="S50" s="83">
        <f t="shared" si="16"/>
        <v>0</v>
      </c>
      <c r="T50" s="83">
        <f t="shared" si="17"/>
        <v>0</v>
      </c>
      <c r="U50" s="84">
        <f t="shared" si="18"/>
        <v>-7.9999999999999516E-4</v>
      </c>
      <c r="V50" s="86">
        <f t="shared" si="19"/>
        <v>-7.9999999999999516E-4</v>
      </c>
    </row>
    <row r="51" spans="1:22" x14ac:dyDescent="0.25">
      <c r="A51" s="127">
        <v>43</v>
      </c>
      <c r="B51" s="62" t="s">
        <v>86</v>
      </c>
      <c r="C51" s="63" t="s">
        <v>87</v>
      </c>
      <c r="D51" s="9">
        <v>1993635189.8099999</v>
      </c>
      <c r="E51" s="3">
        <f t="shared" si="14"/>
        <v>2.3002062813831932E-3</v>
      </c>
      <c r="F51" s="8">
        <v>1</v>
      </c>
      <c r="G51" s="8">
        <v>1</v>
      </c>
      <c r="H51" s="60">
        <v>57</v>
      </c>
      <c r="I51" s="5">
        <v>7.6499999999999999E-2</v>
      </c>
      <c r="J51" s="5">
        <v>7.6499999999999999E-2</v>
      </c>
      <c r="K51" s="9">
        <v>1997960313.6199999</v>
      </c>
      <c r="L51" s="3">
        <f t="shared" si="8"/>
        <v>2.3051965007605257E-3</v>
      </c>
      <c r="M51" s="8">
        <v>1</v>
      </c>
      <c r="N51" s="8">
        <v>1</v>
      </c>
      <c r="O51" s="60">
        <v>57</v>
      </c>
      <c r="P51" s="5">
        <v>7.5399999999999995E-2</v>
      </c>
      <c r="Q51" s="5">
        <v>7.5399999999999995E-2</v>
      </c>
      <c r="R51" s="83">
        <f t="shared" si="15"/>
        <v>2.1694660247305033E-3</v>
      </c>
      <c r="S51" s="83">
        <f t="shared" si="16"/>
        <v>0</v>
      </c>
      <c r="T51" s="83">
        <f t="shared" si="17"/>
        <v>0</v>
      </c>
      <c r="U51" s="84">
        <f t="shared" si="18"/>
        <v>-1.1000000000000038E-3</v>
      </c>
      <c r="V51" s="86">
        <f t="shared" si="19"/>
        <v>-1.1000000000000038E-3</v>
      </c>
    </row>
    <row r="52" spans="1:22" x14ac:dyDescent="0.25">
      <c r="A52" s="126">
        <v>44</v>
      </c>
      <c r="B52" s="62" t="s">
        <v>88</v>
      </c>
      <c r="C52" s="63" t="s">
        <v>89</v>
      </c>
      <c r="D52" s="9">
        <v>940035417.71000004</v>
      </c>
      <c r="E52" s="3">
        <f t="shared" si="14"/>
        <v>1.0845892887481024E-3</v>
      </c>
      <c r="F52" s="8">
        <v>1</v>
      </c>
      <c r="G52" s="8">
        <v>1</v>
      </c>
      <c r="H52" s="60">
        <v>204</v>
      </c>
      <c r="I52" s="5">
        <v>0.10059999999999999</v>
      </c>
      <c r="J52" s="5">
        <v>0.10150000000000001</v>
      </c>
      <c r="K52" s="9">
        <v>940980807.14999998</v>
      </c>
      <c r="L52" s="3">
        <f t="shared" si="8"/>
        <v>1.0856800553734891E-3</v>
      </c>
      <c r="M52" s="8">
        <v>1</v>
      </c>
      <c r="N52" s="8">
        <v>1</v>
      </c>
      <c r="O52" s="60">
        <v>205</v>
      </c>
      <c r="P52" s="5">
        <v>0.10249999999999999</v>
      </c>
      <c r="Q52" s="5">
        <v>0.10249999999999999</v>
      </c>
      <c r="R52" s="83">
        <f t="shared" si="15"/>
        <v>1.0056955537941122E-3</v>
      </c>
      <c r="S52" s="83">
        <f t="shared" si="16"/>
        <v>0</v>
      </c>
      <c r="T52" s="83">
        <f t="shared" si="17"/>
        <v>4.9019607843137254E-3</v>
      </c>
      <c r="U52" s="84">
        <f t="shared" si="18"/>
        <v>1.8999999999999989E-3</v>
      </c>
      <c r="V52" s="86">
        <f t="shared" si="19"/>
        <v>9.9999999999998701E-4</v>
      </c>
    </row>
    <row r="53" spans="1:22" x14ac:dyDescent="0.25">
      <c r="A53" s="125">
        <v>45</v>
      </c>
      <c r="B53" s="62" t="s">
        <v>90</v>
      </c>
      <c r="C53" s="63" t="s">
        <v>91</v>
      </c>
      <c r="D53" s="9">
        <v>25947716709.82</v>
      </c>
      <c r="E53" s="3">
        <f t="shared" si="14"/>
        <v>2.9937824767814113E-2</v>
      </c>
      <c r="F53" s="8">
        <v>1</v>
      </c>
      <c r="G53" s="8">
        <v>1</v>
      </c>
      <c r="H53" s="60">
        <v>3042</v>
      </c>
      <c r="I53" s="5">
        <v>0.1024</v>
      </c>
      <c r="J53" s="5">
        <v>0.1024</v>
      </c>
      <c r="K53" s="9">
        <v>25592133142.919998</v>
      </c>
      <c r="L53" s="3">
        <f t="shared" si="8"/>
        <v>2.9527561366405167E-2</v>
      </c>
      <c r="M53" s="8">
        <v>1</v>
      </c>
      <c r="N53" s="8">
        <v>1</v>
      </c>
      <c r="O53" s="60">
        <v>3041</v>
      </c>
      <c r="P53" s="5">
        <v>0.10150000000000001</v>
      </c>
      <c r="Q53" s="5">
        <v>0.10150000000000001</v>
      </c>
      <c r="R53" s="83">
        <f t="shared" si="15"/>
        <v>-1.3703848044765717E-2</v>
      </c>
      <c r="S53" s="83">
        <f t="shared" si="16"/>
        <v>0</v>
      </c>
      <c r="T53" s="83">
        <f t="shared" si="17"/>
        <v>-3.2873109796186721E-4</v>
      </c>
      <c r="U53" s="84">
        <f t="shared" si="18"/>
        <v>-8.9999999999999802E-4</v>
      </c>
      <c r="V53" s="86">
        <f t="shared" si="19"/>
        <v>-8.9999999999999802E-4</v>
      </c>
    </row>
    <row r="54" spans="1:22" x14ac:dyDescent="0.25">
      <c r="A54" s="78"/>
      <c r="B54" s="19"/>
      <c r="C54" s="74" t="s">
        <v>46</v>
      </c>
      <c r="D54" s="59">
        <f>SUM(D25:D53)</f>
        <v>868733209665.15002</v>
      </c>
      <c r="E54" s="116">
        <f>(D54/$D$172)</f>
        <v>0.43389145739100748</v>
      </c>
      <c r="F54" s="30"/>
      <c r="G54" s="11"/>
      <c r="H54" s="68">
        <f>SUM(H25:H53)</f>
        <v>279997</v>
      </c>
      <c r="I54" s="32"/>
      <c r="J54" s="32"/>
      <c r="K54" s="59">
        <f>SUM(K25:K53)</f>
        <v>866720174597.19238</v>
      </c>
      <c r="L54" s="116">
        <f>(K54/$K$172)</f>
        <v>0.4350890524964961</v>
      </c>
      <c r="M54" s="30"/>
      <c r="N54" s="11"/>
      <c r="O54" s="68">
        <f>SUM(O25:O53)</f>
        <v>282273</v>
      </c>
      <c r="P54" s="32"/>
      <c r="Q54" s="32"/>
      <c r="R54" s="83">
        <f t="shared" si="15"/>
        <v>-2.3172074528307238E-3</v>
      </c>
      <c r="S54" s="83" t="e">
        <f t="shared" si="16"/>
        <v>#DIV/0!</v>
      </c>
      <c r="T54" s="83">
        <f t="shared" si="17"/>
        <v>8.1286585213413004E-3</v>
      </c>
      <c r="U54" s="84">
        <f t="shared" si="18"/>
        <v>0</v>
      </c>
      <c r="V54" s="86">
        <f t="shared" si="19"/>
        <v>0</v>
      </c>
    </row>
    <row r="55" spans="1:22" ht="9" customHeight="1" x14ac:dyDescent="0.25">
      <c r="A55" s="135"/>
      <c r="B55" s="135"/>
      <c r="C55" s="135"/>
      <c r="D55" s="135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</row>
    <row r="56" spans="1:22" ht="15" customHeight="1" x14ac:dyDescent="0.25">
      <c r="A56" s="142" t="s">
        <v>92</v>
      </c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</row>
    <row r="57" spans="1:22" x14ac:dyDescent="0.25">
      <c r="A57" s="132">
        <v>46</v>
      </c>
      <c r="B57" s="62" t="s">
        <v>93</v>
      </c>
      <c r="C57" s="63" t="s">
        <v>19</v>
      </c>
      <c r="D57" s="2">
        <v>475049998.19</v>
      </c>
      <c r="E57" s="3">
        <f>(D57/$D$88)</f>
        <v>1.5978015715562416E-3</v>
      </c>
      <c r="F57" s="14">
        <v>1.2630999999999999</v>
      </c>
      <c r="G57" s="14">
        <v>1.2630999999999999</v>
      </c>
      <c r="H57" s="60">
        <v>391</v>
      </c>
      <c r="I57" s="5">
        <v>-9.4899999999999997E-4</v>
      </c>
      <c r="J57" s="5">
        <v>2.5899999999999999E-2</v>
      </c>
      <c r="K57" s="2">
        <v>476891057.27999997</v>
      </c>
      <c r="L57" s="3">
        <f t="shared" ref="L57:L87" si="20">(K57/$K$88)</f>
        <v>1.6066159965524927E-3</v>
      </c>
      <c r="M57" s="14">
        <v>1.2310000000000001</v>
      </c>
      <c r="N57" s="14">
        <v>1.2310000000000001</v>
      </c>
      <c r="O57" s="60">
        <v>392</v>
      </c>
      <c r="P57" s="5">
        <v>-6.777E-3</v>
      </c>
      <c r="Q57" s="5">
        <v>-2E-3</v>
      </c>
      <c r="R57" s="83">
        <f t="shared" ref="R57" si="21">((K57-D57)/D57)</f>
        <v>3.8755059404581402E-3</v>
      </c>
      <c r="S57" s="83">
        <f t="shared" ref="S57" si="22">((N57-G57)/G57)</f>
        <v>-2.5413664792969519E-2</v>
      </c>
      <c r="T57" s="83">
        <f t="shared" ref="T57" si="23">((O57-H57)/H57)</f>
        <v>2.5575447570332483E-3</v>
      </c>
      <c r="U57" s="84">
        <f t="shared" ref="U57" si="24">P57-I57</f>
        <v>-5.8279999999999998E-3</v>
      </c>
      <c r="V57" s="86">
        <f t="shared" ref="V57" si="25">Q57-J57</f>
        <v>-2.7900000000000001E-2</v>
      </c>
    </row>
    <row r="58" spans="1:22" x14ac:dyDescent="0.25">
      <c r="A58" s="127">
        <v>47</v>
      </c>
      <c r="B58" s="62" t="s">
        <v>94</v>
      </c>
      <c r="C58" s="63" t="s">
        <v>21</v>
      </c>
      <c r="D58" s="2">
        <v>1116581543.49</v>
      </c>
      <c r="E58" s="3">
        <f>(D58/$D$88)</f>
        <v>3.7555536296317608E-3</v>
      </c>
      <c r="F58" s="14">
        <v>1.1445000000000001</v>
      </c>
      <c r="G58" s="14">
        <v>1.1445000000000001</v>
      </c>
      <c r="H58" s="60">
        <v>538</v>
      </c>
      <c r="I58" s="5">
        <v>6.3899999999999998E-2</v>
      </c>
      <c r="J58" s="5">
        <v>4.1500000000000002E-2</v>
      </c>
      <c r="K58" s="2">
        <v>1118403473.5</v>
      </c>
      <c r="L58" s="3">
        <f t="shared" si="20"/>
        <v>3.7678310039476778E-3</v>
      </c>
      <c r="M58" s="14">
        <v>1.1467000000000001</v>
      </c>
      <c r="N58" s="14">
        <v>1.1467000000000001</v>
      </c>
      <c r="O58" s="60">
        <v>542</v>
      </c>
      <c r="P58" s="5">
        <v>0.1002</v>
      </c>
      <c r="Q58" s="5">
        <v>4.2999999999999997E-2</v>
      </c>
      <c r="R58" s="83">
        <f t="shared" ref="R58:R88" si="26">((K58-D58)/D58)</f>
        <v>1.6317034977179948E-3</v>
      </c>
      <c r="S58" s="83">
        <f t="shared" ref="S58:S88" si="27">((N58-G58)/G58)</f>
        <v>1.9222367846220879E-3</v>
      </c>
      <c r="T58" s="83">
        <f t="shared" ref="T58:T88" si="28">((O58-H58)/H58)</f>
        <v>7.4349442379182153E-3</v>
      </c>
      <c r="U58" s="84">
        <f t="shared" ref="U58:U88" si="29">P58-I58</f>
        <v>3.6299999999999999E-2</v>
      </c>
      <c r="V58" s="86">
        <f t="shared" ref="V58:V88" si="30">Q58-J58</f>
        <v>1.4999999999999944E-3</v>
      </c>
    </row>
    <row r="59" spans="1:22" x14ac:dyDescent="0.25">
      <c r="A59" s="127">
        <v>48</v>
      </c>
      <c r="B59" s="62" t="s">
        <v>95</v>
      </c>
      <c r="C59" s="63" t="s">
        <v>21</v>
      </c>
      <c r="D59" s="2">
        <v>991851407.98000002</v>
      </c>
      <c r="E59" s="3">
        <f>(D59/$D$88)</f>
        <v>3.3360314587073613E-3</v>
      </c>
      <c r="F59" s="14">
        <v>1.0510999999999999</v>
      </c>
      <c r="G59" s="14">
        <v>1.0510999999999999</v>
      </c>
      <c r="H59" s="60">
        <v>144</v>
      </c>
      <c r="I59" s="5">
        <v>6.9500000000000006E-2</v>
      </c>
      <c r="J59" s="5">
        <v>1.89E-2</v>
      </c>
      <c r="K59" s="2">
        <v>986267141.73000002</v>
      </c>
      <c r="L59" s="3">
        <f t="shared" si="20"/>
        <v>3.3226720077646045E-3</v>
      </c>
      <c r="M59" s="14">
        <v>1.0527</v>
      </c>
      <c r="N59" s="14">
        <v>1.0527</v>
      </c>
      <c r="O59" s="60">
        <v>142</v>
      </c>
      <c r="P59" s="5">
        <v>7.9399999999999998E-2</v>
      </c>
      <c r="Q59" s="5">
        <v>2.0299999999999999E-2</v>
      </c>
      <c r="R59" s="83">
        <f t="shared" si="26"/>
        <v>-5.6301439964408489E-3</v>
      </c>
      <c r="S59" s="83">
        <f t="shared" si="27"/>
        <v>1.5222148225668784E-3</v>
      </c>
      <c r="T59" s="83">
        <f t="shared" si="28"/>
        <v>-1.3888888888888888E-2</v>
      </c>
      <c r="U59" s="84">
        <f t="shared" si="29"/>
        <v>9.8999999999999921E-3</v>
      </c>
      <c r="V59" s="86">
        <f t="shared" si="30"/>
        <v>1.3999999999999985E-3</v>
      </c>
    </row>
    <row r="60" spans="1:22" x14ac:dyDescent="0.25">
      <c r="A60" s="125">
        <v>49</v>
      </c>
      <c r="B60" s="62" t="s">
        <v>96</v>
      </c>
      <c r="C60" s="63" t="s">
        <v>97</v>
      </c>
      <c r="D60" s="2">
        <v>259516645.75</v>
      </c>
      <c r="E60" s="3">
        <f>(D60/$D$88)</f>
        <v>8.7286834228869831E-4</v>
      </c>
      <c r="F60" s="7">
        <v>1136.69</v>
      </c>
      <c r="G60" s="7">
        <v>1136.69</v>
      </c>
      <c r="H60" s="60">
        <v>110</v>
      </c>
      <c r="I60" s="5">
        <v>1.8E-3</v>
      </c>
      <c r="J60" s="5">
        <v>6.0699999999999997E-2</v>
      </c>
      <c r="K60" s="2">
        <v>255208215.59</v>
      </c>
      <c r="L60" s="3">
        <f t="shared" si="20"/>
        <v>8.5978043697676801E-4</v>
      </c>
      <c r="M60" s="7">
        <v>1120.07</v>
      </c>
      <c r="N60" s="7">
        <v>1120.07</v>
      </c>
      <c r="O60" s="60">
        <v>109</v>
      </c>
      <c r="P60" s="5">
        <v>-1.46E-2</v>
      </c>
      <c r="Q60" s="5">
        <v>4.5999999999999999E-2</v>
      </c>
      <c r="R60" s="83">
        <f t="shared" si="26"/>
        <v>-1.6601748791676484E-2</v>
      </c>
      <c r="S60" s="83">
        <f t="shared" si="27"/>
        <v>-1.4621400733709383E-2</v>
      </c>
      <c r="T60" s="83">
        <f t="shared" si="28"/>
        <v>-9.0909090909090905E-3</v>
      </c>
      <c r="U60" s="84">
        <f t="shared" si="29"/>
        <v>-1.6400000000000001E-2</v>
      </c>
      <c r="V60" s="86">
        <f t="shared" si="30"/>
        <v>-1.4699999999999998E-2</v>
      </c>
    </row>
    <row r="61" spans="1:22" ht="15" customHeight="1" x14ac:dyDescent="0.25">
      <c r="A61" s="127">
        <v>50</v>
      </c>
      <c r="B61" s="62" t="s">
        <v>98</v>
      </c>
      <c r="C61" s="63" t="s">
        <v>99</v>
      </c>
      <c r="D61" s="2">
        <v>1463754365.3199999</v>
      </c>
      <c r="E61" s="3">
        <f>(D61/$K$88)</f>
        <v>4.9312964511429077E-3</v>
      </c>
      <c r="F61" s="7">
        <v>1.0346</v>
      </c>
      <c r="G61" s="7">
        <v>1.0346</v>
      </c>
      <c r="H61" s="60">
        <v>775</v>
      </c>
      <c r="I61" s="5">
        <v>7.1000000000000004E-3</v>
      </c>
      <c r="J61" s="5">
        <v>6.6199999999999995E-2</v>
      </c>
      <c r="K61" s="2">
        <v>1456347691.9300001</v>
      </c>
      <c r="L61" s="3">
        <f t="shared" si="20"/>
        <v>4.9063438340452327E-3</v>
      </c>
      <c r="M61" s="7">
        <v>1.036</v>
      </c>
      <c r="N61" s="7">
        <v>1.036</v>
      </c>
      <c r="O61" s="60">
        <v>776</v>
      </c>
      <c r="P61" s="5">
        <v>8.5000000000000006E-3</v>
      </c>
      <c r="Q61" s="5">
        <v>6.7500000000000004E-2</v>
      </c>
      <c r="R61" s="83">
        <f t="shared" si="26"/>
        <v>-5.0600521272438021E-3</v>
      </c>
      <c r="S61" s="83">
        <f t="shared" si="27"/>
        <v>1.3531799729364661E-3</v>
      </c>
      <c r="T61" s="83">
        <f t="shared" si="28"/>
        <v>1.2903225806451613E-3</v>
      </c>
      <c r="U61" s="84">
        <f t="shared" si="29"/>
        <v>1.4000000000000002E-3</v>
      </c>
      <c r="V61" s="86">
        <f t="shared" si="30"/>
        <v>1.3000000000000095E-3</v>
      </c>
    </row>
    <row r="62" spans="1:22" x14ac:dyDescent="0.25">
      <c r="A62" s="133">
        <v>51</v>
      </c>
      <c r="B62" s="62" t="s">
        <v>100</v>
      </c>
      <c r="C62" s="63" t="s">
        <v>101</v>
      </c>
      <c r="D62" s="2">
        <v>437276180.73000002</v>
      </c>
      <c r="E62" s="3">
        <f t="shared" ref="E62:E87" si="31">(D62/$D$88)</f>
        <v>1.4707516502190626E-3</v>
      </c>
      <c r="F62" s="7">
        <v>2.2698</v>
      </c>
      <c r="G62" s="7">
        <v>2.2698</v>
      </c>
      <c r="H62" s="60">
        <v>1402</v>
      </c>
      <c r="I62" s="5">
        <v>6.9008545715800798E-2</v>
      </c>
      <c r="J62" s="5">
        <v>0.108399899119552</v>
      </c>
      <c r="K62" s="2">
        <v>436080857.01999998</v>
      </c>
      <c r="L62" s="3">
        <f t="shared" si="20"/>
        <v>1.4691289970390372E-3</v>
      </c>
      <c r="M62" s="7">
        <v>2.2635000000000001</v>
      </c>
      <c r="N62" s="7">
        <v>2.2635000000000001</v>
      </c>
      <c r="O62" s="60">
        <v>1402</v>
      </c>
      <c r="P62" s="5">
        <v>-7.5909400287374806E-2</v>
      </c>
      <c r="Q62" s="5">
        <v>0.102199766933257</v>
      </c>
      <c r="R62" s="83">
        <f t="shared" si="26"/>
        <v>-2.7335669370431616E-3</v>
      </c>
      <c r="S62" s="83">
        <f t="shared" si="27"/>
        <v>-2.7755749405233817E-3</v>
      </c>
      <c r="T62" s="83">
        <f t="shared" si="28"/>
        <v>0</v>
      </c>
      <c r="U62" s="84">
        <f t="shared" si="29"/>
        <v>-0.14491794600317559</v>
      </c>
      <c r="V62" s="86">
        <f t="shared" si="30"/>
        <v>-6.2001321862950043E-3</v>
      </c>
    </row>
    <row r="63" spans="1:22" x14ac:dyDescent="0.25">
      <c r="A63" s="126">
        <v>52</v>
      </c>
      <c r="B63" s="62" t="s">
        <v>102</v>
      </c>
      <c r="C63" s="63" t="s">
        <v>56</v>
      </c>
      <c r="D63" s="2">
        <v>2363608118.9264598</v>
      </c>
      <c r="E63" s="3">
        <f t="shared" si="31"/>
        <v>7.94985113430801E-3</v>
      </c>
      <c r="F63" s="2">
        <v>3936.9971619530802</v>
      </c>
      <c r="G63" s="2">
        <v>3936.9971619530802</v>
      </c>
      <c r="H63" s="60">
        <v>1027</v>
      </c>
      <c r="I63" s="5">
        <v>6.7801129350791828E-2</v>
      </c>
      <c r="J63" s="5">
        <v>7.5469827747262463E-2</v>
      </c>
      <c r="K63" s="2">
        <v>2359622365.5225101</v>
      </c>
      <c r="L63" s="3">
        <f t="shared" si="20"/>
        <v>7.9494194332221674E-3</v>
      </c>
      <c r="M63" s="2">
        <v>3941.8873667335301</v>
      </c>
      <c r="N63" s="2">
        <v>3941.8873667335301</v>
      </c>
      <c r="O63" s="60">
        <v>1026</v>
      </c>
      <c r="P63" s="5">
        <v>6.4767445537050564E-2</v>
      </c>
      <c r="Q63" s="5">
        <v>7.5311660411695389E-2</v>
      </c>
      <c r="R63" s="83">
        <f t="shared" si="26"/>
        <v>-1.6863004370453968E-3</v>
      </c>
      <c r="S63" s="83">
        <f t="shared" si="27"/>
        <v>1.2421153938612438E-3</v>
      </c>
      <c r="T63" s="83">
        <f t="shared" si="28"/>
        <v>-9.7370983446932818E-4</v>
      </c>
      <c r="U63" s="84">
        <f t="shared" si="29"/>
        <v>-3.0336838137412642E-3</v>
      </c>
      <c r="V63" s="86">
        <f t="shared" si="30"/>
        <v>-1.5816733556707485E-4</v>
      </c>
    </row>
    <row r="64" spans="1:22" x14ac:dyDescent="0.25">
      <c r="A64" s="126">
        <v>53</v>
      </c>
      <c r="B64" s="62" t="s">
        <v>103</v>
      </c>
      <c r="C64" s="63" t="s">
        <v>58</v>
      </c>
      <c r="D64" s="2">
        <v>344802973.30000001</v>
      </c>
      <c r="E64" s="3">
        <f t="shared" si="31"/>
        <v>1.1597236811179974E-3</v>
      </c>
      <c r="F64" s="14">
        <v>109.27</v>
      </c>
      <c r="G64" s="14">
        <v>109.27</v>
      </c>
      <c r="H64" s="60">
        <v>120</v>
      </c>
      <c r="I64" s="5">
        <v>1.8E-3</v>
      </c>
      <c r="J64" s="5">
        <v>9.98E-2</v>
      </c>
      <c r="K64" s="2">
        <v>345623457.63</v>
      </c>
      <c r="L64" s="3">
        <f t="shared" si="20"/>
        <v>1.1643837042767469E-3</v>
      </c>
      <c r="M64" s="14">
        <v>109.45</v>
      </c>
      <c r="N64" s="14">
        <v>109.45</v>
      </c>
      <c r="O64" s="60">
        <v>120</v>
      </c>
      <c r="P64" s="5">
        <v>3.5000000000000001E-3</v>
      </c>
      <c r="Q64" s="5">
        <v>9.9599999999999994E-2</v>
      </c>
      <c r="R64" s="83">
        <f t="shared" si="26"/>
        <v>2.3795744049054674E-3</v>
      </c>
      <c r="S64" s="83">
        <f t="shared" si="27"/>
        <v>1.6472956895763414E-3</v>
      </c>
      <c r="T64" s="83">
        <f t="shared" si="28"/>
        <v>0</v>
      </c>
      <c r="U64" s="84">
        <f t="shared" si="29"/>
        <v>1.7000000000000001E-3</v>
      </c>
      <c r="V64" s="86">
        <f t="shared" si="30"/>
        <v>-2.0000000000000573E-4</v>
      </c>
    </row>
    <row r="65" spans="1:22" x14ac:dyDescent="0.25">
      <c r="A65" s="132">
        <v>54</v>
      </c>
      <c r="B65" s="62" t="s">
        <v>104</v>
      </c>
      <c r="C65" s="63" t="s">
        <v>105</v>
      </c>
      <c r="D65" s="2">
        <v>352072254</v>
      </c>
      <c r="E65" s="3">
        <f t="shared" si="31"/>
        <v>1.1841734615006887E-3</v>
      </c>
      <c r="F65" s="14">
        <v>1.3997999999999999</v>
      </c>
      <c r="G65" s="14">
        <v>1.3997999999999999</v>
      </c>
      <c r="H65" s="60">
        <v>0</v>
      </c>
      <c r="I65" s="5">
        <v>3.0813328556071884E-3</v>
      </c>
      <c r="J65" s="5">
        <v>3.7415916009154171E-2</v>
      </c>
      <c r="K65" s="2">
        <v>348708500</v>
      </c>
      <c r="L65" s="3">
        <f t="shared" si="20"/>
        <v>1.1747770181081156E-3</v>
      </c>
      <c r="M65" s="14">
        <v>1.3863000000000001</v>
      </c>
      <c r="N65" s="14">
        <v>1.3863000000000001</v>
      </c>
      <c r="O65" s="60">
        <v>304</v>
      </c>
      <c r="P65" s="5">
        <v>-9.6442348906985442E-3</v>
      </c>
      <c r="Q65" s="5">
        <v>2.782989030440397E-2</v>
      </c>
      <c r="R65" s="83">
        <f t="shared" si="26"/>
        <v>-9.5541581643636131E-3</v>
      </c>
      <c r="S65" s="83">
        <f t="shared" si="27"/>
        <v>-9.6442348906985616E-3</v>
      </c>
      <c r="T65" s="83" t="e">
        <f t="shared" si="28"/>
        <v>#DIV/0!</v>
      </c>
      <c r="U65" s="84">
        <f t="shared" si="29"/>
        <v>-1.2725567746305733E-2</v>
      </c>
      <c r="V65" s="86">
        <f t="shared" si="30"/>
        <v>-9.5860257047502007E-3</v>
      </c>
    </row>
    <row r="66" spans="1:22" x14ac:dyDescent="0.25">
      <c r="A66" s="127">
        <v>55</v>
      </c>
      <c r="B66" s="62" t="s">
        <v>106</v>
      </c>
      <c r="C66" s="63" t="s">
        <v>25</v>
      </c>
      <c r="D66" s="2">
        <v>65127883.909999996</v>
      </c>
      <c r="E66" s="3">
        <f t="shared" si="31"/>
        <v>2.1905364837389234E-4</v>
      </c>
      <c r="F66" s="7">
        <v>109.8408</v>
      </c>
      <c r="G66" s="7">
        <v>109.8408</v>
      </c>
      <c r="H66" s="60">
        <v>74</v>
      </c>
      <c r="I66" s="5">
        <v>3.1599999999999998E-4</v>
      </c>
      <c r="J66" s="5">
        <v>7.7600000000000002E-2</v>
      </c>
      <c r="K66" s="2">
        <v>65407259.170000002</v>
      </c>
      <c r="L66" s="3">
        <f t="shared" si="20"/>
        <v>2.2035294491059811E-4</v>
      </c>
      <c r="M66" s="7">
        <v>110.8408</v>
      </c>
      <c r="N66" s="7">
        <v>110.8408</v>
      </c>
      <c r="O66" s="60">
        <v>74</v>
      </c>
      <c r="P66" s="5">
        <v>3.1599999999999998E-4</v>
      </c>
      <c r="Q66" s="5">
        <v>0.08</v>
      </c>
      <c r="R66" s="83">
        <f t="shared" si="26"/>
        <v>4.2896412907576283E-3</v>
      </c>
      <c r="S66" s="83">
        <f t="shared" si="27"/>
        <v>9.1040851851042597E-3</v>
      </c>
      <c r="T66" s="83">
        <f t="shared" si="28"/>
        <v>0</v>
      </c>
      <c r="U66" s="84">
        <f t="shared" si="29"/>
        <v>0</v>
      </c>
      <c r="V66" s="86">
        <f t="shared" si="30"/>
        <v>2.3999999999999994E-3</v>
      </c>
    </row>
    <row r="67" spans="1:22" x14ac:dyDescent="0.25">
      <c r="A67" s="132">
        <v>56</v>
      </c>
      <c r="B67" s="62" t="s">
        <v>107</v>
      </c>
      <c r="C67" s="63" t="s">
        <v>108</v>
      </c>
      <c r="D67" s="2">
        <v>888813755.72000003</v>
      </c>
      <c r="E67" s="3">
        <f t="shared" si="31"/>
        <v>2.9894706265049223E-3</v>
      </c>
      <c r="F67" s="7">
        <v>1000</v>
      </c>
      <c r="G67" s="7">
        <v>1000</v>
      </c>
      <c r="H67" s="60">
        <v>257</v>
      </c>
      <c r="I67" s="5">
        <v>9.3966191036276602E-5</v>
      </c>
      <c r="J67" s="5">
        <v>0.161</v>
      </c>
      <c r="K67" s="2">
        <v>902095500.43000007</v>
      </c>
      <c r="L67" s="3">
        <f t="shared" si="20"/>
        <v>3.0391030389104474E-3</v>
      </c>
      <c r="M67" s="7">
        <v>1000</v>
      </c>
      <c r="N67" s="7">
        <v>1000</v>
      </c>
      <c r="O67" s="60">
        <v>258</v>
      </c>
      <c r="P67" s="5">
        <v>1.4943225872152501E-4</v>
      </c>
      <c r="Q67" s="5">
        <v>0.161</v>
      </c>
      <c r="R67" s="83">
        <f t="shared" si="26"/>
        <v>1.4943225872152389E-2</v>
      </c>
      <c r="S67" s="83">
        <f t="shared" si="27"/>
        <v>0</v>
      </c>
      <c r="T67" s="83">
        <f t="shared" si="28"/>
        <v>3.8910505836575876E-3</v>
      </c>
      <c r="U67" s="84">
        <f t="shared" si="29"/>
        <v>5.5466067685248411E-5</v>
      </c>
      <c r="V67" s="86">
        <f t="shared" si="30"/>
        <v>0</v>
      </c>
    </row>
    <row r="68" spans="1:22" x14ac:dyDescent="0.25">
      <c r="A68" s="126">
        <v>57</v>
      </c>
      <c r="B68" s="62" t="s">
        <v>109</v>
      </c>
      <c r="C68" s="63" t="s">
        <v>64</v>
      </c>
      <c r="D68" s="2">
        <v>240609157.15000001</v>
      </c>
      <c r="E68" s="3">
        <f t="shared" si="31"/>
        <v>8.0927416248790433E-4</v>
      </c>
      <c r="F68" s="7">
        <v>1109.01</v>
      </c>
      <c r="G68" s="7">
        <v>1119.1400000000001</v>
      </c>
      <c r="H68" s="60">
        <v>82</v>
      </c>
      <c r="I68" s="5">
        <v>2.2000000000000001E-3</v>
      </c>
      <c r="J68" s="5">
        <v>6.7500000000000004E-2</v>
      </c>
      <c r="K68" s="2">
        <v>240056897.16999999</v>
      </c>
      <c r="L68" s="3">
        <f t="shared" si="20"/>
        <v>8.0873659756977275E-4</v>
      </c>
      <c r="M68" s="7">
        <v>1105.47</v>
      </c>
      <c r="N68" s="7">
        <v>1116.2</v>
      </c>
      <c r="O68" s="60">
        <v>82</v>
      </c>
      <c r="P68" s="5">
        <v>-2.8999999999999998E-3</v>
      </c>
      <c r="Q68" s="5">
        <v>6.4600000000000005E-2</v>
      </c>
      <c r="R68" s="83">
        <f t="shared" si="26"/>
        <v>-2.2952575310994103E-3</v>
      </c>
      <c r="S68" s="83">
        <f t="shared" si="27"/>
        <v>-2.6270171739014372E-3</v>
      </c>
      <c r="T68" s="83">
        <f t="shared" si="28"/>
        <v>0</v>
      </c>
      <c r="U68" s="84">
        <f t="shared" si="29"/>
        <v>-5.1000000000000004E-3</v>
      </c>
      <c r="V68" s="86">
        <f t="shared" si="30"/>
        <v>-2.8999999999999998E-3</v>
      </c>
    </row>
    <row r="69" spans="1:22" x14ac:dyDescent="0.25">
      <c r="A69" s="127">
        <v>58</v>
      </c>
      <c r="B69" s="62" t="s">
        <v>110</v>
      </c>
      <c r="C69" s="63" t="s">
        <v>67</v>
      </c>
      <c r="D69" s="2">
        <v>740118239.44000006</v>
      </c>
      <c r="E69" s="3">
        <f t="shared" si="31"/>
        <v>2.4893423652676151E-3</v>
      </c>
      <c r="F69" s="15">
        <v>1.0901000000000001</v>
      </c>
      <c r="G69" s="15">
        <v>1.0901000000000001</v>
      </c>
      <c r="H69" s="60">
        <v>40</v>
      </c>
      <c r="I69" s="5">
        <v>1.838066354195388E-3</v>
      </c>
      <c r="J69" s="5">
        <v>2.6373380438171067E-2</v>
      </c>
      <c r="K69" s="2">
        <v>736316737.59000003</v>
      </c>
      <c r="L69" s="3">
        <f t="shared" si="20"/>
        <v>2.4806048070783364E-3</v>
      </c>
      <c r="M69" s="15">
        <v>1.0851999999999999</v>
      </c>
      <c r="N69" s="15">
        <v>1.0851999999999999</v>
      </c>
      <c r="O69" s="60">
        <v>40</v>
      </c>
      <c r="P69" s="5">
        <v>-2.6651962135834247E-3</v>
      </c>
      <c r="Q69" s="5">
        <v>2.5758001561280407E-2</v>
      </c>
      <c r="R69" s="83">
        <f t="shared" si="26"/>
        <v>-5.1363439615761614E-3</v>
      </c>
      <c r="S69" s="83">
        <f t="shared" si="27"/>
        <v>-4.4950004586736319E-3</v>
      </c>
      <c r="T69" s="83">
        <f t="shared" si="28"/>
        <v>0</v>
      </c>
      <c r="U69" s="84">
        <f t="shared" si="29"/>
        <v>-4.5032625677788127E-3</v>
      </c>
      <c r="V69" s="86">
        <f t="shared" si="30"/>
        <v>-6.1537887689066054E-4</v>
      </c>
    </row>
    <row r="70" spans="1:22" x14ac:dyDescent="0.25">
      <c r="A70" s="126">
        <v>59</v>
      </c>
      <c r="B70" s="62" t="s">
        <v>111</v>
      </c>
      <c r="C70" s="63" t="s">
        <v>27</v>
      </c>
      <c r="D70" s="2">
        <v>66034149561.730003</v>
      </c>
      <c r="E70" s="3">
        <f t="shared" si="31"/>
        <v>0.22210181738367835</v>
      </c>
      <c r="F70" s="15">
        <v>1512.28</v>
      </c>
      <c r="G70" s="2">
        <v>1512.28</v>
      </c>
      <c r="H70" s="60">
        <v>2454</v>
      </c>
      <c r="I70" s="5">
        <v>2E-3</v>
      </c>
      <c r="J70" s="5">
        <v>0.1148</v>
      </c>
      <c r="K70" s="2">
        <v>65833276820.129997</v>
      </c>
      <c r="L70" s="3">
        <f t="shared" si="20"/>
        <v>0.2217881715961568</v>
      </c>
      <c r="M70" s="15">
        <v>1515.74</v>
      </c>
      <c r="N70" s="2">
        <v>1515.74</v>
      </c>
      <c r="O70" s="60">
        <v>2447</v>
      </c>
      <c r="P70" s="5">
        <v>2.3E-3</v>
      </c>
      <c r="Q70" s="5">
        <v>0.1152</v>
      </c>
      <c r="R70" s="83">
        <f t="shared" si="26"/>
        <v>-3.0419524281482019E-3</v>
      </c>
      <c r="S70" s="83">
        <f t="shared" si="27"/>
        <v>2.2879360964900919E-3</v>
      </c>
      <c r="T70" s="83">
        <f t="shared" si="28"/>
        <v>-2.8524857375713123E-3</v>
      </c>
      <c r="U70" s="84">
        <f t="shared" si="29"/>
        <v>2.9999999999999992E-4</v>
      </c>
      <c r="V70" s="86">
        <f t="shared" si="30"/>
        <v>3.9999999999999758E-4</v>
      </c>
    </row>
    <row r="71" spans="1:22" x14ac:dyDescent="0.25">
      <c r="A71" s="132">
        <v>60</v>
      </c>
      <c r="B71" s="62" t="s">
        <v>112</v>
      </c>
      <c r="C71" s="63" t="s">
        <v>72</v>
      </c>
      <c r="D71" s="2">
        <v>24613446.449999999</v>
      </c>
      <c r="E71" s="3">
        <f t="shared" si="31"/>
        <v>8.2785819532823346E-5</v>
      </c>
      <c r="F71" s="2">
        <v>0.74960000000000004</v>
      </c>
      <c r="G71" s="2">
        <v>0.74960000000000004</v>
      </c>
      <c r="H71" s="60">
        <v>748</v>
      </c>
      <c r="I71" s="5">
        <v>-8.6E-3</v>
      </c>
      <c r="J71" s="5">
        <v>9.7000000000000003E-2</v>
      </c>
      <c r="K71" s="2">
        <v>24660837.010000002</v>
      </c>
      <c r="L71" s="3">
        <f t="shared" si="20"/>
        <v>8.3080809807211628E-5</v>
      </c>
      <c r="M71" s="2">
        <v>0.75109999999999999</v>
      </c>
      <c r="N71" s="2">
        <v>0.75109999999999999</v>
      </c>
      <c r="O71" s="60">
        <v>748</v>
      </c>
      <c r="P71" s="5">
        <v>2.0010672358590524E-3</v>
      </c>
      <c r="Q71" s="5">
        <v>9.9224352407434463E-2</v>
      </c>
      <c r="R71" s="83">
        <f t="shared" si="26"/>
        <v>1.9253931015419576E-3</v>
      </c>
      <c r="S71" s="83">
        <f t="shared" si="27"/>
        <v>2.0010672358590524E-3</v>
      </c>
      <c r="T71" s="83">
        <f t="shared" si="28"/>
        <v>0</v>
      </c>
      <c r="U71" s="84">
        <f t="shared" si="29"/>
        <v>1.0601067235859053E-2</v>
      </c>
      <c r="V71" s="86">
        <f t="shared" si="30"/>
        <v>2.2243524074344601E-3</v>
      </c>
    </row>
    <row r="72" spans="1:22" x14ac:dyDescent="0.25">
      <c r="A72" s="127">
        <v>61</v>
      </c>
      <c r="B72" s="62" t="s">
        <v>113</v>
      </c>
      <c r="C72" s="63" t="s">
        <v>114</v>
      </c>
      <c r="D72" s="2">
        <v>1074759571.75</v>
      </c>
      <c r="E72" s="3">
        <f t="shared" si="31"/>
        <v>3.6148879893278824E-3</v>
      </c>
      <c r="F72" s="2">
        <v>208.757589</v>
      </c>
      <c r="G72" s="2">
        <v>210.31338700000001</v>
      </c>
      <c r="H72" s="60">
        <v>487</v>
      </c>
      <c r="I72" s="5">
        <v>2.3E-3</v>
      </c>
      <c r="J72" s="5">
        <v>5.45E-2</v>
      </c>
      <c r="K72" s="2">
        <v>1072771708.67</v>
      </c>
      <c r="L72" s="3">
        <f t="shared" si="20"/>
        <v>3.6141004564617454E-3</v>
      </c>
      <c r="M72" s="2">
        <v>209.75227699999999</v>
      </c>
      <c r="N72" s="2">
        <v>211.40564800000001</v>
      </c>
      <c r="O72" s="60">
        <v>487</v>
      </c>
      <c r="P72" s="5">
        <v>1.6999999999999999E-3</v>
      </c>
      <c r="Q72" s="5">
        <v>5.9900000000000002E-2</v>
      </c>
      <c r="R72" s="83">
        <f t="shared" si="26"/>
        <v>-1.8495886263783284E-3</v>
      </c>
      <c r="S72" s="83">
        <f t="shared" si="27"/>
        <v>5.1934925093475278E-3</v>
      </c>
      <c r="T72" s="83">
        <f t="shared" si="28"/>
        <v>0</v>
      </c>
      <c r="U72" s="84">
        <f t="shared" si="29"/>
        <v>-6.0000000000000006E-4</v>
      </c>
      <c r="V72" s="86">
        <f t="shared" si="30"/>
        <v>5.400000000000002E-3</v>
      </c>
    </row>
    <row r="73" spans="1:22" x14ac:dyDescent="0.25">
      <c r="A73" s="127">
        <v>62</v>
      </c>
      <c r="B73" s="62" t="s">
        <v>115</v>
      </c>
      <c r="C73" s="63" t="s">
        <v>34</v>
      </c>
      <c r="D73" s="2">
        <v>1242074695.3299999</v>
      </c>
      <c r="E73" s="3">
        <f t="shared" si="31"/>
        <v>4.1776421592464924E-3</v>
      </c>
      <c r="F73" s="14">
        <v>3.55</v>
      </c>
      <c r="G73" s="14">
        <v>3.55</v>
      </c>
      <c r="H73" s="61">
        <v>783</v>
      </c>
      <c r="I73" s="12">
        <v>3.5999999999999999E-3</v>
      </c>
      <c r="J73" s="12">
        <v>-8.3000000000000001E-3</v>
      </c>
      <c r="K73" s="2">
        <v>1243447087.28</v>
      </c>
      <c r="L73" s="3">
        <f t="shared" si="20"/>
        <v>4.1890950790417214E-3</v>
      </c>
      <c r="M73" s="14">
        <v>3.55</v>
      </c>
      <c r="N73" s="14">
        <v>3.55</v>
      </c>
      <c r="O73" s="61">
        <v>783</v>
      </c>
      <c r="P73" s="12">
        <v>3.5999999999999999E-3</v>
      </c>
      <c r="Q73" s="12">
        <v>-6.7999999999999996E-3</v>
      </c>
      <c r="R73" s="83">
        <f t="shared" si="26"/>
        <v>1.1049190158691901E-3</v>
      </c>
      <c r="S73" s="83">
        <f t="shared" si="27"/>
        <v>0</v>
      </c>
      <c r="T73" s="83">
        <f t="shared" si="28"/>
        <v>0</v>
      </c>
      <c r="U73" s="84">
        <f t="shared" si="29"/>
        <v>0</v>
      </c>
      <c r="V73" s="86">
        <f t="shared" si="30"/>
        <v>1.5000000000000005E-3</v>
      </c>
    </row>
    <row r="74" spans="1:22" x14ac:dyDescent="0.25">
      <c r="A74" s="127">
        <v>63</v>
      </c>
      <c r="B74" s="63" t="s">
        <v>116</v>
      </c>
      <c r="C74" s="131" t="s">
        <v>40</v>
      </c>
      <c r="D74" s="2">
        <v>2065992478</v>
      </c>
      <c r="E74" s="3">
        <f t="shared" si="31"/>
        <v>6.9488391553503273E-3</v>
      </c>
      <c r="F74" s="14">
        <v>100.46</v>
      </c>
      <c r="G74" s="14">
        <v>100.46</v>
      </c>
      <c r="H74" s="60">
        <v>169</v>
      </c>
      <c r="I74" s="5">
        <v>1.9E-3</v>
      </c>
      <c r="J74" s="5">
        <v>0.10299999999999999</v>
      </c>
      <c r="K74" s="2">
        <v>2065024886</v>
      </c>
      <c r="L74" s="3">
        <f t="shared" si="20"/>
        <v>6.9569390419050043E-3</v>
      </c>
      <c r="M74" s="14">
        <v>100.66</v>
      </c>
      <c r="N74" s="14">
        <v>100.66</v>
      </c>
      <c r="O74" s="60">
        <v>169</v>
      </c>
      <c r="P74" s="5">
        <v>1.9E-3</v>
      </c>
      <c r="Q74" s="5">
        <v>0.10059999999999999</v>
      </c>
      <c r="R74" s="83">
        <f t="shared" si="26"/>
        <v>-4.6834246024781508E-4</v>
      </c>
      <c r="S74" s="83">
        <f t="shared" si="27"/>
        <v>1.9908421262194191E-3</v>
      </c>
      <c r="T74" s="83">
        <f t="shared" si="28"/>
        <v>0</v>
      </c>
      <c r="U74" s="84">
        <f t="shared" si="29"/>
        <v>0</v>
      </c>
      <c r="V74" s="86">
        <f t="shared" si="30"/>
        <v>-2.3999999999999994E-3</v>
      </c>
    </row>
    <row r="75" spans="1:22" x14ac:dyDescent="0.25">
      <c r="A75" s="127">
        <v>64</v>
      </c>
      <c r="B75" s="62" t="s">
        <v>117</v>
      </c>
      <c r="C75" s="63" t="s">
        <v>17</v>
      </c>
      <c r="D75" s="2">
        <v>1643737093.3699999</v>
      </c>
      <c r="E75" s="3">
        <f t="shared" si="31"/>
        <v>5.5286090327726703E-3</v>
      </c>
      <c r="F75" s="14">
        <v>339.8836</v>
      </c>
      <c r="G75" s="14">
        <v>339.8836</v>
      </c>
      <c r="H75" s="60">
        <v>193</v>
      </c>
      <c r="I75" s="5">
        <v>2E-3</v>
      </c>
      <c r="J75" s="5">
        <v>0.1331</v>
      </c>
      <c r="K75" s="2">
        <v>1649263466.8699999</v>
      </c>
      <c r="L75" s="3">
        <f t="shared" si="20"/>
        <v>5.5562649539205129E-3</v>
      </c>
      <c r="M75" s="14">
        <v>340.55930000000001</v>
      </c>
      <c r="N75" s="14">
        <v>340.55930000000001</v>
      </c>
      <c r="O75" s="60">
        <v>193</v>
      </c>
      <c r="P75" s="5">
        <v>2E-3</v>
      </c>
      <c r="Q75" s="5">
        <v>0.13519999999999999</v>
      </c>
      <c r="R75" s="83">
        <f t="shared" si="26"/>
        <v>3.3620787182394207E-3</v>
      </c>
      <c r="S75" s="83">
        <f t="shared" si="27"/>
        <v>1.9880335503095949E-3</v>
      </c>
      <c r="T75" s="83">
        <f t="shared" si="28"/>
        <v>0</v>
      </c>
      <c r="U75" s="84">
        <f t="shared" si="29"/>
        <v>0</v>
      </c>
      <c r="V75" s="86">
        <f t="shared" si="30"/>
        <v>2.0999999999999908E-3</v>
      </c>
    </row>
    <row r="76" spans="1:22" x14ac:dyDescent="0.25">
      <c r="A76" s="126">
        <v>65</v>
      </c>
      <c r="B76" s="62" t="s">
        <v>118</v>
      </c>
      <c r="C76" s="63" t="s">
        <v>38</v>
      </c>
      <c r="D76" s="2">
        <v>54734447.850000001</v>
      </c>
      <c r="E76" s="3">
        <f t="shared" si="31"/>
        <v>1.8409596279593063E-4</v>
      </c>
      <c r="F76" s="14">
        <v>11.868181</v>
      </c>
      <c r="G76" s="2">
        <v>12.176788999999999</v>
      </c>
      <c r="H76" s="60">
        <v>55</v>
      </c>
      <c r="I76" s="5">
        <v>2.0000000000000001E-4</v>
      </c>
      <c r="J76" s="5">
        <v>7.4399999999999994E-2</v>
      </c>
      <c r="K76" s="2">
        <v>54818800.520000003</v>
      </c>
      <c r="L76" s="3">
        <f t="shared" si="20"/>
        <v>1.8468109326600648E-4</v>
      </c>
      <c r="M76" s="14">
        <v>11.886471</v>
      </c>
      <c r="N76" s="2">
        <v>12.059008</v>
      </c>
      <c r="O76" s="60">
        <v>55</v>
      </c>
      <c r="P76" s="5">
        <v>2.0000000000000001E-4</v>
      </c>
      <c r="Q76" s="5">
        <v>6.9900000000000004E-2</v>
      </c>
      <c r="R76" s="83">
        <f t="shared" si="26"/>
        <v>1.5411258049258241E-3</v>
      </c>
      <c r="S76" s="83">
        <f t="shared" si="27"/>
        <v>-9.6725828130880022E-3</v>
      </c>
      <c r="T76" s="83">
        <f t="shared" si="28"/>
        <v>0</v>
      </c>
      <c r="U76" s="84">
        <f t="shared" si="29"/>
        <v>0</v>
      </c>
      <c r="V76" s="86">
        <f t="shared" si="30"/>
        <v>-4.4999999999999901E-3</v>
      </c>
    </row>
    <row r="77" spans="1:22" x14ac:dyDescent="0.25">
      <c r="A77" s="125">
        <v>66</v>
      </c>
      <c r="B77" s="62" t="s">
        <v>238</v>
      </c>
      <c r="C77" s="63" t="s">
        <v>239</v>
      </c>
      <c r="D77" s="2">
        <v>134276661.11000001</v>
      </c>
      <c r="E77" s="3">
        <f t="shared" si="31"/>
        <v>4.5163132504438602E-4</v>
      </c>
      <c r="F77" s="14">
        <v>109.6</v>
      </c>
      <c r="G77" s="2">
        <v>109.6</v>
      </c>
      <c r="H77" s="60">
        <v>62</v>
      </c>
      <c r="I77" s="5">
        <v>1.6000000000000001E-3</v>
      </c>
      <c r="J77" s="5">
        <v>0.1116</v>
      </c>
      <c r="K77" s="2">
        <v>134958430.86000001</v>
      </c>
      <c r="L77" s="3">
        <f t="shared" si="20"/>
        <v>4.5466647063166255E-4</v>
      </c>
      <c r="M77" s="2">
        <v>109.81</v>
      </c>
      <c r="N77" s="2">
        <v>109.81</v>
      </c>
      <c r="O77" s="60">
        <v>62</v>
      </c>
      <c r="P77" s="5">
        <v>-1.35E-2</v>
      </c>
      <c r="Q77" s="5">
        <v>0.1113</v>
      </c>
      <c r="R77" s="83">
        <f t="shared" ref="R77" si="32">((K77-D77)/D77)</f>
        <v>5.0773510777237102E-3</v>
      </c>
      <c r="S77" s="83">
        <f t="shared" ref="S77" si="33">((N77-G77)/G77)</f>
        <v>1.9160583941606566E-3</v>
      </c>
      <c r="T77" s="83">
        <f t="shared" ref="T77" si="34">((O77-H77)/H77)</f>
        <v>0</v>
      </c>
      <c r="U77" s="84">
        <f t="shared" si="29"/>
        <v>-1.5100000000000001E-2</v>
      </c>
      <c r="V77" s="86">
        <f t="shared" si="30"/>
        <v>-3.0000000000000859E-4</v>
      </c>
    </row>
    <row r="78" spans="1:22" x14ac:dyDescent="0.25">
      <c r="A78" s="125">
        <v>67</v>
      </c>
      <c r="B78" s="62" t="s">
        <v>119</v>
      </c>
      <c r="C78" s="63" t="s">
        <v>120</v>
      </c>
      <c r="D78" s="2">
        <v>6960447914.5600004</v>
      </c>
      <c r="E78" s="3">
        <f t="shared" si="31"/>
        <v>2.3411040225225378E-2</v>
      </c>
      <c r="F78" s="14">
        <v>1.0900000000000001</v>
      </c>
      <c r="G78" s="14">
        <v>1.0900000000000001</v>
      </c>
      <c r="H78" s="60">
        <v>3536</v>
      </c>
      <c r="I78" s="5">
        <v>0</v>
      </c>
      <c r="J78" s="5">
        <v>0.1002</v>
      </c>
      <c r="K78" s="2">
        <v>6831479434.2700005</v>
      </c>
      <c r="L78" s="3">
        <f t="shared" si="20"/>
        <v>2.3014824815164033E-2</v>
      </c>
      <c r="M78" s="14">
        <v>1.0900000000000001</v>
      </c>
      <c r="N78" s="14">
        <v>1.0900000000000001</v>
      </c>
      <c r="O78" s="60">
        <v>3556</v>
      </c>
      <c r="P78" s="5">
        <v>0</v>
      </c>
      <c r="Q78" s="5">
        <v>0.10009999999999999</v>
      </c>
      <c r="R78" s="83">
        <f t="shared" si="26"/>
        <v>-1.8528761636190279E-2</v>
      </c>
      <c r="S78" s="83">
        <f t="shared" si="27"/>
        <v>0</v>
      </c>
      <c r="T78" s="83">
        <f t="shared" si="28"/>
        <v>5.6561085972850677E-3</v>
      </c>
      <c r="U78" s="84">
        <f t="shared" si="29"/>
        <v>0</v>
      </c>
      <c r="V78" s="86">
        <f t="shared" si="30"/>
        <v>-1.0000000000000286E-4</v>
      </c>
    </row>
    <row r="79" spans="1:22" ht="14.25" customHeight="1" x14ac:dyDescent="0.25">
      <c r="A79" s="127">
        <v>68</v>
      </c>
      <c r="B79" s="62" t="s">
        <v>121</v>
      </c>
      <c r="C79" s="63" t="s">
        <v>42</v>
      </c>
      <c r="D79" s="2">
        <v>22224487621.84</v>
      </c>
      <c r="E79" s="3">
        <f t="shared" si="31"/>
        <v>7.4750702840768263E-2</v>
      </c>
      <c r="F79" s="2">
        <v>4912.3500000000004</v>
      </c>
      <c r="G79" s="2">
        <v>4912.3500000000004</v>
      </c>
      <c r="H79" s="60">
        <v>1136</v>
      </c>
      <c r="I79" s="5">
        <v>2.5000000000000001E-3</v>
      </c>
      <c r="J79" s="5">
        <v>7.51E-2</v>
      </c>
      <c r="K79" s="2">
        <v>22359221566.41</v>
      </c>
      <c r="L79" s="3">
        <f t="shared" si="20"/>
        <v>7.5326812047901925E-2</v>
      </c>
      <c r="M79" s="2">
        <v>4921.82</v>
      </c>
      <c r="N79" s="2">
        <v>4921.82</v>
      </c>
      <c r="O79" s="60">
        <v>1136</v>
      </c>
      <c r="P79" s="5">
        <v>1.4E-3</v>
      </c>
      <c r="Q79" s="5">
        <v>7.6499999999999999E-2</v>
      </c>
      <c r="R79" s="83">
        <f t="shared" si="26"/>
        <v>6.0624094855440749E-3</v>
      </c>
      <c r="S79" s="83">
        <f t="shared" si="27"/>
        <v>1.9277942329026525E-3</v>
      </c>
      <c r="T79" s="83">
        <f t="shared" si="28"/>
        <v>0</v>
      </c>
      <c r="U79" s="84">
        <f t="shared" si="29"/>
        <v>-1.1000000000000001E-3</v>
      </c>
      <c r="V79" s="86">
        <f t="shared" si="30"/>
        <v>1.3999999999999985E-3</v>
      </c>
    </row>
    <row r="80" spans="1:22" x14ac:dyDescent="0.25">
      <c r="A80" s="127">
        <v>69</v>
      </c>
      <c r="B80" s="62" t="s">
        <v>122</v>
      </c>
      <c r="C80" s="63" t="s">
        <v>42</v>
      </c>
      <c r="D80" s="2">
        <v>38902248680.370003</v>
      </c>
      <c r="E80" s="3">
        <f t="shared" si="31"/>
        <v>0.13084533062919054</v>
      </c>
      <c r="F80" s="14">
        <v>254.55</v>
      </c>
      <c r="G80" s="14">
        <v>254.55</v>
      </c>
      <c r="H80" s="60">
        <v>11750</v>
      </c>
      <c r="I80" s="5">
        <v>1.1000000000000001E-3</v>
      </c>
      <c r="J80" s="5">
        <v>3.9100000000000003E-2</v>
      </c>
      <c r="K80" s="2">
        <v>38682097857.519997</v>
      </c>
      <c r="L80" s="3">
        <f>(K80/$K$88)</f>
        <v>0.1303175562833245</v>
      </c>
      <c r="M80" s="14">
        <v>254.74</v>
      </c>
      <c r="N80" s="14">
        <v>254.74</v>
      </c>
      <c r="O80" s="60">
        <v>11753</v>
      </c>
      <c r="P80" s="5">
        <v>4.0000000000000002E-4</v>
      </c>
      <c r="Q80" s="5">
        <v>3.95E-2</v>
      </c>
      <c r="R80" s="83">
        <f t="shared" si="26"/>
        <v>-5.6590770538437734E-3</v>
      </c>
      <c r="S80" s="83">
        <f t="shared" si="27"/>
        <v>7.4641524258494492E-4</v>
      </c>
      <c r="T80" s="83">
        <f t="shared" si="28"/>
        <v>2.553191489361702E-4</v>
      </c>
      <c r="U80" s="84">
        <f t="shared" si="29"/>
        <v>-7.000000000000001E-4</v>
      </c>
      <c r="V80" s="86">
        <f t="shared" si="30"/>
        <v>3.9999999999999758E-4</v>
      </c>
    </row>
    <row r="81" spans="1:29" ht="12.75" customHeight="1" x14ac:dyDescent="0.25">
      <c r="A81" s="127">
        <v>70</v>
      </c>
      <c r="B81" s="62" t="s">
        <v>123</v>
      </c>
      <c r="C81" s="63" t="s">
        <v>42</v>
      </c>
      <c r="D81" s="2">
        <v>287232090.87</v>
      </c>
      <c r="E81" s="3">
        <f t="shared" si="31"/>
        <v>9.6608754434709964E-4</v>
      </c>
      <c r="F81" s="2">
        <v>5087.5200000000004</v>
      </c>
      <c r="G81" s="7">
        <v>5110.82</v>
      </c>
      <c r="H81" s="60">
        <v>1132</v>
      </c>
      <c r="I81" s="5">
        <v>4.0000000000000002E-4</v>
      </c>
      <c r="J81" s="5">
        <v>0.2</v>
      </c>
      <c r="K81" s="2">
        <v>286750558.19999999</v>
      </c>
      <c r="L81" s="3">
        <f t="shared" si="20"/>
        <v>9.6604460660704757E-4</v>
      </c>
      <c r="M81" s="2">
        <v>5079.16</v>
      </c>
      <c r="N81" s="7">
        <v>5102.1400000000003</v>
      </c>
      <c r="O81" s="60">
        <v>1132</v>
      </c>
      <c r="P81" s="5">
        <v>-1.6999999999999999E-3</v>
      </c>
      <c r="Q81" s="5">
        <v>0.19800000000000001</v>
      </c>
      <c r="R81" s="83">
        <f t="shared" si="26"/>
        <v>-1.67645846444768E-3</v>
      </c>
      <c r="S81" s="83">
        <f t="shared" si="27"/>
        <v>-1.6983576021067817E-3</v>
      </c>
      <c r="T81" s="83">
        <f t="shared" si="28"/>
        <v>0</v>
      </c>
      <c r="U81" s="84">
        <f t="shared" si="29"/>
        <v>-2.0999999999999999E-3</v>
      </c>
      <c r="V81" s="86">
        <f t="shared" si="30"/>
        <v>-2.0000000000000018E-3</v>
      </c>
    </row>
    <row r="82" spans="1:29" ht="12.75" customHeight="1" x14ac:dyDescent="0.25">
      <c r="A82" s="127">
        <v>71</v>
      </c>
      <c r="B82" s="62" t="s">
        <v>124</v>
      </c>
      <c r="C82" s="63" t="s">
        <v>42</v>
      </c>
      <c r="D82" s="2">
        <v>19017569718.41</v>
      </c>
      <c r="E82" s="3">
        <f t="shared" si="31"/>
        <v>6.39644308999716E-2</v>
      </c>
      <c r="F82" s="14">
        <v>123.72</v>
      </c>
      <c r="G82" s="14">
        <v>123.72</v>
      </c>
      <c r="H82" s="60">
        <v>5656</v>
      </c>
      <c r="I82" s="5">
        <v>1.8E-3</v>
      </c>
      <c r="J82" s="5">
        <v>7.5800000000000006E-2</v>
      </c>
      <c r="K82" s="2">
        <v>18926419212.07</v>
      </c>
      <c r="L82" s="3">
        <f t="shared" si="20"/>
        <v>6.3761916688063941E-2</v>
      </c>
      <c r="M82" s="14">
        <v>123.94</v>
      </c>
      <c r="N82" s="14">
        <v>123.94</v>
      </c>
      <c r="O82" s="60">
        <v>5664</v>
      </c>
      <c r="P82" s="5">
        <v>1.8E-3</v>
      </c>
      <c r="Q82" s="5">
        <v>7.7700000000000005E-2</v>
      </c>
      <c r="R82" s="83">
        <f t="shared" si="26"/>
        <v>-4.7929629121728264E-3</v>
      </c>
      <c r="S82" s="83">
        <f t="shared" si="27"/>
        <v>1.7782088587132143E-3</v>
      </c>
      <c r="T82" s="83">
        <f t="shared" si="28"/>
        <v>1.4144271570014145E-3</v>
      </c>
      <c r="U82" s="84">
        <f t="shared" si="29"/>
        <v>0</v>
      </c>
      <c r="V82" s="86">
        <f t="shared" si="30"/>
        <v>1.8999999999999989E-3</v>
      </c>
    </row>
    <row r="83" spans="1:29" ht="12.75" customHeight="1" x14ac:dyDescent="0.25">
      <c r="A83" s="127">
        <v>72</v>
      </c>
      <c r="B83" s="62" t="s">
        <v>125</v>
      </c>
      <c r="C83" s="63" t="s">
        <v>42</v>
      </c>
      <c r="D83" s="2">
        <v>13645268468.860001</v>
      </c>
      <c r="E83" s="3">
        <f t="shared" si="31"/>
        <v>4.5895024706707366E-2</v>
      </c>
      <c r="F83" s="14">
        <v>347.09</v>
      </c>
      <c r="G83" s="14">
        <v>347.21</v>
      </c>
      <c r="H83" s="60">
        <v>17507</v>
      </c>
      <c r="I83" s="5">
        <v>1.5E-3</v>
      </c>
      <c r="J83" s="5">
        <v>4.4200000000000003E-2</v>
      </c>
      <c r="K83" s="2">
        <v>13621233754.75</v>
      </c>
      <c r="L83" s="3">
        <f t="shared" si="20"/>
        <v>4.5889080344639767E-2</v>
      </c>
      <c r="M83" s="14">
        <v>347.69</v>
      </c>
      <c r="N83" s="14">
        <v>347.82</v>
      </c>
      <c r="O83" s="60">
        <v>17512</v>
      </c>
      <c r="P83" s="5">
        <v>1.8E-3</v>
      </c>
      <c r="Q83" s="5">
        <v>4.5999999999999999E-2</v>
      </c>
      <c r="R83" s="83">
        <f t="shared" si="26"/>
        <v>-1.761395473079219E-3</v>
      </c>
      <c r="S83" s="83">
        <f t="shared" si="27"/>
        <v>1.7568618415368614E-3</v>
      </c>
      <c r="T83" s="83">
        <f t="shared" si="28"/>
        <v>2.8560004569600731E-4</v>
      </c>
      <c r="U83" s="84">
        <f t="shared" si="29"/>
        <v>2.9999999999999992E-4</v>
      </c>
      <c r="V83" s="86">
        <f t="shared" si="30"/>
        <v>1.799999999999996E-3</v>
      </c>
    </row>
    <row r="84" spans="1:29" x14ac:dyDescent="0.25">
      <c r="A84" s="127">
        <v>73</v>
      </c>
      <c r="B84" s="62" t="s">
        <v>126</v>
      </c>
      <c r="C84" s="63" t="s">
        <v>45</v>
      </c>
      <c r="D84" s="2">
        <v>102295603173.52</v>
      </c>
      <c r="E84" s="3">
        <f t="shared" si="31"/>
        <v>0.34406499555141895</v>
      </c>
      <c r="F84" s="2">
        <v>1.9187000000000001</v>
      </c>
      <c r="G84" s="2">
        <v>1.9187000000000001</v>
      </c>
      <c r="H84" s="60">
        <v>6082</v>
      </c>
      <c r="I84" s="5">
        <v>5.8700000000000002E-2</v>
      </c>
      <c r="J84" s="5">
        <v>6.5699999999999995E-2</v>
      </c>
      <c r="K84" s="2">
        <v>102438919240.44</v>
      </c>
      <c r="L84" s="3">
        <f t="shared" si="20"/>
        <v>0.34511028002902761</v>
      </c>
      <c r="M84" s="2">
        <v>1.9208000000000001</v>
      </c>
      <c r="N84" s="2">
        <v>1.9208000000000001</v>
      </c>
      <c r="O84" s="60">
        <v>6084</v>
      </c>
      <c r="P84" s="5">
        <v>5.8700000000000002E-2</v>
      </c>
      <c r="Q84" s="5">
        <v>6.5500000000000003E-2</v>
      </c>
      <c r="R84" s="83">
        <f t="shared" si="26"/>
        <v>1.4009992851491061E-3</v>
      </c>
      <c r="S84" s="83">
        <f t="shared" si="27"/>
        <v>1.094491061656325E-3</v>
      </c>
      <c r="T84" s="83">
        <f t="shared" si="28"/>
        <v>3.2883919763235779E-4</v>
      </c>
      <c r="U84" s="84">
        <f t="shared" si="29"/>
        <v>0</v>
      </c>
      <c r="V84" s="86">
        <f t="shared" si="30"/>
        <v>-1.9999999999999185E-4</v>
      </c>
    </row>
    <row r="85" spans="1:29" x14ac:dyDescent="0.25">
      <c r="A85" s="125">
        <v>74</v>
      </c>
      <c r="B85" s="62" t="s">
        <v>247</v>
      </c>
      <c r="C85" s="62" t="s">
        <v>246</v>
      </c>
      <c r="D85" s="2">
        <v>0</v>
      </c>
      <c r="E85" s="3">
        <f t="shared" si="31"/>
        <v>0</v>
      </c>
      <c r="F85" s="2">
        <v>0</v>
      </c>
      <c r="G85" s="2">
        <v>0</v>
      </c>
      <c r="H85" s="60">
        <v>0</v>
      </c>
      <c r="I85" s="5">
        <v>0</v>
      </c>
      <c r="J85" s="5">
        <v>0</v>
      </c>
      <c r="K85" s="2">
        <v>54782275.752958991</v>
      </c>
      <c r="L85" s="3">
        <f t="shared" si="20"/>
        <v>1.8455804362164295E-4</v>
      </c>
      <c r="M85" s="2">
        <v>100.37045649593698</v>
      </c>
      <c r="N85" s="2">
        <v>100.37045649593698</v>
      </c>
      <c r="O85" s="60">
        <v>25</v>
      </c>
      <c r="P85" s="5">
        <v>4.7142209945105697E-4</v>
      </c>
      <c r="Q85" s="5">
        <v>3.7045649593698826E-3</v>
      </c>
      <c r="R85" s="83" t="e">
        <f t="shared" ref="R85" si="35">((K85-D85)/D85)</f>
        <v>#DIV/0!</v>
      </c>
      <c r="S85" s="83" t="e">
        <f t="shared" ref="S85" si="36">((N85-G85)/G85)</f>
        <v>#DIV/0!</v>
      </c>
      <c r="T85" s="83" t="e">
        <f t="shared" ref="T85" si="37">((O85-H85)/H85)</f>
        <v>#DIV/0!</v>
      </c>
      <c r="U85" s="84">
        <f t="shared" ref="U85" si="38">P85-I85</f>
        <v>4.7142209945105697E-4</v>
      </c>
      <c r="V85" s="86">
        <f t="shared" ref="V85" si="39">Q85-J85</f>
        <v>3.7045649593698826E-3</v>
      </c>
    </row>
    <row r="86" spans="1:29" ht="15.75" customHeight="1" x14ac:dyDescent="0.25">
      <c r="A86" s="126">
        <v>75</v>
      </c>
      <c r="B86" s="62" t="s">
        <v>127</v>
      </c>
      <c r="C86" s="63" t="s">
        <v>32</v>
      </c>
      <c r="D86" s="2">
        <v>9362627322.6184006</v>
      </c>
      <c r="E86" s="3">
        <f t="shared" si="31"/>
        <v>3.1490623527993089E-2</v>
      </c>
      <c r="F86" s="14">
        <v>1</v>
      </c>
      <c r="G86" s="14">
        <v>1</v>
      </c>
      <c r="H86" s="60">
        <v>5507</v>
      </c>
      <c r="I86" s="5">
        <v>0.06</v>
      </c>
      <c r="J86" s="5">
        <v>0.06</v>
      </c>
      <c r="K86" s="2">
        <v>9209752549.0310993</v>
      </c>
      <c r="L86" s="3">
        <f t="shared" si="20"/>
        <v>3.1027077450261096E-2</v>
      </c>
      <c r="M86" s="14">
        <v>1</v>
      </c>
      <c r="N86" s="14">
        <v>1</v>
      </c>
      <c r="O86" s="60">
        <v>5506</v>
      </c>
      <c r="P86" s="5">
        <v>0.06</v>
      </c>
      <c r="Q86" s="5">
        <v>0.06</v>
      </c>
      <c r="R86" s="83">
        <f t="shared" si="26"/>
        <v>-1.6328191683757792E-2</v>
      </c>
      <c r="S86" s="83">
        <f t="shared" si="27"/>
        <v>0</v>
      </c>
      <c r="T86" s="83">
        <f t="shared" si="28"/>
        <v>-1.8158707100054475E-4</v>
      </c>
      <c r="U86" s="84">
        <f t="shared" si="29"/>
        <v>0</v>
      </c>
      <c r="V86" s="86">
        <f t="shared" si="30"/>
        <v>0</v>
      </c>
    </row>
    <row r="87" spans="1:29" x14ac:dyDescent="0.25">
      <c r="A87" s="125">
        <v>76</v>
      </c>
      <c r="B87" s="62" t="s">
        <v>128</v>
      </c>
      <c r="C87" s="63" t="s">
        <v>91</v>
      </c>
      <c r="D87" s="2">
        <v>2605759170.29</v>
      </c>
      <c r="E87" s="3">
        <f t="shared" si="31"/>
        <v>8.7643113635403717E-3</v>
      </c>
      <c r="F87" s="14">
        <v>25.0124</v>
      </c>
      <c r="G87" s="14">
        <v>25.0124</v>
      </c>
      <c r="H87" s="60">
        <v>1318</v>
      </c>
      <c r="I87" s="5">
        <v>1.6000000000000001E-3</v>
      </c>
      <c r="J87" s="5">
        <v>6.1800000000000001E-2</v>
      </c>
      <c r="K87" s="2">
        <v>2613613728.3699999</v>
      </c>
      <c r="L87" s="3">
        <f t="shared" si="20"/>
        <v>8.8051003697958118E-3</v>
      </c>
      <c r="M87" s="14">
        <v>25.087700000000002</v>
      </c>
      <c r="N87" s="14">
        <v>25.087700000000002</v>
      </c>
      <c r="O87" s="60">
        <v>1319</v>
      </c>
      <c r="P87" s="5">
        <v>3.0000000000000001E-3</v>
      </c>
      <c r="Q87" s="5">
        <v>6.5000000000000002E-2</v>
      </c>
      <c r="R87" s="83">
        <f t="shared" si="26"/>
        <v>3.0143069895157558E-3</v>
      </c>
      <c r="S87" s="83">
        <f t="shared" si="27"/>
        <v>3.0105067886329238E-3</v>
      </c>
      <c r="T87" s="83">
        <f t="shared" si="28"/>
        <v>7.5872534142640367E-4</v>
      </c>
      <c r="U87" s="84">
        <f t="shared" si="29"/>
        <v>1.4E-3</v>
      </c>
      <c r="V87" s="86">
        <f t="shared" si="30"/>
        <v>3.2000000000000015E-3</v>
      </c>
    </row>
    <row r="88" spans="1:29" x14ac:dyDescent="0.25">
      <c r="A88" s="78"/>
      <c r="B88" s="19"/>
      <c r="C88" s="74" t="s">
        <v>46</v>
      </c>
      <c r="D88" s="59">
        <f>SUM(D57:D87)</f>
        <v>297314764640.83484</v>
      </c>
      <c r="E88" s="116">
        <f>(D88/$D$172)</f>
        <v>0.14849476812748955</v>
      </c>
      <c r="F88" s="30"/>
      <c r="G88" s="11"/>
      <c r="H88" s="68">
        <f>SUM(H57:H87)</f>
        <v>63535</v>
      </c>
      <c r="I88" s="12"/>
      <c r="J88" s="12"/>
      <c r="K88" s="59">
        <f>SUM(K57:K87)</f>
        <v>296829521368.71655</v>
      </c>
      <c r="L88" s="116">
        <f>(K88/$K$172)</f>
        <v>0.14900688710208509</v>
      </c>
      <c r="M88" s="30"/>
      <c r="N88" s="11"/>
      <c r="O88" s="68">
        <f>SUM(O57:O87)</f>
        <v>63898</v>
      </c>
      <c r="P88" s="12"/>
      <c r="Q88" s="12"/>
      <c r="R88" s="83">
        <f t="shared" si="26"/>
        <v>-1.6320860240643432E-3</v>
      </c>
      <c r="S88" s="83" t="e">
        <f t="shared" si="27"/>
        <v>#DIV/0!</v>
      </c>
      <c r="T88" s="83">
        <f t="shared" si="28"/>
        <v>5.71338632249941E-3</v>
      </c>
      <c r="U88" s="84">
        <f t="shared" si="29"/>
        <v>0</v>
      </c>
      <c r="V88" s="86">
        <f t="shared" si="30"/>
        <v>0</v>
      </c>
    </row>
    <row r="89" spans="1:29" ht="8.25" customHeight="1" x14ac:dyDescent="0.25">
      <c r="A89" s="135"/>
      <c r="B89" s="135"/>
      <c r="C89" s="135"/>
      <c r="D89" s="135"/>
      <c r="E89" s="135"/>
      <c r="F89" s="135"/>
      <c r="G89" s="135"/>
      <c r="H89" s="135"/>
      <c r="I89" s="135"/>
      <c r="J89" s="135"/>
      <c r="K89" s="135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</row>
    <row r="90" spans="1:29" ht="15" customHeight="1" x14ac:dyDescent="0.25">
      <c r="A90" s="142" t="s">
        <v>129</v>
      </c>
      <c r="B90" s="142"/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</row>
    <row r="91" spans="1:29" x14ac:dyDescent="0.25">
      <c r="A91" s="146" t="s">
        <v>231</v>
      </c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Z91" s="102"/>
      <c r="AA91" s="102"/>
      <c r="AB91" s="119"/>
      <c r="AC91" s="102"/>
    </row>
    <row r="92" spans="1:29" ht="15.75" x14ac:dyDescent="0.25">
      <c r="A92" s="127">
        <v>77</v>
      </c>
      <c r="B92" s="62" t="s">
        <v>130</v>
      </c>
      <c r="C92" s="63" t="s">
        <v>17</v>
      </c>
      <c r="D92" s="2">
        <v>1386491136.1700001</v>
      </c>
      <c r="E92" s="3">
        <f t="shared" ref="E92:E102" si="40">(D92/$D$114)</f>
        <v>2.1945840898832275E-3</v>
      </c>
      <c r="F92" s="2">
        <f>108.9877*832.578</f>
        <v>90740.761290599999</v>
      </c>
      <c r="G92" s="2">
        <f>108.9877*832.578</f>
        <v>90740.761290599999</v>
      </c>
      <c r="H92" s="60">
        <v>262</v>
      </c>
      <c r="I92" s="5">
        <v>1.1000000000000001E-3</v>
      </c>
      <c r="J92" s="5">
        <v>5.3199999999999997E-2</v>
      </c>
      <c r="K92" s="2">
        <v>1371810013.1199999</v>
      </c>
      <c r="L92" s="3">
        <f t="shared" ref="L92:L102" si="41">(K92/$K$114)</f>
        <v>2.1986272173790972E-3</v>
      </c>
      <c r="M92" s="2">
        <f>109.1068*786.98</f>
        <v>85864.869464000003</v>
      </c>
      <c r="N92" s="2">
        <f>109.1068*786.98</f>
        <v>85864.869464000003</v>
      </c>
      <c r="O92" s="60">
        <v>262</v>
      </c>
      <c r="P92" s="5">
        <v>1.1000000000000001E-3</v>
      </c>
      <c r="Q92" s="5">
        <v>5.4300000000000001E-2</v>
      </c>
      <c r="R92" s="84">
        <f t="shared" ref="R92" si="42">((K92-D92)/D92)</f>
        <v>-1.0588688717156078E-2</v>
      </c>
      <c r="S92" s="84">
        <f t="shared" ref="S92" si="43">((N92-G92)/G92)</f>
        <v>-5.3734305919969166E-2</v>
      </c>
      <c r="T92" s="84">
        <f t="shared" ref="T92" si="44">((O92-H92)/H92)</f>
        <v>0</v>
      </c>
      <c r="U92" s="84">
        <f t="shared" ref="U92" si="45">P92-I92</f>
        <v>0</v>
      </c>
      <c r="V92" s="86">
        <f t="shared" ref="V92" si="46">Q92-J92</f>
        <v>1.1000000000000038E-3</v>
      </c>
      <c r="Z92" s="102"/>
      <c r="AA92" s="120"/>
      <c r="AB92" s="102"/>
      <c r="AC92" s="102"/>
    </row>
    <row r="93" spans="1:29" x14ac:dyDescent="0.25">
      <c r="A93" s="127">
        <v>78</v>
      </c>
      <c r="B93" s="62" t="s">
        <v>131</v>
      </c>
      <c r="C93" s="63" t="s">
        <v>21</v>
      </c>
      <c r="D93" s="2">
        <f>10351495*832.078</f>
        <v>8613251256.6100006</v>
      </c>
      <c r="E93" s="3">
        <f t="shared" si="40"/>
        <v>1.3633339353426168E-2</v>
      </c>
      <c r="F93" s="2">
        <f>1.1619*832.078</f>
        <v>966.79142819999993</v>
      </c>
      <c r="G93" s="2">
        <f>1.1619*832.078</f>
        <v>966.79142819999993</v>
      </c>
      <c r="H93" s="60">
        <v>272</v>
      </c>
      <c r="I93" s="5">
        <v>6.2899999999999998E-2</v>
      </c>
      <c r="J93" s="5">
        <v>4.0500000000000001E-2</v>
      </c>
      <c r="K93" s="2">
        <f>10283755.22*786.48</f>
        <v>8087967805.425601</v>
      </c>
      <c r="L93" s="3">
        <f t="shared" si="41"/>
        <v>1.2962747013233154E-2</v>
      </c>
      <c r="M93" s="2">
        <f>1.1632*786.48</f>
        <v>914.83353599999998</v>
      </c>
      <c r="N93" s="2">
        <f>1.1632*786.48</f>
        <v>914.83353599999998</v>
      </c>
      <c r="O93" s="60">
        <v>272</v>
      </c>
      <c r="P93" s="5">
        <v>5.8299999999999998E-2</v>
      </c>
      <c r="Q93" s="5">
        <v>4.1000000000000002E-2</v>
      </c>
      <c r="R93" s="84">
        <f t="shared" ref="R93:R102" si="47">((K93-D93)/D93)</f>
        <v>-6.0985501935902006E-2</v>
      </c>
      <c r="S93" s="84">
        <f t="shared" ref="S93:S102" si="48">((N93-G93)/G93)</f>
        <v>-5.3742607437817939E-2</v>
      </c>
      <c r="T93" s="84">
        <f t="shared" ref="T93:T102" si="49">((O93-H93)/H93)</f>
        <v>0</v>
      </c>
      <c r="U93" s="84">
        <f t="shared" ref="U93:U102" si="50">P93-I93</f>
        <v>-4.5999999999999999E-3</v>
      </c>
      <c r="V93" s="86">
        <f t="shared" ref="V93:V102" si="51">Q93-J93</f>
        <v>5.0000000000000044E-4</v>
      </c>
      <c r="Z93" s="102"/>
      <c r="AA93" s="102"/>
      <c r="AB93" s="102"/>
      <c r="AC93" s="102"/>
    </row>
    <row r="94" spans="1:29" x14ac:dyDescent="0.25">
      <c r="A94" s="127">
        <v>79</v>
      </c>
      <c r="B94" s="62" t="s">
        <v>132</v>
      </c>
      <c r="C94" s="63" t="s">
        <v>67</v>
      </c>
      <c r="D94" s="2">
        <v>2112709502.81232</v>
      </c>
      <c r="E94" s="3">
        <f t="shared" si="40"/>
        <v>3.344066572415887E-3</v>
      </c>
      <c r="F94" s="2">
        <v>88374.741130199996</v>
      </c>
      <c r="G94" s="2">
        <v>88374.741130199996</v>
      </c>
      <c r="H94" s="60">
        <v>41</v>
      </c>
      <c r="I94" s="5">
        <v>1.2130095748523269E-3</v>
      </c>
      <c r="J94" s="5">
        <v>5.6427499385215352E-2</v>
      </c>
      <c r="K94" s="2">
        <v>2000074192.9416001</v>
      </c>
      <c r="L94" s="3">
        <f>(K94/$K$114)</f>
        <v>3.2055587255684125E-3</v>
      </c>
      <c r="M94" s="2">
        <v>83630.239754000009</v>
      </c>
      <c r="N94" s="2">
        <v>83630.239754000009</v>
      </c>
      <c r="O94" s="60">
        <v>41</v>
      </c>
      <c r="P94" s="5">
        <v>2.3581057053895919E-3</v>
      </c>
      <c r="Q94" s="5">
        <v>5.6517805376317669E-2</v>
      </c>
      <c r="R94" s="84">
        <f t="shared" si="47"/>
        <v>-5.3313202653174102E-2</v>
      </c>
      <c r="S94" s="84">
        <f t="shared" si="48"/>
        <v>-5.3686170002015032E-2</v>
      </c>
      <c r="T94" s="84">
        <f t="shared" si="49"/>
        <v>0</v>
      </c>
      <c r="U94" s="84">
        <f t="shared" si="50"/>
        <v>1.145096130537265E-3</v>
      </c>
      <c r="V94" s="86">
        <f t="shared" si="51"/>
        <v>9.0305991102317129E-5</v>
      </c>
      <c r="X94" s="67">
        <v>786.98</v>
      </c>
    </row>
    <row r="95" spans="1:29" x14ac:dyDescent="0.25">
      <c r="A95" s="126">
        <v>80</v>
      </c>
      <c r="B95" s="62" t="s">
        <v>133</v>
      </c>
      <c r="C95" s="63" t="s">
        <v>27</v>
      </c>
      <c r="D95" s="2">
        <v>23054794031.439999</v>
      </c>
      <c r="E95" s="3">
        <f t="shared" si="40"/>
        <v>3.6491891550563357E-2</v>
      </c>
      <c r="F95" s="2">
        <v>98697.85</v>
      </c>
      <c r="G95" s="2">
        <v>98697.85</v>
      </c>
      <c r="H95" s="60">
        <v>1940</v>
      </c>
      <c r="I95" s="5">
        <v>1.4E-3</v>
      </c>
      <c r="J95" s="5">
        <v>7.3800000000000004E-2</v>
      </c>
      <c r="K95" s="2">
        <v>22531955902.360001</v>
      </c>
      <c r="L95" s="3">
        <f t="shared" si="41"/>
        <v>3.6112414280344528E-2</v>
      </c>
      <c r="M95" s="2">
        <v>96593.86</v>
      </c>
      <c r="N95" s="2">
        <v>96593.86</v>
      </c>
      <c r="O95" s="60">
        <v>1946</v>
      </c>
      <c r="P95" s="5">
        <v>1.4E-3</v>
      </c>
      <c r="Q95" s="5">
        <v>7.4700000000000003E-2</v>
      </c>
      <c r="R95" s="84">
        <f t="shared" si="47"/>
        <v>-2.2678065497657437E-2</v>
      </c>
      <c r="S95" s="84">
        <f t="shared" si="48"/>
        <v>-2.1317485639251565E-2</v>
      </c>
      <c r="T95" s="84">
        <f t="shared" si="49"/>
        <v>3.092783505154639E-3</v>
      </c>
      <c r="U95" s="84">
        <f t="shared" si="50"/>
        <v>0</v>
      </c>
      <c r="V95" s="86">
        <f t="shared" si="51"/>
        <v>8.9999999999999802E-4</v>
      </c>
    </row>
    <row r="96" spans="1:29" x14ac:dyDescent="0.25">
      <c r="A96" s="126">
        <v>81</v>
      </c>
      <c r="B96" s="129" t="s">
        <v>134</v>
      </c>
      <c r="C96" s="129" t="s">
        <v>27</v>
      </c>
      <c r="D96" s="2">
        <v>20264151367.619999</v>
      </c>
      <c r="E96" s="3">
        <f t="shared" si="40"/>
        <v>3.207476991826335E-2</v>
      </c>
      <c r="F96" s="2">
        <v>88626.81</v>
      </c>
      <c r="G96" s="2">
        <v>88626.81</v>
      </c>
      <c r="H96" s="60">
        <v>156</v>
      </c>
      <c r="I96" s="5">
        <v>1.2999999999999999E-3</v>
      </c>
      <c r="J96" s="5">
        <v>9.4299999999999995E-2</v>
      </c>
      <c r="K96" s="2">
        <v>19663599062.619999</v>
      </c>
      <c r="L96" s="3">
        <f t="shared" si="41"/>
        <v>3.1515241671387778E-2</v>
      </c>
      <c r="M96" s="2">
        <v>86806.51</v>
      </c>
      <c r="N96" s="2">
        <v>86806.51</v>
      </c>
      <c r="O96" s="60">
        <v>162</v>
      </c>
      <c r="P96" s="5">
        <v>1.9E-3</v>
      </c>
      <c r="Q96" s="5">
        <v>9.5299999999999996E-2</v>
      </c>
      <c r="R96" s="84">
        <f t="shared" si="47"/>
        <v>-2.9636193201735554E-2</v>
      </c>
      <c r="S96" s="84">
        <f t="shared" si="48"/>
        <v>-2.0538931729574866E-2</v>
      </c>
      <c r="T96" s="84">
        <f t="shared" si="49"/>
        <v>3.8461538461538464E-2</v>
      </c>
      <c r="U96" s="84">
        <f t="shared" si="50"/>
        <v>6.0000000000000006E-4</v>
      </c>
      <c r="V96" s="86">
        <f t="shared" si="51"/>
        <v>1.0000000000000009E-3</v>
      </c>
    </row>
    <row r="97" spans="1:22" x14ac:dyDescent="0.25">
      <c r="A97" s="134">
        <v>82</v>
      </c>
      <c r="B97" s="62" t="s">
        <v>135</v>
      </c>
      <c r="C97" s="63" t="s">
        <v>31</v>
      </c>
      <c r="D97" s="2">
        <f>89801.96*832.578</f>
        <v>74767136.252880007</v>
      </c>
      <c r="E97" s="3">
        <f t="shared" si="40"/>
        <v>1.1834389949290196E-4</v>
      </c>
      <c r="F97" s="2">
        <f>108.23*832.578</f>
        <v>90109.916939999996</v>
      </c>
      <c r="G97" s="2">
        <f>108.23*832.578</f>
        <v>90109.916939999996</v>
      </c>
      <c r="H97" s="60">
        <v>2</v>
      </c>
      <c r="I97" s="5">
        <v>3.0000000000000001E-3</v>
      </c>
      <c r="J97" s="5">
        <v>0.10199999999999999</v>
      </c>
      <c r="K97" s="2">
        <f>101038.46*786.98</f>
        <v>79515247.250800014</v>
      </c>
      <c r="L97" s="3">
        <f t="shared" si="41"/>
        <v>1.2744066972118279E-4</v>
      </c>
      <c r="M97" s="2">
        <f>108.23*786.98</f>
        <v>85174.845400000006</v>
      </c>
      <c r="N97" s="2">
        <f>108.23*786.98</f>
        <v>85174.845400000006</v>
      </c>
      <c r="O97" s="60">
        <v>2</v>
      </c>
      <c r="P97" s="5">
        <v>2.0999999999999999E-3</v>
      </c>
      <c r="Q97" s="5">
        <v>0.104</v>
      </c>
      <c r="R97" s="84">
        <f t="shared" si="47"/>
        <v>6.3505321132814027E-2</v>
      </c>
      <c r="S97" s="84">
        <f t="shared" si="48"/>
        <v>-5.4767241027267002E-2</v>
      </c>
      <c r="T97" s="84">
        <f t="shared" si="49"/>
        <v>0</v>
      </c>
      <c r="U97" s="84">
        <f t="shared" si="50"/>
        <v>-9.0000000000000019E-4</v>
      </c>
      <c r="V97" s="86">
        <f t="shared" si="51"/>
        <v>2.0000000000000018E-3</v>
      </c>
    </row>
    <row r="98" spans="1:22" x14ac:dyDescent="0.25">
      <c r="A98" s="127">
        <v>83</v>
      </c>
      <c r="B98" s="62" t="s">
        <v>136</v>
      </c>
      <c r="C98" s="63" t="s">
        <v>34</v>
      </c>
      <c r="D98" s="2">
        <f>12983944.92*832.578</f>
        <v>10810146893.60376</v>
      </c>
      <c r="E98" s="3">
        <f t="shared" si="40"/>
        <v>1.7110658527206474E-2</v>
      </c>
      <c r="F98" s="2">
        <f>1.31*832.578</f>
        <v>1090.6771799999999</v>
      </c>
      <c r="G98" s="2">
        <f>1.31*832.578</f>
        <v>1090.6771799999999</v>
      </c>
      <c r="H98" s="61">
        <v>119</v>
      </c>
      <c r="I98" s="12">
        <v>2.5700000000000001E-2</v>
      </c>
      <c r="J98" s="12">
        <v>5.3100000000000001E-2</v>
      </c>
      <c r="K98" s="2">
        <f>12935535.99*786.98</f>
        <v>10180008113.4102</v>
      </c>
      <c r="L98" s="3">
        <f t="shared" si="41"/>
        <v>1.6315701662199356E-2</v>
      </c>
      <c r="M98" s="2">
        <f>1.31*786.98</f>
        <v>1030.9438</v>
      </c>
      <c r="N98" s="2">
        <f>1.31*786.98</f>
        <v>1030.9438</v>
      </c>
      <c r="O98" s="61">
        <v>120</v>
      </c>
      <c r="P98" s="12">
        <v>2.5700000000000001E-2</v>
      </c>
      <c r="Q98" s="12">
        <v>5.2900000000000003E-2</v>
      </c>
      <c r="R98" s="84">
        <f t="shared" si="47"/>
        <v>-5.8291416980319255E-2</v>
      </c>
      <c r="S98" s="84">
        <f t="shared" si="48"/>
        <v>-5.4767241027267023E-2</v>
      </c>
      <c r="T98" s="84">
        <f t="shared" si="49"/>
        <v>8.4033613445378148E-3</v>
      </c>
      <c r="U98" s="84">
        <f t="shared" si="50"/>
        <v>0</v>
      </c>
      <c r="V98" s="86">
        <f t="shared" si="51"/>
        <v>-1.9999999999999879E-4</v>
      </c>
    </row>
    <row r="99" spans="1:22" x14ac:dyDescent="0.25">
      <c r="A99" s="127">
        <v>84</v>
      </c>
      <c r="B99" s="62" t="s">
        <v>137</v>
      </c>
      <c r="C99" s="63" t="s">
        <v>78</v>
      </c>
      <c r="D99" s="2">
        <f>4983893.01*832.578</f>
        <v>4149479674.4797797</v>
      </c>
      <c r="E99" s="3">
        <f t="shared" si="40"/>
        <v>6.567933856441624E-3</v>
      </c>
      <c r="F99" s="2">
        <f>102.38*832.578</f>
        <v>85239.33563999999</v>
      </c>
      <c r="G99" s="2">
        <f>102.38*832.578</f>
        <v>85239.33563999999</v>
      </c>
      <c r="H99" s="60">
        <v>186</v>
      </c>
      <c r="I99" s="5">
        <v>2E-3</v>
      </c>
      <c r="J99" s="5">
        <v>8.0299999999999996E-2</v>
      </c>
      <c r="K99" s="2">
        <f>5097158.76*786.98</f>
        <v>4011362000.9447999</v>
      </c>
      <c r="L99" s="3">
        <f t="shared" si="41"/>
        <v>6.4290897352314511E-3</v>
      </c>
      <c r="M99" s="2">
        <f>102.74*786.98</f>
        <v>80854.325199999992</v>
      </c>
      <c r="N99" s="2">
        <f>102.74*786.98</f>
        <v>80854.325199999992</v>
      </c>
      <c r="O99" s="60">
        <v>193</v>
      </c>
      <c r="P99" s="5">
        <v>3.5000000000000001E-3</v>
      </c>
      <c r="Q99" s="5">
        <v>8.3900000000000002E-2</v>
      </c>
      <c r="R99" s="84">
        <f t="shared" si="47"/>
        <v>-3.3285540446054994E-2</v>
      </c>
      <c r="S99" s="84">
        <f t="shared" si="48"/>
        <v>-5.1443507942385447E-2</v>
      </c>
      <c r="T99" s="84">
        <f t="shared" si="49"/>
        <v>3.7634408602150539E-2</v>
      </c>
      <c r="U99" s="84">
        <f t="shared" si="50"/>
        <v>1.5E-3</v>
      </c>
      <c r="V99" s="86">
        <f t="shared" si="51"/>
        <v>3.600000000000006E-3</v>
      </c>
    </row>
    <row r="100" spans="1:22" x14ac:dyDescent="0.25">
      <c r="A100" s="126">
        <v>85</v>
      </c>
      <c r="B100" s="62" t="s">
        <v>138</v>
      </c>
      <c r="C100" s="63" t="s">
        <v>38</v>
      </c>
      <c r="D100" s="2">
        <f>1796463.97*832.578</f>
        <v>1495696379.2146599</v>
      </c>
      <c r="E100" s="3">
        <f t="shared" si="40"/>
        <v>2.3674377653705955E-3</v>
      </c>
      <c r="F100" s="2">
        <f>128.62*832.578</f>
        <v>107086.18236000001</v>
      </c>
      <c r="G100" s="2">
        <f>131.43*832.578</f>
        <v>109425.72654</v>
      </c>
      <c r="H100" s="60">
        <v>45</v>
      </c>
      <c r="I100" s="5">
        <v>4.0000000000000002E-4</v>
      </c>
      <c r="J100" s="5">
        <v>0.15340000000000001</v>
      </c>
      <c r="K100" s="2">
        <f>1793144.58*786.98</f>
        <v>1411168921.5684001</v>
      </c>
      <c r="L100" s="3">
        <f t="shared" si="41"/>
        <v>2.2617085234880761E-3</v>
      </c>
      <c r="M100" s="2">
        <f>128.38*786.98</f>
        <v>101032.4924</v>
      </c>
      <c r="N100" s="2">
        <f>131.24*768.98</f>
        <v>100920.93520000001</v>
      </c>
      <c r="O100" s="60">
        <v>45</v>
      </c>
      <c r="P100" s="5">
        <v>4.0000000000000002E-4</v>
      </c>
      <c r="Q100" s="5">
        <v>0.1515</v>
      </c>
      <c r="R100" s="84">
        <f t="shared" si="47"/>
        <v>-5.6513781019274997E-2</v>
      </c>
      <c r="S100" s="84">
        <f t="shared" si="48"/>
        <v>-7.7722045892846911E-2</v>
      </c>
      <c r="T100" s="84">
        <f t="shared" si="49"/>
        <v>0</v>
      </c>
      <c r="U100" s="84">
        <f t="shared" si="50"/>
        <v>0</v>
      </c>
      <c r="V100" s="86">
        <f t="shared" si="51"/>
        <v>-1.9000000000000128E-3</v>
      </c>
    </row>
    <row r="101" spans="1:22" ht="16.5" customHeight="1" x14ac:dyDescent="0.25">
      <c r="A101" s="127">
        <v>86</v>
      </c>
      <c r="B101" s="62" t="s">
        <v>139</v>
      </c>
      <c r="C101" s="63" t="s">
        <v>45</v>
      </c>
      <c r="D101" s="2">
        <v>119817053310.52</v>
      </c>
      <c r="E101" s="3">
        <f t="shared" si="40"/>
        <v>0.18965040023142066</v>
      </c>
      <c r="F101" s="2">
        <v>99441.7</v>
      </c>
      <c r="G101" s="2">
        <v>99441.7</v>
      </c>
      <c r="H101" s="60">
        <v>2929</v>
      </c>
      <c r="I101" s="5">
        <v>5.4899999999999997E-2</v>
      </c>
      <c r="J101" s="5">
        <v>5.6099999999999997E-2</v>
      </c>
      <c r="K101" s="2">
        <v>116313793945.58</v>
      </c>
      <c r="L101" s="3">
        <f t="shared" si="41"/>
        <v>0.18641843307715095</v>
      </c>
      <c r="M101" s="2">
        <v>97286.1</v>
      </c>
      <c r="N101" s="2">
        <v>97286.1</v>
      </c>
      <c r="O101" s="60">
        <v>2932</v>
      </c>
      <c r="P101" s="5">
        <v>5.4800000000000001E-2</v>
      </c>
      <c r="Q101" s="5">
        <v>5.6000000000000001E-2</v>
      </c>
      <c r="R101" s="84">
        <f t="shared" si="47"/>
        <v>-2.9238403617395707E-2</v>
      </c>
      <c r="S101" s="84">
        <f t="shared" si="48"/>
        <v>-2.1677022818395012E-2</v>
      </c>
      <c r="T101" s="84">
        <f t="shared" si="49"/>
        <v>1.0242403550699897E-3</v>
      </c>
      <c r="U101" s="84">
        <f t="shared" si="50"/>
        <v>-9.9999999999995925E-5</v>
      </c>
      <c r="V101" s="86">
        <f t="shared" si="51"/>
        <v>-9.9999999999995925E-5</v>
      </c>
    </row>
    <row r="102" spans="1:22" x14ac:dyDescent="0.25">
      <c r="A102" s="126">
        <v>87</v>
      </c>
      <c r="B102" s="62" t="s">
        <v>140</v>
      </c>
      <c r="C102" s="63" t="s">
        <v>64</v>
      </c>
      <c r="D102" s="2">
        <f>272930.58*832.578</f>
        <v>227235996.43524</v>
      </c>
      <c r="E102" s="3">
        <f t="shared" si="40"/>
        <v>3.5967666104458557E-4</v>
      </c>
      <c r="F102" s="2">
        <f>100.79*832.578</f>
        <v>83915.536619999999</v>
      </c>
      <c r="G102" s="2">
        <f>101.3*832.578</f>
        <v>84340.151399999988</v>
      </c>
      <c r="H102" s="60">
        <v>28</v>
      </c>
      <c r="I102" s="5">
        <v>8.0000000000000004E-4</v>
      </c>
      <c r="J102" s="5">
        <v>1.04E-2</v>
      </c>
      <c r="K102" s="2">
        <f>288256.49*786.98</f>
        <v>226852092.5002</v>
      </c>
      <c r="L102" s="3">
        <f t="shared" si="41"/>
        <v>3.6358036471535125E-4</v>
      </c>
      <c r="M102" s="2">
        <f>109.9*786.98</f>
        <v>86489.102000000014</v>
      </c>
      <c r="N102" s="2">
        <f>101.46*786.98</f>
        <v>79846.9908</v>
      </c>
      <c r="O102" s="60">
        <v>30</v>
      </c>
      <c r="P102" s="5">
        <v>1.5E-3</v>
      </c>
      <c r="Q102" s="5">
        <v>1.1900000000000001E-2</v>
      </c>
      <c r="R102" s="84">
        <f t="shared" si="47"/>
        <v>-1.6894503558524273E-3</v>
      </c>
      <c r="S102" s="84">
        <f t="shared" si="48"/>
        <v>-5.3274277143400869E-2</v>
      </c>
      <c r="T102" s="84">
        <f t="shared" si="49"/>
        <v>7.1428571428571425E-2</v>
      </c>
      <c r="U102" s="84">
        <f t="shared" si="50"/>
        <v>6.9999999999999999E-4</v>
      </c>
      <c r="V102" s="86">
        <f t="shared" si="51"/>
        <v>1.5000000000000013E-3</v>
      </c>
    </row>
    <row r="103" spans="1:22" ht="6" customHeight="1" x14ac:dyDescent="0.25">
      <c r="A103" s="135"/>
      <c r="B103" s="135"/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</row>
    <row r="104" spans="1:22" x14ac:dyDescent="0.25">
      <c r="A104" s="146" t="s">
        <v>232</v>
      </c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</row>
    <row r="105" spans="1:22" x14ac:dyDescent="0.25">
      <c r="A105" s="125">
        <v>88</v>
      </c>
      <c r="B105" s="62" t="s">
        <v>141</v>
      </c>
      <c r="C105" s="63" t="s">
        <v>97</v>
      </c>
      <c r="D105" s="4">
        <v>657966240.65999997</v>
      </c>
      <c r="E105" s="3">
        <f>(D105/$D$114)</f>
        <v>1.0414507570682861E-3</v>
      </c>
      <c r="F105" s="2">
        <v>72615.77</v>
      </c>
      <c r="G105" s="2">
        <v>72615.77</v>
      </c>
      <c r="H105" s="60">
        <v>27</v>
      </c>
      <c r="I105" s="5">
        <v>-1.7600000000000001E-2</v>
      </c>
      <c r="J105" s="5">
        <v>4.48E-2</v>
      </c>
      <c r="K105" s="4">
        <v>683138887.90999997</v>
      </c>
      <c r="L105" s="3">
        <f t="shared" ref="L105:L113" si="52">(K105/$K$114)</f>
        <v>1.0948802952625983E-3</v>
      </c>
      <c r="M105" s="2">
        <v>75392.17</v>
      </c>
      <c r="N105" s="2">
        <v>75392.17</v>
      </c>
      <c r="O105" s="60">
        <v>27</v>
      </c>
      <c r="P105" s="5">
        <v>3.8199999999999998E-2</v>
      </c>
      <c r="Q105" s="5">
        <v>8.2900000000000001E-2</v>
      </c>
      <c r="R105" s="84">
        <f t="shared" ref="R105" si="53">((K105-D105)/D105)</f>
        <v>3.8258265689664485E-2</v>
      </c>
      <c r="S105" s="84">
        <f t="shared" ref="S105" si="54">((N105-G105)/G105)</f>
        <v>3.8234119117651635E-2</v>
      </c>
      <c r="T105" s="84">
        <f t="shared" ref="T105" si="55">((O105-H105)/H105)</f>
        <v>0</v>
      </c>
      <c r="U105" s="84">
        <f t="shared" ref="U105" si="56">P105-I105</f>
        <v>5.5800000000000002E-2</v>
      </c>
      <c r="V105" s="86">
        <f t="shared" ref="V105" si="57">Q105-J105</f>
        <v>3.8100000000000002E-2</v>
      </c>
    </row>
    <row r="106" spans="1:22" x14ac:dyDescent="0.25">
      <c r="A106" s="126">
        <v>89</v>
      </c>
      <c r="B106" s="63" t="s">
        <v>142</v>
      </c>
      <c r="C106" s="63" t="s">
        <v>23</v>
      </c>
      <c r="D106" s="2">
        <f>6274453.77*832.578</f>
        <v>5223972170.9190598</v>
      </c>
      <c r="E106" s="3">
        <f>(D106/$K$114)</f>
        <v>8.3725641947249053E-3</v>
      </c>
      <c r="F106" s="4">
        <f>128.32*832.578</f>
        <v>106836.40895999999</v>
      </c>
      <c r="G106" s="4">
        <f>129.22*832.578</f>
        <v>107585.72916</v>
      </c>
      <c r="H106" s="60">
        <v>302</v>
      </c>
      <c r="I106" s="5">
        <v>5.0000000000000001E-4</v>
      </c>
      <c r="J106" s="5">
        <v>3.5700000000000003E-2</v>
      </c>
      <c r="K106" s="2">
        <f>6210713.25*786.98</f>
        <v>4887707113.4849997</v>
      </c>
      <c r="L106" s="3">
        <f t="shared" si="52"/>
        <v>7.8336254929679619E-3</v>
      </c>
      <c r="M106" s="4">
        <f>129.36*786.98</f>
        <v>101803.73280000001</v>
      </c>
      <c r="N106" s="4">
        <f>129.36*786.98</f>
        <v>101803.73280000001</v>
      </c>
      <c r="O106" s="60">
        <v>307</v>
      </c>
      <c r="P106" s="5">
        <v>5.0000000000000001E-4</v>
      </c>
      <c r="Q106" s="5">
        <v>4.0399999999999998E-2</v>
      </c>
      <c r="R106" s="84">
        <f t="shared" ref="R106:R114" si="58">((K106-D106)/D106)</f>
        <v>-6.4369611175570371E-2</v>
      </c>
      <c r="S106" s="84">
        <f t="shared" ref="S106:S114" si="59">((N106-G106)/G106)</f>
        <v>-5.3743153531088543E-2</v>
      </c>
      <c r="T106" s="84">
        <f t="shared" ref="T106:T114" si="60">((O106-H106)/H106)</f>
        <v>1.6556291390728478E-2</v>
      </c>
      <c r="U106" s="84">
        <f t="shared" ref="U106:U114" si="61">P106-I106</f>
        <v>0</v>
      </c>
      <c r="V106" s="86">
        <f t="shared" ref="V106:V114" si="62">Q106-J106</f>
        <v>4.6999999999999958E-3</v>
      </c>
    </row>
    <row r="107" spans="1:22" x14ac:dyDescent="0.25">
      <c r="A107" s="126">
        <v>90</v>
      </c>
      <c r="B107" s="62" t="s">
        <v>143</v>
      </c>
      <c r="C107" s="63" t="s">
        <v>58</v>
      </c>
      <c r="D107" s="4">
        <v>8178816336.5</v>
      </c>
      <c r="E107" s="3">
        <f t="shared" ref="E107:E113" si="63">(D107/$D$114)</f>
        <v>1.2945701373715203E-2</v>
      </c>
      <c r="F107" s="4">
        <v>85926.26</v>
      </c>
      <c r="G107" s="4">
        <v>85926.26</v>
      </c>
      <c r="H107" s="60">
        <v>550</v>
      </c>
      <c r="I107" s="5">
        <v>-5.4000000000000003E-3</v>
      </c>
      <c r="J107" s="5">
        <v>6.2199999999999998E-2</v>
      </c>
      <c r="K107" s="4">
        <v>9048391049.9699993</v>
      </c>
      <c r="L107" s="3">
        <f t="shared" si="52"/>
        <v>1.4502036466920894E-2</v>
      </c>
      <c r="M107" s="4">
        <v>94887.62</v>
      </c>
      <c r="N107" s="4">
        <v>94887.62</v>
      </c>
      <c r="O107" s="60">
        <v>553</v>
      </c>
      <c r="P107" s="5">
        <v>-4.4000000000000003E-3</v>
      </c>
      <c r="Q107" s="5">
        <v>6.2199999999999998E-2</v>
      </c>
      <c r="R107" s="84">
        <f t="shared" si="58"/>
        <v>0.10632036198065802</v>
      </c>
      <c r="S107" s="84">
        <f t="shared" si="59"/>
        <v>0.10429128417785205</v>
      </c>
      <c r="T107" s="84">
        <f t="shared" si="60"/>
        <v>5.454545454545455E-3</v>
      </c>
      <c r="U107" s="84">
        <f t="shared" si="61"/>
        <v>1E-3</v>
      </c>
      <c r="V107" s="86">
        <f t="shared" si="62"/>
        <v>0</v>
      </c>
    </row>
    <row r="108" spans="1:22" x14ac:dyDescent="0.25">
      <c r="A108" s="126">
        <v>91</v>
      </c>
      <c r="B108" s="62" t="s">
        <v>144</v>
      </c>
      <c r="C108" s="63" t="s">
        <v>56</v>
      </c>
      <c r="D108" s="4">
        <v>2867114208.346693</v>
      </c>
      <c r="E108" s="3">
        <f t="shared" si="63"/>
        <v>4.5381633256574311E-3</v>
      </c>
      <c r="F108" s="4">
        <v>928.22975697549998</v>
      </c>
      <c r="G108" s="4">
        <v>928.22975697549998</v>
      </c>
      <c r="H108" s="60">
        <v>153</v>
      </c>
      <c r="I108" s="5">
        <v>5.1241505951952884E-2</v>
      </c>
      <c r="J108" s="5">
        <v>5.8839806423626753E-2</v>
      </c>
      <c r="K108" s="4">
        <v>2944985865.061326</v>
      </c>
      <c r="L108" s="3">
        <f t="shared" si="52"/>
        <v>4.7199874733340049E-3</v>
      </c>
      <c r="M108" s="4">
        <v>953.44074744705733</v>
      </c>
      <c r="N108" s="4">
        <v>953.44074744705733</v>
      </c>
      <c r="O108" s="60">
        <v>153</v>
      </c>
      <c r="P108" s="5">
        <v>5.2777082520025866E-2</v>
      </c>
      <c r="Q108" s="5">
        <v>5.8756508726126762E-2</v>
      </c>
      <c r="R108" s="84">
        <f t="shared" si="58"/>
        <v>2.7160291169404546E-2</v>
      </c>
      <c r="S108" s="84">
        <f t="shared" si="59"/>
        <v>2.7160291169401479E-2</v>
      </c>
      <c r="T108" s="84">
        <f t="shared" si="60"/>
        <v>0</v>
      </c>
      <c r="U108" s="84">
        <f t="shared" si="61"/>
        <v>1.5355765680729813E-3</v>
      </c>
      <c r="V108" s="86">
        <f t="shared" si="62"/>
        <v>-8.329769749999133E-5</v>
      </c>
    </row>
    <row r="109" spans="1:22" x14ac:dyDescent="0.25">
      <c r="A109" s="127">
        <v>92</v>
      </c>
      <c r="B109" s="63" t="s">
        <v>145</v>
      </c>
      <c r="C109" s="131" t="s">
        <v>40</v>
      </c>
      <c r="D109" s="2">
        <v>9106937957.2299995</v>
      </c>
      <c r="E109" s="3">
        <f t="shared" si="63"/>
        <v>1.441476301370318E-2</v>
      </c>
      <c r="F109" s="4">
        <f>1.098*832.578</f>
        <v>914.17064400000004</v>
      </c>
      <c r="G109" s="4">
        <f>1.098*832.578</f>
        <v>914.17064400000004</v>
      </c>
      <c r="H109" s="60">
        <v>378</v>
      </c>
      <c r="I109" s="5">
        <v>1.5E-3</v>
      </c>
      <c r="J109" s="5">
        <v>9.1899999999999996E-2</v>
      </c>
      <c r="K109" s="2">
        <v>8464849788.9200001</v>
      </c>
      <c r="L109" s="3">
        <f t="shared" si="52"/>
        <v>1.3566783270969758E-2</v>
      </c>
      <c r="M109" s="4">
        <f>1.0217*786.98</f>
        <v>804.05746600000009</v>
      </c>
      <c r="N109" s="4">
        <f>1.0217*786.98</f>
        <v>804.05746600000009</v>
      </c>
      <c r="O109" s="60">
        <v>378</v>
      </c>
      <c r="P109" s="5">
        <v>1.5E-3</v>
      </c>
      <c r="Q109" s="5">
        <v>9.2200000000000004E-2</v>
      </c>
      <c r="R109" s="84">
        <f t="shared" si="58"/>
        <v>-7.0505385160798809E-2</v>
      </c>
      <c r="S109" s="84">
        <f t="shared" si="59"/>
        <v>-0.12045144823092782</v>
      </c>
      <c r="T109" s="84">
        <f t="shared" si="60"/>
        <v>0</v>
      </c>
      <c r="U109" s="84">
        <f t="shared" si="61"/>
        <v>0</v>
      </c>
      <c r="V109" s="86">
        <f t="shared" si="62"/>
        <v>3.0000000000000859E-4</v>
      </c>
    </row>
    <row r="110" spans="1:22" x14ac:dyDescent="0.25">
      <c r="A110" s="126">
        <v>93</v>
      </c>
      <c r="B110" s="62" t="s">
        <v>146</v>
      </c>
      <c r="C110" s="63" t="s">
        <v>80</v>
      </c>
      <c r="D110" s="4">
        <v>181541396.37920001</v>
      </c>
      <c r="E110" s="3">
        <f t="shared" si="63"/>
        <v>2.8734973470477879E-4</v>
      </c>
      <c r="F110" s="4">
        <f>0.91*832.578</f>
        <v>757.64598000000001</v>
      </c>
      <c r="G110" s="4">
        <f>0.91*832.578</f>
        <v>757.64598000000001</v>
      </c>
      <c r="H110" s="60">
        <v>3</v>
      </c>
      <c r="I110" s="5">
        <v>-2.2904999999999998E-2</v>
      </c>
      <c r="J110" s="5">
        <v>5.2257999999999999E-2</v>
      </c>
      <c r="K110" s="4">
        <v>191339703.34</v>
      </c>
      <c r="L110" s="3">
        <f t="shared" si="52"/>
        <v>3.0666395164427666E-4</v>
      </c>
      <c r="M110" s="4">
        <f>0.93*786.98</f>
        <v>731.89140000000009</v>
      </c>
      <c r="N110" s="4">
        <f>0.93*786.98</f>
        <v>731.89140000000009</v>
      </c>
      <c r="O110" s="60">
        <v>3</v>
      </c>
      <c r="P110" s="5">
        <v>2.7141999999999999E-2</v>
      </c>
      <c r="Q110" s="5">
        <v>8.0819000000000002E-2</v>
      </c>
      <c r="R110" s="84">
        <f t="shared" si="58"/>
        <v>5.3972852232189984E-2</v>
      </c>
      <c r="S110" s="84">
        <f t="shared" si="59"/>
        <v>-3.3992894676217932E-2</v>
      </c>
      <c r="T110" s="84">
        <f t="shared" si="60"/>
        <v>0</v>
      </c>
      <c r="U110" s="84">
        <f t="shared" si="61"/>
        <v>5.0046999999999994E-2</v>
      </c>
      <c r="V110" s="86">
        <f t="shared" si="62"/>
        <v>2.8561000000000003E-2</v>
      </c>
    </row>
    <row r="111" spans="1:22" x14ac:dyDescent="0.25">
      <c r="A111" s="127">
        <v>94</v>
      </c>
      <c r="B111" s="62" t="s">
        <v>147</v>
      </c>
      <c r="C111" s="63" t="s">
        <v>42</v>
      </c>
      <c r="D111" s="2">
        <v>378474578403.46002</v>
      </c>
      <c r="E111" s="3">
        <f t="shared" si="63"/>
        <v>0.59906209749303074</v>
      </c>
      <c r="F111" s="4">
        <v>1167.22</v>
      </c>
      <c r="G111" s="4">
        <v>1167.22</v>
      </c>
      <c r="H111" s="60">
        <v>9350</v>
      </c>
      <c r="I111" s="5">
        <v>1.5E-3</v>
      </c>
      <c r="J111" s="5">
        <v>5.8099999999999999E-2</v>
      </c>
      <c r="K111" s="2">
        <v>373918170876.64001</v>
      </c>
      <c r="L111" s="3">
        <f t="shared" si="52"/>
        <v>0.59928609625192653</v>
      </c>
      <c r="M111" s="4">
        <v>1142.4100000000001</v>
      </c>
      <c r="N111" s="4">
        <v>1142.4100000000001</v>
      </c>
      <c r="O111" s="60">
        <v>9428</v>
      </c>
      <c r="P111" s="5">
        <v>1.5E-3</v>
      </c>
      <c r="Q111" s="5">
        <v>5.96E-2</v>
      </c>
      <c r="R111" s="84">
        <f t="shared" si="58"/>
        <v>-1.2038873379661455E-2</v>
      </c>
      <c r="S111" s="84">
        <f t="shared" si="59"/>
        <v>-2.1255633042614026E-2</v>
      </c>
      <c r="T111" s="84">
        <f t="shared" si="60"/>
        <v>8.3422459893048133E-3</v>
      </c>
      <c r="U111" s="84">
        <f t="shared" si="61"/>
        <v>0</v>
      </c>
      <c r="V111" s="86">
        <f t="shared" si="62"/>
        <v>1.5000000000000013E-3</v>
      </c>
    </row>
    <row r="112" spans="1:22" ht="16.5" customHeight="1" x14ac:dyDescent="0.25">
      <c r="A112" s="127">
        <v>95</v>
      </c>
      <c r="B112" s="62" t="s">
        <v>148</v>
      </c>
      <c r="C112" s="63" t="s">
        <v>45</v>
      </c>
      <c r="D112" s="2">
        <v>16304607566.16</v>
      </c>
      <c r="E112" s="3">
        <f t="shared" si="63"/>
        <v>2.5807472852172025E-2</v>
      </c>
      <c r="F112" s="4">
        <v>861.62</v>
      </c>
      <c r="G112" s="4">
        <v>861.62</v>
      </c>
      <c r="H112" s="60">
        <v>115</v>
      </c>
      <c r="I112" s="5">
        <v>7.0900000000000005E-2</v>
      </c>
      <c r="J112" s="5">
        <v>8.4099999999999994E-2</v>
      </c>
      <c r="K112" s="2">
        <v>18814882553.040001</v>
      </c>
      <c r="L112" s="3">
        <f t="shared" si="52"/>
        <v>3.015498682563288E-2</v>
      </c>
      <c r="M112" s="4">
        <v>843.18200000000002</v>
      </c>
      <c r="N112" s="4">
        <v>843.18200000000002</v>
      </c>
      <c r="O112" s="60">
        <v>117</v>
      </c>
      <c r="P112" s="5">
        <v>7.0800000000000002E-2</v>
      </c>
      <c r="Q112" s="5">
        <v>8.3799999999999999E-2</v>
      </c>
      <c r="R112" s="84">
        <f t="shared" si="58"/>
        <v>0.15396107981709686</v>
      </c>
      <c r="S112" s="84">
        <f t="shared" si="59"/>
        <v>-2.13992247162322E-2</v>
      </c>
      <c r="T112" s="84">
        <f t="shared" si="60"/>
        <v>1.7391304347826087E-2</v>
      </c>
      <c r="U112" s="84">
        <f t="shared" si="61"/>
        <v>-1.0000000000000286E-4</v>
      </c>
      <c r="V112" s="86">
        <f t="shared" si="62"/>
        <v>-2.9999999999999472E-4</v>
      </c>
    </row>
    <row r="113" spans="1:22" x14ac:dyDescent="0.25">
      <c r="A113" s="126">
        <v>96</v>
      </c>
      <c r="B113" s="62" t="s">
        <v>149</v>
      </c>
      <c r="C113" s="63" t="s">
        <v>32</v>
      </c>
      <c r="D113" s="4">
        <v>18777230837.963509</v>
      </c>
      <c r="E113" s="3">
        <f t="shared" si="63"/>
        <v>2.9721222858223022E-2</v>
      </c>
      <c r="F113" s="4">
        <f>1.1119*832.578</f>
        <v>925.74347820000003</v>
      </c>
      <c r="G113" s="4">
        <f>1.1119*832.578</f>
        <v>925.74347820000003</v>
      </c>
      <c r="H113" s="60">
        <v>906</v>
      </c>
      <c r="I113" s="5">
        <v>8.1008100810087136E-4</v>
      </c>
      <c r="J113" s="5">
        <v>5.7341194370483128E-2</v>
      </c>
      <c r="K113" s="4">
        <v>19107766046.333313</v>
      </c>
      <c r="L113" s="3">
        <f t="shared" si="52"/>
        <v>3.0624397030921572E-2</v>
      </c>
      <c r="M113" s="4">
        <f>1.1129*755.27</f>
        <v>840.53998300000001</v>
      </c>
      <c r="N113" s="4">
        <f>1.1129*755.27</f>
        <v>840.53998300000001</v>
      </c>
      <c r="O113" s="60">
        <v>933</v>
      </c>
      <c r="P113" s="5">
        <v>8.9936145336810824E-4</v>
      </c>
      <c r="Q113" s="5">
        <v>5.8292126283757906E-2</v>
      </c>
      <c r="R113" s="84">
        <f t="shared" si="58"/>
        <v>1.7602979439414117E-2</v>
      </c>
      <c r="S113" s="84">
        <f t="shared" si="59"/>
        <v>-9.203791029202632E-2</v>
      </c>
      <c r="T113" s="84">
        <f t="shared" si="60"/>
        <v>2.9801324503311258E-2</v>
      </c>
      <c r="U113" s="84">
        <f t="shared" si="61"/>
        <v>8.9280445267236885E-5</v>
      </c>
      <c r="V113" s="86">
        <f t="shared" si="62"/>
        <v>9.5093191327477733E-4</v>
      </c>
    </row>
    <row r="114" spans="1:22" x14ac:dyDescent="0.25">
      <c r="A114" s="78"/>
      <c r="B114" s="19"/>
      <c r="C114" s="69" t="s">
        <v>46</v>
      </c>
      <c r="D114" s="59">
        <f>SUM(D92:D113)</f>
        <v>631778541802.7771</v>
      </c>
      <c r="E114" s="116">
        <f>(D114/$D$172)</f>
        <v>0.31554372412772425</v>
      </c>
      <c r="F114" s="30"/>
      <c r="G114" s="11"/>
      <c r="H114" s="68">
        <f>SUM(H92:H113)</f>
        <v>17764</v>
      </c>
      <c r="I114" s="33"/>
      <c r="J114" s="33"/>
      <c r="K114" s="59">
        <f>SUM(K92:K113)</f>
        <v>623939339182.42139</v>
      </c>
      <c r="L114" s="116">
        <f>(K114/$K$172)</f>
        <v>0.31321432667277505</v>
      </c>
      <c r="M114" s="30"/>
      <c r="N114" s="11"/>
      <c r="O114" s="68">
        <f>SUM(O92:O113)</f>
        <v>17904</v>
      </c>
      <c r="P114" s="33"/>
      <c r="Q114" s="33"/>
      <c r="R114" s="84">
        <f t="shared" si="58"/>
        <v>-1.2408149536048794E-2</v>
      </c>
      <c r="S114" s="84" t="e">
        <f t="shared" si="59"/>
        <v>#DIV/0!</v>
      </c>
      <c r="T114" s="84">
        <f t="shared" si="60"/>
        <v>7.8811078585904071E-3</v>
      </c>
      <c r="U114" s="84">
        <f t="shared" si="61"/>
        <v>0</v>
      </c>
      <c r="V114" s="86">
        <f t="shared" si="62"/>
        <v>0</v>
      </c>
    </row>
    <row r="115" spans="1:22" ht="8.25" customHeight="1" x14ac:dyDescent="0.25">
      <c r="A115" s="135"/>
      <c r="B115" s="135"/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</row>
    <row r="116" spans="1:22" ht="15.75" x14ac:dyDescent="0.25">
      <c r="A116" s="142" t="s">
        <v>150</v>
      </c>
      <c r="B116" s="142"/>
      <c r="C116" s="142"/>
      <c r="D116" s="142"/>
      <c r="E116" s="142"/>
      <c r="F116" s="142"/>
      <c r="G116" s="142"/>
      <c r="H116" s="142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</row>
    <row r="117" spans="1:22" x14ac:dyDescent="0.25">
      <c r="A117" s="127">
        <v>97</v>
      </c>
      <c r="B117" s="62" t="s">
        <v>151</v>
      </c>
      <c r="C117" s="63" t="s">
        <v>40</v>
      </c>
      <c r="D117" s="2">
        <v>54330953714</v>
      </c>
      <c r="E117" s="3">
        <f>(D117/$D$121)</f>
        <v>0.58375496560837681</v>
      </c>
      <c r="F117" s="14">
        <v>101.48</v>
      </c>
      <c r="G117" s="14">
        <v>101.48</v>
      </c>
      <c r="H117" s="60">
        <v>0</v>
      </c>
      <c r="I117" s="5">
        <v>0</v>
      </c>
      <c r="J117" s="5">
        <v>7.6999999999999999E-2</v>
      </c>
      <c r="K117" s="2">
        <v>54330953714</v>
      </c>
      <c r="L117" s="3">
        <f>(K117/$K$121)</f>
        <v>0.58343800640134202</v>
      </c>
      <c r="M117" s="14">
        <v>101.33</v>
      </c>
      <c r="N117" s="14">
        <v>101.33</v>
      </c>
      <c r="O117" s="60">
        <v>675</v>
      </c>
      <c r="P117" s="5">
        <v>0</v>
      </c>
      <c r="Q117" s="5">
        <v>7.6999999999999999E-2</v>
      </c>
      <c r="R117" s="84">
        <f t="shared" ref="R117" si="64">((K117-D117)/D117)</f>
        <v>0</v>
      </c>
      <c r="S117" s="84">
        <f t="shared" ref="S117" si="65">((N117-G117)/G117)</f>
        <v>-1.4781237682302492E-3</v>
      </c>
      <c r="T117" s="84" t="e">
        <f t="shared" ref="T117" si="66">((O117-H117)/H117)</f>
        <v>#DIV/0!</v>
      </c>
      <c r="U117" s="84">
        <f t="shared" ref="U117" si="67">P117-I117</f>
        <v>0</v>
      </c>
      <c r="V117" s="86">
        <f t="shared" ref="V117" si="68">Q117-J117</f>
        <v>0</v>
      </c>
    </row>
    <row r="118" spans="1:22" ht="17.25" customHeight="1" x14ac:dyDescent="0.25">
      <c r="A118" s="126">
        <v>98</v>
      </c>
      <c r="B118" s="62" t="s">
        <v>152</v>
      </c>
      <c r="C118" s="63" t="s">
        <v>120</v>
      </c>
      <c r="D118" s="2">
        <v>2327876160.5700002</v>
      </c>
      <c r="E118" s="3">
        <f>(D118/$D$121)</f>
        <v>2.5011695454628783E-2</v>
      </c>
      <c r="F118" s="14">
        <v>92.15</v>
      </c>
      <c r="G118" s="14">
        <v>92.15</v>
      </c>
      <c r="H118" s="60">
        <v>2743</v>
      </c>
      <c r="I118" s="5">
        <v>7.2599999999999998E-2</v>
      </c>
      <c r="J118" s="5">
        <v>0.1217</v>
      </c>
      <c r="K118" s="2">
        <v>2329159236.73</v>
      </c>
      <c r="L118" s="3">
        <f>(K118/$K$121)</f>
        <v>2.5011893382590415E-2</v>
      </c>
      <c r="M118" s="14">
        <v>92.15</v>
      </c>
      <c r="N118" s="14">
        <v>92.15</v>
      </c>
      <c r="O118" s="60">
        <v>2743</v>
      </c>
      <c r="P118" s="5">
        <v>2.7E-2</v>
      </c>
      <c r="Q118" s="5">
        <v>0.1196</v>
      </c>
      <c r="R118" s="84">
        <f t="shared" ref="R118:R121" si="69">((K118-D118)/D118)</f>
        <v>5.5117887357275714E-4</v>
      </c>
      <c r="S118" s="84">
        <f t="shared" ref="S118:S121" si="70">((N118-G118)/G118)</f>
        <v>0</v>
      </c>
      <c r="T118" s="84">
        <f t="shared" ref="T118:T121" si="71">((O118-H118)/H118)</f>
        <v>0</v>
      </c>
      <c r="U118" s="84">
        <f t="shared" ref="U118:U121" si="72">P118-I118</f>
        <v>-4.5600000000000002E-2</v>
      </c>
      <c r="V118" s="86">
        <f t="shared" ref="V118:V121" si="73">Q118-J118</f>
        <v>-2.1000000000000046E-3</v>
      </c>
    </row>
    <row r="119" spans="1:22" x14ac:dyDescent="0.25">
      <c r="A119" s="126">
        <v>99</v>
      </c>
      <c r="B119" s="62" t="s">
        <v>153</v>
      </c>
      <c r="C119" s="63" t="s">
        <v>120</v>
      </c>
      <c r="D119" s="2">
        <v>10075480881.08</v>
      </c>
      <c r="E119" s="3">
        <f>(D119/$D$121)</f>
        <v>0.10825526874024188</v>
      </c>
      <c r="F119" s="14">
        <v>36.6</v>
      </c>
      <c r="G119" s="14">
        <v>36.6</v>
      </c>
      <c r="H119" s="60">
        <v>5264</v>
      </c>
      <c r="I119" s="5">
        <v>0.1409</v>
      </c>
      <c r="J119" s="5">
        <v>0.16950000000000001</v>
      </c>
      <c r="K119" s="2">
        <v>10085740102.620001</v>
      </c>
      <c r="L119" s="3">
        <f>(K119/$K$121)</f>
        <v>0.10830665939586455</v>
      </c>
      <c r="M119" s="14">
        <v>36.6</v>
      </c>
      <c r="N119" s="14">
        <v>36.6</v>
      </c>
      <c r="O119" s="60">
        <v>5264</v>
      </c>
      <c r="P119" s="5">
        <v>4.6800000000000001E-2</v>
      </c>
      <c r="Q119" s="5">
        <v>0.16869999999999999</v>
      </c>
      <c r="R119" s="84">
        <f t="shared" si="69"/>
        <v>1.0182364158187178E-3</v>
      </c>
      <c r="S119" s="84">
        <f t="shared" si="70"/>
        <v>0</v>
      </c>
      <c r="T119" s="84">
        <f t="shared" si="71"/>
        <v>0</v>
      </c>
      <c r="U119" s="84">
        <f t="shared" si="72"/>
        <v>-9.4099999999999989E-2</v>
      </c>
      <c r="V119" s="86">
        <f t="shared" si="73"/>
        <v>-8.0000000000002292E-4</v>
      </c>
    </row>
    <row r="120" spans="1:22" x14ac:dyDescent="0.25">
      <c r="A120" s="127">
        <v>100</v>
      </c>
      <c r="B120" s="62" t="s">
        <v>154</v>
      </c>
      <c r="C120" s="63" t="s">
        <v>42</v>
      </c>
      <c r="D120" s="2">
        <v>26337195124.18</v>
      </c>
      <c r="E120" s="3">
        <f>(D120/$D$121)</f>
        <v>0.28297807019675253</v>
      </c>
      <c r="F120" s="14">
        <v>3.7</v>
      </c>
      <c r="G120" s="14">
        <v>3.7</v>
      </c>
      <c r="H120" s="60">
        <v>208853</v>
      </c>
      <c r="I120" s="5">
        <v>4.2299999999999997E-2</v>
      </c>
      <c r="J120" s="5">
        <v>0.23330000000000001</v>
      </c>
      <c r="K120" s="2">
        <v>26376214960.549999</v>
      </c>
      <c r="L120" s="3">
        <f>(K120/$K$121)</f>
        <v>0.28324344082020292</v>
      </c>
      <c r="M120" s="14">
        <v>3.7</v>
      </c>
      <c r="N120" s="14">
        <v>3.7</v>
      </c>
      <c r="O120" s="60">
        <v>208853</v>
      </c>
      <c r="P120" s="5">
        <v>0</v>
      </c>
      <c r="Q120" s="5">
        <v>0.23330000000000001</v>
      </c>
      <c r="R120" s="84">
        <f t="shared" si="69"/>
        <v>1.4815486685662697E-3</v>
      </c>
      <c r="S120" s="84">
        <f t="shared" si="70"/>
        <v>0</v>
      </c>
      <c r="T120" s="84">
        <f t="shared" si="71"/>
        <v>0</v>
      </c>
      <c r="U120" s="84">
        <f t="shared" si="72"/>
        <v>-4.2299999999999997E-2</v>
      </c>
      <c r="V120" s="86">
        <f t="shared" si="73"/>
        <v>0</v>
      </c>
    </row>
    <row r="121" spans="1:22" x14ac:dyDescent="0.25">
      <c r="A121" s="78"/>
      <c r="B121" s="19"/>
      <c r="C121" s="74" t="s">
        <v>46</v>
      </c>
      <c r="D121" s="58">
        <f>SUM(D117:D120)</f>
        <v>93071505879.830002</v>
      </c>
      <c r="E121" s="116">
        <f>(D121/$D$172)</f>
        <v>4.6484848142665819E-2</v>
      </c>
      <c r="F121" s="30"/>
      <c r="G121" s="34"/>
      <c r="H121" s="68">
        <f>SUM(H117:H120)</f>
        <v>216860</v>
      </c>
      <c r="I121" s="35"/>
      <c r="J121" s="35"/>
      <c r="K121" s="58">
        <f>SUM(K117:K120)</f>
        <v>93122068013.900009</v>
      </c>
      <c r="L121" s="116">
        <f>(K121/$K$172)</f>
        <v>4.6746797324190577E-2</v>
      </c>
      <c r="M121" s="30"/>
      <c r="N121" s="34"/>
      <c r="O121" s="68">
        <f>SUM(O117:O120)</f>
        <v>217535</v>
      </c>
      <c r="P121" s="35"/>
      <c r="Q121" s="35"/>
      <c r="R121" s="84">
        <f t="shared" si="69"/>
        <v>5.432611580959162E-4</v>
      </c>
      <c r="S121" s="84" t="e">
        <f t="shared" si="70"/>
        <v>#DIV/0!</v>
      </c>
      <c r="T121" s="84">
        <f t="shared" si="71"/>
        <v>3.1126072120261921E-3</v>
      </c>
      <c r="U121" s="84">
        <f t="shared" si="72"/>
        <v>0</v>
      </c>
      <c r="V121" s="86">
        <f t="shared" si="73"/>
        <v>0</v>
      </c>
    </row>
    <row r="122" spans="1:22" ht="7.5" customHeight="1" x14ac:dyDescent="0.25">
      <c r="A122" s="135"/>
      <c r="B122" s="135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</row>
    <row r="123" spans="1:22" ht="15" customHeight="1" x14ac:dyDescent="0.25">
      <c r="A123" s="142" t="s">
        <v>155</v>
      </c>
      <c r="B123" s="142"/>
      <c r="C123" s="142"/>
      <c r="D123" s="142"/>
      <c r="E123" s="142"/>
      <c r="F123" s="142"/>
      <c r="G123" s="142"/>
      <c r="H123" s="142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</row>
    <row r="124" spans="1:22" x14ac:dyDescent="0.25">
      <c r="A124" s="126">
        <v>101</v>
      </c>
      <c r="B124" s="62" t="s">
        <v>156</v>
      </c>
      <c r="C124" s="63" t="s">
        <v>50</v>
      </c>
      <c r="D124" s="4">
        <v>207796892.99000001</v>
      </c>
      <c r="E124" s="3">
        <f t="shared" ref="E124:E147" si="74">(D124/$D$148)</f>
        <v>5.3110036057995467E-3</v>
      </c>
      <c r="F124" s="4">
        <v>4.6500000000000004</v>
      </c>
      <c r="G124" s="4">
        <v>4.74</v>
      </c>
      <c r="H124" s="64">
        <v>11817</v>
      </c>
      <c r="I124" s="6">
        <v>7.0010000000000003E-3</v>
      </c>
      <c r="J124" s="6">
        <v>0.236564</v>
      </c>
      <c r="K124" s="4">
        <v>207368883.09</v>
      </c>
      <c r="L124" s="16">
        <f t="shared" ref="L124:L139" si="75">(K124/$K$148)</f>
        <v>5.3014905208515995E-3</v>
      </c>
      <c r="M124" s="4">
        <v>4.6399999999999997</v>
      </c>
      <c r="N124" s="4">
        <v>4.7300000000000004</v>
      </c>
      <c r="O124" s="64">
        <v>11815</v>
      </c>
      <c r="P124" s="6">
        <v>-1.89E-3</v>
      </c>
      <c r="Q124" s="6">
        <v>0.23467399999999999</v>
      </c>
      <c r="R124" s="84">
        <f t="shared" ref="R124" si="76">((K124-D124)/D124)</f>
        <v>-2.0597512014802043E-3</v>
      </c>
      <c r="S124" s="84">
        <f t="shared" ref="S124" si="77">((N124-G124)/G124)</f>
        <v>-2.1097046413501657E-3</v>
      </c>
      <c r="T124" s="84">
        <f t="shared" ref="T124" si="78">((O124-H124)/H124)</f>
        <v>-1.6924769400016924E-4</v>
      </c>
      <c r="U124" s="84">
        <f t="shared" ref="U124" si="79">P124-I124</f>
        <v>-8.8909999999999996E-3</v>
      </c>
      <c r="V124" s="86">
        <f t="shared" ref="V124" si="80">Q124-J124</f>
        <v>-1.8900000000000028E-3</v>
      </c>
    </row>
    <row r="125" spans="1:22" x14ac:dyDescent="0.25">
      <c r="A125" s="127">
        <v>102</v>
      </c>
      <c r="B125" s="62" t="s">
        <v>157</v>
      </c>
      <c r="C125" s="63" t="s">
        <v>21</v>
      </c>
      <c r="D125" s="4">
        <v>5960712992.4899998</v>
      </c>
      <c r="E125" s="3">
        <f t="shared" si="74"/>
        <v>0.15234764938364151</v>
      </c>
      <c r="F125" s="4">
        <v>636.96860000000004</v>
      </c>
      <c r="G125" s="4">
        <v>656.17359999999996</v>
      </c>
      <c r="H125" s="64">
        <v>21185</v>
      </c>
      <c r="I125" s="6">
        <v>-0.13400000000000001</v>
      </c>
      <c r="J125" s="6">
        <v>0.26150000000000001</v>
      </c>
      <c r="K125" s="4">
        <v>5964166101.7799997</v>
      </c>
      <c r="L125" s="16">
        <f t="shared" si="75"/>
        <v>0.15247692702114896</v>
      </c>
      <c r="M125" s="4">
        <v>636.96860000000004</v>
      </c>
      <c r="N125" s="4">
        <v>656.17359999999996</v>
      </c>
      <c r="O125" s="64">
        <v>21185</v>
      </c>
      <c r="P125" s="6">
        <v>-0.13400000000000001</v>
      </c>
      <c r="Q125" s="6">
        <v>0.26150000000000001</v>
      </c>
      <c r="R125" s="84">
        <f t="shared" ref="R125:R148" si="81">((K125-D125)/D125)</f>
        <v>5.7931145055140066E-4</v>
      </c>
      <c r="S125" s="84">
        <f t="shared" ref="S125:S148" si="82">((N125-G125)/G125)</f>
        <v>0</v>
      </c>
      <c r="T125" s="84">
        <f t="shared" ref="T125:T148" si="83">((O125-H125)/H125)</f>
        <v>0</v>
      </c>
      <c r="U125" s="84">
        <f t="shared" ref="U125:U148" si="84">P125-I125</f>
        <v>0</v>
      </c>
      <c r="V125" s="86">
        <f t="shared" ref="V125:V148" si="85">Q125-J125</f>
        <v>0</v>
      </c>
    </row>
    <row r="126" spans="1:22" x14ac:dyDescent="0.25">
      <c r="A126" s="125">
        <v>103</v>
      </c>
      <c r="B126" s="62" t="s">
        <v>158</v>
      </c>
      <c r="C126" s="63" t="s">
        <v>91</v>
      </c>
      <c r="D126" s="4">
        <v>3235736465.3000002</v>
      </c>
      <c r="E126" s="3">
        <f t="shared" si="74"/>
        <v>8.2700986464953496E-2</v>
      </c>
      <c r="F126" s="4">
        <v>18.1388</v>
      </c>
      <c r="G126" s="4">
        <v>18.346</v>
      </c>
      <c r="H126" s="60">
        <v>6276</v>
      </c>
      <c r="I126" s="5">
        <v>9.4999999999999998E-3</v>
      </c>
      <c r="J126" s="5">
        <v>0.30919999999999997</v>
      </c>
      <c r="K126" s="4">
        <v>3231369832.75</v>
      </c>
      <c r="L126" s="16">
        <f t="shared" si="75"/>
        <v>8.2611606343343705E-2</v>
      </c>
      <c r="M126" s="4">
        <v>18.037500000000001</v>
      </c>
      <c r="N126" s="4">
        <v>18.242599999999999</v>
      </c>
      <c r="O126" s="60">
        <v>6278</v>
      </c>
      <c r="P126" s="5">
        <v>4.8999999999999998E-3</v>
      </c>
      <c r="Q126" s="5">
        <v>0.30180000000000001</v>
      </c>
      <c r="R126" s="84">
        <f t="shared" si="81"/>
        <v>-1.3495019130352261E-3</v>
      </c>
      <c r="S126" s="84">
        <f t="shared" si="82"/>
        <v>-5.6361059631527639E-3</v>
      </c>
      <c r="T126" s="84">
        <f t="shared" si="83"/>
        <v>3.1867431485022306E-4</v>
      </c>
      <c r="U126" s="84">
        <f t="shared" si="84"/>
        <v>-4.5999999999999999E-3</v>
      </c>
      <c r="V126" s="86">
        <f t="shared" si="85"/>
        <v>-7.3999999999999622E-3</v>
      </c>
    </row>
    <row r="127" spans="1:22" x14ac:dyDescent="0.25">
      <c r="A127" s="133">
        <v>104</v>
      </c>
      <c r="B127" s="62" t="s">
        <v>159</v>
      </c>
      <c r="C127" s="63" t="s">
        <v>101</v>
      </c>
      <c r="D127" s="2">
        <v>1197703174.8599999</v>
      </c>
      <c r="E127" s="3">
        <f t="shared" si="74"/>
        <v>3.061165058259625E-2</v>
      </c>
      <c r="F127" s="4">
        <v>2.8012000000000001</v>
      </c>
      <c r="G127" s="4">
        <v>2.8691</v>
      </c>
      <c r="H127" s="60">
        <v>2755</v>
      </c>
      <c r="I127" s="5">
        <v>0.133008196639475</v>
      </c>
      <c r="J127" s="5">
        <v>0.272654763491045</v>
      </c>
      <c r="K127" s="2">
        <v>1195903116.98</v>
      </c>
      <c r="L127" s="16">
        <f t="shared" si="75"/>
        <v>3.0573868866211249E-2</v>
      </c>
      <c r="M127" s="4">
        <v>2.7970000000000002</v>
      </c>
      <c r="N127" s="4">
        <v>2.8645999999999998</v>
      </c>
      <c r="O127" s="60">
        <v>2754</v>
      </c>
      <c r="P127" s="5">
        <v>5.10168425466433E-2</v>
      </c>
      <c r="Q127" s="5">
        <v>0.26396689182491501</v>
      </c>
      <c r="R127" s="84">
        <f t="shared" si="81"/>
        <v>-1.502924863007302E-3</v>
      </c>
      <c r="S127" s="84">
        <f t="shared" si="82"/>
        <v>-1.5684360949427243E-3</v>
      </c>
      <c r="T127" s="84">
        <f t="shared" si="83"/>
        <v>-3.6297640653357529E-4</v>
      </c>
      <c r="U127" s="84">
        <f t="shared" si="84"/>
        <v>-8.1991354092831703E-2</v>
      </c>
      <c r="V127" s="86">
        <f t="shared" si="85"/>
        <v>-8.6878716661299982E-3</v>
      </c>
    </row>
    <row r="128" spans="1:22" x14ac:dyDescent="0.25">
      <c r="A128" s="126">
        <v>105</v>
      </c>
      <c r="B128" s="62" t="s">
        <v>160</v>
      </c>
      <c r="C128" s="63" t="s">
        <v>56</v>
      </c>
      <c r="D128" s="2">
        <v>2836453596.4534101</v>
      </c>
      <c r="E128" s="3">
        <f t="shared" si="74"/>
        <v>7.2495863925992915E-2</v>
      </c>
      <c r="F128" s="4">
        <v>5329.5399338282896</v>
      </c>
      <c r="G128" s="4">
        <v>5369.6445467182502</v>
      </c>
      <c r="H128" s="60">
        <v>842</v>
      </c>
      <c r="I128" s="5">
        <v>0.45913002197299413</v>
      </c>
      <c r="J128" s="5">
        <v>0.33204335034968002</v>
      </c>
      <c r="K128" s="2">
        <v>2829522840.98634</v>
      </c>
      <c r="L128" s="16">
        <f t="shared" si="75"/>
        <v>7.2338184478293835E-2</v>
      </c>
      <c r="M128" s="4">
        <v>5316.7865657396296</v>
      </c>
      <c r="N128" s="4">
        <v>5356.2708992559701</v>
      </c>
      <c r="O128" s="60">
        <v>842</v>
      </c>
      <c r="P128" s="5">
        <v>-0.12477569519956509</v>
      </c>
      <c r="Q128" s="5">
        <v>0.32060821318927313</v>
      </c>
      <c r="R128" s="84">
        <f t="shared" si="81"/>
        <v>-2.4434580829159505E-3</v>
      </c>
      <c r="S128" s="84">
        <f t="shared" si="82"/>
        <v>-2.4906020027812949E-3</v>
      </c>
      <c r="T128" s="84">
        <f t="shared" si="83"/>
        <v>0</v>
      </c>
      <c r="U128" s="84">
        <f t="shared" si="84"/>
        <v>-0.58390571717255924</v>
      </c>
      <c r="V128" s="86">
        <f t="shared" si="85"/>
        <v>-1.1435137160406894E-2</v>
      </c>
    </row>
    <row r="129" spans="1:24" x14ac:dyDescent="0.25">
      <c r="A129" s="126">
        <v>106</v>
      </c>
      <c r="B129" s="62" t="s">
        <v>161</v>
      </c>
      <c r="C129" s="63" t="s">
        <v>58</v>
      </c>
      <c r="D129" s="4">
        <v>421871585.77999997</v>
      </c>
      <c r="E129" s="3">
        <f t="shared" si="74"/>
        <v>1.0782459164920127E-2</v>
      </c>
      <c r="F129" s="4">
        <v>156.99</v>
      </c>
      <c r="G129" s="4">
        <v>157.97999999999999</v>
      </c>
      <c r="H129" s="60">
        <v>620</v>
      </c>
      <c r="I129" s="5">
        <v>6.1999999999999998E-3</v>
      </c>
      <c r="J129" s="5">
        <v>0.2243</v>
      </c>
      <c r="K129" s="4">
        <v>423820045.58999997</v>
      </c>
      <c r="L129" s="16">
        <f t="shared" si="75"/>
        <v>1.0835174114657847E-2</v>
      </c>
      <c r="M129" s="4">
        <v>157.34</v>
      </c>
      <c r="N129" s="4">
        <v>158.33000000000001</v>
      </c>
      <c r="O129" s="60">
        <v>622</v>
      </c>
      <c r="P129" s="5">
        <v>8.5000000000000006E-3</v>
      </c>
      <c r="Q129" s="5">
        <v>0.22689999999999999</v>
      </c>
      <c r="R129" s="84">
        <f t="shared" si="81"/>
        <v>4.6186087797249666E-3</v>
      </c>
      <c r="S129" s="84">
        <f t="shared" si="82"/>
        <v>2.2154703126979541E-3</v>
      </c>
      <c r="T129" s="84">
        <f t="shared" si="83"/>
        <v>3.2258064516129032E-3</v>
      </c>
      <c r="U129" s="84">
        <f t="shared" si="84"/>
        <v>2.3000000000000008E-3</v>
      </c>
      <c r="V129" s="86">
        <f t="shared" si="85"/>
        <v>2.5999999999999912E-3</v>
      </c>
    </row>
    <row r="130" spans="1:24" x14ac:dyDescent="0.25">
      <c r="A130" s="130">
        <v>107</v>
      </c>
      <c r="B130" s="62" t="s">
        <v>162</v>
      </c>
      <c r="C130" s="63" t="s">
        <v>60</v>
      </c>
      <c r="D130" s="4">
        <v>3734808.11</v>
      </c>
      <c r="E130" s="3">
        <f t="shared" si="74"/>
        <v>9.5456573261343006E-5</v>
      </c>
      <c r="F130" s="4">
        <v>102.747</v>
      </c>
      <c r="G130" s="4">
        <v>102.99</v>
      </c>
      <c r="H130" s="60">
        <v>0</v>
      </c>
      <c r="I130" s="5">
        <v>0</v>
      </c>
      <c r="J130" s="5">
        <v>0</v>
      </c>
      <c r="K130" s="4">
        <v>3734808.11</v>
      </c>
      <c r="L130" s="16">
        <f t="shared" si="75"/>
        <v>9.5482260874073732E-5</v>
      </c>
      <c r="M130" s="4">
        <v>102.747</v>
      </c>
      <c r="N130" s="4">
        <v>102.99</v>
      </c>
      <c r="O130" s="60">
        <v>0</v>
      </c>
      <c r="P130" s="5">
        <v>0</v>
      </c>
      <c r="Q130" s="5">
        <v>0</v>
      </c>
      <c r="R130" s="84">
        <f t="shared" si="81"/>
        <v>0</v>
      </c>
      <c r="S130" s="84">
        <f t="shared" si="82"/>
        <v>0</v>
      </c>
      <c r="T130" s="84" t="e">
        <f t="shared" si="83"/>
        <v>#DIV/0!</v>
      </c>
      <c r="U130" s="84">
        <f t="shared" si="84"/>
        <v>0</v>
      </c>
      <c r="V130" s="86">
        <f t="shared" si="85"/>
        <v>0</v>
      </c>
    </row>
    <row r="131" spans="1:24" x14ac:dyDescent="0.25">
      <c r="A131" s="130">
        <v>108</v>
      </c>
      <c r="B131" s="62" t="s">
        <v>163</v>
      </c>
      <c r="C131" s="63" t="s">
        <v>105</v>
      </c>
      <c r="D131" s="4">
        <v>160885429.80000001</v>
      </c>
      <c r="E131" s="3">
        <f t="shared" si="74"/>
        <v>4.1120109424808869E-3</v>
      </c>
      <c r="F131" s="4">
        <v>1.4389000000000001</v>
      </c>
      <c r="G131" s="4">
        <v>1.4523999999999999</v>
      </c>
      <c r="H131" s="60">
        <v>0</v>
      </c>
      <c r="I131" s="5">
        <v>3.4760845383763339E-4</v>
      </c>
      <c r="J131" s="5">
        <v>0.19788544788544793</v>
      </c>
      <c r="K131" s="4">
        <v>160317629.5</v>
      </c>
      <c r="L131" s="16">
        <f t="shared" si="75"/>
        <v>4.0986013931066725E-3</v>
      </c>
      <c r="M131" s="4">
        <v>1.4228000000000001</v>
      </c>
      <c r="N131" s="4">
        <v>1.4360999999999999</v>
      </c>
      <c r="O131" s="60">
        <v>259</v>
      </c>
      <c r="P131" s="5">
        <v>-1.1189102786851035E-2</v>
      </c>
      <c r="Q131" s="5">
        <v>0.18448218448218445</v>
      </c>
      <c r="R131" s="84">
        <f t="shared" si="81"/>
        <v>-3.5292213888221957E-3</v>
      </c>
      <c r="S131" s="84">
        <f t="shared" si="82"/>
        <v>-1.1222803635362147E-2</v>
      </c>
      <c r="T131" s="84" t="e">
        <f t="shared" si="83"/>
        <v>#DIV/0!</v>
      </c>
      <c r="U131" s="84">
        <f t="shared" si="84"/>
        <v>-1.1536711240688668E-2</v>
      </c>
      <c r="V131" s="86">
        <f t="shared" si="85"/>
        <v>-1.3403263403263477E-2</v>
      </c>
    </row>
    <row r="132" spans="1:24" x14ac:dyDescent="0.25">
      <c r="A132" s="127">
        <v>109</v>
      </c>
      <c r="B132" s="62" t="s">
        <v>164</v>
      </c>
      <c r="C132" s="63" t="s">
        <v>25</v>
      </c>
      <c r="D132" s="9">
        <v>113422996.23999999</v>
      </c>
      <c r="E132" s="3">
        <f t="shared" si="74"/>
        <v>2.8989362321226704E-3</v>
      </c>
      <c r="F132" s="4">
        <v>121.89449999999999</v>
      </c>
      <c r="G132" s="4">
        <v>122.39400000000001</v>
      </c>
      <c r="H132" s="60">
        <v>70</v>
      </c>
      <c r="I132" s="5">
        <v>6.4300000000000002E-4</v>
      </c>
      <c r="J132" s="5">
        <v>0.17680000000000001</v>
      </c>
      <c r="K132" s="9">
        <v>113486809.86</v>
      </c>
      <c r="L132" s="16">
        <f t="shared" si="75"/>
        <v>2.9013477709351238E-3</v>
      </c>
      <c r="M132" s="4">
        <v>122.0394</v>
      </c>
      <c r="N132" s="4">
        <v>122.539</v>
      </c>
      <c r="O132" s="60">
        <v>70</v>
      </c>
      <c r="P132" s="5">
        <v>1.8799999999999999E-4</v>
      </c>
      <c r="Q132" s="5">
        <v>0.1782</v>
      </c>
      <c r="R132" s="84">
        <f t="shared" si="81"/>
        <v>5.6261624287350749E-4</v>
      </c>
      <c r="S132" s="84">
        <f t="shared" si="82"/>
        <v>1.1846985963363892E-3</v>
      </c>
      <c r="T132" s="84">
        <f t="shared" si="83"/>
        <v>0</v>
      </c>
      <c r="U132" s="84">
        <f t="shared" si="84"/>
        <v>-4.55E-4</v>
      </c>
      <c r="V132" s="86">
        <f t="shared" si="85"/>
        <v>1.3999999999999846E-3</v>
      </c>
    </row>
    <row r="133" spans="1:24" x14ac:dyDescent="0.25">
      <c r="A133" s="126">
        <v>110</v>
      </c>
      <c r="B133" s="62" t="s">
        <v>165</v>
      </c>
      <c r="C133" s="63" t="s">
        <v>64</v>
      </c>
      <c r="D133" s="9">
        <v>179482515.41</v>
      </c>
      <c r="E133" s="3">
        <f t="shared" si="74"/>
        <v>4.5873269460595632E-3</v>
      </c>
      <c r="F133" s="4">
        <v>113.52</v>
      </c>
      <c r="G133" s="4">
        <v>115.69</v>
      </c>
      <c r="H133" s="60">
        <v>28</v>
      </c>
      <c r="I133" s="5">
        <v>-2.9999999999999997E-4</v>
      </c>
      <c r="J133" s="5">
        <v>0.1022</v>
      </c>
      <c r="K133" s="9">
        <v>179730012.25</v>
      </c>
      <c r="L133" s="16">
        <f t="shared" si="75"/>
        <v>4.5948887897630077E-3</v>
      </c>
      <c r="M133" s="4">
        <v>113.68</v>
      </c>
      <c r="N133" s="4">
        <v>115.93</v>
      </c>
      <c r="O133" s="60">
        <v>28</v>
      </c>
      <c r="P133" s="5">
        <v>1.9E-3</v>
      </c>
      <c r="Q133" s="5">
        <v>0.1041</v>
      </c>
      <c r="R133" s="84">
        <f t="shared" si="81"/>
        <v>1.3789467984368026E-3</v>
      </c>
      <c r="S133" s="84">
        <f t="shared" si="82"/>
        <v>2.0745094649495125E-3</v>
      </c>
      <c r="T133" s="84">
        <f t="shared" si="83"/>
        <v>0</v>
      </c>
      <c r="U133" s="84">
        <f t="shared" si="84"/>
        <v>2.2000000000000001E-3</v>
      </c>
      <c r="V133" s="86">
        <f t="shared" si="85"/>
        <v>1.8999999999999989E-3</v>
      </c>
    </row>
    <row r="134" spans="1:24" ht="15.75" customHeight="1" x14ac:dyDescent="0.25">
      <c r="A134" s="127">
        <v>111</v>
      </c>
      <c r="B134" s="62" t="s">
        <v>166</v>
      </c>
      <c r="C134" s="63" t="s">
        <v>67</v>
      </c>
      <c r="D134" s="2">
        <v>511369385.80000001</v>
      </c>
      <c r="E134" s="3">
        <f t="shared" si="74"/>
        <v>1.3069900193406637E-2</v>
      </c>
      <c r="F134" s="4">
        <v>1.2476</v>
      </c>
      <c r="G134" s="4">
        <v>1.2476</v>
      </c>
      <c r="H134" s="60">
        <v>106</v>
      </c>
      <c r="I134" s="5">
        <v>-1.600512163892447E-3</v>
      </c>
      <c r="J134" s="5">
        <v>0.19719395684848362</v>
      </c>
      <c r="K134" s="2">
        <v>507837916.47000003</v>
      </c>
      <c r="L134" s="16">
        <f t="shared" si="75"/>
        <v>1.2983133535643577E-2</v>
      </c>
      <c r="M134" s="4">
        <v>1.2387999999999999</v>
      </c>
      <c r="N134" s="4">
        <v>1.2387999999999999</v>
      </c>
      <c r="O134" s="60">
        <v>106</v>
      </c>
      <c r="P134" s="5">
        <v>-8.642765685019321E-3</v>
      </c>
      <c r="Q134" s="5">
        <v>0.18265249280475354</v>
      </c>
      <c r="R134" s="84">
        <f t="shared" si="81"/>
        <v>-6.9059068220817671E-3</v>
      </c>
      <c r="S134" s="84">
        <f t="shared" si="82"/>
        <v>-7.0535428021802991E-3</v>
      </c>
      <c r="T134" s="84">
        <f t="shared" si="83"/>
        <v>0</v>
      </c>
      <c r="U134" s="84">
        <f t="shared" si="84"/>
        <v>-7.0422535211268743E-3</v>
      </c>
      <c r="V134" s="86">
        <f t="shared" si="85"/>
        <v>-1.4541464043730079E-2</v>
      </c>
      <c r="X134" s="121"/>
    </row>
    <row r="135" spans="1:24" x14ac:dyDescent="0.25">
      <c r="A135" s="126">
        <v>112</v>
      </c>
      <c r="B135" s="62" t="s">
        <v>167</v>
      </c>
      <c r="C135" s="63" t="s">
        <v>27</v>
      </c>
      <c r="D135" s="4">
        <v>6586233824.96</v>
      </c>
      <c r="E135" s="3">
        <f t="shared" si="74"/>
        <v>0.16833510400314239</v>
      </c>
      <c r="F135" s="4">
        <v>249.37</v>
      </c>
      <c r="G135" s="4">
        <v>251.61</v>
      </c>
      <c r="H135" s="60">
        <v>5460</v>
      </c>
      <c r="I135" s="5">
        <v>-1E-3</v>
      </c>
      <c r="J135" s="5">
        <v>0.35570000000000002</v>
      </c>
      <c r="K135" s="4">
        <v>6586233824.96</v>
      </c>
      <c r="L135" s="16">
        <f t="shared" si="75"/>
        <v>0.1683804034184983</v>
      </c>
      <c r="M135" s="4">
        <v>249.9</v>
      </c>
      <c r="N135" s="4">
        <v>252.15</v>
      </c>
      <c r="O135" s="60">
        <v>5460</v>
      </c>
      <c r="P135" s="5">
        <v>2.0999999999999999E-3</v>
      </c>
      <c r="Q135" s="5">
        <v>0.35830000000000001</v>
      </c>
      <c r="R135" s="84">
        <f t="shared" si="81"/>
        <v>0</v>
      </c>
      <c r="S135" s="84">
        <f t="shared" si="82"/>
        <v>2.1461786097531576E-3</v>
      </c>
      <c r="T135" s="84">
        <f t="shared" si="83"/>
        <v>0</v>
      </c>
      <c r="U135" s="84">
        <f t="shared" si="84"/>
        <v>3.0999999999999999E-3</v>
      </c>
      <c r="V135" s="86">
        <f t="shared" si="85"/>
        <v>2.5999999999999912E-3</v>
      </c>
    </row>
    <row r="136" spans="1:24" x14ac:dyDescent="0.25">
      <c r="A136" s="130">
        <v>113</v>
      </c>
      <c r="B136" s="62" t="s">
        <v>168</v>
      </c>
      <c r="C136" s="63" t="s">
        <v>72</v>
      </c>
      <c r="D136" s="4">
        <v>2338670905.5900002</v>
      </c>
      <c r="E136" s="3">
        <f t="shared" si="74"/>
        <v>5.9773221021955862E-2</v>
      </c>
      <c r="F136" s="4">
        <v>1.6274</v>
      </c>
      <c r="G136" s="4">
        <v>1.6552</v>
      </c>
      <c r="H136" s="60">
        <v>10316</v>
      </c>
      <c r="I136" s="5">
        <v>3.8999999999999998E-3</v>
      </c>
      <c r="J136" s="5">
        <v>0.2646</v>
      </c>
      <c r="K136" s="4">
        <v>2343931665.0799999</v>
      </c>
      <c r="L136" s="16">
        <f t="shared" si="75"/>
        <v>5.992380013231003E-2</v>
      </c>
      <c r="M136" s="4">
        <v>1.6311</v>
      </c>
      <c r="N136" s="4">
        <v>1.6589</v>
      </c>
      <c r="O136" s="60">
        <v>10316</v>
      </c>
      <c r="P136" s="5">
        <v>2.2526636225266585E-3</v>
      </c>
      <c r="Q136" s="5">
        <v>0.26747767169695114</v>
      </c>
      <c r="R136" s="84">
        <f t="shared" si="81"/>
        <v>2.2494654880364992E-3</v>
      </c>
      <c r="S136" s="84">
        <f t="shared" si="82"/>
        <v>2.2353794103431831E-3</v>
      </c>
      <c r="T136" s="84">
        <f t="shared" si="83"/>
        <v>0</v>
      </c>
      <c r="U136" s="84">
        <f t="shared" si="84"/>
        <v>-1.6473363774733413E-3</v>
      </c>
      <c r="V136" s="86">
        <f t="shared" si="85"/>
        <v>2.877671696951134E-3</v>
      </c>
    </row>
    <row r="137" spans="1:24" x14ac:dyDescent="0.25">
      <c r="A137" s="126">
        <v>114</v>
      </c>
      <c r="B137" s="62" t="s">
        <v>169</v>
      </c>
      <c r="C137" s="63" t="s">
        <v>74</v>
      </c>
      <c r="D137" s="4">
        <v>158578776.96789482</v>
      </c>
      <c r="E137" s="3">
        <f t="shared" si="74"/>
        <v>4.0530560595066359E-3</v>
      </c>
      <c r="F137" s="4">
        <v>103.24750094450032</v>
      </c>
      <c r="G137" s="4">
        <v>108.38068816973268</v>
      </c>
      <c r="H137" s="60">
        <v>39</v>
      </c>
      <c r="I137" s="5">
        <v>3.53511091670722E-4</v>
      </c>
      <c r="J137" s="5">
        <v>-7.5140765504614987E-2</v>
      </c>
      <c r="K137" s="4">
        <v>160080127.37306732</v>
      </c>
      <c r="L137" s="16">
        <f t="shared" si="75"/>
        <v>4.0925295309456114E-3</v>
      </c>
      <c r="M137" s="4">
        <v>104.57077417139948</v>
      </c>
      <c r="N137" s="4">
        <v>109.78551006734143</v>
      </c>
      <c r="O137" s="60">
        <v>39</v>
      </c>
      <c r="P137" s="5">
        <v>1.1448102436731056E-3</v>
      </c>
      <c r="Q137" s="5">
        <v>-1.7171105683511E-2</v>
      </c>
      <c r="R137" s="84">
        <f t="shared" si="81"/>
        <v>9.467536790729909E-3</v>
      </c>
      <c r="S137" s="84">
        <f t="shared" si="82"/>
        <v>1.296192081202413E-2</v>
      </c>
      <c r="T137" s="84">
        <f t="shared" si="83"/>
        <v>0</v>
      </c>
      <c r="U137" s="84">
        <f t="shared" si="84"/>
        <v>7.9129915200238364E-4</v>
      </c>
      <c r="V137" s="86">
        <f t="shared" si="85"/>
        <v>5.7969659821103983E-2</v>
      </c>
    </row>
    <row r="138" spans="1:24" ht="13.5" customHeight="1" x14ac:dyDescent="0.25">
      <c r="A138" s="126">
        <v>115</v>
      </c>
      <c r="B138" s="62" t="s">
        <v>242</v>
      </c>
      <c r="C138" s="63" t="s">
        <v>32</v>
      </c>
      <c r="D138" s="2">
        <v>2612587306.4108</v>
      </c>
      <c r="E138" s="3">
        <f t="shared" si="74"/>
        <v>6.6774148569592059E-2</v>
      </c>
      <c r="F138" s="4">
        <v>3.5960000000000001</v>
      </c>
      <c r="G138" s="4">
        <v>3.6629999999999998</v>
      </c>
      <c r="H138" s="60">
        <v>2251</v>
      </c>
      <c r="I138" s="5">
        <v>-1.0783450704225372E-2</v>
      </c>
      <c r="J138" s="5">
        <v>0.16541353383458657</v>
      </c>
      <c r="K138" s="2">
        <v>2593478901.4454999</v>
      </c>
      <c r="L138" s="16">
        <f t="shared" si="75"/>
        <v>6.6303601616422903E-2</v>
      </c>
      <c r="M138" s="4">
        <v>3.5672000000000001</v>
      </c>
      <c r="N138" s="4">
        <v>3.6339999999999999</v>
      </c>
      <c r="O138" s="60">
        <v>2257</v>
      </c>
      <c r="P138" s="5">
        <v>-8.008898776418194E-3</v>
      </c>
      <c r="Q138" s="5">
        <v>0.15607985480943753</v>
      </c>
      <c r="R138" s="84">
        <f t="shared" si="81"/>
        <v>-7.313977572505093E-3</v>
      </c>
      <c r="S138" s="84">
        <f t="shared" si="82"/>
        <v>-7.9170079170078934E-3</v>
      </c>
      <c r="T138" s="84">
        <f t="shared" si="83"/>
        <v>2.6654820079964462E-3</v>
      </c>
      <c r="U138" s="84">
        <f t="shared" si="84"/>
        <v>2.7745519278071784E-3</v>
      </c>
      <c r="V138" s="86">
        <f t="shared" si="85"/>
        <v>-9.3336790251490331E-3</v>
      </c>
    </row>
    <row r="139" spans="1:24" x14ac:dyDescent="0.25">
      <c r="A139" s="126">
        <v>116</v>
      </c>
      <c r="B139" s="62" t="s">
        <v>170</v>
      </c>
      <c r="C139" s="63" t="s">
        <v>114</v>
      </c>
      <c r="D139" s="2">
        <v>176549540.43000001</v>
      </c>
      <c r="E139" s="3">
        <f t="shared" si="74"/>
        <v>4.5123641279425026E-3</v>
      </c>
      <c r="F139" s="4">
        <v>168.346262</v>
      </c>
      <c r="G139" s="4">
        <v>173.00275400000001</v>
      </c>
      <c r="H139" s="60">
        <v>138</v>
      </c>
      <c r="I139" s="5">
        <v>-1.1000000000000001E-3</v>
      </c>
      <c r="J139" s="5">
        <v>0.1489</v>
      </c>
      <c r="K139" s="2">
        <v>177279133.38</v>
      </c>
      <c r="L139" s="16">
        <f t="shared" si="75"/>
        <v>4.5322308301721211E-3</v>
      </c>
      <c r="M139" s="4">
        <v>168.958866</v>
      </c>
      <c r="N139" s="4">
        <v>173.71439799999999</v>
      </c>
      <c r="O139" s="60">
        <v>138</v>
      </c>
      <c r="P139" s="5">
        <v>3.3E-3</v>
      </c>
      <c r="Q139" s="5">
        <v>0.15359999999999999</v>
      </c>
      <c r="R139" s="84">
        <f t="shared" si="81"/>
        <v>4.132511181977638E-3</v>
      </c>
      <c r="S139" s="84">
        <f t="shared" si="82"/>
        <v>4.11348365009252E-3</v>
      </c>
      <c r="T139" s="84">
        <f t="shared" si="83"/>
        <v>0</v>
      </c>
      <c r="U139" s="84">
        <f t="shared" si="84"/>
        <v>4.4000000000000003E-3</v>
      </c>
      <c r="V139" s="86">
        <f t="shared" si="85"/>
        <v>4.699999999999982E-3</v>
      </c>
    </row>
    <row r="140" spans="1:24" x14ac:dyDescent="0.25">
      <c r="A140" s="130">
        <v>117</v>
      </c>
      <c r="B140" s="62" t="s">
        <v>171</v>
      </c>
      <c r="C140" s="63" t="s">
        <v>29</v>
      </c>
      <c r="D140" s="2">
        <v>1507640841.04</v>
      </c>
      <c r="E140" s="3">
        <f t="shared" si="74"/>
        <v>3.8533232272146785E-2</v>
      </c>
      <c r="F140" s="4">
        <v>552.20000000000005</v>
      </c>
      <c r="G140" s="4">
        <v>552.20000000000005</v>
      </c>
      <c r="H140" s="60">
        <v>0</v>
      </c>
      <c r="I140" s="5">
        <v>1.0179000000000001E-2</v>
      </c>
      <c r="J140" s="5">
        <v>0.309944</v>
      </c>
      <c r="K140" s="2">
        <v>1506907725.4400001</v>
      </c>
      <c r="L140" s="16">
        <f t="shared" ref="L140:L147" si="86">(K140/$K$148)</f>
        <v>3.8524859193801837E-2</v>
      </c>
      <c r="M140" s="4">
        <v>552.20000000000005</v>
      </c>
      <c r="N140" s="4">
        <v>552.20000000000005</v>
      </c>
      <c r="O140" s="60">
        <v>0</v>
      </c>
      <c r="P140" s="5">
        <v>-4.8000000000000001E-4</v>
      </c>
      <c r="Q140" s="5">
        <v>0.30930000000000002</v>
      </c>
      <c r="R140" s="84">
        <f t="shared" si="81"/>
        <v>-4.8626674208041964E-4</v>
      </c>
      <c r="S140" s="84">
        <f t="shared" si="82"/>
        <v>0</v>
      </c>
      <c r="T140" s="84" t="e">
        <f t="shared" si="83"/>
        <v>#DIV/0!</v>
      </c>
      <c r="U140" s="84">
        <f t="shared" si="84"/>
        <v>-1.0659E-2</v>
      </c>
      <c r="V140" s="86">
        <f t="shared" si="85"/>
        <v>-6.4399999999997792E-4</v>
      </c>
    </row>
    <row r="141" spans="1:24" x14ac:dyDescent="0.25">
      <c r="A141" s="126">
        <v>118</v>
      </c>
      <c r="B141" s="62" t="s">
        <v>172</v>
      </c>
      <c r="C141" s="63" t="s">
        <v>80</v>
      </c>
      <c r="D141" s="2">
        <v>24900431.399999999</v>
      </c>
      <c r="E141" s="3">
        <f t="shared" si="74"/>
        <v>6.3642087736955934E-4</v>
      </c>
      <c r="F141" s="4">
        <v>1.56</v>
      </c>
      <c r="G141" s="4">
        <v>1.56</v>
      </c>
      <c r="H141" s="60">
        <v>8</v>
      </c>
      <c r="I141" s="5">
        <v>8.4919999999999995E-3</v>
      </c>
      <c r="J141" s="5">
        <v>0.29295900000000002</v>
      </c>
      <c r="K141" s="2">
        <v>23887713.109999999</v>
      </c>
      <c r="L141" s="16">
        <f t="shared" si="86"/>
        <v>6.1070148389874069E-4</v>
      </c>
      <c r="M141" s="4">
        <v>1.49</v>
      </c>
      <c r="N141" s="4">
        <v>1.49</v>
      </c>
      <c r="O141" s="60">
        <v>8</v>
      </c>
      <c r="P141" s="5">
        <v>-4.8445000000000002E-2</v>
      </c>
      <c r="Q141" s="5">
        <v>0.230321</v>
      </c>
      <c r="R141" s="84">
        <f t="shared" si="81"/>
        <v>-4.0670712636729625E-2</v>
      </c>
      <c r="S141" s="84">
        <f t="shared" si="82"/>
        <v>-4.4871794871794907E-2</v>
      </c>
      <c r="T141" s="84">
        <f t="shared" si="83"/>
        <v>0</v>
      </c>
      <c r="U141" s="84">
        <f t="shared" si="84"/>
        <v>-5.6937000000000001E-2</v>
      </c>
      <c r="V141" s="86">
        <f t="shared" si="85"/>
        <v>-6.2638000000000027E-2</v>
      </c>
    </row>
    <row r="142" spans="1:24" x14ac:dyDescent="0.25">
      <c r="A142" s="126">
        <v>119</v>
      </c>
      <c r="B142" s="62" t="s">
        <v>173</v>
      </c>
      <c r="C142" s="63" t="s">
        <v>38</v>
      </c>
      <c r="D142" s="4">
        <v>203899618.22</v>
      </c>
      <c r="E142" s="3">
        <f t="shared" si="74"/>
        <v>5.2113946075203581E-3</v>
      </c>
      <c r="F142" s="4">
        <v>2.071561</v>
      </c>
      <c r="G142" s="4">
        <v>2.1186310000000002</v>
      </c>
      <c r="H142" s="60">
        <v>116</v>
      </c>
      <c r="I142" s="5">
        <v>8.9999999999999998E-4</v>
      </c>
      <c r="J142" s="5">
        <v>0.31769999999999998</v>
      </c>
      <c r="K142" s="4">
        <v>187009848.58000001</v>
      </c>
      <c r="L142" s="16">
        <f t="shared" si="86"/>
        <v>4.7810014925068235E-3</v>
      </c>
      <c r="M142" s="4">
        <v>1.9</v>
      </c>
      <c r="N142" s="4">
        <v>1.95</v>
      </c>
      <c r="O142" s="60">
        <v>116</v>
      </c>
      <c r="P142" s="5">
        <v>5.9999999999999995E-4</v>
      </c>
      <c r="Q142" s="5">
        <v>0.20979999999999999</v>
      </c>
      <c r="R142" s="84">
        <f t="shared" si="81"/>
        <v>-8.283374823084054E-2</v>
      </c>
      <c r="S142" s="84">
        <f t="shared" si="82"/>
        <v>-7.9594322937783971E-2</v>
      </c>
      <c r="T142" s="84">
        <f t="shared" si="83"/>
        <v>0</v>
      </c>
      <c r="U142" s="84">
        <f t="shared" si="84"/>
        <v>-3.0000000000000003E-4</v>
      </c>
      <c r="V142" s="86">
        <f t="shared" si="85"/>
        <v>-0.1079</v>
      </c>
    </row>
    <row r="143" spans="1:24" x14ac:dyDescent="0.25">
      <c r="A143" s="127">
        <v>120</v>
      </c>
      <c r="B143" s="62" t="s">
        <v>174</v>
      </c>
      <c r="C143" s="63" t="s">
        <v>42</v>
      </c>
      <c r="D143" s="2">
        <v>2074001395.03</v>
      </c>
      <c r="E143" s="3">
        <f t="shared" si="74"/>
        <v>5.300863130791713E-2</v>
      </c>
      <c r="F143" s="4">
        <v>4665.88</v>
      </c>
      <c r="G143" s="4">
        <v>4702.57</v>
      </c>
      <c r="H143" s="60">
        <v>3480</v>
      </c>
      <c r="I143" s="5">
        <v>2.3E-2</v>
      </c>
      <c r="J143" s="5">
        <v>0.27889999999999998</v>
      </c>
      <c r="K143" s="2">
        <v>2069091804.4100001</v>
      </c>
      <c r="L143" s="3">
        <f t="shared" si="86"/>
        <v>5.289737989807556E-2</v>
      </c>
      <c r="M143" s="4">
        <v>4665.38</v>
      </c>
      <c r="N143" s="4">
        <v>4702.51</v>
      </c>
      <c r="O143" s="60">
        <v>3492</v>
      </c>
      <c r="P143" s="5">
        <v>0</v>
      </c>
      <c r="Q143" s="5">
        <v>0.27889999999999998</v>
      </c>
      <c r="R143" s="84">
        <f t="shared" si="81"/>
        <v>-2.3672069998433485E-3</v>
      </c>
      <c r="S143" s="84">
        <f t="shared" si="82"/>
        <v>-1.2758980727451305E-5</v>
      </c>
      <c r="T143" s="84">
        <f t="shared" si="83"/>
        <v>3.4482758620689655E-3</v>
      </c>
      <c r="U143" s="84">
        <f t="shared" si="84"/>
        <v>-2.3E-2</v>
      </c>
      <c r="V143" s="86">
        <f t="shared" si="85"/>
        <v>0</v>
      </c>
    </row>
    <row r="144" spans="1:24" x14ac:dyDescent="0.25">
      <c r="A144" s="127">
        <v>121</v>
      </c>
      <c r="B144" s="62" t="s">
        <v>175</v>
      </c>
      <c r="C144" s="63" t="s">
        <v>45</v>
      </c>
      <c r="D144" s="4">
        <v>1525888066.8399999</v>
      </c>
      <c r="E144" s="3">
        <f t="shared" si="74"/>
        <v>3.8999606338790321E-2</v>
      </c>
      <c r="F144" s="4">
        <v>1.7084999999999999</v>
      </c>
      <c r="G144" s="4">
        <v>1.7188000000000001</v>
      </c>
      <c r="H144" s="60">
        <v>1866</v>
      </c>
      <c r="I144" s="5">
        <v>-5.0000000000000001E-4</v>
      </c>
      <c r="J144" s="5">
        <v>0.31979999999999997</v>
      </c>
      <c r="K144" s="4">
        <v>1538446444.53</v>
      </c>
      <c r="L144" s="16">
        <f t="shared" si="86"/>
        <v>3.9331162520530316E-2</v>
      </c>
      <c r="M144" s="4">
        <v>1.7225999999999999</v>
      </c>
      <c r="N144" s="4">
        <v>1.7331000000000001</v>
      </c>
      <c r="O144" s="60">
        <v>1866</v>
      </c>
      <c r="P144" s="5">
        <v>8.3000000000000001E-3</v>
      </c>
      <c r="Q144" s="5">
        <v>0.32950000000000002</v>
      </c>
      <c r="R144" s="84">
        <f t="shared" si="81"/>
        <v>8.2302089929882725E-3</v>
      </c>
      <c r="S144" s="84">
        <f t="shared" si="82"/>
        <v>8.3197579706772041E-3</v>
      </c>
      <c r="T144" s="84">
        <f t="shared" si="83"/>
        <v>0</v>
      </c>
      <c r="U144" s="84">
        <f t="shared" si="84"/>
        <v>8.8000000000000005E-3</v>
      </c>
      <c r="V144" s="86">
        <f t="shared" si="85"/>
        <v>9.7000000000000419E-3</v>
      </c>
    </row>
    <row r="145" spans="1:22" x14ac:dyDescent="0.25">
      <c r="A145" s="127">
        <v>122</v>
      </c>
      <c r="B145" s="62" t="s">
        <v>176</v>
      </c>
      <c r="C145" s="63" t="s">
        <v>45</v>
      </c>
      <c r="D145" s="4">
        <v>806668069.71000004</v>
      </c>
      <c r="E145" s="3">
        <f t="shared" si="74"/>
        <v>2.061732957248472E-2</v>
      </c>
      <c r="F145" s="4">
        <v>1.3179000000000001</v>
      </c>
      <c r="G145" s="4">
        <v>1.3268</v>
      </c>
      <c r="H145" s="60">
        <v>447</v>
      </c>
      <c r="I145" s="5">
        <v>4.0000000000000001E-3</v>
      </c>
      <c r="J145" s="5">
        <v>0.2334</v>
      </c>
      <c r="K145" s="4">
        <v>818846924.69000006</v>
      </c>
      <c r="L145" s="16">
        <f t="shared" si="86"/>
        <v>2.093423634532688E-2</v>
      </c>
      <c r="M145" s="4">
        <v>1.3294999999999999</v>
      </c>
      <c r="N145" s="4">
        <v>1.3386</v>
      </c>
      <c r="O145" s="60">
        <v>447</v>
      </c>
      <c r="P145" s="5">
        <v>8.8000000000000005E-3</v>
      </c>
      <c r="Q145" s="5">
        <v>0.23880000000000001</v>
      </c>
      <c r="R145" s="84">
        <f t="shared" si="81"/>
        <v>1.5097727847810265E-2</v>
      </c>
      <c r="S145" s="84">
        <f t="shared" si="82"/>
        <v>8.8935785348206453E-3</v>
      </c>
      <c r="T145" s="84">
        <f t="shared" si="83"/>
        <v>0</v>
      </c>
      <c r="U145" s="84">
        <f t="shared" si="84"/>
        <v>4.8000000000000004E-3</v>
      </c>
      <c r="V145" s="86">
        <f t="shared" si="85"/>
        <v>5.4000000000000159E-3</v>
      </c>
    </row>
    <row r="146" spans="1:22" x14ac:dyDescent="0.25">
      <c r="A146" s="127">
        <v>123</v>
      </c>
      <c r="B146" s="62" t="s">
        <v>177</v>
      </c>
      <c r="C146" s="63" t="s">
        <v>87</v>
      </c>
      <c r="D146" s="4">
        <v>6017130636.7700005</v>
      </c>
      <c r="E146" s="3">
        <f t="shared" si="74"/>
        <v>0.1537896069985526</v>
      </c>
      <c r="F146" s="4">
        <v>295.66000000000003</v>
      </c>
      <c r="G146" s="4">
        <v>298.98</v>
      </c>
      <c r="H146" s="60">
        <v>29</v>
      </c>
      <c r="I146" s="5">
        <v>1.32E-2</v>
      </c>
      <c r="J146" s="5">
        <v>0.56799999999999995</v>
      </c>
      <c r="K146" s="4">
        <v>6031321006.8000002</v>
      </c>
      <c r="L146" s="16">
        <f t="shared" si="86"/>
        <v>0.15419377617945643</v>
      </c>
      <c r="M146" s="4">
        <v>296.33999999999997</v>
      </c>
      <c r="N146" s="4">
        <v>299.69</v>
      </c>
      <c r="O146" s="60">
        <v>29</v>
      </c>
      <c r="P146" s="5">
        <v>1.5599999999999999E-2</v>
      </c>
      <c r="Q146" s="5">
        <v>0.57150000000000001</v>
      </c>
      <c r="R146" s="84">
        <f t="shared" si="81"/>
        <v>2.3583283938168132E-3</v>
      </c>
      <c r="S146" s="84">
        <f t="shared" si="82"/>
        <v>2.3747407853367433E-3</v>
      </c>
      <c r="T146" s="84">
        <f t="shared" si="83"/>
        <v>0</v>
      </c>
      <c r="U146" s="84">
        <f t="shared" si="84"/>
        <v>2.3999999999999994E-3</v>
      </c>
      <c r="V146" s="86">
        <f t="shared" si="85"/>
        <v>3.5000000000000586E-3</v>
      </c>
    </row>
    <row r="147" spans="1:22" x14ac:dyDescent="0.25">
      <c r="A147" s="127">
        <v>124</v>
      </c>
      <c r="B147" s="62" t="s">
        <v>178</v>
      </c>
      <c r="C147" s="63" t="s">
        <v>40</v>
      </c>
      <c r="D147" s="2">
        <v>263810720.88999999</v>
      </c>
      <c r="E147" s="3">
        <f t="shared" si="74"/>
        <v>6.7426402278439939E-3</v>
      </c>
      <c r="F147" s="4">
        <v>187.45</v>
      </c>
      <c r="G147" s="4">
        <v>190.3</v>
      </c>
      <c r="H147" s="60">
        <v>734</v>
      </c>
      <c r="I147" s="5">
        <v>2.8999999999999998E-3</v>
      </c>
      <c r="J147" s="5">
        <v>0.35499999999999998</v>
      </c>
      <c r="K147" s="2">
        <v>261430856.96000001</v>
      </c>
      <c r="L147" s="16">
        <f t="shared" si="86"/>
        <v>6.6836122632247833E-3</v>
      </c>
      <c r="M147" s="4">
        <v>188.08</v>
      </c>
      <c r="N147" s="4">
        <v>190.95</v>
      </c>
      <c r="O147" s="60">
        <v>734</v>
      </c>
      <c r="P147" s="5">
        <v>6.4000000000000003E-3</v>
      </c>
      <c r="Q147" s="5">
        <v>0.36380000000000001</v>
      </c>
      <c r="R147" s="84">
        <f t="shared" si="81"/>
        <v>-9.0211039262210226E-3</v>
      </c>
      <c r="S147" s="84">
        <f t="shared" si="82"/>
        <v>3.4156594850235271E-3</v>
      </c>
      <c r="T147" s="84">
        <f t="shared" si="83"/>
        <v>0</v>
      </c>
      <c r="U147" s="84">
        <f t="shared" si="84"/>
        <v>3.5000000000000005E-3</v>
      </c>
      <c r="V147" s="86">
        <f t="shared" si="85"/>
        <v>8.80000000000003E-3</v>
      </c>
    </row>
    <row r="148" spans="1:22" x14ac:dyDescent="0.25">
      <c r="A148" s="87"/>
      <c r="B148" s="19"/>
      <c r="C148" s="74" t="s">
        <v>46</v>
      </c>
      <c r="D148" s="75">
        <f>SUM(D124:D147)</f>
        <v>39125729977.492111</v>
      </c>
      <c r="E148" s="116">
        <f>(D148/$D$172)</f>
        <v>1.9541465449403668E-2</v>
      </c>
      <c r="F148" s="30"/>
      <c r="G148" s="36"/>
      <c r="H148" s="68">
        <f>SUM(H124:H147)</f>
        <v>68583</v>
      </c>
      <c r="I148" s="37"/>
      <c r="J148" s="37"/>
      <c r="K148" s="75">
        <f>SUM(K124:K147)</f>
        <v>39115203974.124908</v>
      </c>
      <c r="L148" s="116">
        <f>(K148/$K$172)</f>
        <v>1.9635630430800306E-2</v>
      </c>
      <c r="M148" s="30"/>
      <c r="N148" s="36"/>
      <c r="O148" s="68">
        <f>SUM(O124:O147)</f>
        <v>68861</v>
      </c>
      <c r="P148" s="37"/>
      <c r="Q148" s="37"/>
      <c r="R148" s="84">
        <f t="shared" si="81"/>
        <v>-2.6903021038222316E-4</v>
      </c>
      <c r="S148" s="84" t="e">
        <f t="shared" si="82"/>
        <v>#DIV/0!</v>
      </c>
      <c r="T148" s="84">
        <f t="shared" si="83"/>
        <v>4.0534826414709187E-3</v>
      </c>
      <c r="U148" s="84">
        <f t="shared" si="84"/>
        <v>0</v>
      </c>
      <c r="V148" s="86">
        <f t="shared" si="85"/>
        <v>0</v>
      </c>
    </row>
    <row r="149" spans="1:22" ht="8.25" customHeight="1" x14ac:dyDescent="0.25">
      <c r="A149" s="135"/>
      <c r="B149" s="135"/>
      <c r="C149" s="135"/>
      <c r="D149" s="135"/>
      <c r="E149" s="135"/>
      <c r="F149" s="135"/>
      <c r="G149" s="135"/>
      <c r="H149" s="135"/>
      <c r="I149" s="135"/>
      <c r="J149" s="135"/>
      <c r="K149" s="135"/>
      <c r="L149" s="135"/>
      <c r="M149" s="135"/>
      <c r="N149" s="135"/>
      <c r="O149" s="135"/>
      <c r="P149" s="135"/>
      <c r="Q149" s="135"/>
      <c r="R149" s="135"/>
      <c r="S149" s="135"/>
      <c r="T149" s="135"/>
      <c r="U149" s="135"/>
      <c r="V149" s="135"/>
    </row>
    <row r="150" spans="1:22" ht="15" customHeight="1" x14ac:dyDescent="0.25">
      <c r="A150" s="142" t="s">
        <v>179</v>
      </c>
      <c r="B150" s="142"/>
      <c r="C150" s="142"/>
      <c r="D150" s="142"/>
      <c r="E150" s="142"/>
      <c r="F150" s="142"/>
      <c r="G150" s="142"/>
      <c r="H150" s="142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</row>
    <row r="151" spans="1:22" x14ac:dyDescent="0.25">
      <c r="A151" s="127">
        <v>125</v>
      </c>
      <c r="B151" s="62" t="s">
        <v>180</v>
      </c>
      <c r="C151" s="63" t="s">
        <v>21</v>
      </c>
      <c r="D151" s="17">
        <v>691488293.60000002</v>
      </c>
      <c r="E151" s="3">
        <f>(D151/$D$154)</f>
        <v>0.17952543098821488</v>
      </c>
      <c r="F151" s="17">
        <v>51.223500000000001</v>
      </c>
      <c r="G151" s="17">
        <v>52.767899999999997</v>
      </c>
      <c r="H151" s="64">
        <v>1391</v>
      </c>
      <c r="I151" s="6">
        <v>-0.73450000000000004</v>
      </c>
      <c r="J151" s="6">
        <v>0.1547</v>
      </c>
      <c r="K151" s="17">
        <v>692570224.21000004</v>
      </c>
      <c r="L151" s="16">
        <f>(K151/$K$154)</f>
        <v>0.17987875709690326</v>
      </c>
      <c r="M151" s="17">
        <v>51.272300000000001</v>
      </c>
      <c r="N151" s="17">
        <v>52.818100000000001</v>
      </c>
      <c r="O151" s="64">
        <v>1392</v>
      </c>
      <c r="P151" s="6">
        <v>4.9599999999999998E-2</v>
      </c>
      <c r="Q151" s="6">
        <v>0.15240000000000001</v>
      </c>
      <c r="R151" s="84">
        <f t="shared" ref="R151" si="87">((K151-D151)/D151)</f>
        <v>1.5646405297294454E-3</v>
      </c>
      <c r="S151" s="84">
        <f t="shared" ref="S151" si="88">((N151-G151)/G151)</f>
        <v>9.5133594476952464E-4</v>
      </c>
      <c r="T151" s="84">
        <f t="shared" ref="T151" si="89">((O151-H151)/H151)</f>
        <v>7.1890726096333576E-4</v>
      </c>
      <c r="U151" s="84">
        <f t="shared" ref="U151" si="90">P151-I151</f>
        <v>0.78410000000000002</v>
      </c>
      <c r="V151" s="86">
        <f t="shared" ref="V151" si="91">Q151-J151</f>
        <v>-2.2999999999999965E-3</v>
      </c>
    </row>
    <row r="152" spans="1:22" x14ac:dyDescent="0.25">
      <c r="A152" s="125">
        <v>126</v>
      </c>
      <c r="B152" s="62" t="s">
        <v>181</v>
      </c>
      <c r="C152" s="63" t="s">
        <v>182</v>
      </c>
      <c r="D152" s="109">
        <v>779487580.36000001</v>
      </c>
      <c r="E152" s="3">
        <f>(D152/$D$154)</f>
        <v>0.20237196364605209</v>
      </c>
      <c r="F152" s="17">
        <v>21.456900000000001</v>
      </c>
      <c r="G152" s="17">
        <v>21.686699999999998</v>
      </c>
      <c r="H152" s="60">
        <v>1506</v>
      </c>
      <c r="I152" s="5">
        <v>1.6E-2</v>
      </c>
      <c r="J152" s="5">
        <v>0.3579</v>
      </c>
      <c r="K152" s="109">
        <v>779512439.22000003</v>
      </c>
      <c r="L152" s="16">
        <f>(K152/$K$154)</f>
        <v>0.20245994385394248</v>
      </c>
      <c r="M152" s="17">
        <v>21.344000000000001</v>
      </c>
      <c r="N152" s="17">
        <v>21.571200000000001</v>
      </c>
      <c r="O152" s="60">
        <v>1508</v>
      </c>
      <c r="P152" s="5">
        <v>5.4000000000000003E-3</v>
      </c>
      <c r="Q152" s="5">
        <v>0.35070000000000001</v>
      </c>
      <c r="R152" s="84">
        <f t="shared" ref="R152:R154" si="92">((K152-D152)/D152)</f>
        <v>3.1891284256938954E-5</v>
      </c>
      <c r="S152" s="84">
        <f t="shared" ref="S152:S154" si="93">((N152-G152)/G152)</f>
        <v>-5.3258448726637656E-3</v>
      </c>
      <c r="T152" s="84">
        <f t="shared" ref="T152:T154" si="94">((O152-H152)/H152)</f>
        <v>1.3280212483399733E-3</v>
      </c>
      <c r="U152" s="84">
        <f t="shared" ref="U152:U154" si="95">P152-I152</f>
        <v>-1.06E-2</v>
      </c>
      <c r="V152" s="86">
        <f t="shared" ref="V152:V154" si="96">Q152-J152</f>
        <v>-7.1999999999999842E-3</v>
      </c>
    </row>
    <row r="153" spans="1:22" x14ac:dyDescent="0.25">
      <c r="A153" s="127">
        <v>127</v>
      </c>
      <c r="B153" s="62" t="s">
        <v>183</v>
      </c>
      <c r="C153" s="63" t="s">
        <v>42</v>
      </c>
      <c r="D153" s="9">
        <v>2380780892.7199998</v>
      </c>
      <c r="E153" s="3">
        <f>(D153/$D$154)</f>
        <v>0.61810260536573303</v>
      </c>
      <c r="F153" s="17">
        <v>1.9</v>
      </c>
      <c r="G153" s="17">
        <v>1.92</v>
      </c>
      <c r="H153" s="60">
        <v>17750</v>
      </c>
      <c r="I153" s="5">
        <v>5.1999999999999998E-3</v>
      </c>
      <c r="J153" s="5">
        <v>0.33329999999999999</v>
      </c>
      <c r="K153" s="9">
        <v>2378123082.8600001</v>
      </c>
      <c r="L153" s="16">
        <f>(K153/$K$154)</f>
        <v>0.61766129904915434</v>
      </c>
      <c r="M153" s="17">
        <v>1.9</v>
      </c>
      <c r="N153" s="17">
        <v>1.93</v>
      </c>
      <c r="O153" s="60">
        <v>17756</v>
      </c>
      <c r="P153" s="5">
        <v>5.1999999999999998E-3</v>
      </c>
      <c r="Q153" s="5">
        <v>0.34029999999999999</v>
      </c>
      <c r="R153" s="84">
        <f t="shared" si="92"/>
        <v>-1.1163605471325654E-3</v>
      </c>
      <c r="S153" s="84">
        <f t="shared" si="93"/>
        <v>5.2083333333333382E-3</v>
      </c>
      <c r="T153" s="84">
        <f t="shared" si="94"/>
        <v>3.380281690140845E-4</v>
      </c>
      <c r="U153" s="84">
        <f t="shared" si="95"/>
        <v>0</v>
      </c>
      <c r="V153" s="86">
        <f t="shared" si="96"/>
        <v>7.0000000000000062E-3</v>
      </c>
    </row>
    <row r="154" spans="1:22" x14ac:dyDescent="0.25">
      <c r="A154" s="78"/>
      <c r="B154" s="19"/>
      <c r="C154" s="69" t="s">
        <v>46</v>
      </c>
      <c r="D154" s="75">
        <f>SUM(D151:D153)</f>
        <v>3851756766.6799998</v>
      </c>
      <c r="E154" s="116">
        <f>(D154/$D$172)</f>
        <v>1.9237716924101875E-3</v>
      </c>
      <c r="F154" s="30"/>
      <c r="G154" s="36"/>
      <c r="H154" s="68">
        <f>SUM(H151:H153)</f>
        <v>20647</v>
      </c>
      <c r="I154" s="37"/>
      <c r="J154" s="37"/>
      <c r="K154" s="75">
        <f>SUM(K151:K153)</f>
        <v>3850205746.29</v>
      </c>
      <c r="L154" s="116">
        <f>(K154/$K$172)</f>
        <v>1.9327834048035407E-3</v>
      </c>
      <c r="M154" s="30"/>
      <c r="N154" s="36"/>
      <c r="O154" s="68">
        <f>SUM(O151:O153)</f>
        <v>20656</v>
      </c>
      <c r="P154" s="37"/>
      <c r="Q154" s="37"/>
      <c r="R154" s="84">
        <f t="shared" si="92"/>
        <v>-4.0267869545063714E-4</v>
      </c>
      <c r="S154" s="84" t="e">
        <f t="shared" si="93"/>
        <v>#DIV/0!</v>
      </c>
      <c r="T154" s="84">
        <f t="shared" si="94"/>
        <v>4.3589867777401074E-4</v>
      </c>
      <c r="U154" s="84">
        <f t="shared" si="95"/>
        <v>0</v>
      </c>
      <c r="V154" s="86">
        <f t="shared" si="96"/>
        <v>0</v>
      </c>
    </row>
    <row r="155" spans="1:22" ht="6" customHeight="1" x14ac:dyDescent="0.25">
      <c r="A155" s="135"/>
      <c r="B155" s="135"/>
      <c r="C155" s="135"/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</row>
    <row r="156" spans="1:22" ht="15" customHeight="1" x14ac:dyDescent="0.25">
      <c r="A156" s="142" t="s">
        <v>184</v>
      </c>
      <c r="B156" s="142"/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</row>
    <row r="157" spans="1:22" x14ac:dyDescent="0.25">
      <c r="A157" s="146" t="s">
        <v>233</v>
      </c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</row>
    <row r="158" spans="1:22" x14ac:dyDescent="0.25">
      <c r="A158" s="126">
        <v>128</v>
      </c>
      <c r="B158" s="62" t="s">
        <v>185</v>
      </c>
      <c r="C158" s="63" t="s">
        <v>186</v>
      </c>
      <c r="D158" s="13">
        <v>3698819563.1900001</v>
      </c>
      <c r="E158" s="3">
        <f>(D158/$D$171)</f>
        <v>8.0420248865375896E-2</v>
      </c>
      <c r="F158" s="18">
        <v>1.81</v>
      </c>
      <c r="G158" s="18">
        <v>1.85</v>
      </c>
      <c r="H158" s="61">
        <v>14976</v>
      </c>
      <c r="I158" s="12">
        <v>-2.7000000000000001E-3</v>
      </c>
      <c r="J158" s="12">
        <v>0.1366</v>
      </c>
      <c r="K158" s="13">
        <v>3708073586.4000001</v>
      </c>
      <c r="L158" s="3">
        <f>(K158/$K$171)</f>
        <v>8.0298248387507265E-2</v>
      </c>
      <c r="M158" s="18">
        <v>1.82</v>
      </c>
      <c r="N158" s="18">
        <v>1.85</v>
      </c>
      <c r="O158" s="61">
        <v>14971</v>
      </c>
      <c r="P158" s="12">
        <v>2.0999999999999999E-3</v>
      </c>
      <c r="Q158" s="12">
        <v>0.13900000000000001</v>
      </c>
      <c r="R158" s="84">
        <f t="shared" ref="R158" si="97">((K158-D158)/D158)</f>
        <v>2.5018855480528016E-3</v>
      </c>
      <c r="S158" s="84">
        <f t="shared" ref="S158" si="98">((N158-G158)/G158)</f>
        <v>0</v>
      </c>
      <c r="T158" s="84">
        <f t="shared" ref="T158" si="99">((O158-H158)/H158)</f>
        <v>-3.3386752136752137E-4</v>
      </c>
      <c r="U158" s="84">
        <f t="shared" ref="U158" si="100">P158-I158</f>
        <v>4.8000000000000004E-3</v>
      </c>
      <c r="V158" s="86">
        <f t="shared" ref="V158" si="101">Q158-J158</f>
        <v>2.4000000000000132E-3</v>
      </c>
    </row>
    <row r="159" spans="1:22" x14ac:dyDescent="0.25">
      <c r="A159" s="127">
        <v>129</v>
      </c>
      <c r="B159" s="62" t="s">
        <v>187</v>
      </c>
      <c r="C159" s="63" t="s">
        <v>42</v>
      </c>
      <c r="D159" s="13">
        <v>515373576.35000002</v>
      </c>
      <c r="E159" s="3">
        <f>(D159/$D$171)</f>
        <v>1.1205323904191971E-2</v>
      </c>
      <c r="F159" s="18">
        <v>368</v>
      </c>
      <c r="G159" s="18">
        <v>372.52</v>
      </c>
      <c r="H159" s="61">
        <v>1280</v>
      </c>
      <c r="I159" s="12">
        <v>1.0200000000000001E-2</v>
      </c>
      <c r="J159" s="12">
        <v>0.40310000000000001</v>
      </c>
      <c r="K159" s="13">
        <v>518155052.31999999</v>
      </c>
      <c r="L159" s="3">
        <f>(K159/$K$171)</f>
        <v>1.1220635762740476E-2</v>
      </c>
      <c r="M159" s="18">
        <v>366.3</v>
      </c>
      <c r="N159" s="18" t="s">
        <v>248</v>
      </c>
      <c r="O159" s="61">
        <v>1282</v>
      </c>
      <c r="P159" s="12">
        <v>4.7999999999999996E-3</v>
      </c>
      <c r="Q159" s="12">
        <v>0.39639999999999997</v>
      </c>
      <c r="R159" s="84">
        <f t="shared" ref="R159" si="102">((K159-D159)/D159)</f>
        <v>5.3970092717966888E-3</v>
      </c>
      <c r="S159" s="84" t="e">
        <f t="shared" ref="S159" si="103">((N159-G159)/G159)</f>
        <v>#VALUE!</v>
      </c>
      <c r="T159" s="84">
        <f t="shared" ref="T159" si="104">((O159-H159)/H159)</f>
        <v>1.5625000000000001E-3</v>
      </c>
      <c r="U159" s="84">
        <f t="shared" ref="U159" si="105">P159-I159</f>
        <v>-5.4000000000000012E-3</v>
      </c>
      <c r="V159" s="86">
        <f t="shared" ref="V159" si="106">Q159-J159</f>
        <v>-6.7000000000000393E-3</v>
      </c>
    </row>
    <row r="160" spans="1:22" ht="6" customHeight="1" x14ac:dyDescent="0.25">
      <c r="A160" s="135"/>
      <c r="B160" s="135"/>
      <c r="C160" s="135"/>
      <c r="D160" s="135"/>
      <c r="E160" s="135"/>
      <c r="F160" s="135"/>
      <c r="G160" s="135"/>
      <c r="H160" s="135"/>
      <c r="I160" s="135"/>
      <c r="J160" s="135"/>
      <c r="K160" s="135"/>
      <c r="L160" s="135"/>
      <c r="M160" s="135"/>
      <c r="N160" s="135"/>
      <c r="O160" s="135"/>
      <c r="P160" s="135"/>
      <c r="Q160" s="135"/>
      <c r="R160" s="135"/>
      <c r="S160" s="135"/>
      <c r="T160" s="135"/>
      <c r="U160" s="135"/>
      <c r="V160" s="135"/>
    </row>
    <row r="161" spans="1:24" ht="15" customHeight="1" x14ac:dyDescent="0.25">
      <c r="A161" s="146" t="s">
        <v>232</v>
      </c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146"/>
      <c r="N161" s="146"/>
      <c r="O161" s="146"/>
      <c r="P161" s="146"/>
      <c r="Q161" s="146"/>
      <c r="R161" s="146"/>
      <c r="S161" s="146"/>
      <c r="T161" s="146"/>
      <c r="U161" s="146"/>
      <c r="V161" s="146"/>
    </row>
    <row r="162" spans="1:24" x14ac:dyDescent="0.25">
      <c r="A162" s="125">
        <v>130</v>
      </c>
      <c r="B162" s="62" t="s">
        <v>188</v>
      </c>
      <c r="C162" s="63" t="s">
        <v>189</v>
      </c>
      <c r="D162" s="2">
        <v>416818747.45999998</v>
      </c>
      <c r="E162" s="3">
        <f t="shared" ref="E162:E170" si="107">(D162/$D$171)</f>
        <v>9.0625311210309461E-3</v>
      </c>
      <c r="F162" s="2">
        <v>1021.66</v>
      </c>
      <c r="G162" s="2">
        <v>1021.66</v>
      </c>
      <c r="H162" s="60">
        <v>21</v>
      </c>
      <c r="I162" s="5">
        <v>1.6999999999999999E-3</v>
      </c>
      <c r="J162" s="5">
        <v>5.9400000000000001E-2</v>
      </c>
      <c r="K162" s="2">
        <v>417673706</v>
      </c>
      <c r="L162" s="3">
        <f t="shared" ref="L162:L170" si="108">(K162/$K$171)</f>
        <v>9.0447145149240831E-3</v>
      </c>
      <c r="M162" s="2">
        <v>1023.74</v>
      </c>
      <c r="N162" s="2">
        <v>1023.74</v>
      </c>
      <c r="O162" s="60">
        <v>21</v>
      </c>
      <c r="P162" s="5">
        <v>1.9E-3</v>
      </c>
      <c r="Q162" s="5">
        <v>5.9299999999999999E-2</v>
      </c>
      <c r="R162" s="84">
        <f t="shared" ref="R162" si="109">((K162-D162)/D162)</f>
        <v>2.051151838082973E-3</v>
      </c>
      <c r="S162" s="84">
        <f t="shared" ref="S162" si="110">((N162-G162)/G162)</f>
        <v>2.0359023549909373E-3</v>
      </c>
      <c r="T162" s="84">
        <f t="shared" ref="T162" si="111">((O162-H162)/H162)</f>
        <v>0</v>
      </c>
      <c r="U162" s="84">
        <f t="shared" ref="U162" si="112">P162-I162</f>
        <v>2.0000000000000009E-4</v>
      </c>
      <c r="V162" s="86">
        <f t="shared" ref="V162" si="113">Q162-J162</f>
        <v>-1.0000000000000286E-4</v>
      </c>
      <c r="X162" s="73"/>
    </row>
    <row r="163" spans="1:24" x14ac:dyDescent="0.25">
      <c r="A163" s="126">
        <v>131</v>
      </c>
      <c r="B163" s="62" t="s">
        <v>190</v>
      </c>
      <c r="C163" s="63" t="s">
        <v>58</v>
      </c>
      <c r="D163" s="2">
        <v>51874069</v>
      </c>
      <c r="E163" s="3">
        <f t="shared" si="107"/>
        <v>1.1278532157004786E-3</v>
      </c>
      <c r="F163" s="17">
        <v>110.45</v>
      </c>
      <c r="G163" s="17">
        <v>110.45</v>
      </c>
      <c r="H163" s="60">
        <v>59</v>
      </c>
      <c r="I163" s="5">
        <v>2.8999999999999998E-3</v>
      </c>
      <c r="J163" s="5">
        <v>0.11509999999999999</v>
      </c>
      <c r="K163" s="2">
        <v>51945581.469999999</v>
      </c>
      <c r="L163" s="3">
        <f t="shared" si="108"/>
        <v>1.1248803742217866E-3</v>
      </c>
      <c r="M163" s="17">
        <v>110.45</v>
      </c>
      <c r="N163" s="17">
        <v>110.45</v>
      </c>
      <c r="O163" s="60">
        <v>59</v>
      </c>
      <c r="P163" s="5">
        <v>1.8E-3</v>
      </c>
      <c r="Q163" s="5">
        <v>0.1164</v>
      </c>
      <c r="R163" s="84">
        <f t="shared" ref="R163:R171" si="114">((K163-D163)/D163)</f>
        <v>1.3785783798837682E-3</v>
      </c>
      <c r="S163" s="84">
        <f t="shared" ref="S163:S171" si="115">((N163-G163)/G163)</f>
        <v>0</v>
      </c>
      <c r="T163" s="84">
        <f t="shared" ref="T163:T171" si="116">((O163-H163)/H163)</f>
        <v>0</v>
      </c>
      <c r="U163" s="84">
        <f t="shared" ref="U163:U171" si="117">P163-I163</f>
        <v>-1.0999999999999998E-3</v>
      </c>
      <c r="V163" s="86">
        <f t="shared" ref="V163:V171" si="118">Q163-J163</f>
        <v>1.3000000000000095E-3</v>
      </c>
    </row>
    <row r="164" spans="1:24" x14ac:dyDescent="0.25">
      <c r="A164" s="126">
        <v>132</v>
      </c>
      <c r="B164" s="128" t="s">
        <v>191</v>
      </c>
      <c r="C164" s="63" t="s">
        <v>64</v>
      </c>
      <c r="D164" s="9">
        <v>55243955.659999996</v>
      </c>
      <c r="E164" s="3">
        <f t="shared" si="107"/>
        <v>1.2011217596820032E-3</v>
      </c>
      <c r="F164" s="17">
        <v>103.09</v>
      </c>
      <c r="G164" s="17">
        <v>109.46</v>
      </c>
      <c r="H164" s="60">
        <v>10</v>
      </c>
      <c r="I164" s="5">
        <v>2.5999999999999999E-3</v>
      </c>
      <c r="J164" s="5">
        <v>7.2099999999999997E-2</v>
      </c>
      <c r="K164" s="9">
        <v>53956633.969999999</v>
      </c>
      <c r="L164" s="3">
        <f t="shared" si="108"/>
        <v>1.1684296699416958E-3</v>
      </c>
      <c r="M164" s="17">
        <v>103.23</v>
      </c>
      <c r="N164" s="17">
        <v>109.9</v>
      </c>
      <c r="O164" s="60">
        <v>10</v>
      </c>
      <c r="P164" s="5">
        <v>2.5999999999999999E-3</v>
      </c>
      <c r="Q164" s="5">
        <v>7.4999999999999997E-2</v>
      </c>
      <c r="R164" s="84">
        <f t="shared" si="114"/>
        <v>-2.330248937861807E-2</v>
      </c>
      <c r="S164" s="84">
        <f t="shared" si="115"/>
        <v>4.0197332358853644E-3</v>
      </c>
      <c r="T164" s="84">
        <f t="shared" si="116"/>
        <v>0</v>
      </c>
      <c r="U164" s="84">
        <f t="shared" si="117"/>
        <v>0</v>
      </c>
      <c r="V164" s="86">
        <f t="shared" si="118"/>
        <v>2.8999999999999998E-3</v>
      </c>
    </row>
    <row r="165" spans="1:24" x14ac:dyDescent="0.25">
      <c r="A165" s="126">
        <v>133</v>
      </c>
      <c r="B165" s="62" t="s">
        <v>192</v>
      </c>
      <c r="C165" s="63" t="s">
        <v>27</v>
      </c>
      <c r="D165" s="2">
        <v>8760513528.2099991</v>
      </c>
      <c r="E165" s="3">
        <f t="shared" si="107"/>
        <v>0.19047230233624421</v>
      </c>
      <c r="F165" s="17">
        <v>130.43</v>
      </c>
      <c r="G165" s="17">
        <v>130.43</v>
      </c>
      <c r="H165" s="60">
        <v>590</v>
      </c>
      <c r="I165" s="5">
        <v>2.3999999999999998E-3</v>
      </c>
      <c r="J165" s="5">
        <v>0.13020000000000001</v>
      </c>
      <c r="K165" s="2">
        <v>8692359224.2900009</v>
      </c>
      <c r="L165" s="3">
        <f t="shared" si="108"/>
        <v>0.1882328394521201</v>
      </c>
      <c r="M165" s="17">
        <v>130.74</v>
      </c>
      <c r="N165" s="17">
        <v>130.74</v>
      </c>
      <c r="O165" s="60">
        <v>595</v>
      </c>
      <c r="P165" s="5">
        <v>2.5000000000000001E-3</v>
      </c>
      <c r="Q165" s="5">
        <v>0.1273</v>
      </c>
      <c r="R165" s="84">
        <f t="shared" si="114"/>
        <v>-7.7797156183290394E-3</v>
      </c>
      <c r="S165" s="84">
        <f t="shared" si="115"/>
        <v>2.376753814306542E-3</v>
      </c>
      <c r="T165" s="84">
        <f t="shared" si="116"/>
        <v>8.4745762711864406E-3</v>
      </c>
      <c r="U165" s="84">
        <f t="shared" si="117"/>
        <v>1.0000000000000026E-4</v>
      </c>
      <c r="V165" s="86">
        <f t="shared" si="118"/>
        <v>-2.9000000000000137E-3</v>
      </c>
    </row>
    <row r="166" spans="1:24" x14ac:dyDescent="0.25">
      <c r="A166" s="126">
        <v>134</v>
      </c>
      <c r="B166" s="62" t="s">
        <v>193</v>
      </c>
      <c r="C166" s="63" t="s">
        <v>186</v>
      </c>
      <c r="D166" s="2">
        <v>17961092794.66</v>
      </c>
      <c r="E166" s="3">
        <f t="shared" si="107"/>
        <v>0.39051257509704851</v>
      </c>
      <c r="F166" s="17">
        <v>1187.4100000000001</v>
      </c>
      <c r="G166" s="17">
        <v>1187.4100000000001</v>
      </c>
      <c r="H166" s="60">
        <v>7159</v>
      </c>
      <c r="I166" s="5">
        <v>-2.1600000000000001E-2</v>
      </c>
      <c r="J166" s="5">
        <v>8.5999999999999993E-2</v>
      </c>
      <c r="K166" s="2">
        <v>18143045231.43</v>
      </c>
      <c r="L166" s="3">
        <f t="shared" si="108"/>
        <v>0.39288722797800224</v>
      </c>
      <c r="M166" s="17">
        <v>1189.05</v>
      </c>
      <c r="N166" s="17">
        <v>1189.05</v>
      </c>
      <c r="O166" s="60">
        <v>7170</v>
      </c>
      <c r="P166" s="5">
        <v>1.4E-3</v>
      </c>
      <c r="Q166" s="5">
        <v>8.7400000000000005E-2</v>
      </c>
      <c r="R166" s="84">
        <f t="shared" si="114"/>
        <v>1.0130365610276042E-2</v>
      </c>
      <c r="S166" s="84">
        <f t="shared" si="115"/>
        <v>1.3811573087643464E-3</v>
      </c>
      <c r="T166" s="84">
        <f t="shared" si="116"/>
        <v>1.5365274479675933E-3</v>
      </c>
      <c r="U166" s="84">
        <f t="shared" si="117"/>
        <v>2.3E-2</v>
      </c>
      <c r="V166" s="86">
        <f t="shared" si="118"/>
        <v>1.4000000000000123E-3</v>
      </c>
    </row>
    <row r="167" spans="1:24" x14ac:dyDescent="0.25">
      <c r="A167" s="127">
        <v>135</v>
      </c>
      <c r="B167" s="62" t="s">
        <v>194</v>
      </c>
      <c r="C167" s="63" t="s">
        <v>78</v>
      </c>
      <c r="D167" s="2">
        <v>765166034.13999999</v>
      </c>
      <c r="E167" s="3">
        <f t="shared" si="107"/>
        <v>1.6636346228200861E-2</v>
      </c>
      <c r="F167" s="14">
        <v>102.44</v>
      </c>
      <c r="G167" s="14">
        <v>102.44</v>
      </c>
      <c r="H167" s="60">
        <v>510</v>
      </c>
      <c r="I167" s="5">
        <v>2.5000000000000001E-3</v>
      </c>
      <c r="J167" s="5">
        <v>8.3199999999999996E-2</v>
      </c>
      <c r="K167" s="2">
        <v>771609354.98000002</v>
      </c>
      <c r="L167" s="3">
        <f t="shared" si="108"/>
        <v>1.6709182868310163E-2</v>
      </c>
      <c r="M167" s="14">
        <v>102.55</v>
      </c>
      <c r="N167" s="14">
        <v>102.55</v>
      </c>
      <c r="O167" s="60">
        <v>512</v>
      </c>
      <c r="P167" s="5">
        <v>3.5999999999999999E-3</v>
      </c>
      <c r="Q167" s="5">
        <v>8.4199999999999997E-2</v>
      </c>
      <c r="R167" s="84">
        <f t="shared" si="114"/>
        <v>8.4208139835191889E-3</v>
      </c>
      <c r="S167" s="84">
        <f t="shared" si="115"/>
        <v>1.0737992971495455E-3</v>
      </c>
      <c r="T167" s="84">
        <f t="shared" si="116"/>
        <v>3.9215686274509803E-3</v>
      </c>
      <c r="U167" s="84">
        <f t="shared" si="117"/>
        <v>1.0999999999999998E-3</v>
      </c>
      <c r="V167" s="86">
        <f t="shared" si="118"/>
        <v>1.0000000000000009E-3</v>
      </c>
    </row>
    <row r="168" spans="1:24" ht="15.75" customHeight="1" x14ac:dyDescent="0.25">
      <c r="A168" s="127">
        <v>136</v>
      </c>
      <c r="B168" s="62" t="s">
        <v>195</v>
      </c>
      <c r="C168" s="63" t="s">
        <v>42</v>
      </c>
      <c r="D168" s="2">
        <v>8321809615.9300003</v>
      </c>
      <c r="E168" s="3">
        <f t="shared" si="107"/>
        <v>0.18093394092092169</v>
      </c>
      <c r="F168" s="14">
        <v>126.65</v>
      </c>
      <c r="G168" s="14">
        <v>126.65</v>
      </c>
      <c r="H168" s="60">
        <v>1916</v>
      </c>
      <c r="I168" s="5">
        <v>1.2999999999999999E-3</v>
      </c>
      <c r="J168" s="5">
        <v>4.65E-2</v>
      </c>
      <c r="K168" s="2">
        <v>8318407056.1800003</v>
      </c>
      <c r="L168" s="3">
        <f t="shared" si="108"/>
        <v>0.18013491383649169</v>
      </c>
      <c r="M168" s="14">
        <v>126.81</v>
      </c>
      <c r="N168" s="14">
        <v>126.81</v>
      </c>
      <c r="O168" s="60">
        <v>1922</v>
      </c>
      <c r="P168" s="5">
        <v>1.2999999999999999E-3</v>
      </c>
      <c r="Q168" s="5">
        <v>4.7800000000000002E-2</v>
      </c>
      <c r="R168" s="84">
        <f t="shared" si="114"/>
        <v>-4.0887257784492687E-4</v>
      </c>
      <c r="S168" s="84">
        <f t="shared" si="115"/>
        <v>1.2633241215949198E-3</v>
      </c>
      <c r="T168" s="84">
        <f t="shared" si="116"/>
        <v>3.1315240083507308E-3</v>
      </c>
      <c r="U168" s="84">
        <f t="shared" si="117"/>
        <v>0</v>
      </c>
      <c r="V168" s="86">
        <f t="shared" si="118"/>
        <v>1.3000000000000025E-3</v>
      </c>
    </row>
    <row r="169" spans="1:24" x14ac:dyDescent="0.25">
      <c r="A169" s="127">
        <v>137</v>
      </c>
      <c r="B169" s="62" t="s">
        <v>196</v>
      </c>
      <c r="C169" s="63" t="s">
        <v>45</v>
      </c>
      <c r="D169" s="2">
        <v>5114956673.2399998</v>
      </c>
      <c r="E169" s="3">
        <f t="shared" si="107"/>
        <v>0.11121009867343076</v>
      </c>
      <c r="F169" s="14">
        <v>1.1518999999999999</v>
      </c>
      <c r="G169" s="14">
        <v>1.1518999999999999</v>
      </c>
      <c r="H169" s="60">
        <v>551</v>
      </c>
      <c r="I169" s="5">
        <v>9.9699999999999997E-2</v>
      </c>
      <c r="J169" s="5">
        <v>0.11119999999999999</v>
      </c>
      <c r="K169" s="2">
        <v>5171568820.8699999</v>
      </c>
      <c r="L169" s="3">
        <f t="shared" si="108"/>
        <v>0.11199020409259786</v>
      </c>
      <c r="M169" s="14">
        <v>1.1539999999999999</v>
      </c>
      <c r="N169" s="14">
        <v>1.1539999999999999</v>
      </c>
      <c r="O169" s="60">
        <v>551</v>
      </c>
      <c r="P169" s="5">
        <v>9.9599999999999994E-2</v>
      </c>
      <c r="Q169" s="5">
        <v>0.1108</v>
      </c>
      <c r="R169" s="84">
        <f t="shared" si="114"/>
        <v>1.106796230086929E-2</v>
      </c>
      <c r="S169" s="84">
        <f t="shared" si="115"/>
        <v>1.8230749196978826E-3</v>
      </c>
      <c r="T169" s="84">
        <f t="shared" si="116"/>
        <v>0</v>
      </c>
      <c r="U169" s="84">
        <f t="shared" si="117"/>
        <v>-1.0000000000000286E-4</v>
      </c>
      <c r="V169" s="86">
        <f t="shared" si="118"/>
        <v>-3.9999999999999758E-4</v>
      </c>
    </row>
    <row r="170" spans="1:24" x14ac:dyDescent="0.25">
      <c r="A170" s="125">
        <v>138</v>
      </c>
      <c r="B170" s="62" t="s">
        <v>197</v>
      </c>
      <c r="C170" s="63" t="s">
        <v>198</v>
      </c>
      <c r="D170" s="13">
        <v>331966321.13</v>
      </c>
      <c r="E170" s="3">
        <f t="shared" si="107"/>
        <v>7.2176578781727773E-3</v>
      </c>
      <c r="F170" s="18">
        <v>99.088800000000006</v>
      </c>
      <c r="G170" s="18">
        <v>99.121600000000001</v>
      </c>
      <c r="H170" s="61">
        <v>126</v>
      </c>
      <c r="I170" s="12">
        <v>5.9500000000000004E-4</v>
      </c>
      <c r="J170" s="12">
        <v>-9.1120000000000003E-3</v>
      </c>
      <c r="K170" s="2">
        <v>331966321.13</v>
      </c>
      <c r="L170" s="3">
        <f t="shared" si="108"/>
        <v>7.1887230631426441E-3</v>
      </c>
      <c r="M170" s="18">
        <v>99.184100000000001</v>
      </c>
      <c r="N170" s="18">
        <v>99.217399999999998</v>
      </c>
      <c r="O170" s="61">
        <v>126</v>
      </c>
      <c r="P170" s="5">
        <v>9.5299999999999996E-4</v>
      </c>
      <c r="Q170" s="12">
        <v>-8.1589999999999996E-3</v>
      </c>
      <c r="R170" s="84">
        <f t="shared" si="114"/>
        <v>0</v>
      </c>
      <c r="S170" s="84">
        <f t="shared" si="115"/>
        <v>9.664896450420191E-4</v>
      </c>
      <c r="T170" s="84">
        <f t="shared" si="116"/>
        <v>0</v>
      </c>
      <c r="U170" s="84">
        <f t="shared" si="117"/>
        <v>3.5799999999999992E-4</v>
      </c>
      <c r="V170" s="86">
        <f t="shared" si="118"/>
        <v>9.5300000000000072E-4</v>
      </c>
    </row>
    <row r="171" spans="1:24" x14ac:dyDescent="0.25">
      <c r="A171" s="88"/>
      <c r="B171" s="19"/>
      <c r="C171" s="69" t="s">
        <v>46</v>
      </c>
      <c r="D171" s="59">
        <f>SUM(D158:D170)</f>
        <v>45993634878.969994</v>
      </c>
      <c r="E171" s="116">
        <f>(D171/$D$172)</f>
        <v>2.2971661548472661E-2</v>
      </c>
      <c r="F171" s="30"/>
      <c r="G171" s="34"/>
      <c r="H171" s="71">
        <f>SUM(H158:H170)</f>
        <v>27198</v>
      </c>
      <c r="I171" s="35"/>
      <c r="J171" s="35"/>
      <c r="K171" s="59">
        <f>SUM(K158:K170)</f>
        <v>46178760569.040001</v>
      </c>
      <c r="L171" s="116">
        <f>(K171/$K$172)</f>
        <v>2.3181499370063533E-2</v>
      </c>
      <c r="M171" s="30"/>
      <c r="N171" s="34"/>
      <c r="O171" s="71">
        <f>SUM(O158:O170)</f>
        <v>27219</v>
      </c>
      <c r="P171" s="35"/>
      <c r="Q171" s="35"/>
      <c r="R171" s="84">
        <f t="shared" si="114"/>
        <v>4.0250284752913427E-3</v>
      </c>
      <c r="S171" s="84" t="e">
        <f t="shared" si="115"/>
        <v>#DIV/0!</v>
      </c>
      <c r="T171" s="84">
        <f t="shared" si="116"/>
        <v>7.7211559673505403E-4</v>
      </c>
      <c r="U171" s="84">
        <f t="shared" si="117"/>
        <v>0</v>
      </c>
      <c r="V171" s="86">
        <f t="shared" si="118"/>
        <v>0</v>
      </c>
    </row>
    <row r="172" spans="1:24" x14ac:dyDescent="0.25">
      <c r="A172" s="89"/>
      <c r="B172" s="38"/>
      <c r="C172" s="70" t="s">
        <v>199</v>
      </c>
      <c r="D172" s="72">
        <f>SUM(D22,D54,D88,D114,D121,D148,D154,D171)</f>
        <v>2002190167303.2449</v>
      </c>
      <c r="E172" s="39"/>
      <c r="F172" s="39"/>
      <c r="G172" s="40"/>
      <c r="H172" s="72">
        <f>SUM(H22,H54,H88,H114,H121,H148,H154,H171)</f>
        <v>753408</v>
      </c>
      <c r="I172" s="41"/>
      <c r="J172" s="41"/>
      <c r="K172" s="72">
        <f>SUM(K22,K54,K88,K114,K121,K148,K154,K171)</f>
        <v>1992052361749.9485</v>
      </c>
      <c r="L172" s="39"/>
      <c r="M172" s="39"/>
      <c r="N172" s="40"/>
      <c r="O172" s="72">
        <f>SUM(O22,O54,O88,O114,O121,O148,O154,O171)</f>
        <v>757183</v>
      </c>
      <c r="P172" s="42"/>
      <c r="Q172" s="72"/>
      <c r="R172" s="25"/>
      <c r="S172" s="25"/>
      <c r="T172" s="25"/>
      <c r="U172" s="25"/>
      <c r="V172" s="25"/>
    </row>
    <row r="173" spans="1:24" ht="6.75" customHeight="1" x14ac:dyDescent="0.25">
      <c r="A173" s="135"/>
      <c r="B173" s="135"/>
      <c r="C173" s="135"/>
      <c r="D173" s="135"/>
      <c r="E173" s="135"/>
      <c r="F173" s="135"/>
      <c r="G173" s="135"/>
      <c r="H173" s="135"/>
      <c r="I173" s="135"/>
      <c r="J173" s="135"/>
      <c r="K173" s="135"/>
      <c r="L173" s="135"/>
      <c r="M173" s="135"/>
      <c r="N173" s="135"/>
      <c r="O173" s="135"/>
      <c r="P173" s="135"/>
      <c r="Q173" s="135"/>
      <c r="R173" s="135"/>
      <c r="S173" s="135"/>
      <c r="T173" s="135"/>
      <c r="U173" s="135"/>
      <c r="V173" s="19"/>
    </row>
    <row r="174" spans="1:24" ht="15.75" x14ac:dyDescent="0.25">
      <c r="A174" s="142" t="s">
        <v>200</v>
      </c>
      <c r="B174" s="142"/>
      <c r="C174" s="142"/>
      <c r="D174" s="142"/>
      <c r="E174" s="142"/>
      <c r="F174" s="142"/>
      <c r="G174" s="142"/>
      <c r="H174" s="142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</row>
    <row r="175" spans="1:24" x14ac:dyDescent="0.25">
      <c r="A175" s="127">
        <v>1</v>
      </c>
      <c r="B175" s="62" t="s">
        <v>201</v>
      </c>
      <c r="C175" s="63" t="s">
        <v>202</v>
      </c>
      <c r="D175" s="2">
        <v>92548651821</v>
      </c>
      <c r="E175" s="3">
        <f>(D175/$D$177)</f>
        <v>0.97870710423930085</v>
      </c>
      <c r="F175" s="14">
        <v>108.4</v>
      </c>
      <c r="G175" s="14">
        <v>108.4</v>
      </c>
      <c r="H175" s="66">
        <v>0</v>
      </c>
      <c r="I175" s="20">
        <v>0</v>
      </c>
      <c r="J175" s="20">
        <v>0.13800000000000001</v>
      </c>
      <c r="K175" s="2">
        <v>92548651821</v>
      </c>
      <c r="L175" s="3">
        <f>(K175/$K$177)</f>
        <v>0.97864016835371492</v>
      </c>
      <c r="M175" s="14">
        <v>108.4</v>
      </c>
      <c r="N175" s="14">
        <v>108.4</v>
      </c>
      <c r="O175" s="66">
        <v>0</v>
      </c>
      <c r="P175" s="20">
        <v>0</v>
      </c>
      <c r="Q175" s="20">
        <v>0.13800000000000001</v>
      </c>
      <c r="R175" s="84">
        <f t="shared" ref="R175:R176" si="119">((K175-D175)/D175)</f>
        <v>0</v>
      </c>
      <c r="S175" s="84">
        <f t="shared" ref="S175:S176" si="120">((N175-G175)/G175)</f>
        <v>0</v>
      </c>
      <c r="T175" s="84" t="e">
        <f t="shared" ref="T175:T176" si="121">((O175-H175)/H175)</f>
        <v>#DIV/0!</v>
      </c>
      <c r="U175" s="84">
        <f t="shared" ref="U175:U176" si="122">P175-I175</f>
        <v>0</v>
      </c>
      <c r="V175" s="86">
        <f t="shared" ref="V175:V176" si="123">Q175-J175</f>
        <v>0</v>
      </c>
    </row>
    <row r="176" spans="1:24" x14ac:dyDescent="0.25">
      <c r="A176" s="127">
        <v>2</v>
      </c>
      <c r="B176" s="62" t="s">
        <v>203</v>
      </c>
      <c r="C176" s="63" t="s">
        <v>45</v>
      </c>
      <c r="D176" s="2">
        <v>2013502086.05</v>
      </c>
      <c r="E176" s="3">
        <f>(D176/$D$177)</f>
        <v>2.129289576069909E-2</v>
      </c>
      <c r="F176" s="21">
        <v>1000000</v>
      </c>
      <c r="G176" s="21">
        <v>1000000</v>
      </c>
      <c r="H176" s="66">
        <v>0</v>
      </c>
      <c r="I176" s="20">
        <v>0.16689999999999999</v>
      </c>
      <c r="J176" s="20">
        <v>0.16689999999999999</v>
      </c>
      <c r="K176" s="2">
        <v>2019969837.6500001</v>
      </c>
      <c r="L176" s="3">
        <f>(K176/$K$177)</f>
        <v>2.1359831646285157E-2</v>
      </c>
      <c r="M176" s="21">
        <v>1000000</v>
      </c>
      <c r="N176" s="21">
        <v>1000000</v>
      </c>
      <c r="O176" s="66">
        <v>0</v>
      </c>
      <c r="P176" s="20">
        <v>0.16700000000000001</v>
      </c>
      <c r="Q176" s="20">
        <v>0.16700000000000001</v>
      </c>
      <c r="R176" s="84">
        <f t="shared" si="119"/>
        <v>3.212190165985025E-3</v>
      </c>
      <c r="S176" s="84">
        <f t="shared" si="120"/>
        <v>0</v>
      </c>
      <c r="T176" s="84" t="e">
        <f t="shared" si="121"/>
        <v>#DIV/0!</v>
      </c>
      <c r="U176" s="84">
        <f t="shared" si="122"/>
        <v>1.0000000000001674E-4</v>
      </c>
      <c r="V176" s="86">
        <f t="shared" si="123"/>
        <v>1.0000000000001674E-4</v>
      </c>
    </row>
    <row r="177" spans="1:22" x14ac:dyDescent="0.25">
      <c r="A177" s="38"/>
      <c r="B177" s="38"/>
      <c r="C177" s="70" t="s">
        <v>204</v>
      </c>
      <c r="D177" s="76">
        <f>SUM(D175:D176)</f>
        <v>94562153907.050003</v>
      </c>
      <c r="E177" s="24"/>
      <c r="F177" s="22"/>
      <c r="G177" s="22"/>
      <c r="H177" s="76">
        <f>SUM(H175:H176)</f>
        <v>0</v>
      </c>
      <c r="I177" s="23"/>
      <c r="J177" s="23"/>
      <c r="K177" s="76">
        <f>SUM(K175:K176)</f>
        <v>94568621658.649994</v>
      </c>
      <c r="L177" s="24"/>
      <c r="M177" s="22"/>
      <c r="N177" s="22"/>
      <c r="O177" s="23"/>
      <c r="P177" s="23"/>
      <c r="Q177" s="76"/>
      <c r="R177" s="25">
        <f>((K177-D177)/D177)</f>
        <v>6.8396830367763509E-5</v>
      </c>
      <c r="S177" s="26"/>
      <c r="T177" s="26"/>
      <c r="U177" s="25">
        <f t="shared" ref="U177:V177" si="124">O177-H177</f>
        <v>0</v>
      </c>
      <c r="V177" s="90">
        <f t="shared" si="124"/>
        <v>0</v>
      </c>
    </row>
    <row r="178" spans="1:22" ht="8.25" customHeight="1" x14ac:dyDescent="0.25">
      <c r="A178" s="147"/>
      <c r="B178" s="147"/>
      <c r="C178" s="147"/>
      <c r="D178" s="147"/>
      <c r="E178" s="147"/>
      <c r="F178" s="147"/>
      <c r="G178" s="147"/>
      <c r="H178" s="147"/>
      <c r="I178" s="147"/>
      <c r="J178" s="147"/>
      <c r="K178" s="147"/>
      <c r="L178" s="147"/>
      <c r="M178" s="147"/>
      <c r="N178" s="147"/>
      <c r="O178" s="147"/>
      <c r="P178" s="147"/>
      <c r="Q178" s="147"/>
      <c r="R178" s="147"/>
      <c r="S178" s="147"/>
      <c r="T178" s="147"/>
      <c r="U178" s="147"/>
      <c r="V178" s="147"/>
    </row>
    <row r="179" spans="1:22" ht="15.75" x14ac:dyDescent="0.25">
      <c r="A179" s="142" t="s">
        <v>205</v>
      </c>
      <c r="B179" s="142"/>
      <c r="C179" s="142"/>
      <c r="D179" s="142"/>
      <c r="E179" s="142"/>
      <c r="F179" s="142"/>
      <c r="G179" s="142"/>
      <c r="H179" s="142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</row>
    <row r="180" spans="1:22" x14ac:dyDescent="0.25">
      <c r="A180" s="126">
        <v>1</v>
      </c>
      <c r="B180" s="62" t="s">
        <v>206</v>
      </c>
      <c r="C180" s="63" t="s">
        <v>74</v>
      </c>
      <c r="D180" s="27">
        <v>681444400.55532622</v>
      </c>
      <c r="E180" s="10">
        <f t="shared" ref="E180:E191" si="125">(D180/$D$192)</f>
        <v>7.2452479313295626E-2</v>
      </c>
      <c r="F180" s="21">
        <v>157.27613289218283</v>
      </c>
      <c r="G180" s="21">
        <v>160.25134024634499</v>
      </c>
      <c r="H180" s="65">
        <v>103</v>
      </c>
      <c r="I180" s="28">
        <v>-2.4204883183391899E-4</v>
      </c>
      <c r="J180" s="28">
        <v>0.24887377977389899</v>
      </c>
      <c r="K180" s="27">
        <v>681313472.30488682</v>
      </c>
      <c r="L180" s="10">
        <f t="shared" ref="L180:L191" si="126">(K180/$K$192)</f>
        <v>7.3401294570151335E-2</v>
      </c>
      <c r="M180" s="21">
        <v>157.27613289218283</v>
      </c>
      <c r="N180" s="21">
        <v>160.25134024634499</v>
      </c>
      <c r="O180" s="65">
        <v>103</v>
      </c>
      <c r="P180" s="28">
        <v>-1.9779729093950881E-2</v>
      </c>
      <c r="Q180" s="28">
        <v>0.22909405067994812</v>
      </c>
      <c r="R180" s="84">
        <f t="shared" ref="R180" si="127">((K180-D180)/D180)</f>
        <v>-1.9213343059640479E-4</v>
      </c>
      <c r="S180" s="84">
        <f t="shared" ref="S180" si="128">((N180-G180)/G180)</f>
        <v>0</v>
      </c>
      <c r="T180" s="84">
        <f t="shared" ref="T180" si="129">((O180-H180)/H180)</f>
        <v>0</v>
      </c>
      <c r="U180" s="84">
        <f t="shared" ref="U180" si="130">P180-I180</f>
        <v>-1.9537680262116962E-2</v>
      </c>
      <c r="V180" s="86">
        <f t="shared" ref="V180" si="131">Q180-J180</f>
        <v>-1.9779729093950871E-2</v>
      </c>
    </row>
    <row r="181" spans="1:22" x14ac:dyDescent="0.25">
      <c r="A181" s="126">
        <v>2</v>
      </c>
      <c r="B181" s="62" t="s">
        <v>207</v>
      </c>
      <c r="C181" s="63" t="s">
        <v>186</v>
      </c>
      <c r="D181" s="27">
        <v>701472545.01999998</v>
      </c>
      <c r="E181" s="10">
        <f t="shared" si="125"/>
        <v>7.4581910153622352E-2</v>
      </c>
      <c r="F181" s="21">
        <v>19.95</v>
      </c>
      <c r="G181" s="21">
        <v>22.05</v>
      </c>
      <c r="H181" s="65">
        <v>138</v>
      </c>
      <c r="I181" s="28">
        <v>-1.0200000000000001E-2</v>
      </c>
      <c r="J181" s="28">
        <v>0.35289999999999999</v>
      </c>
      <c r="K181" s="27">
        <v>701376425.23000002</v>
      </c>
      <c r="L181" s="10">
        <f t="shared" si="126"/>
        <v>7.5562776439314069E-2</v>
      </c>
      <c r="M181" s="21">
        <v>19.95</v>
      </c>
      <c r="N181" s="21">
        <v>22.05</v>
      </c>
      <c r="O181" s="65">
        <v>138</v>
      </c>
      <c r="P181" s="28">
        <v>-1E-4</v>
      </c>
      <c r="Q181" s="28">
        <v>0.35270000000000001</v>
      </c>
      <c r="R181" s="84">
        <f t="shared" ref="R181:R192" si="132">((K181-D181)/D181)</f>
        <v>-1.3702573348358394E-4</v>
      </c>
      <c r="S181" s="84">
        <f t="shared" ref="S181:S192" si="133">((N181-G181)/G181)</f>
        <v>0</v>
      </c>
      <c r="T181" s="84">
        <f t="shared" ref="T181:T192" si="134">((O181-H181)/H181)</f>
        <v>0</v>
      </c>
      <c r="U181" s="84">
        <f t="shared" ref="U181:U192" si="135">P181-I181</f>
        <v>1.0100000000000001E-2</v>
      </c>
      <c r="V181" s="86">
        <f t="shared" ref="V181:V192" si="136">Q181-J181</f>
        <v>-1.9999999999997797E-4</v>
      </c>
    </row>
    <row r="182" spans="1:22" x14ac:dyDescent="0.25">
      <c r="A182" s="127">
        <v>3</v>
      </c>
      <c r="B182" s="62" t="s">
        <v>208</v>
      </c>
      <c r="C182" s="63" t="s">
        <v>36</v>
      </c>
      <c r="D182" s="27">
        <v>282455308.49000001</v>
      </c>
      <c r="E182" s="10">
        <f t="shared" si="125"/>
        <v>3.0031191654998048E-2</v>
      </c>
      <c r="F182" s="21">
        <v>21.074822000000001</v>
      </c>
      <c r="G182" s="21">
        <v>21.491205999999998</v>
      </c>
      <c r="H182" s="65">
        <v>65</v>
      </c>
      <c r="I182" s="28">
        <v>-4.6659918185974147E-2</v>
      </c>
      <c r="J182" s="28">
        <v>0.48852372326450166</v>
      </c>
      <c r="K182" s="27">
        <v>281560966.86000001</v>
      </c>
      <c r="L182" s="10">
        <f t="shared" si="126"/>
        <v>3.033396565318329E-2</v>
      </c>
      <c r="M182" s="21">
        <v>21.008092999999999</v>
      </c>
      <c r="N182" s="21">
        <v>21.433449</v>
      </c>
      <c r="O182" s="65">
        <v>65</v>
      </c>
      <c r="P182" s="28">
        <v>8.0754192534415736E-3</v>
      </c>
      <c r="Q182" s="28">
        <v>0.48381059275166094</v>
      </c>
      <c r="R182" s="84">
        <f t="shared" si="132"/>
        <v>-3.1663119903149505E-3</v>
      </c>
      <c r="S182" s="84">
        <f t="shared" si="133"/>
        <v>-2.6874713312970305E-3</v>
      </c>
      <c r="T182" s="84">
        <f t="shared" si="134"/>
        <v>0</v>
      </c>
      <c r="U182" s="84">
        <f t="shared" si="135"/>
        <v>5.4735337439415721E-2</v>
      </c>
      <c r="V182" s="86">
        <f t="shared" si="136"/>
        <v>-4.7131305128407242E-3</v>
      </c>
    </row>
    <row r="183" spans="1:22" x14ac:dyDescent="0.25">
      <c r="A183" s="127">
        <v>4</v>
      </c>
      <c r="B183" s="62" t="s">
        <v>209</v>
      </c>
      <c r="C183" s="63" t="s">
        <v>36</v>
      </c>
      <c r="D183" s="27">
        <v>401762131.25</v>
      </c>
      <c r="E183" s="10">
        <f t="shared" si="125"/>
        <v>4.2716122517896991E-2</v>
      </c>
      <c r="F183" s="21">
        <v>30.148515</v>
      </c>
      <c r="G183" s="21">
        <v>30.624922000000002</v>
      </c>
      <c r="H183" s="65">
        <v>61</v>
      </c>
      <c r="I183" s="28">
        <v>2.7748358319452215E-2</v>
      </c>
      <c r="J183" s="28">
        <v>0.72885062533275269</v>
      </c>
      <c r="K183" s="27">
        <v>405006528.89999998</v>
      </c>
      <c r="L183" s="10">
        <f t="shared" si="126"/>
        <v>4.3633371038522738E-2</v>
      </c>
      <c r="M183" s="21">
        <v>30.391977000000001</v>
      </c>
      <c r="N183" s="21">
        <v>30.879258</v>
      </c>
      <c r="O183" s="65">
        <v>61</v>
      </c>
      <c r="P183" s="28">
        <v>-3.1663119903149184E-3</v>
      </c>
      <c r="Q183" s="28">
        <v>0.74281181895888926</v>
      </c>
      <c r="R183" s="84">
        <f t="shared" si="132"/>
        <v>8.0754192534415875E-3</v>
      </c>
      <c r="S183" s="84">
        <f t="shared" si="133"/>
        <v>8.3048701315875523E-3</v>
      </c>
      <c r="T183" s="84">
        <f t="shared" si="134"/>
        <v>0</v>
      </c>
      <c r="U183" s="84">
        <f t="shared" si="135"/>
        <v>-3.0914670309767134E-2</v>
      </c>
      <c r="V183" s="86">
        <f t="shared" si="136"/>
        <v>1.396119362613657E-2</v>
      </c>
    </row>
    <row r="184" spans="1:22" x14ac:dyDescent="0.25">
      <c r="A184" s="132">
        <v>5</v>
      </c>
      <c r="B184" s="62" t="s">
        <v>210</v>
      </c>
      <c r="C184" s="63" t="s">
        <v>211</v>
      </c>
      <c r="D184" s="27">
        <v>621502000</v>
      </c>
      <c r="E184" s="10">
        <f t="shared" si="125"/>
        <v>6.6079287996902311E-2</v>
      </c>
      <c r="F184" s="21">
        <v>14000</v>
      </c>
      <c r="G184" s="21">
        <v>14000</v>
      </c>
      <c r="H184" s="65">
        <v>0</v>
      </c>
      <c r="I184" s="28">
        <v>0</v>
      </c>
      <c r="J184" s="28">
        <v>0</v>
      </c>
      <c r="K184" s="27">
        <v>621502000</v>
      </c>
      <c r="L184" s="10">
        <f t="shared" si="126"/>
        <v>6.6957506687206292E-2</v>
      </c>
      <c r="M184" s="21">
        <v>14000</v>
      </c>
      <c r="N184" s="21">
        <v>14000</v>
      </c>
      <c r="O184" s="65">
        <v>0</v>
      </c>
      <c r="P184" s="28">
        <v>0</v>
      </c>
      <c r="Q184" s="28">
        <v>0</v>
      </c>
      <c r="R184" s="84">
        <f t="shared" si="132"/>
        <v>0</v>
      </c>
      <c r="S184" s="84">
        <f t="shared" si="133"/>
        <v>0</v>
      </c>
      <c r="T184" s="84" t="e">
        <f t="shared" si="134"/>
        <v>#DIV/0!</v>
      </c>
      <c r="U184" s="84">
        <f t="shared" si="135"/>
        <v>0</v>
      </c>
      <c r="V184" s="86">
        <f t="shared" si="136"/>
        <v>0</v>
      </c>
    </row>
    <row r="185" spans="1:22" x14ac:dyDescent="0.25">
      <c r="A185" s="127">
        <v>6</v>
      </c>
      <c r="B185" s="62" t="s">
        <v>212</v>
      </c>
      <c r="C185" s="63" t="s">
        <v>213</v>
      </c>
      <c r="D185" s="27">
        <v>878218550.96000004</v>
      </c>
      <c r="E185" s="10">
        <f t="shared" si="125"/>
        <v>9.337388544704292E-2</v>
      </c>
      <c r="F185" s="21">
        <v>369</v>
      </c>
      <c r="G185" s="21">
        <v>369</v>
      </c>
      <c r="H185" s="65">
        <v>46</v>
      </c>
      <c r="I185" s="28">
        <v>-1.35E-2</v>
      </c>
      <c r="J185" s="28">
        <v>0.53779999999999994</v>
      </c>
      <c r="K185" s="27">
        <v>875557617.89999998</v>
      </c>
      <c r="L185" s="10">
        <f t="shared" si="126"/>
        <v>9.4328184069518137E-2</v>
      </c>
      <c r="M185" s="21">
        <v>400</v>
      </c>
      <c r="N185" s="21">
        <v>400</v>
      </c>
      <c r="O185" s="65">
        <v>46</v>
      </c>
      <c r="P185" s="28">
        <v>3.3E-3</v>
      </c>
      <c r="Q185" s="28">
        <v>0.36809999999999998</v>
      </c>
      <c r="R185" s="84">
        <f t="shared" si="132"/>
        <v>-3.0299212617307361E-3</v>
      </c>
      <c r="S185" s="84">
        <f t="shared" si="133"/>
        <v>8.4010840108401083E-2</v>
      </c>
      <c r="T185" s="84">
        <f t="shared" si="134"/>
        <v>0</v>
      </c>
      <c r="U185" s="84">
        <f t="shared" si="135"/>
        <v>1.6799999999999999E-2</v>
      </c>
      <c r="V185" s="86">
        <f t="shared" si="136"/>
        <v>-0.16969999999999996</v>
      </c>
    </row>
    <row r="186" spans="1:22" x14ac:dyDescent="0.25">
      <c r="A186" s="127">
        <v>7</v>
      </c>
      <c r="B186" s="62" t="s">
        <v>214</v>
      </c>
      <c r="C186" s="63" t="s">
        <v>213</v>
      </c>
      <c r="D186" s="27">
        <v>584827134.61000001</v>
      </c>
      <c r="E186" s="10">
        <f t="shared" si="125"/>
        <v>6.2179945770564446E-2</v>
      </c>
      <c r="F186" s="21">
        <v>385</v>
      </c>
      <c r="G186" s="21">
        <v>385</v>
      </c>
      <c r="H186" s="65">
        <v>377</v>
      </c>
      <c r="I186" s="28">
        <v>-4.4999999999999997E-3</v>
      </c>
      <c r="J186" s="28">
        <v>0.36359999999999998</v>
      </c>
      <c r="K186" s="27">
        <v>583973359.44000006</v>
      </c>
      <c r="L186" s="10">
        <f t="shared" si="126"/>
        <v>6.2914359277772447E-2</v>
      </c>
      <c r="M186" s="21">
        <v>423.5</v>
      </c>
      <c r="N186" s="21">
        <v>423.5</v>
      </c>
      <c r="O186" s="65">
        <v>377</v>
      </c>
      <c r="P186" s="28">
        <v>-3.0000000000000001E-3</v>
      </c>
      <c r="Q186" s="28">
        <v>0.5333</v>
      </c>
      <c r="R186" s="84">
        <f t="shared" si="132"/>
        <v>-1.4598761231715228E-3</v>
      </c>
      <c r="S186" s="84">
        <f t="shared" si="133"/>
        <v>0.1</v>
      </c>
      <c r="T186" s="84">
        <f t="shared" si="134"/>
        <v>0</v>
      </c>
      <c r="U186" s="84">
        <f t="shared" si="135"/>
        <v>1.4999999999999996E-3</v>
      </c>
      <c r="V186" s="86">
        <f t="shared" si="136"/>
        <v>0.16970000000000002</v>
      </c>
    </row>
    <row r="187" spans="1:22" x14ac:dyDescent="0.25">
      <c r="A187" s="126">
        <v>8</v>
      </c>
      <c r="B187" s="62" t="s">
        <v>215</v>
      </c>
      <c r="C187" s="63" t="s">
        <v>216</v>
      </c>
      <c r="D187" s="27">
        <v>258089763.88999999</v>
      </c>
      <c r="E187" s="10">
        <f t="shared" si="125"/>
        <v>2.7440600090007476E-2</v>
      </c>
      <c r="F187" s="21">
        <v>11.4</v>
      </c>
      <c r="G187" s="21">
        <v>11.5</v>
      </c>
      <c r="H187" s="65">
        <v>50</v>
      </c>
      <c r="I187" s="28">
        <v>-4.3E-3</v>
      </c>
      <c r="J187" s="28">
        <v>0.94730000000000003</v>
      </c>
      <c r="K187" s="27">
        <v>257878323.47999999</v>
      </c>
      <c r="L187" s="10">
        <f t="shared" si="126"/>
        <v>2.7782516498575462E-2</v>
      </c>
      <c r="M187" s="21">
        <v>11.39</v>
      </c>
      <c r="N187" s="21">
        <v>11.49</v>
      </c>
      <c r="O187" s="65">
        <v>50</v>
      </c>
      <c r="P187" s="28">
        <v>0</v>
      </c>
      <c r="Q187" s="28">
        <v>0.94730000000000003</v>
      </c>
      <c r="R187" s="84">
        <f t="shared" si="132"/>
        <v>-8.1925143722520548E-4</v>
      </c>
      <c r="S187" s="84">
        <f t="shared" si="133"/>
        <v>-8.6956521739128584E-4</v>
      </c>
      <c r="T187" s="84">
        <f t="shared" si="134"/>
        <v>0</v>
      </c>
      <c r="U187" s="84">
        <f t="shared" si="135"/>
        <v>4.3E-3</v>
      </c>
      <c r="V187" s="86">
        <f t="shared" si="136"/>
        <v>0</v>
      </c>
    </row>
    <row r="188" spans="1:22" x14ac:dyDescent="0.25">
      <c r="A188" s="126">
        <v>9</v>
      </c>
      <c r="B188" s="62" t="s">
        <v>217</v>
      </c>
      <c r="C188" s="63" t="s">
        <v>216</v>
      </c>
      <c r="D188" s="29">
        <v>587129554.60000002</v>
      </c>
      <c r="E188" s="10">
        <f t="shared" si="125"/>
        <v>6.2424743492227507E-2</v>
      </c>
      <c r="F188" s="21">
        <v>6.89</v>
      </c>
      <c r="G188" s="21">
        <v>6.99</v>
      </c>
      <c r="H188" s="65">
        <v>76</v>
      </c>
      <c r="I188" s="28">
        <v>2.8299999999999999E-2</v>
      </c>
      <c r="J188" s="28">
        <v>0.63119999999999998</v>
      </c>
      <c r="K188" s="29">
        <v>569809233</v>
      </c>
      <c r="L188" s="10">
        <f t="shared" si="126"/>
        <v>6.1388387372895648E-2</v>
      </c>
      <c r="M188" s="21">
        <v>6.96</v>
      </c>
      <c r="N188" s="21">
        <v>7.06</v>
      </c>
      <c r="O188" s="65">
        <v>77</v>
      </c>
      <c r="P188" s="28">
        <v>0</v>
      </c>
      <c r="Q188" s="28">
        <v>0.63119999999999998</v>
      </c>
      <c r="R188" s="84">
        <f t="shared" si="132"/>
        <v>-2.9499999555975379E-2</v>
      </c>
      <c r="S188" s="84">
        <f t="shared" si="133"/>
        <v>1.0014306151645121E-2</v>
      </c>
      <c r="T188" s="84">
        <f t="shared" si="134"/>
        <v>1.3157894736842105E-2</v>
      </c>
      <c r="U188" s="84">
        <f t="shared" si="135"/>
        <v>-2.8299999999999999E-2</v>
      </c>
      <c r="V188" s="86">
        <f t="shared" si="136"/>
        <v>0</v>
      </c>
    </row>
    <row r="189" spans="1:22" ht="17.25" customHeight="1" x14ac:dyDescent="0.25">
      <c r="A189" s="126">
        <v>10</v>
      </c>
      <c r="B189" s="62" t="s">
        <v>218</v>
      </c>
      <c r="C189" s="63" t="s">
        <v>216</v>
      </c>
      <c r="D189" s="27">
        <v>496501284.16000003</v>
      </c>
      <c r="E189" s="10">
        <f t="shared" si="125"/>
        <v>5.278897147047068E-2</v>
      </c>
      <c r="F189" s="21">
        <v>140.04</v>
      </c>
      <c r="G189" s="21">
        <v>142.04</v>
      </c>
      <c r="H189" s="65">
        <v>50</v>
      </c>
      <c r="I189" s="28">
        <v>0</v>
      </c>
      <c r="J189" s="28">
        <v>0.12609999999999999</v>
      </c>
      <c r="K189" s="27">
        <v>465018511.98000002</v>
      </c>
      <c r="L189" s="10">
        <f t="shared" si="126"/>
        <v>5.0098760946184519E-2</v>
      </c>
      <c r="M189" s="21">
        <v>131.09</v>
      </c>
      <c r="N189" s="21">
        <v>133.09</v>
      </c>
      <c r="O189" s="65">
        <v>50</v>
      </c>
      <c r="P189" s="28">
        <v>0</v>
      </c>
      <c r="Q189" s="28">
        <v>-0.12609999999999999</v>
      </c>
      <c r="R189" s="84">
        <f t="shared" si="132"/>
        <v>-6.3409246228363275E-2</v>
      </c>
      <c r="S189" s="84">
        <f t="shared" si="133"/>
        <v>-6.3010419600112569E-2</v>
      </c>
      <c r="T189" s="84">
        <f t="shared" si="134"/>
        <v>0</v>
      </c>
      <c r="U189" s="84">
        <f t="shared" si="135"/>
        <v>0</v>
      </c>
      <c r="V189" s="86">
        <f t="shared" si="136"/>
        <v>-0.25219999999999998</v>
      </c>
    </row>
    <row r="190" spans="1:22" x14ac:dyDescent="0.25">
      <c r="A190" s="126">
        <v>11</v>
      </c>
      <c r="B190" s="62" t="s">
        <v>219</v>
      </c>
      <c r="C190" s="63" t="s">
        <v>216</v>
      </c>
      <c r="D190" s="27">
        <v>3620718901.0900002</v>
      </c>
      <c r="E190" s="10">
        <f t="shared" si="125"/>
        <v>0.38496179742133374</v>
      </c>
      <c r="F190" s="21">
        <v>24.85</v>
      </c>
      <c r="G190" s="21">
        <v>25.05</v>
      </c>
      <c r="H190" s="65">
        <v>198</v>
      </c>
      <c r="I190" s="28">
        <v>0</v>
      </c>
      <c r="J190" s="28">
        <v>0.25269999999999998</v>
      </c>
      <c r="K190" s="27">
        <v>3548335271.5900002</v>
      </c>
      <c r="L190" s="10">
        <f t="shared" si="126"/>
        <v>0.38227983606800525</v>
      </c>
      <c r="M190" s="21">
        <v>24.93</v>
      </c>
      <c r="N190" s="21">
        <v>25.13</v>
      </c>
      <c r="O190" s="65">
        <v>204</v>
      </c>
      <c r="P190" s="28">
        <v>0</v>
      </c>
      <c r="Q190" s="28">
        <v>0.25269999999999998</v>
      </c>
      <c r="R190" s="84">
        <f t="shared" si="132"/>
        <v>-1.9991507619718629E-2</v>
      </c>
      <c r="S190" s="84">
        <f t="shared" si="133"/>
        <v>3.1936127744510295E-3</v>
      </c>
      <c r="T190" s="84">
        <f t="shared" si="134"/>
        <v>3.0303030303030304E-2</v>
      </c>
      <c r="U190" s="84">
        <f t="shared" si="135"/>
        <v>0</v>
      </c>
      <c r="V190" s="86">
        <f t="shared" si="136"/>
        <v>0</v>
      </c>
    </row>
    <row r="191" spans="1:22" x14ac:dyDescent="0.25">
      <c r="A191" s="126">
        <v>12</v>
      </c>
      <c r="B191" s="62" t="s">
        <v>220</v>
      </c>
      <c r="C191" s="63" t="s">
        <v>216</v>
      </c>
      <c r="D191" s="29">
        <v>291276377.44</v>
      </c>
      <c r="E191" s="10">
        <f t="shared" si="125"/>
        <v>3.0969064671637705E-2</v>
      </c>
      <c r="F191" s="21">
        <v>27.46</v>
      </c>
      <c r="G191" s="21">
        <v>27.66</v>
      </c>
      <c r="H191" s="65">
        <v>44</v>
      </c>
      <c r="I191" s="28">
        <v>-6.9999999999999999E-4</v>
      </c>
      <c r="J191" s="28">
        <v>0.1492</v>
      </c>
      <c r="K191" s="29">
        <v>290704475.38999999</v>
      </c>
      <c r="L191" s="10">
        <f t="shared" si="126"/>
        <v>3.1319041378670899E-2</v>
      </c>
      <c r="M191" s="21">
        <v>27.42</v>
      </c>
      <c r="N191" s="21">
        <v>27.42</v>
      </c>
      <c r="O191" s="65">
        <v>45</v>
      </c>
      <c r="P191" s="28">
        <v>0</v>
      </c>
      <c r="Q191" s="28">
        <v>0.1492</v>
      </c>
      <c r="R191" s="84">
        <f t="shared" si="132"/>
        <v>-1.9634343678207066E-3</v>
      </c>
      <c r="S191" s="84">
        <f t="shared" si="133"/>
        <v>-8.6767895878524376E-3</v>
      </c>
      <c r="T191" s="84">
        <f t="shared" si="134"/>
        <v>2.2727272727272728E-2</v>
      </c>
      <c r="U191" s="84">
        <f t="shared" si="135"/>
        <v>6.9999999999999999E-4</v>
      </c>
      <c r="V191" s="86">
        <f t="shared" si="136"/>
        <v>0</v>
      </c>
    </row>
    <row r="192" spans="1:22" x14ac:dyDescent="0.25">
      <c r="A192" s="43"/>
      <c r="B192" s="43"/>
      <c r="C192" s="77" t="s">
        <v>221</v>
      </c>
      <c r="D192" s="76">
        <f>SUM(D180:D191)</f>
        <v>9405397952.0653286</v>
      </c>
      <c r="E192" s="24"/>
      <c r="F192" s="24"/>
      <c r="G192" s="22"/>
      <c r="H192" s="76">
        <f>SUM(H180:H191)</f>
        <v>1208</v>
      </c>
      <c r="I192" s="23"/>
      <c r="J192" s="23"/>
      <c r="K192" s="76">
        <f>SUM(K180:K191)</f>
        <v>9282036186.0748863</v>
      </c>
      <c r="L192" s="24"/>
      <c r="M192" s="24"/>
      <c r="N192" s="22"/>
      <c r="O192" s="76">
        <f>SUM(O180:O191)</f>
        <v>1216</v>
      </c>
      <c r="P192" s="23"/>
      <c r="Q192" s="23"/>
      <c r="R192" s="84">
        <f t="shared" si="132"/>
        <v>-1.3116060226176108E-2</v>
      </c>
      <c r="S192" s="84" t="e">
        <f t="shared" si="133"/>
        <v>#DIV/0!</v>
      </c>
      <c r="T192" s="84">
        <f t="shared" si="134"/>
        <v>6.6225165562913907E-3</v>
      </c>
      <c r="U192" s="84">
        <f t="shared" si="135"/>
        <v>0</v>
      </c>
      <c r="V192" s="86">
        <f t="shared" si="136"/>
        <v>0</v>
      </c>
    </row>
    <row r="193" spans="1:22" x14ac:dyDescent="0.25">
      <c r="A193" s="91"/>
      <c r="B193" s="91"/>
      <c r="C193" s="92" t="s">
        <v>222</v>
      </c>
      <c r="D193" s="93">
        <f>SUM(D172,D177,D192)</f>
        <v>2106157719162.3604</v>
      </c>
      <c r="E193" s="94"/>
      <c r="F193" s="94"/>
      <c r="G193" s="95"/>
      <c r="H193" s="93">
        <f>SUM(H172,H177,H192)</f>
        <v>754616</v>
      </c>
      <c r="I193" s="96"/>
      <c r="J193" s="96"/>
      <c r="K193" s="93">
        <f>SUM(K172,K177,K192)</f>
        <v>2095903019594.6733</v>
      </c>
      <c r="L193" s="94"/>
      <c r="M193" s="94"/>
      <c r="N193" s="95"/>
      <c r="O193" s="93">
        <f>SUM(O172,O177,O192)</f>
        <v>758399</v>
      </c>
      <c r="P193" s="97"/>
      <c r="Q193" s="93"/>
      <c r="R193" s="98"/>
      <c r="S193" s="99"/>
      <c r="T193" s="99"/>
      <c r="U193" s="100"/>
      <c r="V193" s="100"/>
    </row>
  </sheetData>
  <protectedRanges>
    <protectedRange password="CADF" sqref="K10 D10" name="Fund Name_1_1_1_3_1_1_2"/>
    <protectedRange password="CADF" sqref="K17 D17" name="Yield_2_1_2_5_2"/>
    <protectedRange password="CADF" sqref="O10:Q10 H10:J10" name="Yield_1_1_2_1_3_2"/>
    <protectedRange password="CADF" sqref="M10:N10 F10:G10" name="Fund Name_1_1_1_1_1_1_2"/>
    <protectedRange password="CADF" sqref="K47 D47" name="Yield_2_1_2_3_1_2"/>
    <protectedRange password="CADF" sqref="K52 D52" name="Yield_2_1_2_4_1_2"/>
    <protectedRange password="CADF" sqref="O52:Q52 H52:J52" name="Yield_1_1_1_1_1_2"/>
    <protectedRange password="CADF" sqref="O47:Q47 H47:J47" name="Yield_1_1_2_1_1_1_1_1_2"/>
    <protectedRange password="CADF" sqref="K78 D78" name="Yield_2_1_2_1_1_2"/>
    <protectedRange password="CADF" sqref="O78:Q78 H78:J78" name="Yield_1_1_2_1_2_1_2"/>
    <protectedRange password="CADF" sqref="M78:N78 F78:G78" name="Fund Name_2_2_1_1_2"/>
    <protectedRange password="CADF" sqref="N76:N77 G76:G77" name="BidOffer Prices_2_1_1_1_1_1_1_1_1_1_2"/>
    <protectedRange password="CADF" sqref="K95:K96 D95:D96" name="Yield_2_1_2_6_3_2"/>
    <protectedRange password="CADF" sqref="K138 K146:K147 D138 D146:D147" name="Fund Name_1_1_1_2_2"/>
    <protectedRange password="CADF" sqref="O138:Q138 O146:Q147 H138:J138 H146:J147" name="Yield_1_1_2_2_2"/>
    <protectedRange password="CADF" sqref="M138:N138 M146:N147 F138:G138 F146:G147" name="Fund Name_1_1_1_1_2_2"/>
  </protectedRanges>
  <mergeCells count="31">
    <mergeCell ref="A178:V178"/>
    <mergeCell ref="A179:V179"/>
    <mergeCell ref="A157:V157"/>
    <mergeCell ref="A160:V160"/>
    <mergeCell ref="A161:V161"/>
    <mergeCell ref="A173:U173"/>
    <mergeCell ref="A174:V174"/>
    <mergeCell ref="A156:V156"/>
    <mergeCell ref="A90:V90"/>
    <mergeCell ref="A91:V91"/>
    <mergeCell ref="A103:V103"/>
    <mergeCell ref="A104:V104"/>
    <mergeCell ref="A115:V115"/>
    <mergeCell ref="A116:V116"/>
    <mergeCell ref="A122:V122"/>
    <mergeCell ref="A123:V123"/>
    <mergeCell ref="A149:V149"/>
    <mergeCell ref="A150:V150"/>
    <mergeCell ref="A155:V155"/>
    <mergeCell ref="A89:V89"/>
    <mergeCell ref="A1:V1"/>
    <mergeCell ref="U2:V2"/>
    <mergeCell ref="A4:V4"/>
    <mergeCell ref="A5:V5"/>
    <mergeCell ref="A23:V23"/>
    <mergeCell ref="A24:V24"/>
    <mergeCell ref="A55:V55"/>
    <mergeCell ref="A56:V56"/>
    <mergeCell ref="R2:T2"/>
    <mergeCell ref="K2:Q2"/>
    <mergeCell ref="D2:J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>
      <selection activeCell="N1" sqref="N1"/>
    </sheetView>
  </sheetViews>
  <sheetFormatPr defaultRowHeight="15" x14ac:dyDescent="0.25"/>
  <cols>
    <col min="1" max="1" width="34" customWidth="1"/>
    <col min="2" max="2" width="17.5703125" customWidth="1"/>
    <col min="3" max="3" width="17.42578125" customWidth="1"/>
  </cols>
  <sheetData>
    <row r="1" spans="1:3" x14ac:dyDescent="0.25">
      <c r="A1" s="113"/>
      <c r="B1" s="113"/>
      <c r="C1" s="113"/>
    </row>
    <row r="2" spans="1:3" x14ac:dyDescent="0.25">
      <c r="A2" s="113"/>
      <c r="B2" s="113"/>
      <c r="C2" s="113"/>
    </row>
    <row r="3" spans="1:3" x14ac:dyDescent="0.25">
      <c r="A3" s="113"/>
      <c r="B3" s="113"/>
      <c r="C3" s="113"/>
    </row>
    <row r="4" spans="1:3" ht="33" customHeight="1" x14ac:dyDescent="0.3">
      <c r="A4" s="103" t="s">
        <v>223</v>
      </c>
      <c r="B4" s="114" t="s">
        <v>243</v>
      </c>
      <c r="C4" s="114" t="s">
        <v>249</v>
      </c>
    </row>
    <row r="5" spans="1:3" ht="19.5" customHeight="1" x14ac:dyDescent="0.3">
      <c r="A5" s="115" t="s">
        <v>15</v>
      </c>
      <c r="B5" s="106">
        <f>22321023691.5109/1000000000</f>
        <v>22.321023691510899</v>
      </c>
      <c r="C5" s="106">
        <f>22297088298.2632/1000000000</f>
        <v>22.297088298263198</v>
      </c>
    </row>
    <row r="6" spans="1:3" ht="16.5" x14ac:dyDescent="0.3">
      <c r="A6" s="105" t="s">
        <v>47</v>
      </c>
      <c r="B6" s="108">
        <f>868733209665.15/1000000000</f>
        <v>868.73320966515007</v>
      </c>
      <c r="C6" s="108">
        <f>866720174597.192/1000000000</f>
        <v>866.720174597192</v>
      </c>
    </row>
    <row r="7" spans="1:3" ht="16.5" x14ac:dyDescent="0.3">
      <c r="A7" s="105" t="s">
        <v>224</v>
      </c>
      <c r="B7" s="106">
        <f>297314764640.835/1000000000</f>
        <v>297.31476464083499</v>
      </c>
      <c r="C7" s="106">
        <f>296829521368.717/1000000000</f>
        <v>296.829521368717</v>
      </c>
    </row>
    <row r="8" spans="1:3" ht="16.5" x14ac:dyDescent="0.3">
      <c r="A8" s="105" t="s">
        <v>129</v>
      </c>
      <c r="B8" s="108">
        <f>631778541802.777/1000000000</f>
        <v>631.778541802777</v>
      </c>
      <c r="C8" s="108">
        <f>623939339182.421/1000000000</f>
        <v>623.93933918242101</v>
      </c>
    </row>
    <row r="9" spans="1:3" ht="16.5" x14ac:dyDescent="0.3">
      <c r="A9" s="105" t="s">
        <v>225</v>
      </c>
      <c r="B9" s="106">
        <f>93071505879.83/1000000000</f>
        <v>93.071505879829999</v>
      </c>
      <c r="C9" s="106">
        <f>93122068013.9/1000000000</f>
        <v>93.122068013899991</v>
      </c>
    </row>
    <row r="10" spans="1:3" ht="16.5" x14ac:dyDescent="0.3">
      <c r="A10" s="105" t="s">
        <v>155</v>
      </c>
      <c r="B10" s="107">
        <f>39125729977.4921/1000000000</f>
        <v>39.125729977492107</v>
      </c>
      <c r="C10" s="107">
        <f>39115203974.1249/1000000000</f>
        <v>39.115203974124903</v>
      </c>
    </row>
    <row r="11" spans="1:3" ht="16.5" x14ac:dyDescent="0.3">
      <c r="A11" s="105" t="s">
        <v>179</v>
      </c>
      <c r="B11" s="106">
        <f>3851756766.68/1000000000</f>
        <v>3.8517567666799999</v>
      </c>
      <c r="C11" s="106">
        <f>3850205746.29/100000000</f>
        <v>38.502057462899998</v>
      </c>
    </row>
    <row r="12" spans="1:3" ht="16.5" x14ac:dyDescent="0.3">
      <c r="A12" s="105" t="s">
        <v>226</v>
      </c>
      <c r="B12" s="106">
        <f>45993634878.97/1000000000</f>
        <v>45.993634878969999</v>
      </c>
      <c r="C12" s="106">
        <f>46178760569.04/1000000000</f>
        <v>46.178760569040001</v>
      </c>
    </row>
    <row r="13" spans="1:3" x14ac:dyDescent="0.25">
      <c r="A13" s="113"/>
      <c r="B13" s="113"/>
      <c r="C13" s="113"/>
    </row>
    <row r="16" spans="1:3" ht="16.5" x14ac:dyDescent="0.3">
      <c r="B16" s="45"/>
      <c r="C16" s="47"/>
    </row>
    <row r="17" spans="1:3" ht="16.5" x14ac:dyDescent="0.3">
      <c r="B17" s="47"/>
      <c r="C17" s="47"/>
    </row>
    <row r="18" spans="1:3" ht="16.5" x14ac:dyDescent="0.3">
      <c r="A18" s="110"/>
      <c r="B18" s="48"/>
      <c r="C18" s="48"/>
    </row>
    <row r="19" spans="1:3" ht="16.5" x14ac:dyDescent="0.3">
      <c r="A19" s="111"/>
      <c r="B19" s="47"/>
      <c r="C19" s="48"/>
    </row>
    <row r="20" spans="1:3" ht="16.5" x14ac:dyDescent="0.3">
      <c r="A20" s="111"/>
      <c r="B20" s="48"/>
      <c r="C20" s="48"/>
    </row>
    <row r="21" spans="1:3" ht="16.5" x14ac:dyDescent="0.3">
      <c r="A21" s="111"/>
      <c r="B21" s="47"/>
      <c r="C21" s="47"/>
    </row>
    <row r="22" spans="1:3" ht="16.5" x14ac:dyDescent="0.3">
      <c r="A22" s="111"/>
      <c r="B22" s="49"/>
      <c r="C22" s="49"/>
    </row>
    <row r="23" spans="1:3" ht="16.5" x14ac:dyDescent="0.3">
      <c r="A23" s="111"/>
      <c r="B23" s="47"/>
      <c r="C23" s="47"/>
    </row>
    <row r="24" spans="1:3" ht="16.5" x14ac:dyDescent="0.3">
      <c r="A24" s="111"/>
      <c r="B24" s="47"/>
      <c r="C24" s="47"/>
    </row>
    <row r="25" spans="1:3" ht="16.5" x14ac:dyDescent="0.3">
      <c r="A25" s="111"/>
      <c r="B25" s="122"/>
      <c r="C25" s="122"/>
    </row>
    <row r="26" spans="1:3" ht="16.5" x14ac:dyDescent="0.3">
      <c r="A26" s="111"/>
      <c r="B26" s="122"/>
      <c r="C26" s="122"/>
    </row>
    <row r="27" spans="1:3" x14ac:dyDescent="0.25">
      <c r="B27" s="117"/>
      <c r="C27" s="117"/>
    </row>
    <row r="28" spans="1:3" x14ac:dyDescent="0.25">
      <c r="B28" s="117"/>
      <c r="C28" s="117"/>
    </row>
  </sheetData>
  <sheetProtection algorithmName="SHA-512" hashValue="xOm/3aPyXOosoEJyytHNcUgJ3I9ewrk/XAi4v6oO9UVkjQ8gSm2WqhV2c+77bURD0ISDlBAfM5bikR+gjBDC8A==" saltValue="4HSCVI72eItfPjLY7cuFlw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zoomScale="85" zoomScaleNormal="85" workbookViewId="0">
      <selection activeCell="R1" sqref="R1"/>
    </sheetView>
  </sheetViews>
  <sheetFormatPr defaultRowHeight="15" x14ac:dyDescent="0.25"/>
  <cols>
    <col min="1" max="1" width="26.7109375" customWidth="1"/>
    <col min="2" max="2" width="17.42578125" customWidth="1"/>
  </cols>
  <sheetData>
    <row r="1" spans="1:2" ht="16.5" x14ac:dyDescent="0.3">
      <c r="A1" s="103" t="s">
        <v>223</v>
      </c>
      <c r="B1" s="104">
        <v>45226</v>
      </c>
    </row>
    <row r="2" spans="1:2" ht="16.5" x14ac:dyDescent="0.3">
      <c r="A2" s="105" t="s">
        <v>179</v>
      </c>
      <c r="B2" s="108">
        <v>3850205746.29</v>
      </c>
    </row>
    <row r="3" spans="1:2" ht="16.5" x14ac:dyDescent="0.3">
      <c r="A3" s="105" t="s">
        <v>15</v>
      </c>
      <c r="B3" s="106">
        <v>22297088298.263195</v>
      </c>
    </row>
    <row r="4" spans="1:2" ht="16.5" x14ac:dyDescent="0.3">
      <c r="A4" s="105" t="s">
        <v>155</v>
      </c>
      <c r="B4" s="106">
        <v>39115203974.124908</v>
      </c>
    </row>
    <row r="5" spans="1:2" ht="16.5" x14ac:dyDescent="0.3">
      <c r="A5" s="105" t="s">
        <v>226</v>
      </c>
      <c r="B5" s="108">
        <v>46178760569.040001</v>
      </c>
    </row>
    <row r="6" spans="1:2" ht="16.5" x14ac:dyDescent="0.3">
      <c r="A6" s="105" t="s">
        <v>225</v>
      </c>
      <c r="B6" s="106">
        <v>93122068013.900009</v>
      </c>
    </row>
    <row r="7" spans="1:2" ht="16.5" x14ac:dyDescent="0.3">
      <c r="A7" s="105" t="s">
        <v>224</v>
      </c>
      <c r="B7" s="107">
        <v>296829521368.71655</v>
      </c>
    </row>
    <row r="8" spans="1:2" ht="16.5" x14ac:dyDescent="0.3">
      <c r="A8" s="105" t="s">
        <v>129</v>
      </c>
      <c r="B8" s="108">
        <v>623939339182.42139</v>
      </c>
    </row>
    <row r="9" spans="1:2" ht="16.5" x14ac:dyDescent="0.3">
      <c r="A9" s="105" t="s">
        <v>47</v>
      </c>
      <c r="B9" s="106">
        <v>866720174597.19238</v>
      </c>
    </row>
    <row r="14" spans="1:2" ht="16.5" x14ac:dyDescent="0.3">
      <c r="A14" s="112"/>
      <c r="B14" s="48"/>
    </row>
    <row r="15" spans="1:2" ht="16.5" x14ac:dyDescent="0.3">
      <c r="A15" s="112"/>
      <c r="B15" s="47"/>
    </row>
    <row r="16" spans="1:2" ht="16.5" x14ac:dyDescent="0.3">
      <c r="A16" s="112"/>
      <c r="B16" s="47"/>
    </row>
    <row r="17" spans="1:2" ht="16.5" x14ac:dyDescent="0.3">
      <c r="A17" s="112"/>
      <c r="B17" s="48"/>
    </row>
    <row r="18" spans="1:2" ht="16.5" x14ac:dyDescent="0.3">
      <c r="A18" s="112"/>
      <c r="B18" s="47"/>
    </row>
    <row r="19" spans="1:2" ht="16.5" x14ac:dyDescent="0.3">
      <c r="A19" s="112"/>
      <c r="B19" s="49"/>
    </row>
    <row r="20" spans="1:2" ht="16.5" x14ac:dyDescent="0.3">
      <c r="A20" s="112"/>
      <c r="B20" s="47"/>
    </row>
    <row r="21" spans="1:2" ht="16.5" x14ac:dyDescent="0.3">
      <c r="A21" s="112"/>
      <c r="B21" s="47"/>
    </row>
    <row r="22" spans="1:2" ht="16.5" x14ac:dyDescent="0.3">
      <c r="A22" s="102"/>
      <c r="B22" s="48"/>
    </row>
  </sheetData>
  <sheetProtection algorithmName="SHA-512" hashValue="nJPGlhqonaJVvMVFWb3YrMAN+n5YAa1z1k6fqdElt6QCd2zM/kbaZT6NHNpphAadIu1wVKgxtZm9ywE8IU5Yhg==" saltValue="6rw4XNmsr1PZ5tl13syZ4A==" spinCount="100000" sheet="1" objects="1" scenarios="1"/>
  <sortState ref="B14:B21">
    <sortCondition ref="B14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="110" zoomScaleNormal="110" workbookViewId="0">
      <selection activeCell="A2" sqref="A2:I3"/>
    </sheetView>
  </sheetViews>
  <sheetFormatPr defaultRowHeight="15" x14ac:dyDescent="0.25"/>
  <cols>
    <col min="1" max="1" width="10.5703125" customWidth="1"/>
    <col min="2" max="2" width="12.7109375" customWidth="1"/>
    <col min="3" max="3" width="14.140625" customWidth="1"/>
    <col min="4" max="4" width="12.7109375" customWidth="1"/>
    <col min="5" max="5" width="14" customWidth="1"/>
    <col min="6" max="6" width="14.42578125" customWidth="1"/>
    <col min="7" max="7" width="15.42578125" customWidth="1"/>
    <col min="8" max="9" width="13.140625" customWidth="1"/>
  </cols>
  <sheetData>
    <row r="1" spans="1:10" x14ac:dyDescent="0.25">
      <c r="A1" s="117"/>
      <c r="B1" s="117"/>
      <c r="C1" s="117"/>
      <c r="D1" s="117"/>
      <c r="E1" s="117"/>
      <c r="F1" s="117"/>
      <c r="G1" s="117"/>
      <c r="H1" s="117"/>
      <c r="I1" s="117"/>
    </row>
    <row r="2" spans="1:10" x14ac:dyDescent="0.25">
      <c r="A2" s="101" t="s">
        <v>234</v>
      </c>
      <c r="B2" s="123">
        <v>45177</v>
      </c>
      <c r="C2" s="123">
        <v>45184</v>
      </c>
      <c r="D2" s="123">
        <v>45191</v>
      </c>
      <c r="E2" s="123">
        <v>45198</v>
      </c>
      <c r="F2" s="123">
        <v>45205</v>
      </c>
      <c r="G2" s="123">
        <v>45212</v>
      </c>
      <c r="H2" s="123">
        <v>45219</v>
      </c>
      <c r="I2" s="123">
        <v>45226</v>
      </c>
      <c r="J2" s="117"/>
    </row>
    <row r="3" spans="1:10" x14ac:dyDescent="0.25">
      <c r="A3" s="101" t="s">
        <v>235</v>
      </c>
      <c r="B3" s="124">
        <v>1905565030169.3159</v>
      </c>
      <c r="C3" s="124">
        <v>1930034404358.7712</v>
      </c>
      <c r="D3" s="124">
        <v>1927585637735.8486</v>
      </c>
      <c r="E3" s="124">
        <v>1938057005087.2852</v>
      </c>
      <c r="F3" s="124">
        <v>1935067759050.2058</v>
      </c>
      <c r="G3" s="124">
        <v>1961229345082.9329</v>
      </c>
      <c r="H3" s="124">
        <v>2002190167303.2449</v>
      </c>
      <c r="I3" s="124">
        <v>1992052361749.9485</v>
      </c>
      <c r="J3" s="117"/>
    </row>
    <row r="4" spans="1:10" x14ac:dyDescent="0.25">
      <c r="A4" s="102"/>
      <c r="B4" s="102"/>
      <c r="C4" s="102"/>
      <c r="D4" s="102"/>
      <c r="E4" s="102"/>
      <c r="F4" s="102"/>
      <c r="G4" s="102"/>
      <c r="H4" s="102"/>
      <c r="I4" s="102"/>
    </row>
    <row r="5" spans="1:10" x14ac:dyDescent="0.25">
      <c r="A5" s="102"/>
      <c r="B5" s="102"/>
      <c r="C5" s="102"/>
      <c r="D5" s="102"/>
      <c r="E5" s="102"/>
      <c r="F5" s="102"/>
      <c r="G5" s="102"/>
      <c r="H5" s="102"/>
      <c r="I5" s="102"/>
    </row>
    <row r="6" spans="1:10" x14ac:dyDescent="0.25">
      <c r="A6" s="102"/>
      <c r="B6" s="102"/>
      <c r="C6" s="102"/>
      <c r="D6" s="102"/>
      <c r="E6" s="102"/>
      <c r="F6" s="102"/>
      <c r="G6" s="102"/>
      <c r="H6" s="102"/>
      <c r="I6" s="102"/>
    </row>
    <row r="7" spans="1:10" x14ac:dyDescent="0.25">
      <c r="A7" s="102"/>
      <c r="B7" s="102"/>
      <c r="C7" s="102"/>
      <c r="D7" s="102"/>
      <c r="E7" s="102"/>
      <c r="F7" s="102"/>
      <c r="G7" s="102"/>
      <c r="H7" s="102"/>
      <c r="I7" s="102"/>
    </row>
    <row r="8" spans="1:10" x14ac:dyDescent="0.25">
      <c r="A8" s="102"/>
      <c r="B8" s="102"/>
      <c r="C8" s="102"/>
      <c r="D8" s="102"/>
      <c r="E8" s="102"/>
      <c r="F8" s="102"/>
      <c r="G8" s="102"/>
      <c r="H8" s="102"/>
      <c r="I8" s="102"/>
    </row>
    <row r="9" spans="1:10" x14ac:dyDescent="0.25">
      <c r="A9" s="102"/>
      <c r="B9" s="102"/>
      <c r="C9" s="102"/>
      <c r="D9" s="102"/>
      <c r="E9" s="102"/>
      <c r="F9" s="102"/>
      <c r="G9" s="102"/>
      <c r="H9" s="102"/>
      <c r="I9" s="102"/>
    </row>
    <row r="10" spans="1:10" x14ac:dyDescent="0.25">
      <c r="A10" s="102"/>
      <c r="B10" s="102"/>
      <c r="C10" s="102"/>
      <c r="D10" s="102"/>
      <c r="E10" s="102"/>
      <c r="F10" s="102"/>
      <c r="G10" s="102"/>
      <c r="H10" s="102"/>
      <c r="I10" s="102"/>
    </row>
    <row r="11" spans="1:10" x14ac:dyDescent="0.25">
      <c r="A11" s="102"/>
      <c r="B11" s="102"/>
      <c r="C11" s="102"/>
      <c r="D11" s="102"/>
      <c r="E11" s="102"/>
      <c r="F11" s="102"/>
      <c r="G11" s="102"/>
      <c r="H11" s="102"/>
      <c r="I11" s="102"/>
    </row>
    <row r="12" spans="1:10" x14ac:dyDescent="0.25">
      <c r="A12" s="102"/>
      <c r="B12" s="102"/>
      <c r="C12" s="102"/>
      <c r="D12" s="102"/>
      <c r="E12" s="102"/>
      <c r="F12" s="102"/>
      <c r="G12" s="102"/>
      <c r="H12" s="102"/>
      <c r="I12" s="102"/>
    </row>
    <row r="13" spans="1:10" x14ac:dyDescent="0.25">
      <c r="A13" s="102"/>
      <c r="B13" s="102"/>
      <c r="C13" s="102"/>
      <c r="D13" s="102"/>
      <c r="E13" s="102"/>
      <c r="F13" s="102"/>
      <c r="G13" s="102"/>
      <c r="H13" s="102"/>
      <c r="I13" s="102"/>
    </row>
    <row r="14" spans="1:10" x14ac:dyDescent="0.25">
      <c r="A14" s="102"/>
      <c r="B14" s="102"/>
      <c r="C14" s="102"/>
      <c r="D14" s="102"/>
      <c r="E14" s="102"/>
      <c r="F14" s="102"/>
      <c r="G14" s="102"/>
      <c r="H14" s="102"/>
      <c r="I14" s="102"/>
    </row>
    <row r="15" spans="1:10" x14ac:dyDescent="0.25">
      <c r="A15" s="102"/>
      <c r="B15" s="102"/>
      <c r="C15" s="102"/>
      <c r="D15" s="102"/>
      <c r="E15" s="102"/>
      <c r="F15" s="102"/>
      <c r="G15" s="102"/>
      <c r="H15" s="102"/>
      <c r="I15" s="102"/>
    </row>
    <row r="16" spans="1:10" x14ac:dyDescent="0.25">
      <c r="A16" s="102"/>
      <c r="B16" s="102"/>
      <c r="C16" s="102"/>
      <c r="D16" s="102"/>
      <c r="E16" s="102"/>
      <c r="F16" s="102"/>
      <c r="G16" s="102"/>
      <c r="H16" s="102"/>
      <c r="I16" s="102"/>
    </row>
    <row r="17" spans="1:9" x14ac:dyDescent="0.25">
      <c r="A17" s="102"/>
      <c r="B17" s="102"/>
      <c r="C17" s="102"/>
      <c r="D17" s="102"/>
      <c r="E17" s="102"/>
      <c r="F17" s="102"/>
      <c r="G17" s="102"/>
      <c r="H17" s="102"/>
      <c r="I17" s="102"/>
    </row>
    <row r="18" spans="1:9" x14ac:dyDescent="0.25">
      <c r="A18" s="102"/>
      <c r="B18" s="102"/>
      <c r="C18" s="102"/>
      <c r="D18" s="102"/>
      <c r="E18" s="102"/>
      <c r="F18" s="102"/>
      <c r="G18" s="102"/>
      <c r="H18" s="102"/>
      <c r="I18" s="102"/>
    </row>
    <row r="19" spans="1:9" x14ac:dyDescent="0.25">
      <c r="A19" s="102"/>
      <c r="B19" s="102"/>
      <c r="C19" s="102"/>
      <c r="D19" s="102"/>
      <c r="E19" s="102"/>
      <c r="F19" s="102"/>
      <c r="G19" s="102"/>
      <c r="H19" s="102"/>
      <c r="I19" s="102"/>
    </row>
    <row r="20" spans="1:9" x14ac:dyDescent="0.25">
      <c r="A20" s="102"/>
      <c r="B20" s="102"/>
      <c r="C20" s="102"/>
      <c r="D20" s="102"/>
      <c r="E20" s="102"/>
      <c r="F20" s="102"/>
      <c r="G20" s="102"/>
      <c r="H20" s="102"/>
      <c r="I20" s="102"/>
    </row>
    <row r="21" spans="1:9" x14ac:dyDescent="0.25">
      <c r="A21" s="102"/>
      <c r="B21" s="102"/>
      <c r="C21" s="102"/>
      <c r="D21" s="102"/>
      <c r="E21" s="102"/>
      <c r="F21" s="102"/>
      <c r="G21" s="102"/>
      <c r="H21" s="102"/>
      <c r="I21" s="102"/>
    </row>
    <row r="22" spans="1:9" x14ac:dyDescent="0.25">
      <c r="A22" s="102"/>
      <c r="B22" s="102"/>
      <c r="C22" s="102"/>
      <c r="D22" s="102"/>
      <c r="E22" s="102"/>
      <c r="F22" s="102"/>
      <c r="G22" s="102"/>
      <c r="H22" s="102"/>
      <c r="I22" s="102"/>
    </row>
    <row r="23" spans="1:9" x14ac:dyDescent="0.25">
      <c r="A23" s="102"/>
      <c r="B23" s="102"/>
      <c r="C23" s="102"/>
      <c r="D23" s="102"/>
      <c r="E23" s="102"/>
      <c r="F23" s="102"/>
      <c r="G23" s="102"/>
      <c r="H23" s="102"/>
      <c r="I23" s="102"/>
    </row>
    <row r="24" spans="1:9" x14ac:dyDescent="0.25">
      <c r="A24" s="102"/>
      <c r="B24" s="102"/>
      <c r="C24" s="102"/>
      <c r="D24" s="102"/>
      <c r="E24" s="102"/>
      <c r="F24" s="102"/>
      <c r="G24" s="102"/>
      <c r="H24" s="102"/>
      <c r="I24" s="102"/>
    </row>
    <row r="25" spans="1:9" x14ac:dyDescent="0.25">
      <c r="A25" s="102"/>
      <c r="B25" s="102"/>
      <c r="C25" s="102"/>
      <c r="D25" s="102"/>
      <c r="E25" s="102"/>
      <c r="F25" s="102"/>
      <c r="G25" s="102"/>
      <c r="H25" s="102"/>
      <c r="I25" s="102"/>
    </row>
    <row r="26" spans="1:9" x14ac:dyDescent="0.25">
      <c r="A26" s="102"/>
      <c r="B26" s="102"/>
      <c r="C26" s="102"/>
      <c r="D26" s="102"/>
      <c r="E26" s="102"/>
      <c r="F26" s="102"/>
      <c r="G26" s="102"/>
      <c r="H26" s="102"/>
      <c r="I26" s="102"/>
    </row>
    <row r="27" spans="1:9" x14ac:dyDescent="0.25">
      <c r="A27" s="102"/>
      <c r="B27" s="102"/>
      <c r="C27" s="102"/>
      <c r="D27" s="102"/>
      <c r="E27" s="102"/>
      <c r="F27" s="102"/>
      <c r="G27" s="102"/>
      <c r="H27" s="102"/>
      <c r="I27" s="102"/>
    </row>
    <row r="28" spans="1:9" x14ac:dyDescent="0.25">
      <c r="A28" s="102"/>
      <c r="B28" s="102"/>
      <c r="C28" s="102"/>
      <c r="D28" s="102"/>
      <c r="E28" s="102"/>
      <c r="F28" s="102"/>
      <c r="G28" s="102"/>
      <c r="H28" s="102"/>
      <c r="I28" s="102"/>
    </row>
    <row r="29" spans="1:9" x14ac:dyDescent="0.25">
      <c r="A29" s="102"/>
      <c r="B29" s="102"/>
      <c r="C29" s="102"/>
      <c r="D29" s="102"/>
      <c r="E29" s="102"/>
      <c r="F29" s="102"/>
      <c r="G29" s="102"/>
      <c r="H29" s="102"/>
      <c r="I29" s="102"/>
    </row>
  </sheetData>
  <sheetProtection algorithmName="SHA-512" hashValue="CN6m7ezR5UecuCoWDc83qE+yJD+WqppCbZuTS+QYboEibILRPSGKUVvQ8lAJ8i7Tc9kSEx526dfNq0d6fAaOZg==" saltValue="kaFMkD+oPnghwosJXoaAeg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opLeftCell="C1" workbookViewId="0">
      <selection activeCell="K1" sqref="K1"/>
    </sheetView>
  </sheetViews>
  <sheetFormatPr defaultRowHeight="15" x14ac:dyDescent="0.2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  <col min="11" max="12" width="20.5703125" bestFit="1" customWidth="1"/>
  </cols>
  <sheetData>
    <row r="1" spans="1:10" ht="16.5" x14ac:dyDescent="0.3">
      <c r="A1" s="44" t="s">
        <v>223</v>
      </c>
      <c r="B1" s="45">
        <v>45170</v>
      </c>
      <c r="C1" s="45">
        <v>45177</v>
      </c>
      <c r="D1" s="45">
        <v>45184</v>
      </c>
      <c r="E1" s="45">
        <v>45191</v>
      </c>
      <c r="F1" s="45">
        <v>45198</v>
      </c>
      <c r="G1" s="45">
        <v>45205</v>
      </c>
      <c r="H1" s="45">
        <v>45212</v>
      </c>
      <c r="I1" s="45">
        <v>45219</v>
      </c>
      <c r="J1" s="45">
        <v>45226</v>
      </c>
    </row>
    <row r="2" spans="1:10" ht="16.5" x14ac:dyDescent="0.3">
      <c r="A2" s="46" t="s">
        <v>15</v>
      </c>
      <c r="B2" s="47">
        <v>22687921199.809998</v>
      </c>
      <c r="C2" s="47">
        <v>23086923138.879997</v>
      </c>
      <c r="D2" s="47">
        <v>22684841502.700001</v>
      </c>
      <c r="E2" s="47">
        <v>22617340342.240005</v>
      </c>
      <c r="F2" s="47">
        <v>22347298706.340004</v>
      </c>
      <c r="G2" s="47">
        <v>22419529839.446701</v>
      </c>
      <c r="H2" s="47">
        <v>22452818441.667297</v>
      </c>
      <c r="I2" s="47">
        <v>22321023691.510902</v>
      </c>
      <c r="J2" s="47">
        <v>22297088298.263195</v>
      </c>
    </row>
    <row r="3" spans="1:10" ht="16.5" x14ac:dyDescent="0.3">
      <c r="A3" s="46" t="s">
        <v>47</v>
      </c>
      <c r="B3" s="48">
        <v>854338532735.88501</v>
      </c>
      <c r="C3" s="48">
        <v>842459027080.45435</v>
      </c>
      <c r="D3" s="48">
        <v>842959336565.12207</v>
      </c>
      <c r="E3" s="48">
        <v>849677574373.34802</v>
      </c>
      <c r="F3" s="48">
        <v>852624898169.64954</v>
      </c>
      <c r="G3" s="48">
        <v>857851239009.95007</v>
      </c>
      <c r="H3" s="48">
        <v>866430357744.91357</v>
      </c>
      <c r="I3" s="48">
        <v>868733209665.15002</v>
      </c>
      <c r="J3" s="48">
        <v>866720174597.19238</v>
      </c>
    </row>
    <row r="4" spans="1:10" ht="16.5" x14ac:dyDescent="0.3">
      <c r="A4" s="46" t="s">
        <v>224</v>
      </c>
      <c r="B4" s="47">
        <v>319127187068.50275</v>
      </c>
      <c r="C4" s="47">
        <v>320114444673.33032</v>
      </c>
      <c r="D4" s="47">
        <v>320326205967.90063</v>
      </c>
      <c r="E4" s="47">
        <v>299618437754.16949</v>
      </c>
      <c r="F4" s="47">
        <v>300146733726.06244</v>
      </c>
      <c r="G4" s="47">
        <v>298612163023.86542</v>
      </c>
      <c r="H4" s="47">
        <v>296194339533.25995</v>
      </c>
      <c r="I4" s="47">
        <v>297314764640.83484</v>
      </c>
      <c r="J4" s="47">
        <v>296829521368.71655</v>
      </c>
    </row>
    <row r="5" spans="1:10" ht="16.5" x14ac:dyDescent="0.3">
      <c r="A5" s="46" t="s">
        <v>129</v>
      </c>
      <c r="B5" s="48">
        <v>561324750435.97546</v>
      </c>
      <c r="C5" s="48">
        <v>554560757841.43372</v>
      </c>
      <c r="D5" s="48">
        <v>579242821265.46704</v>
      </c>
      <c r="E5" s="48">
        <v>573412197469.83374</v>
      </c>
      <c r="F5" s="48">
        <v>580580020013.89868</v>
      </c>
      <c r="G5" s="48">
        <v>574272210688.57068</v>
      </c>
      <c r="H5" s="48">
        <v>594856395707.72656</v>
      </c>
      <c r="I5" s="48">
        <v>631778541802.7771</v>
      </c>
      <c r="J5" s="48">
        <v>623939339182.42139</v>
      </c>
    </row>
    <row r="6" spans="1:10" ht="16.5" x14ac:dyDescent="0.3">
      <c r="A6" s="46" t="s">
        <v>225</v>
      </c>
      <c r="B6" s="47">
        <v>93504922541.330002</v>
      </c>
      <c r="C6" s="47">
        <v>92863739575.880005</v>
      </c>
      <c r="D6" s="47">
        <v>92900265036.520004</v>
      </c>
      <c r="E6" s="47">
        <v>92930445555.669998</v>
      </c>
      <c r="F6" s="47">
        <v>92953013524.979996</v>
      </c>
      <c r="G6" s="47">
        <v>93025791056.550003</v>
      </c>
      <c r="H6" s="47">
        <v>93063670940.059998</v>
      </c>
      <c r="I6" s="47">
        <v>93071505879.830002</v>
      </c>
      <c r="J6" s="47">
        <v>93122068013.900009</v>
      </c>
    </row>
    <row r="7" spans="1:10" ht="16.5" x14ac:dyDescent="0.3">
      <c r="A7" s="46" t="s">
        <v>155</v>
      </c>
      <c r="B7" s="49">
        <v>39909523580.55719</v>
      </c>
      <c r="C7" s="49">
        <v>40429036765.108025</v>
      </c>
      <c r="D7" s="49">
        <v>39999967409.311623</v>
      </c>
      <c r="E7" s="49">
        <v>40017994182.737228</v>
      </c>
      <c r="F7" s="49">
        <v>39835802330.054489</v>
      </c>
      <c r="G7" s="49">
        <v>39656232639.742752</v>
      </c>
      <c r="H7" s="49">
        <v>39055524237.135551</v>
      </c>
      <c r="I7" s="49">
        <v>39125729977.492111</v>
      </c>
      <c r="J7" s="49">
        <v>39115203974.124908</v>
      </c>
    </row>
    <row r="8" spans="1:10" ht="16.5" x14ac:dyDescent="0.3">
      <c r="A8" s="46" t="s">
        <v>179</v>
      </c>
      <c r="B8" s="47">
        <v>3950705160.4500003</v>
      </c>
      <c r="C8" s="47">
        <v>3988679154.2799997</v>
      </c>
      <c r="D8" s="47">
        <v>3887178325.5900002</v>
      </c>
      <c r="E8" s="47">
        <v>3868880759.98</v>
      </c>
      <c r="F8" s="47">
        <v>3871825099.96</v>
      </c>
      <c r="G8" s="47">
        <v>3871834604.0900002</v>
      </c>
      <c r="H8" s="47">
        <v>3847653774.98</v>
      </c>
      <c r="I8" s="47">
        <v>3851756766.6799998</v>
      </c>
      <c r="J8" s="47">
        <v>3850205746.29</v>
      </c>
    </row>
    <row r="9" spans="1:10" ht="16.5" x14ac:dyDescent="0.3">
      <c r="A9" s="46" t="s">
        <v>226</v>
      </c>
      <c r="B9" s="47">
        <v>27966500870.759998</v>
      </c>
      <c r="C9" s="47">
        <v>28062421939.949997</v>
      </c>
      <c r="D9" s="47">
        <v>28033788286.160004</v>
      </c>
      <c r="E9" s="47">
        <v>45442767297.869995</v>
      </c>
      <c r="F9" s="47">
        <v>45697413516.340004</v>
      </c>
      <c r="G9" s="47">
        <v>45358758187.989998</v>
      </c>
      <c r="H9" s="47">
        <v>45328584703.190002</v>
      </c>
      <c r="I9" s="47">
        <v>45993634878.969994</v>
      </c>
      <c r="J9" s="47">
        <v>46178760569.040001</v>
      </c>
    </row>
    <row r="10" spans="1:10" ht="15.75" x14ac:dyDescent="0.25">
      <c r="A10" s="50" t="s">
        <v>227</v>
      </c>
      <c r="B10" s="51">
        <f t="shared" ref="B10:H10" si="0">SUM(B2:B9)</f>
        <v>1922810043593.2705</v>
      </c>
      <c r="C10" s="51">
        <f t="shared" si="0"/>
        <v>1905565030169.3159</v>
      </c>
      <c r="D10" s="51">
        <f t="shared" si="0"/>
        <v>1930034404358.7712</v>
      </c>
      <c r="E10" s="51">
        <f t="shared" si="0"/>
        <v>1927585637735.8486</v>
      </c>
      <c r="F10" s="51">
        <f t="shared" si="0"/>
        <v>1938057005087.2852</v>
      </c>
      <c r="G10" s="51">
        <f t="shared" si="0"/>
        <v>1935067759050.2058</v>
      </c>
      <c r="H10" s="51">
        <f t="shared" si="0"/>
        <v>1961229345082.9329</v>
      </c>
      <c r="I10" s="51">
        <f>SUM(I2:I9)</f>
        <v>2002190167303.2449</v>
      </c>
      <c r="J10" s="51">
        <f>SUM(J2:J9)</f>
        <v>1992052361749.9485</v>
      </c>
    </row>
    <row r="11" spans="1:10" ht="16.5" x14ac:dyDescent="0.3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0" ht="15.75" x14ac:dyDescent="0.25">
      <c r="A12" s="54" t="s">
        <v>228</v>
      </c>
      <c r="B12" s="55" t="s">
        <v>229</v>
      </c>
      <c r="C12" s="56">
        <f>(B10+C10)/2</f>
        <v>1914187536881.2932</v>
      </c>
      <c r="D12" s="57">
        <f t="shared" ref="D12:J12" si="1">(C10+D10)/2</f>
        <v>1917799717264.0435</v>
      </c>
      <c r="E12" s="57">
        <f t="shared" si="1"/>
        <v>1928810021047.3101</v>
      </c>
      <c r="F12" s="57">
        <f t="shared" si="1"/>
        <v>1932821321411.5669</v>
      </c>
      <c r="G12" s="57">
        <f>(F10+G10)/2</f>
        <v>1936562382068.7456</v>
      </c>
      <c r="H12" s="57">
        <f t="shared" si="1"/>
        <v>1948148552066.5693</v>
      </c>
      <c r="I12" s="57">
        <f t="shared" si="1"/>
        <v>1981709756193.0889</v>
      </c>
      <c r="J12" s="57">
        <f t="shared" si="1"/>
        <v>1997121264526.5967</v>
      </c>
    </row>
    <row r="15" spans="1:10" ht="16.5" x14ac:dyDescent="0.3">
      <c r="A15" s="44" t="s">
        <v>223</v>
      </c>
      <c r="B15" s="45">
        <v>45219</v>
      </c>
      <c r="C15" s="45">
        <v>45226</v>
      </c>
    </row>
    <row r="16" spans="1:10" ht="16.5" x14ac:dyDescent="0.3">
      <c r="A16" s="46" t="s">
        <v>15</v>
      </c>
      <c r="B16" s="47">
        <v>22321023691.510902</v>
      </c>
      <c r="C16" s="47">
        <v>22297088298.263195</v>
      </c>
    </row>
    <row r="17" spans="1:12" ht="16.5" x14ac:dyDescent="0.3">
      <c r="A17" s="46" t="s">
        <v>47</v>
      </c>
      <c r="B17" s="48">
        <v>868733209665.15002</v>
      </c>
      <c r="C17" s="48">
        <v>866720174597.19238</v>
      </c>
    </row>
    <row r="18" spans="1:12" ht="16.5" x14ac:dyDescent="0.3">
      <c r="A18" s="46" t="s">
        <v>224</v>
      </c>
      <c r="B18" s="47">
        <v>297314764640.83484</v>
      </c>
      <c r="C18" s="47">
        <v>296829521368.71655</v>
      </c>
    </row>
    <row r="19" spans="1:12" ht="16.5" x14ac:dyDescent="0.3">
      <c r="A19" s="46" t="s">
        <v>129</v>
      </c>
      <c r="B19" s="48">
        <v>631778541802.7771</v>
      </c>
      <c r="C19" s="48">
        <v>623939339182.42139</v>
      </c>
    </row>
    <row r="20" spans="1:12" ht="16.5" x14ac:dyDescent="0.3">
      <c r="A20" s="46" t="s">
        <v>225</v>
      </c>
      <c r="B20" s="47">
        <v>93071505879.830002</v>
      </c>
      <c r="C20" s="47">
        <v>93122068013.900009</v>
      </c>
      <c r="E20" s="148"/>
      <c r="F20" s="148"/>
      <c r="G20" s="148"/>
      <c r="H20" s="148"/>
      <c r="I20" s="148"/>
      <c r="J20" s="148"/>
      <c r="K20" s="148"/>
      <c r="L20" s="148"/>
    </row>
    <row r="21" spans="1:12" ht="16.5" x14ac:dyDescent="0.3">
      <c r="A21" s="46" t="s">
        <v>155</v>
      </c>
      <c r="B21" s="49">
        <v>39125729977.492111</v>
      </c>
      <c r="C21" s="49">
        <v>39115203974.124908</v>
      </c>
    </row>
    <row r="22" spans="1:12" ht="16.5" x14ac:dyDescent="0.3">
      <c r="A22" s="46" t="s">
        <v>179</v>
      </c>
      <c r="B22" s="47">
        <v>3851756766.6799998</v>
      </c>
      <c r="C22" s="47">
        <v>3850205746.29</v>
      </c>
    </row>
    <row r="23" spans="1:12" ht="16.5" x14ac:dyDescent="0.3">
      <c r="A23" s="46" t="s">
        <v>226</v>
      </c>
      <c r="B23" s="47">
        <v>45993634878.969994</v>
      </c>
      <c r="C23" s="47">
        <v>46178760569.040001</v>
      </c>
    </row>
  </sheetData>
  <sheetProtection algorithmName="SHA-512" hashValue="aFe1ydg3y4dChOlU8qj7/X+KNZA8lOuN/IsUYg17TtC3bSRS7FgctNSE8LmFziXnxAL0DKJzbi/erpkiBEhBaA==" saltValue="b095f3Zw/hnhASFjd1Ono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Mr RV</cp:lastModifiedBy>
  <dcterms:created xsi:type="dcterms:W3CDTF">2023-10-09T09:40:10Z</dcterms:created>
  <dcterms:modified xsi:type="dcterms:W3CDTF">2023-11-09T15:01:51Z</dcterms:modified>
</cp:coreProperties>
</file>