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N101" i="1" l="1"/>
  <c r="M101" i="1"/>
  <c r="K101" i="1"/>
  <c r="N96" i="1" l="1"/>
  <c r="M96" i="1"/>
  <c r="K96" i="1"/>
  <c r="N105" i="1" l="1"/>
  <c r="D105" i="1"/>
  <c r="K105" i="1"/>
  <c r="M105" i="1"/>
  <c r="N99" i="1"/>
  <c r="M99" i="1"/>
  <c r="K99" i="1"/>
  <c r="N109" i="1" l="1"/>
  <c r="M109" i="1"/>
  <c r="R151" i="1"/>
  <c r="N112" i="1" l="1"/>
  <c r="M112" i="1"/>
  <c r="N97" i="1" l="1"/>
  <c r="M97" i="1"/>
  <c r="K97" i="1"/>
  <c r="N91" i="1"/>
  <c r="M91" i="1"/>
  <c r="R77" i="1" l="1"/>
  <c r="S77" i="1"/>
  <c r="T77" i="1"/>
  <c r="V77" i="1"/>
  <c r="U77" i="1"/>
  <c r="N98" i="1"/>
  <c r="M98" i="1"/>
  <c r="K98" i="1"/>
  <c r="N92" i="1" l="1"/>
  <c r="M92" i="1"/>
  <c r="K92" i="1"/>
  <c r="N108" i="1" l="1"/>
  <c r="M108" i="1"/>
  <c r="D153" i="1" l="1"/>
  <c r="G112" i="1"/>
  <c r="F112" i="1"/>
  <c r="G109" i="1"/>
  <c r="F109" i="1"/>
  <c r="G108" i="1"/>
  <c r="F108" i="1"/>
  <c r="G106" i="1"/>
  <c r="F106" i="1"/>
  <c r="G105" i="1"/>
  <c r="F105" i="1"/>
  <c r="D106" i="1"/>
  <c r="G101" i="1"/>
  <c r="F101" i="1"/>
  <c r="G99" i="1"/>
  <c r="F99" i="1"/>
  <c r="G98" i="1"/>
  <c r="F98" i="1"/>
  <c r="G97" i="1"/>
  <c r="F97" i="1"/>
  <c r="G96" i="1"/>
  <c r="F96" i="1"/>
  <c r="G92" i="1"/>
  <c r="F92" i="1"/>
  <c r="G91" i="1"/>
  <c r="F91" i="1"/>
  <c r="D101" i="1"/>
  <c r="D99" i="1"/>
  <c r="D98" i="1"/>
  <c r="D97" i="1"/>
  <c r="D96" i="1"/>
  <c r="D92" i="1"/>
  <c r="D54" i="1"/>
  <c r="D22" i="1"/>
  <c r="R106" i="1" l="1"/>
  <c r="R19" i="1" l="1"/>
  <c r="R180" i="1" l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S191" i="1"/>
  <c r="U191" i="1"/>
  <c r="V191" i="1"/>
  <c r="V179" i="1"/>
  <c r="U179" i="1"/>
  <c r="T179" i="1"/>
  <c r="S179" i="1"/>
  <c r="R179" i="1"/>
  <c r="V175" i="1"/>
  <c r="U175" i="1"/>
  <c r="T175" i="1"/>
  <c r="S175" i="1"/>
  <c r="R175" i="1"/>
  <c r="V174" i="1"/>
  <c r="U174" i="1"/>
  <c r="T174" i="1"/>
  <c r="S174" i="1"/>
  <c r="R174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S170" i="1"/>
  <c r="U170" i="1"/>
  <c r="V170" i="1"/>
  <c r="V161" i="1"/>
  <c r="U161" i="1"/>
  <c r="T161" i="1"/>
  <c r="S161" i="1"/>
  <c r="R161" i="1"/>
  <c r="V158" i="1"/>
  <c r="U158" i="1"/>
  <c r="T158" i="1"/>
  <c r="S158" i="1"/>
  <c r="R158" i="1"/>
  <c r="V157" i="1"/>
  <c r="U157" i="1"/>
  <c r="T157" i="1"/>
  <c r="S157" i="1"/>
  <c r="R157" i="1"/>
  <c r="S151" i="1"/>
  <c r="T151" i="1"/>
  <c r="U151" i="1"/>
  <c r="V151" i="1"/>
  <c r="R152" i="1"/>
  <c r="S152" i="1"/>
  <c r="T152" i="1"/>
  <c r="U152" i="1"/>
  <c r="V152" i="1"/>
  <c r="S153" i="1"/>
  <c r="U153" i="1"/>
  <c r="V153" i="1"/>
  <c r="V150" i="1"/>
  <c r="U150" i="1"/>
  <c r="T150" i="1"/>
  <c r="S150" i="1"/>
  <c r="R150" i="1"/>
  <c r="R124" i="1"/>
  <c r="S124" i="1"/>
  <c r="T124" i="1"/>
  <c r="U124" i="1"/>
  <c r="V124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S147" i="1"/>
  <c r="U147" i="1"/>
  <c r="V147" i="1"/>
  <c r="V123" i="1"/>
  <c r="U123" i="1"/>
  <c r="T123" i="1"/>
  <c r="S123" i="1"/>
  <c r="R123" i="1"/>
  <c r="R117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S120" i="1"/>
  <c r="U120" i="1"/>
  <c r="V120" i="1"/>
  <c r="V116" i="1"/>
  <c r="U116" i="1"/>
  <c r="T116" i="1"/>
  <c r="S116" i="1"/>
  <c r="R116" i="1"/>
  <c r="R105" i="1"/>
  <c r="S105" i="1"/>
  <c r="T105" i="1"/>
  <c r="U105" i="1"/>
  <c r="V105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S113" i="1"/>
  <c r="U113" i="1"/>
  <c r="V113" i="1"/>
  <c r="V104" i="1"/>
  <c r="U104" i="1"/>
  <c r="T104" i="1"/>
  <c r="S104" i="1"/>
  <c r="R104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V91" i="1"/>
  <c r="U91" i="1"/>
  <c r="T91" i="1"/>
  <c r="S91" i="1"/>
  <c r="R91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S87" i="1"/>
  <c r="U87" i="1"/>
  <c r="V87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I10" i="4" l="1"/>
  <c r="H10" i="4"/>
  <c r="G10" i="4"/>
  <c r="F10" i="4"/>
  <c r="E10" i="4"/>
  <c r="D10" i="4"/>
  <c r="C10" i="4"/>
  <c r="B10" i="4"/>
  <c r="O170" i="1" l="1"/>
  <c r="O191" i="1"/>
  <c r="K191" i="1"/>
  <c r="L190" i="1" s="1"/>
  <c r="H191" i="1"/>
  <c r="D191" i="1"/>
  <c r="K176" i="1"/>
  <c r="H176" i="1"/>
  <c r="D176" i="1"/>
  <c r="H170" i="1"/>
  <c r="T170" i="1" s="1"/>
  <c r="D170" i="1"/>
  <c r="K170" i="1"/>
  <c r="L167" i="1" s="1"/>
  <c r="H153" i="1"/>
  <c r="O153" i="1"/>
  <c r="K153" i="1"/>
  <c r="O147" i="1"/>
  <c r="K147" i="1"/>
  <c r="H147" i="1"/>
  <c r="D147" i="1"/>
  <c r="O120" i="1"/>
  <c r="K120" i="1"/>
  <c r="H120" i="1"/>
  <c r="T120" i="1" s="1"/>
  <c r="D120" i="1"/>
  <c r="H113" i="1"/>
  <c r="D113" i="1"/>
  <c r="O113" i="1"/>
  <c r="K113" i="1"/>
  <c r="O87" i="1"/>
  <c r="K87" i="1"/>
  <c r="L84" i="1" s="1"/>
  <c r="H87" i="1"/>
  <c r="D87" i="1"/>
  <c r="E77" i="1" s="1"/>
  <c r="O54" i="1"/>
  <c r="K54" i="1"/>
  <c r="L25" i="1" s="1"/>
  <c r="H54" i="1"/>
  <c r="O22" i="1"/>
  <c r="H22" i="1"/>
  <c r="T191" i="1" l="1"/>
  <c r="L77" i="1"/>
  <c r="T54" i="1"/>
  <c r="T153" i="1"/>
  <c r="R153" i="1"/>
  <c r="T87" i="1"/>
  <c r="T147" i="1"/>
  <c r="T22" i="1"/>
  <c r="R120" i="1"/>
  <c r="R191" i="1"/>
  <c r="T113" i="1"/>
  <c r="O171" i="1"/>
  <c r="O192" i="1" s="1"/>
  <c r="R147" i="1"/>
  <c r="L137" i="1"/>
  <c r="L138" i="1"/>
  <c r="R113" i="1"/>
  <c r="R87" i="1"/>
  <c r="L59" i="1"/>
  <c r="L61" i="1"/>
  <c r="L63" i="1"/>
  <c r="L65" i="1"/>
  <c r="L67" i="1"/>
  <c r="L69" i="1"/>
  <c r="L71" i="1"/>
  <c r="L73" i="1"/>
  <c r="L75" i="1"/>
  <c r="L78" i="1"/>
  <c r="L80" i="1"/>
  <c r="L82" i="1"/>
  <c r="L86" i="1"/>
  <c r="L58" i="1"/>
  <c r="L60" i="1"/>
  <c r="L62" i="1"/>
  <c r="L64" i="1"/>
  <c r="L66" i="1"/>
  <c r="L68" i="1"/>
  <c r="L70" i="1"/>
  <c r="L72" i="1"/>
  <c r="L74" i="1"/>
  <c r="L76" i="1"/>
  <c r="L79" i="1"/>
  <c r="L81" i="1"/>
  <c r="L83" i="1"/>
  <c r="L8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3" i="1"/>
  <c r="E165" i="1"/>
  <c r="E167" i="1"/>
  <c r="E169" i="1"/>
  <c r="E162" i="1"/>
  <c r="E164" i="1"/>
  <c r="E166" i="1"/>
  <c r="E168" i="1"/>
  <c r="R170" i="1"/>
  <c r="H171" i="1"/>
  <c r="H192" i="1" s="1"/>
  <c r="J10" i="4"/>
  <c r="J12" i="4" s="1"/>
  <c r="I12" i="4"/>
  <c r="H12" i="4"/>
  <c r="G12" i="4"/>
  <c r="F12" i="4"/>
  <c r="E12" i="4"/>
  <c r="C12" i="4"/>
  <c r="L189" i="1"/>
  <c r="E187" i="1"/>
  <c r="L188" i="1"/>
  <c r="L187" i="1"/>
  <c r="L185" i="1"/>
  <c r="L184" i="1"/>
  <c r="L183" i="1"/>
  <c r="L181" i="1"/>
  <c r="L180" i="1"/>
  <c r="L179" i="1"/>
  <c r="V176" i="1"/>
  <c r="U176" i="1"/>
  <c r="L174" i="1"/>
  <c r="E174" i="1"/>
  <c r="L168" i="1"/>
  <c r="L162" i="1"/>
  <c r="L158" i="1"/>
  <c r="L150" i="1"/>
  <c r="E152" i="1"/>
  <c r="L143" i="1"/>
  <c r="E146" i="1"/>
  <c r="E143" i="1"/>
  <c r="L136" i="1"/>
  <c r="L134" i="1"/>
  <c r="L131" i="1"/>
  <c r="L128" i="1"/>
  <c r="L126" i="1"/>
  <c r="L123" i="1"/>
  <c r="L118" i="1"/>
  <c r="E119" i="1"/>
  <c r="L119" i="1"/>
  <c r="E84" i="1"/>
  <c r="E85" i="1"/>
  <c r="E83" i="1"/>
  <c r="E81" i="1"/>
  <c r="E79" i="1"/>
  <c r="E76" i="1"/>
  <c r="E74" i="1"/>
  <c r="E72" i="1"/>
  <c r="E70" i="1"/>
  <c r="E68" i="1"/>
  <c r="E66" i="1"/>
  <c r="E64" i="1"/>
  <c r="E62" i="1"/>
  <c r="E60" i="1"/>
  <c r="E58" i="1"/>
  <c r="L50" i="1"/>
  <c r="R54" i="1"/>
  <c r="L51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6" i="1"/>
  <c r="L124" i="1"/>
  <c r="L127" i="1"/>
  <c r="L130" i="1"/>
  <c r="L132" i="1"/>
  <c r="L135" i="1"/>
  <c r="L139" i="1"/>
  <c r="E18" i="1"/>
  <c r="L57" i="1"/>
  <c r="E61" i="1"/>
  <c r="E116" i="1"/>
  <c r="E123" i="1"/>
  <c r="E124" i="1"/>
  <c r="E125" i="1"/>
  <c r="E130" i="1"/>
  <c r="E131" i="1"/>
  <c r="E132" i="1"/>
  <c r="E133" i="1"/>
  <c r="E138" i="1"/>
  <c r="E141" i="1"/>
  <c r="E145" i="1"/>
  <c r="L164" i="1"/>
  <c r="L166" i="1"/>
  <c r="E11" i="1"/>
  <c r="E13" i="1"/>
  <c r="E16" i="1"/>
  <c r="E20" i="1"/>
  <c r="L29" i="1"/>
  <c r="L37" i="1"/>
  <c r="L43" i="1"/>
  <c r="K171" i="1"/>
  <c r="L117" i="1"/>
  <c r="E126" i="1"/>
  <c r="E127" i="1"/>
  <c r="E128" i="1"/>
  <c r="E129" i="1"/>
  <c r="E134" i="1"/>
  <c r="E135" i="1"/>
  <c r="E136" i="1"/>
  <c r="E137" i="1"/>
  <c r="E139" i="1"/>
  <c r="E140" i="1"/>
  <c r="E142" i="1"/>
  <c r="E144" i="1"/>
  <c r="L157" i="1"/>
  <c r="L163" i="1"/>
  <c r="L96" i="1"/>
  <c r="L106" i="1"/>
  <c r="L95" i="1"/>
  <c r="L48" i="1"/>
  <c r="L33" i="1"/>
  <c r="L44" i="1"/>
  <c r="L52" i="1"/>
  <c r="E118" i="1"/>
  <c r="L141" i="1"/>
  <c r="L145" i="1"/>
  <c r="L152" i="1"/>
  <c r="E182" i="1"/>
  <c r="E186" i="1"/>
  <c r="E190" i="1"/>
  <c r="D12" i="4"/>
  <c r="E92" i="1"/>
  <c r="L36" i="1"/>
  <c r="L39" i="1"/>
  <c r="L30" i="1"/>
  <c r="L38" i="1"/>
  <c r="L41" i="1"/>
  <c r="L49" i="1"/>
  <c r="L125" i="1"/>
  <c r="L129" i="1"/>
  <c r="L133" i="1"/>
  <c r="E151" i="1"/>
  <c r="E161" i="1"/>
  <c r="E175" i="1"/>
  <c r="L182" i="1"/>
  <c r="L186" i="1"/>
  <c r="L28" i="1"/>
  <c r="L47" i="1"/>
  <c r="E7" i="1"/>
  <c r="E17" i="1"/>
  <c r="E21" i="1"/>
  <c r="L27" i="1"/>
  <c r="L35" i="1"/>
  <c r="L46" i="1"/>
  <c r="E57" i="1"/>
  <c r="E65" i="1"/>
  <c r="E69" i="1"/>
  <c r="E73" i="1"/>
  <c r="E78" i="1"/>
  <c r="E82" i="1"/>
  <c r="E86" i="1"/>
  <c r="E117" i="1"/>
  <c r="L140" i="1"/>
  <c r="L144" i="1"/>
  <c r="L151" i="1"/>
  <c r="L161" i="1"/>
  <c r="L165" i="1"/>
  <c r="L169" i="1"/>
  <c r="L175" i="1"/>
  <c r="R176" i="1"/>
  <c r="E181" i="1"/>
  <c r="E185" i="1"/>
  <c r="E189" i="1"/>
  <c r="E150" i="1"/>
  <c r="E158" i="1"/>
  <c r="E180" i="1"/>
  <c r="E184" i="1"/>
  <c r="E188" i="1"/>
  <c r="L45" i="1"/>
  <c r="L53" i="1"/>
  <c r="E101" i="1"/>
  <c r="L26" i="1"/>
  <c r="L34" i="1"/>
  <c r="E157" i="1"/>
  <c r="E12" i="1"/>
  <c r="E15" i="1"/>
  <c r="L31" i="1"/>
  <c r="L42" i="1"/>
  <c r="E59" i="1"/>
  <c r="E63" i="1"/>
  <c r="E67" i="1"/>
  <c r="E71" i="1"/>
  <c r="E75" i="1"/>
  <c r="E80" i="1"/>
  <c r="L142" i="1"/>
  <c r="L146" i="1"/>
  <c r="E179" i="1"/>
  <c r="E183" i="1"/>
  <c r="L107" i="1" l="1"/>
  <c r="L91" i="1"/>
  <c r="L92" i="1"/>
  <c r="L93" i="1"/>
  <c r="L99" i="1"/>
  <c r="L109" i="1"/>
  <c r="E105" i="1"/>
  <c r="L94" i="1"/>
  <c r="K192" i="1"/>
  <c r="L22" i="1"/>
  <c r="L147" i="1"/>
  <c r="L54" i="1"/>
  <c r="L120" i="1"/>
  <c r="L87" i="1"/>
  <c r="L113" i="1"/>
  <c r="L170" i="1"/>
  <c r="L153" i="1"/>
  <c r="L101" i="1"/>
  <c r="L98" i="1"/>
  <c r="L97" i="1"/>
  <c r="L112" i="1"/>
  <c r="L104" i="1"/>
  <c r="L108" i="1"/>
  <c r="L110" i="1"/>
  <c r="L100" i="1"/>
  <c r="L111" i="1"/>
  <c r="L105" i="1"/>
  <c r="E111" i="1"/>
  <c r="E108" i="1"/>
  <c r="E100" i="1"/>
  <c r="E97" i="1"/>
  <c r="E94" i="1"/>
  <c r="E99" i="1"/>
  <c r="E95" i="1"/>
  <c r="E106" i="1"/>
  <c r="E96" i="1"/>
  <c r="D171" i="1"/>
  <c r="E113" i="1" s="1"/>
  <c r="E112" i="1"/>
  <c r="E91" i="1"/>
  <c r="E98" i="1"/>
  <c r="E93" i="1"/>
  <c r="E110" i="1"/>
  <c r="E109" i="1"/>
  <c r="E107" i="1"/>
  <c r="E104" i="1"/>
  <c r="E54" i="1" l="1"/>
  <c r="E147" i="1"/>
  <c r="D192" i="1"/>
  <c r="E87" i="1"/>
  <c r="E22" i="1"/>
  <c r="E170" i="1"/>
  <c r="E120" i="1"/>
  <c r="E153" i="1"/>
</calcChain>
</file>

<file path=xl/sharedStrings.xml><?xml version="1.0" encoding="utf-8"?>
<sst xmlns="http://schemas.openxmlformats.org/spreadsheetml/2006/main" count="399" uniqueCount="248">
  <si>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</si>
  <si>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</si>
  <si>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</si>
  <si>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</si>
  <si>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</si>
  <si>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</si>
  <si>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</si>
  <si>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</si>
  <si>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</si>
  <si>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</si>
  <si>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</si>
  <si>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</si>
  <si>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</si>
  <si>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</si>
  <si>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</si>
  <si>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</si>
  <si>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</si>
  <si>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</si>
  <si>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</si>
  <si>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</si>
  <si>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</si>
  <si>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</si>
  <si>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</si>
  <si>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</si>
  <si>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</si>
  <si>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</si>
  <si>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</si>
  <si>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</si>
  <si>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</si>
  <si>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</si>
  <si>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</si>
  <si>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</si>
  <si>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</si>
  <si>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</si>
  <si>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</si>
  <si>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</si>
  <si>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</si>
  <si>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</si>
  <si>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</si>
  <si>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</si>
  <si>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</si>
  <si>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</si>
  <si>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</si>
  <si>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</si>
  <si>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</si>
  <si>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</si>
  <si>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</si>
  <si>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</si>
  <si>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</si>
  <si>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</si>
  <si>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</si>
  <si>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</si>
  <si>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</si>
  <si>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</si>
  <si>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</si>
  <si>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</si>
  <si>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</si>
  <si>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</si>
  <si>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</si>
  <si>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</si>
  <si>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</si>
  <si>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</si>
  <si>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</si>
  <si>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</si>
  <si>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</si>
  <si>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</si>
  <si>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</si>
  <si>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</si>
  <si>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</si>
  <si>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</si>
  <si>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</si>
  <si>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</si>
  <si>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</si>
  <si>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</si>
  <si>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</si>
  <si>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</si>
  <si>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</si>
  <si>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</si>
  <si>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</si>
  <si>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</si>
  <si>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</si>
  <si>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</si>
  <si>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</si>
  <si>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</si>
  <si>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</si>
  <si>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</si>
  <si>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</si>
  <si>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</si>
  <si>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</si>
  <si>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</si>
  <si>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</si>
  <si>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</si>
  <si>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</si>
  <si>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</si>
  <si>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</si>
  <si>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</si>
  <si>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</si>
  <si>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</si>
  <si>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</si>
  <si>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</si>
  <si>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</si>
  <si>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</si>
  <si>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</si>
  <si>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</si>
  <si>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</si>
  <si>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</si>
  <si>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</si>
  <si>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</si>
  <si>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</si>
  <si>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</si>
  <si>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</si>
  <si>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</si>
  <si>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</si>
  <si>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</si>
  <si>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</si>
  <si>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</si>
  <si>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</si>
  <si>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</si>
  <si>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</si>
  <si>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</si>
  <si>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</si>
  <si>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</si>
  <si>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</si>
  <si>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</si>
  <si>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</si>
  <si>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</si>
  <si>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</si>
  <si>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</si>
  <si>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</si>
  <si>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</si>
  <si>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</si>
  <si>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</si>
  <si>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</si>
  <si>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</si>
  <si>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</si>
  <si>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</si>
  <si>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</si>
  <si>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</si>
  <si>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</si>
  <si>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</si>
  <si>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</si>
  <si>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</si>
  <si>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</si>
  <si>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</si>
  <si>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</si>
  <si>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</si>
  <si>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</si>
  <si>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</si>
  <si>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</si>
  <si>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</si>
  <si>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</si>
  <si>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</si>
  <si>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</si>
  <si>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</si>
  <si>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</si>
  <si>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</si>
  <si>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</si>
  <si>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</si>
  <si>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</si>
  <si>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</si>
  <si>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</si>
  <si>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</si>
  <si>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</si>
  <si>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</si>
  <si>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</si>
  <si>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</si>
  <si>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</si>
  <si>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</si>
  <si>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</si>
  <si>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</si>
  <si>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</si>
  <si>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</si>
  <si>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</si>
  <si>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</si>
  <si>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</si>
  <si>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</si>
  <si>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</si>
  <si>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</si>
  <si>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</si>
  <si>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</si>
  <si>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</si>
  <si>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</si>
  <si>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</si>
  <si>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</si>
  <si>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</si>
  <si>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</si>
  <si>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</si>
  <si>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</si>
  <si>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</si>
  <si>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</si>
  <si>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</si>
  <si>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</si>
  <si>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</si>
  <si>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</si>
  <si>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</si>
  <si>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</si>
  <si>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</si>
  <si>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</si>
  <si>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</si>
  <si>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</si>
  <si>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</si>
  <si>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</si>
  <si>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</si>
  <si>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</si>
  <si>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</si>
  <si>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</si>
  <si>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</si>
  <si>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</si>
  <si>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</si>
  <si>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</si>
  <si>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</si>
  <si>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</si>
  <si>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</si>
  <si>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</si>
  <si>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</si>
  <si>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</si>
  <si>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</si>
  <si>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</si>
  <si>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</si>
  <si>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</si>
  <si>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</si>
  <si>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</si>
  <si>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</si>
  <si>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</si>
  <si>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</si>
  <si>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</si>
  <si>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</si>
  <si>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</si>
  <si>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</si>
  <si>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</si>
  <si>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</si>
  <si>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</si>
  <si>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</si>
  <si>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</si>
  <si>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</si>
  <si>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</si>
  <si>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</si>
  <si>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NAV, Unit Price and Yield as at Week Ended October 13, 2023</t>
  </si>
  <si>
    <t>5,88%</t>
  </si>
  <si>
    <t>Week Ended October 13, 2023</t>
  </si>
  <si>
    <t>NAV, Unit Price and Yield as at Week Ended October 20, 2023</t>
  </si>
  <si>
    <t>WEEKLY VALUATION REPORT OF COLLECTIVE INVESTMENT SCHEMES AS AT WEEK ENDED FRIDAY, OCTOBER 20, 2023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</si>
  <si>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</si>
  <si>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</si>
  <si>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</si>
  <si>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</si>
  <si>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</si>
  <si>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Week Ended October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</si>
</sst>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18" fillId="0" borderId="0" xfId="0" applyFont="1" applyBorder="1"/>
    <xf numFmtId="0" fontId="0" fillId="0" borderId="0" xfId="0" applyBorder="1"/>
    <xf numFmtId="0" fontId="21" fillId="0" borderId="5" xfId="0" applyFont="1" applyBorder="1" applyAlignment="1">
      <alignment horizontal="right"/>
    </xf>
    <xf numFmtId="16" fontId="22" fillId="3" borderId="5" xfId="0" applyNumberFormat="1" applyFont="1" applyFill="1" applyBorder="1"/>
    <xf numFmtId="0" fontId="22" fillId="0" borderId="5" xfId="0" applyFont="1" applyBorder="1" applyAlignment="1">
      <alignment horizontal="right"/>
    </xf>
    <xf numFmtId="4" fontId="20" fillId="3" borderId="5" xfId="0" applyNumberFormat="1" applyFont="1" applyFill="1" applyBorder="1"/>
    <xf numFmtId="43" fontId="20" fillId="3" borderId="5" xfId="1" applyFont="1" applyFill="1" applyBorder="1" applyAlignment="1">
      <alignment horizontal="right" vertical="top" wrapText="1"/>
    </xf>
    <xf numFmtId="4" fontId="20" fillId="3" borderId="5" xfId="0" applyNumberFormat="1" applyFont="1" applyFill="1" applyBorder="1" applyAlignment="1">
      <alignment horizontal="right"/>
    </xf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" fontId="11" fillId="3" borderId="0" xfId="0" applyNumberFormat="1" applyFont="1" applyFill="1" applyBorder="1"/>
    <xf numFmtId="43" fontId="12" fillId="3" borderId="0" xfId="1" applyFont="1" applyFill="1" applyBorder="1" applyAlignment="1">
      <alignment horizontal="right" vertical="top" wrapText="1"/>
    </xf>
    <xf numFmtId="0" fontId="23" fillId="0" borderId="0" xfId="0" applyFont="1" applyBorder="1" applyAlignment="1">
      <alignment horizontal="right"/>
    </xf>
    <xf numFmtId="0" fontId="19" fillId="0" borderId="0" xfId="0" applyFont="1"/>
    <xf numFmtId="16" fontId="22" fillId="3" borderId="5" xfId="0" applyNumberFormat="1" applyFont="1" applyFill="1" applyBorder="1" applyAlignment="1">
      <alignment wrapText="1"/>
    </xf>
    <xf numFmtId="0" fontId="22" fillId="0" borderId="5" xfId="0" applyFont="1" applyBorder="1" applyAlignment="1">
      <alignment horizontal="right" wrapText="1"/>
    </xf>
    <xf numFmtId="10" fontId="24" fillId="2" borderId="5" xfId="2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26" fillId="0" borderId="0" xfId="0" applyFont="1"/>
    <xf numFmtId="10" fontId="25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0" fillId="0" borderId="0" xfId="0" quotePrefix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" fontId="12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16" fontId="27" fillId="3" borderId="0" xfId="0" applyNumberFormat="1" applyFont="1" applyFill="1" applyBorder="1"/>
    <xf numFmtId="43" fontId="28" fillId="0" borderId="0" xfId="1" applyFont="1" applyBorder="1"/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October 13,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22.452818441667301</c:v>
                </c:pt>
                <c:pt idx="1">
                  <c:v>866.43035774491398</c:v>
                </c:pt>
                <c:pt idx="2">
                  <c:v>296.19433953326001</c:v>
                </c:pt>
                <c:pt idx="3">
                  <c:v>594.85639570772707</c:v>
                </c:pt>
                <c:pt idx="4">
                  <c:v>93.063670940059993</c:v>
                </c:pt>
                <c:pt idx="5" formatCode="_(* #,##0.00_);_(* \(#,##0.00\);_(* &quot;-&quot;??_);_(@_)">
                  <c:v>39.0555242371356</c:v>
                </c:pt>
                <c:pt idx="6">
                  <c:v>3.8476537749799999</c:v>
                </c:pt>
                <c:pt idx="7">
                  <c:v>45.328584703190003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October 20,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22.321023691510899</c:v>
                </c:pt>
                <c:pt idx="1">
                  <c:v>868.73320966515007</c:v>
                </c:pt>
                <c:pt idx="2">
                  <c:v>297.31476464083499</c:v>
                </c:pt>
                <c:pt idx="3">
                  <c:v>631.778541802777</c:v>
                </c:pt>
                <c:pt idx="4">
                  <c:v>93.071505879829999</c:v>
                </c:pt>
                <c:pt idx="5" formatCode="_(* #,##0.00_);_(* \(#,##0.00\);_(* &quot;-&quot;??_);_(@_)">
                  <c:v>39.125729977492107</c:v>
                </c:pt>
                <c:pt idx="6">
                  <c:v>3.8517567666799999</c:v>
                </c:pt>
                <c:pt idx="7">
                  <c:v>45.993634878969999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20-Oct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3851756766.6799998</c:v>
                </c:pt>
                <c:pt idx="1">
                  <c:v>22321023691.510902</c:v>
                </c:pt>
                <c:pt idx="2" formatCode="_(* #,##0.00_);_(* \(#,##0.00\);_(* &quot;-&quot;??_);_(@_)">
                  <c:v>39125729977.492111</c:v>
                </c:pt>
                <c:pt idx="3">
                  <c:v>45993634878.969994</c:v>
                </c:pt>
                <c:pt idx="4">
                  <c:v>93071505879.830002</c:v>
                </c:pt>
                <c:pt idx="5">
                  <c:v>297314764640.83484</c:v>
                </c:pt>
                <c:pt idx="6">
                  <c:v>631778541802.7771</c:v>
                </c:pt>
                <c:pt idx="7">
                  <c:v>868733209665.15002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45177</c:v>
                </c:pt>
                <c:pt idx="1">
                  <c:v>45184</c:v>
                </c:pt>
                <c:pt idx="2">
                  <c:v>45191</c:v>
                </c:pt>
                <c:pt idx="3">
                  <c:v>45198</c:v>
                </c:pt>
                <c:pt idx="4">
                  <c:v>45205</c:v>
                </c:pt>
                <c:pt idx="5">
                  <c:v>45212</c:v>
                </c:pt>
                <c:pt idx="6">
                  <c:v>45219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1905565030169.3159</c:v>
                </c:pt>
                <c:pt idx="1">
                  <c:v>1930034404358.7712</c:v>
                </c:pt>
                <c:pt idx="2">
                  <c:v>1927585637735.8486</c:v>
                </c:pt>
                <c:pt idx="3">
                  <c:v>1938057005087.2852</c:v>
                </c:pt>
                <c:pt idx="4">
                  <c:v>1935067759050.2058</c:v>
                </c:pt>
                <c:pt idx="5">
                  <c:v>1961229345082.9329</c:v>
                </c:pt>
                <c:pt idx="6">
                  <c:v>2002190167303.2449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389659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2"/>
  <sheetViews>
    <sheetView tabSelected="1" zoomScale="130" zoomScaleNormal="13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 x14ac:dyDescent="0.45">
      <c r="A1" s="141" t="s">
        <v>241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4"/>
    </row>
    <row r="2" spans="1:25" ht="15" customHeight="1" x14ac:dyDescent="0.25">
      <c r="A2" s="1"/>
      <c r="B2" s="1"/>
      <c r="C2" s="1"/>
      <c r="D2" s="147" t="s">
        <v>237</v>
      </c>
      <c r="E2" s="148"/>
      <c r="F2" s="148"/>
      <c r="G2" s="148"/>
      <c r="H2" s="148"/>
      <c r="I2" s="148"/>
      <c r="J2" s="149"/>
      <c r="K2" s="147" t="s">
        <v>240</v>
      </c>
      <c r="L2" s="148"/>
      <c r="M2" s="148"/>
      <c r="N2" s="148"/>
      <c r="O2" s="148"/>
      <c r="P2" s="148"/>
      <c r="Q2" s="149"/>
      <c r="R2" s="147" t="s">
        <v>0</v>
      </c>
      <c r="S2" s="148"/>
      <c r="T2" s="149"/>
      <c r="U2" s="145" t="s">
        <v>1</v>
      </c>
      <c r="V2" s="145"/>
    </row>
    <row r="3" spans="1:25" ht="25.5" x14ac:dyDescent="0.25">
      <c r="A3" s="85" t="s">
        <v>2</v>
      </c>
      <c r="B3" s="79" t="s">
        <v>3</v>
      </c>
      <c r="C3" s="79" t="s">
        <v>4</v>
      </c>
      <c r="D3" s="80" t="s">
        <v>5</v>
      </c>
      <c r="E3" s="81" t="s">
        <v>6</v>
      </c>
      <c r="F3" s="81" t="s">
        <v>7</v>
      </c>
      <c r="G3" s="81" t="s">
        <v>8</v>
      </c>
      <c r="H3" s="81" t="s">
        <v>230</v>
      </c>
      <c r="I3" s="81" t="s">
        <v>9</v>
      </c>
      <c r="J3" s="81" t="s">
        <v>10</v>
      </c>
      <c r="K3" s="82" t="s">
        <v>5</v>
      </c>
      <c r="L3" s="81" t="s">
        <v>6</v>
      </c>
      <c r="M3" s="81" t="s">
        <v>7</v>
      </c>
      <c r="N3" s="81" t="s">
        <v>8</v>
      </c>
      <c r="O3" s="81" t="s">
        <v>230</v>
      </c>
      <c r="P3" s="81" t="s">
        <v>9</v>
      </c>
      <c r="Q3" s="81" t="s">
        <v>10</v>
      </c>
      <c r="R3" s="80" t="s">
        <v>11</v>
      </c>
      <c r="S3" s="81" t="s">
        <v>12</v>
      </c>
      <c r="T3" s="81" t="s">
        <v>236</v>
      </c>
      <c r="U3" s="81" t="s">
        <v>13</v>
      </c>
      <c r="V3" s="81" t="s">
        <v>14</v>
      </c>
    </row>
    <row r="4" spans="1:25" ht="7.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5" ht="15" customHeight="1" x14ac:dyDescent="0.25">
      <c r="A5" s="138" t="s">
        <v>15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5" x14ac:dyDescent="0.25">
      <c r="A6" s="130">
        <v>1</v>
      </c>
      <c r="B6" s="62" t="s">
        <v>16</v>
      </c>
      <c r="C6" s="63" t="s">
        <v>17</v>
      </c>
      <c r="D6" s="2">
        <v>692896642.14999998</v>
      </c>
      <c r="E6" s="3">
        <f t="shared" ref="E6:E21" si="0">(D6/$D$22)</f>
        <v>3.0860118695127479E-2</v>
      </c>
      <c r="F6" s="4">
        <v>273.96339999999998</v>
      </c>
      <c r="G6" s="4">
        <v>277.19720000000001</v>
      </c>
      <c r="H6" s="60">
        <v>1790</v>
      </c>
      <c r="I6" s="5">
        <v>6.7000000000000002E-3</v>
      </c>
      <c r="J6" s="5">
        <v>0.45329999999999998</v>
      </c>
      <c r="K6" s="2">
        <v>659601948.73000002</v>
      </c>
      <c r="L6" s="3">
        <f>(K6/$K$22)</f>
        <v>2.9550703312091319E-2</v>
      </c>
      <c r="M6" s="4">
        <v>260.8</v>
      </c>
      <c r="N6" s="4">
        <v>264.29000000000002</v>
      </c>
      <c r="O6" s="60">
        <v>1790</v>
      </c>
      <c r="P6" s="5">
        <v>-5.9200000000000003E-2</v>
      </c>
      <c r="Q6" s="5">
        <v>0.38350000000000001</v>
      </c>
      <c r="R6" s="83">
        <f>((K6-D6)/D6)</f>
        <v>-4.8051457309259464E-2</v>
      </c>
      <c r="S6" s="83">
        <f t="shared" ref="S6" si="1">((N6-G6)/G6)</f>
        <v>-4.6563240898537174E-2</v>
      </c>
      <c r="T6" s="83">
        <f>((O6-H6)/H6)</f>
        <v>0</v>
      </c>
      <c r="U6" s="84">
        <f>P6-I6</f>
        <v>-6.59E-2</v>
      </c>
      <c r="V6" s="86">
        <f>Q6-J6</f>
        <v>-6.9799999999999973E-2</v>
      </c>
    </row>
    <row r="7" spans="1:25" x14ac:dyDescent="0.25">
      <c r="A7" s="131">
        <v>2</v>
      </c>
      <c r="B7" s="62" t="s">
        <v>18</v>
      </c>
      <c r="C7" s="63" t="s">
        <v>19</v>
      </c>
      <c r="D7" s="4">
        <v>492539485.55000001</v>
      </c>
      <c r="E7" s="3">
        <f t="shared" si="0"/>
        <v>2.1936644026656332E-2</v>
      </c>
      <c r="F7" s="4">
        <v>180.65520000000001</v>
      </c>
      <c r="G7" s="4">
        <v>183.0796</v>
      </c>
      <c r="H7" s="60">
        <v>363</v>
      </c>
      <c r="I7" s="5">
        <v>1.536E-3</v>
      </c>
      <c r="J7" s="5">
        <v>0.24640000000000001</v>
      </c>
      <c r="K7" s="4">
        <v>492181757.69999999</v>
      </c>
      <c r="L7" s="3">
        <f t="shared" ref="L7:L21" si="2">(K7/$K$22)</f>
        <v>2.2050142704126325E-2</v>
      </c>
      <c r="M7" s="4">
        <v>180.523</v>
      </c>
      <c r="N7" s="4">
        <v>182.94540000000001</v>
      </c>
      <c r="O7" s="60">
        <v>364</v>
      </c>
      <c r="P7" s="5">
        <v>-4.8149999999999998E-3</v>
      </c>
      <c r="Q7" s="5">
        <v>0.24540000000000001</v>
      </c>
      <c r="R7" s="83">
        <f t="shared" ref="R7:R22" si="3">((K7-D7)/D7)</f>
        <v>-7.2629273488715896E-4</v>
      </c>
      <c r="S7" s="83">
        <f t="shared" ref="S7:S22" si="4">((N7-G7)/G7)</f>
        <v>-7.3301449205696737E-4</v>
      </c>
      <c r="T7" s="83">
        <f t="shared" ref="T7:T22" si="5">((O7-H7)/H7)</f>
        <v>2.7548209366391185E-3</v>
      </c>
      <c r="U7" s="84">
        <f t="shared" ref="U7:U22" si="6">P7-I7</f>
        <v>-6.3509999999999999E-3</v>
      </c>
      <c r="V7" s="86">
        <f t="shared" ref="V7:V22" si="7">Q7-J7</f>
        <v>-1.0000000000000009E-3</v>
      </c>
    </row>
    <row r="8" spans="1:25" x14ac:dyDescent="0.25">
      <c r="A8" s="128">
        <v>3</v>
      </c>
      <c r="B8" s="62" t="s">
        <v>20</v>
      </c>
      <c r="C8" s="63" t="s">
        <v>21</v>
      </c>
      <c r="D8" s="4">
        <v>3228166962.6100001</v>
      </c>
      <c r="E8" s="3">
        <f t="shared" si="0"/>
        <v>0.14377557859815321</v>
      </c>
      <c r="F8" s="4">
        <v>29.045999999999999</v>
      </c>
      <c r="G8" s="4">
        <v>29.921800000000001</v>
      </c>
      <c r="H8" s="64">
        <v>6328</v>
      </c>
      <c r="I8" s="6">
        <v>0.48559999999999998</v>
      </c>
      <c r="J8" s="6">
        <v>0.39629999999999999</v>
      </c>
      <c r="K8" s="4">
        <v>3148008195.1900001</v>
      </c>
      <c r="L8" s="3">
        <f t="shared" si="2"/>
        <v>0.14103332529445078</v>
      </c>
      <c r="M8" s="4">
        <v>28.948899999999998</v>
      </c>
      <c r="N8" s="4">
        <v>29.8218</v>
      </c>
      <c r="O8" s="64">
        <v>6327</v>
      </c>
      <c r="P8" s="6">
        <v>-0.17430000000000001</v>
      </c>
      <c r="Q8" s="6">
        <v>0.38140000000000002</v>
      </c>
      <c r="R8" s="83">
        <f t="shared" si="3"/>
        <v>-2.4831047572332208E-2</v>
      </c>
      <c r="S8" s="83">
        <f t="shared" si="4"/>
        <v>-3.3420449304520923E-3</v>
      </c>
      <c r="T8" s="83">
        <f t="shared" si="5"/>
        <v>-1.5802781289506955E-4</v>
      </c>
      <c r="U8" s="84">
        <f t="shared" si="6"/>
        <v>-0.65989999999999993</v>
      </c>
      <c r="V8" s="86">
        <f t="shared" si="7"/>
        <v>-1.4899999999999969E-2</v>
      </c>
      <c r="X8" s="122"/>
      <c r="Y8" s="122"/>
    </row>
    <row r="9" spans="1:25" x14ac:dyDescent="0.25">
      <c r="A9" s="130">
        <v>4</v>
      </c>
      <c r="B9" s="62" t="s">
        <v>22</v>
      </c>
      <c r="C9" s="63" t="s">
        <v>23</v>
      </c>
      <c r="D9" s="4">
        <v>415649112.02999997</v>
      </c>
      <c r="E9" s="3">
        <f t="shared" si="0"/>
        <v>1.8512112994182071E-2</v>
      </c>
      <c r="F9" s="4">
        <v>181.32</v>
      </c>
      <c r="G9" s="4">
        <v>181.32</v>
      </c>
      <c r="H9" s="60">
        <v>1656</v>
      </c>
      <c r="I9" s="5">
        <v>6.1999999999999998E-3</v>
      </c>
      <c r="J9" s="5">
        <v>0.32779999999999998</v>
      </c>
      <c r="K9" s="4">
        <v>408981220.92000002</v>
      </c>
      <c r="L9" s="3">
        <f t="shared" si="2"/>
        <v>1.8322691045551964E-2</v>
      </c>
      <c r="M9" s="4">
        <v>180.26</v>
      </c>
      <c r="N9" s="4">
        <v>180.26</v>
      </c>
      <c r="O9" s="60">
        <v>1662</v>
      </c>
      <c r="P9" s="5">
        <v>-5.8999999999999999E-3</v>
      </c>
      <c r="Q9" s="5">
        <v>0.32</v>
      </c>
      <c r="R9" s="83">
        <f t="shared" si="3"/>
        <v>-1.6042115613899573E-2</v>
      </c>
      <c r="S9" s="83">
        <f t="shared" si="4"/>
        <v>-5.8460180895654216E-3</v>
      </c>
      <c r="T9" s="83">
        <f t="shared" si="5"/>
        <v>3.6231884057971015E-3</v>
      </c>
      <c r="U9" s="84">
        <f t="shared" si="6"/>
        <v>-1.21E-2</v>
      </c>
      <c r="V9" s="86">
        <f t="shared" si="7"/>
        <v>-7.7999999999999736E-3</v>
      </c>
    </row>
    <row r="10" spans="1:25" x14ac:dyDescent="0.25">
      <c r="A10" s="130">
        <v>5</v>
      </c>
      <c r="B10" s="62" t="s">
        <v>24</v>
      </c>
      <c r="C10" s="63" t="s">
        <v>25</v>
      </c>
      <c r="D10" s="7">
        <v>120964029.48</v>
      </c>
      <c r="E10" s="3">
        <f t="shared" si="0"/>
        <v>5.3874764005359087E-3</v>
      </c>
      <c r="F10" s="4">
        <v>126.1604</v>
      </c>
      <c r="G10" s="4">
        <v>126.87569999999999</v>
      </c>
      <c r="H10" s="64">
        <v>49</v>
      </c>
      <c r="I10" s="6">
        <v>-1.56E-3</v>
      </c>
      <c r="J10" s="6">
        <v>0.20080000000000001</v>
      </c>
      <c r="K10" s="7">
        <v>120898033.97</v>
      </c>
      <c r="L10" s="3">
        <f t="shared" si="2"/>
        <v>5.4163301666123745E-3</v>
      </c>
      <c r="M10" s="4">
        <v>126.13890000000001</v>
      </c>
      <c r="N10" s="4">
        <v>126.8539</v>
      </c>
      <c r="O10" s="64">
        <v>51</v>
      </c>
      <c r="P10" s="6">
        <v>-2.31E-3</v>
      </c>
      <c r="Q10" s="6">
        <v>0.2006</v>
      </c>
      <c r="R10" s="83">
        <f t="shared" si="3"/>
        <v>-5.4557962630466896E-4</v>
      </c>
      <c r="S10" s="83">
        <f t="shared" si="4"/>
        <v>-1.7182171211665379E-4</v>
      </c>
      <c r="T10" s="83">
        <f t="shared" si="5"/>
        <v>4.0816326530612242E-2</v>
      </c>
      <c r="U10" s="84">
        <f t="shared" si="6"/>
        <v>-7.5000000000000002E-4</v>
      </c>
      <c r="V10" s="86">
        <f t="shared" si="7"/>
        <v>-2.0000000000000573E-4</v>
      </c>
    </row>
    <row r="11" spans="1:25" x14ac:dyDescent="0.25">
      <c r="A11" s="125">
        <v>6</v>
      </c>
      <c r="B11" s="62" t="s">
        <v>26</v>
      </c>
      <c r="C11" s="63" t="s">
        <v>27</v>
      </c>
      <c r="D11" s="4">
        <v>685536684.65999997</v>
      </c>
      <c r="E11" s="3">
        <f t="shared" si="0"/>
        <v>3.0532322097603596E-2</v>
      </c>
      <c r="F11" s="4">
        <v>226.13</v>
      </c>
      <c r="G11" s="4">
        <v>229.15</v>
      </c>
      <c r="H11" s="64">
        <v>1561</v>
      </c>
      <c r="I11" s="6">
        <v>-9.1600000000000001E-2</v>
      </c>
      <c r="J11" s="6">
        <v>0.50139999999999996</v>
      </c>
      <c r="K11" s="4">
        <v>713036889.08000004</v>
      </c>
      <c r="L11" s="3">
        <f t="shared" si="2"/>
        <v>3.194463206233597E-2</v>
      </c>
      <c r="M11" s="4">
        <v>225.91</v>
      </c>
      <c r="N11" s="4">
        <v>228.78</v>
      </c>
      <c r="O11" s="64">
        <v>1567</v>
      </c>
      <c r="P11" s="6">
        <v>-7.1999999999999998E-3</v>
      </c>
      <c r="Q11" s="6">
        <v>0.5</v>
      </c>
      <c r="R11" s="83">
        <f t="shared" si="3"/>
        <v>4.011485458818171E-2</v>
      </c>
      <c r="S11" s="83">
        <f t="shared" si="4"/>
        <v>-1.6146628845734434E-3</v>
      </c>
      <c r="T11" s="83">
        <f t="shared" si="5"/>
        <v>3.8436899423446511E-3</v>
      </c>
      <c r="U11" s="84">
        <f t="shared" si="6"/>
        <v>8.4400000000000003E-2</v>
      </c>
      <c r="V11" s="86">
        <f t="shared" si="7"/>
        <v>-1.3999999999999568E-3</v>
      </c>
    </row>
    <row r="12" spans="1:25" x14ac:dyDescent="0.25">
      <c r="A12" s="133">
        <v>7</v>
      </c>
      <c r="B12" s="62" t="s">
        <v>28</v>
      </c>
      <c r="C12" s="63" t="s">
        <v>29</v>
      </c>
      <c r="D12" s="2">
        <v>312092022.81</v>
      </c>
      <c r="E12" s="3">
        <f t="shared" si="0"/>
        <v>1.3899904086465536E-2</v>
      </c>
      <c r="F12" s="4">
        <v>156.99</v>
      </c>
      <c r="G12" s="4">
        <v>161.31</v>
      </c>
      <c r="H12" s="60">
        <v>0</v>
      </c>
      <c r="I12" s="5">
        <v>-5.3319999999999999E-3</v>
      </c>
      <c r="J12" s="5">
        <v>0.24882000000000001</v>
      </c>
      <c r="K12" s="2">
        <v>316368934.80000001</v>
      </c>
      <c r="L12" s="3">
        <f t="shared" si="2"/>
        <v>1.4173585368323451E-2</v>
      </c>
      <c r="M12" s="4">
        <v>159.13999999999999</v>
      </c>
      <c r="N12" s="4">
        <v>163.46</v>
      </c>
      <c r="O12" s="60">
        <v>0</v>
      </c>
      <c r="P12" s="5">
        <v>1.3695000000000001E-2</v>
      </c>
      <c r="Q12" s="5">
        <v>0.26592949999999999</v>
      </c>
      <c r="R12" s="83">
        <f t="shared" si="3"/>
        <v>1.3704009322288161E-2</v>
      </c>
      <c r="S12" s="83">
        <f t="shared" si="4"/>
        <v>1.3328373938379552E-2</v>
      </c>
      <c r="T12" s="83" t="e">
        <f t="shared" si="5"/>
        <v>#DIV/0!</v>
      </c>
      <c r="U12" s="84">
        <f t="shared" si="6"/>
        <v>1.9027000000000002E-2</v>
      </c>
      <c r="V12" s="86">
        <f t="shared" si="7"/>
        <v>1.7109499999999972E-2</v>
      </c>
    </row>
    <row r="13" spans="1:25" x14ac:dyDescent="0.25">
      <c r="A13" s="132">
        <v>8</v>
      </c>
      <c r="B13" s="62" t="s">
        <v>30</v>
      </c>
      <c r="C13" s="63" t="s">
        <v>31</v>
      </c>
      <c r="D13" s="7">
        <v>34174907.740000002</v>
      </c>
      <c r="E13" s="3">
        <f t="shared" si="0"/>
        <v>1.5220765192034504E-3</v>
      </c>
      <c r="F13" s="4">
        <v>132.47999999999999</v>
      </c>
      <c r="G13" s="4">
        <v>137.29</v>
      </c>
      <c r="H13" s="60">
        <v>2</v>
      </c>
      <c r="I13" s="5">
        <v>-1.1900000000000001E-2</v>
      </c>
      <c r="J13" s="5">
        <v>0.36709999999999998</v>
      </c>
      <c r="K13" s="7">
        <v>34174907.740000002</v>
      </c>
      <c r="L13" s="3">
        <f t="shared" si="2"/>
        <v>1.5310636381340051E-3</v>
      </c>
      <c r="M13" s="4">
        <v>132.47999999999999</v>
      </c>
      <c r="N13" s="4">
        <v>137.29</v>
      </c>
      <c r="O13" s="60">
        <v>3</v>
      </c>
      <c r="P13" s="5">
        <v>-1.1900000000000001E-2</v>
      </c>
      <c r="Q13" s="5">
        <v>0.36709999999999998</v>
      </c>
      <c r="R13" s="83">
        <f t="shared" si="3"/>
        <v>0</v>
      </c>
      <c r="S13" s="83">
        <f t="shared" si="4"/>
        <v>0</v>
      </c>
      <c r="T13" s="83">
        <f t="shared" si="5"/>
        <v>0.5</v>
      </c>
      <c r="U13" s="84">
        <f t="shared" si="6"/>
        <v>0</v>
      </c>
      <c r="V13" s="86">
        <f t="shared" si="7"/>
        <v>0</v>
      </c>
    </row>
    <row r="14" spans="1:25" ht="12" customHeight="1" x14ac:dyDescent="0.25">
      <c r="A14" s="130">
        <v>9</v>
      </c>
      <c r="B14" s="62" t="s">
        <v>244</v>
      </c>
      <c r="C14" s="63" t="s">
        <v>32</v>
      </c>
      <c r="D14" s="2">
        <v>526281015.20730001</v>
      </c>
      <c r="E14" s="3">
        <f t="shared" si="0"/>
        <v>2.3439418822834408E-2</v>
      </c>
      <c r="F14" s="4">
        <v>1.6523000000000001</v>
      </c>
      <c r="G14" s="4">
        <v>1.7028000000000001</v>
      </c>
      <c r="H14" s="60">
        <v>326</v>
      </c>
      <c r="I14" s="5">
        <v>1E-4</v>
      </c>
      <c r="J14" s="5">
        <v>0.33145297767749216</v>
      </c>
      <c r="K14" s="2">
        <v>514490868.1609</v>
      </c>
      <c r="L14" s="3">
        <f t="shared" si="2"/>
        <v>2.304960898171397E-2</v>
      </c>
      <c r="M14" s="4">
        <v>1.6134999999999999</v>
      </c>
      <c r="N14" s="4">
        <v>1.6623000000000001</v>
      </c>
      <c r="O14" s="60">
        <v>331</v>
      </c>
      <c r="P14" s="5">
        <v>-2.3482418447013376E-2</v>
      </c>
      <c r="Q14" s="5">
        <v>0.30026593601418328</v>
      </c>
      <c r="R14" s="83">
        <f t="shared" si="3"/>
        <v>-2.2402759563264728E-2</v>
      </c>
      <c r="S14" s="83">
        <f t="shared" si="4"/>
        <v>-2.3784355179704005E-2</v>
      </c>
      <c r="T14" s="83">
        <f t="shared" si="5"/>
        <v>1.5337423312883436E-2</v>
      </c>
      <c r="U14" s="84">
        <f t="shared" si="6"/>
        <v>-2.3582418447013375E-2</v>
      </c>
      <c r="V14" s="86">
        <f t="shared" si="7"/>
        <v>-3.1187041663308879E-2</v>
      </c>
    </row>
    <row r="15" spans="1:25" x14ac:dyDescent="0.25">
      <c r="A15" s="130">
        <v>10</v>
      </c>
      <c r="B15" s="62" t="s">
        <v>33</v>
      </c>
      <c r="C15" s="63" t="s">
        <v>34</v>
      </c>
      <c r="D15" s="2">
        <v>1266592678.0799999</v>
      </c>
      <c r="E15" s="3">
        <f t="shared" si="0"/>
        <v>5.6411300049952456E-2</v>
      </c>
      <c r="F15" s="4">
        <v>2.5499999999999998</v>
      </c>
      <c r="G15" s="4">
        <v>2.6</v>
      </c>
      <c r="H15" s="60">
        <v>3674</v>
      </c>
      <c r="I15" s="5">
        <v>0.19869999999999999</v>
      </c>
      <c r="J15" s="5">
        <v>0.2888</v>
      </c>
      <c r="K15" s="2">
        <v>1278766793.8</v>
      </c>
      <c r="L15" s="3">
        <f t="shared" si="2"/>
        <v>5.7289791520016106E-2</v>
      </c>
      <c r="M15" s="4">
        <v>2.57</v>
      </c>
      <c r="N15" s="4">
        <v>2.63</v>
      </c>
      <c r="O15" s="60">
        <v>3672</v>
      </c>
      <c r="P15" s="5">
        <v>0.2099</v>
      </c>
      <c r="Q15" s="5">
        <v>0.30080000000000001</v>
      </c>
      <c r="R15" s="83">
        <f t="shared" si="3"/>
        <v>9.6117054288159184E-3</v>
      </c>
      <c r="S15" s="83">
        <f t="shared" si="4"/>
        <v>1.1538461538461463E-2</v>
      </c>
      <c r="T15" s="83">
        <f t="shared" si="5"/>
        <v>-5.4436581382689172E-4</v>
      </c>
      <c r="U15" s="84">
        <f t="shared" si="6"/>
        <v>1.1200000000000015E-2</v>
      </c>
      <c r="V15" s="86">
        <f t="shared" si="7"/>
        <v>1.2000000000000011E-2</v>
      </c>
    </row>
    <row r="16" spans="1:25" x14ac:dyDescent="0.25">
      <c r="A16" s="131">
        <v>11</v>
      </c>
      <c r="B16" s="62" t="s">
        <v>35</v>
      </c>
      <c r="C16" s="63" t="s">
        <v>36</v>
      </c>
      <c r="D16" s="4">
        <v>426580571.62</v>
      </c>
      <c r="E16" s="3">
        <f t="shared" si="0"/>
        <v>1.899897657517971E-2</v>
      </c>
      <c r="F16" s="4">
        <v>16.137080000000001</v>
      </c>
      <c r="G16" s="4">
        <v>16.248656</v>
      </c>
      <c r="H16" s="60">
        <v>238</v>
      </c>
      <c r="I16" s="5">
        <v>-1.5659758751523256E-2</v>
      </c>
      <c r="J16" s="5">
        <v>0.38573276837985593</v>
      </c>
      <c r="K16" s="4">
        <v>428877983.17000002</v>
      </c>
      <c r="L16" s="3">
        <f t="shared" si="2"/>
        <v>1.9214082162956989E-2</v>
      </c>
      <c r="M16" s="4">
        <v>16.278689</v>
      </c>
      <c r="N16" s="4">
        <v>16.403319</v>
      </c>
      <c r="O16" s="60">
        <v>240</v>
      </c>
      <c r="P16" s="5">
        <v>5.3794603333201518E-3</v>
      </c>
      <c r="Q16" s="5">
        <v>0.39718350745544528</v>
      </c>
      <c r="R16" s="83">
        <f t="shared" si="3"/>
        <v>5.3856450641323562E-3</v>
      </c>
      <c r="S16" s="83">
        <f t="shared" si="4"/>
        <v>9.5185103309467153E-3</v>
      </c>
      <c r="T16" s="83">
        <f t="shared" si="5"/>
        <v>8.4033613445378148E-3</v>
      </c>
      <c r="U16" s="84">
        <f t="shared" si="6"/>
        <v>2.1039219084843408E-2</v>
      </c>
      <c r="V16" s="86">
        <f t="shared" si="7"/>
        <v>1.1450739075589356E-2</v>
      </c>
    </row>
    <row r="17" spans="1:22" x14ac:dyDescent="0.25">
      <c r="A17" s="131">
        <v>12</v>
      </c>
      <c r="B17" s="62" t="s">
        <v>37</v>
      </c>
      <c r="C17" s="63" t="s">
        <v>38</v>
      </c>
      <c r="D17" s="4">
        <v>341918874.24000001</v>
      </c>
      <c r="E17" s="3">
        <f t="shared" si="0"/>
        <v>1.5228327576259948E-2</v>
      </c>
      <c r="F17" s="4">
        <v>1.9</v>
      </c>
      <c r="G17" s="4">
        <v>1.92</v>
      </c>
      <c r="H17" s="60">
        <v>17</v>
      </c>
      <c r="I17" s="5">
        <v>8.9999999999999998E-4</v>
      </c>
      <c r="J17" s="5">
        <v>0.33450000000000002</v>
      </c>
      <c r="K17" s="4">
        <v>344474065.31999999</v>
      </c>
      <c r="L17" s="3">
        <f t="shared" si="2"/>
        <v>1.5432718054549167E-2</v>
      </c>
      <c r="M17" s="4">
        <v>1.91</v>
      </c>
      <c r="N17" s="4">
        <v>1.94</v>
      </c>
      <c r="O17" s="60">
        <v>17</v>
      </c>
      <c r="P17" s="5">
        <v>8.9999999999999998E-4</v>
      </c>
      <c r="Q17" s="5">
        <v>0.34470000000000001</v>
      </c>
      <c r="R17" s="83">
        <f t="shared" si="3"/>
        <v>7.4730916381247833E-3</v>
      </c>
      <c r="S17" s="83">
        <f t="shared" si="4"/>
        <v>1.0416666666666676E-2</v>
      </c>
      <c r="T17" s="83">
        <f t="shared" si="5"/>
        <v>0</v>
      </c>
      <c r="U17" s="84">
        <f t="shared" si="6"/>
        <v>0</v>
      </c>
      <c r="V17" s="86">
        <f t="shared" si="7"/>
        <v>1.0199999999999987E-2</v>
      </c>
    </row>
    <row r="18" spans="1:22" x14ac:dyDescent="0.25">
      <c r="A18" s="120">
        <v>13</v>
      </c>
      <c r="B18" s="62" t="s">
        <v>39</v>
      </c>
      <c r="C18" s="63" t="s">
        <v>40</v>
      </c>
      <c r="D18" s="2">
        <v>992169608.86000001</v>
      </c>
      <c r="E18" s="3">
        <f t="shared" si="0"/>
        <v>4.4189089732216427E-2</v>
      </c>
      <c r="F18" s="4">
        <v>23.87</v>
      </c>
      <c r="G18" s="4">
        <v>24.35</v>
      </c>
      <c r="H18" s="60">
        <v>8863</v>
      </c>
      <c r="I18" s="5">
        <v>-5.0000000000000001E-4</v>
      </c>
      <c r="J18" s="5">
        <v>0.38950000000000001</v>
      </c>
      <c r="K18" s="2">
        <v>990311761.04999995</v>
      </c>
      <c r="L18" s="3">
        <f t="shared" si="2"/>
        <v>4.4366771647065352E-2</v>
      </c>
      <c r="M18" s="4">
        <v>23.87</v>
      </c>
      <c r="N18" s="4">
        <v>24.35</v>
      </c>
      <c r="O18" s="60">
        <v>8863</v>
      </c>
      <c r="P18" s="5">
        <v>-2E-3</v>
      </c>
      <c r="Q18" s="5">
        <v>0.38690000000000002</v>
      </c>
      <c r="R18" s="83">
        <f t="shared" si="3"/>
        <v>-1.8725102980474515E-3</v>
      </c>
      <c r="S18" s="83">
        <f t="shared" si="4"/>
        <v>0</v>
      </c>
      <c r="T18" s="83">
        <f t="shared" si="5"/>
        <v>0</v>
      </c>
      <c r="U18" s="84">
        <f t="shared" si="6"/>
        <v>-1.5E-3</v>
      </c>
      <c r="V18" s="86">
        <f t="shared" si="7"/>
        <v>-2.5999999999999912E-3</v>
      </c>
    </row>
    <row r="19" spans="1:22" ht="12.75" customHeight="1" x14ac:dyDescent="0.25">
      <c r="A19" s="131">
        <v>14</v>
      </c>
      <c r="B19" s="62" t="s">
        <v>41</v>
      </c>
      <c r="C19" s="63" t="s">
        <v>42</v>
      </c>
      <c r="D19" s="2">
        <v>498877465.22000003</v>
      </c>
      <c r="E19" s="3">
        <f t="shared" si="0"/>
        <v>2.2218923941156425E-2</v>
      </c>
      <c r="F19" s="4">
        <v>4869.04</v>
      </c>
      <c r="G19" s="4">
        <v>4929.1000000000004</v>
      </c>
      <c r="H19" s="60">
        <v>1135</v>
      </c>
      <c r="I19" s="5">
        <v>-2.9999999999999997E-4</v>
      </c>
      <c r="J19" s="5">
        <v>0.50539999999999996</v>
      </c>
      <c r="K19" s="2">
        <v>497908300.19</v>
      </c>
      <c r="L19" s="3">
        <f t="shared" si="2"/>
        <v>2.2306696461209516E-2</v>
      </c>
      <c r="M19" s="4">
        <v>4859.63</v>
      </c>
      <c r="N19" s="4">
        <v>4919.49</v>
      </c>
      <c r="O19" s="60">
        <v>1135</v>
      </c>
      <c r="P19" s="5">
        <v>-1.9E-3</v>
      </c>
      <c r="Q19" s="5">
        <v>0.50249999999999995</v>
      </c>
      <c r="R19" s="83">
        <f t="shared" si="3"/>
        <v>-1.9426915376356774E-3</v>
      </c>
      <c r="S19" s="83">
        <f t="shared" si="4"/>
        <v>-1.9496459799964662E-3</v>
      </c>
      <c r="T19" s="83">
        <f t="shared" si="5"/>
        <v>0</v>
      </c>
      <c r="U19" s="84">
        <f t="shared" si="6"/>
        <v>-1.6000000000000001E-3</v>
      </c>
      <c r="V19" s="86">
        <f t="shared" si="7"/>
        <v>-2.9000000000000137E-3</v>
      </c>
    </row>
    <row r="20" spans="1:22" x14ac:dyDescent="0.25">
      <c r="A20" s="131">
        <v>15</v>
      </c>
      <c r="B20" s="62" t="s">
        <v>43</v>
      </c>
      <c r="C20" s="63" t="s">
        <v>42</v>
      </c>
      <c r="D20" s="4">
        <v>9926171051.3299999</v>
      </c>
      <c r="E20" s="3">
        <f t="shared" si="0"/>
        <v>0.44209020248920267</v>
      </c>
      <c r="F20" s="4">
        <v>16934.27</v>
      </c>
      <c r="G20" s="4">
        <v>17142.55</v>
      </c>
      <c r="H20" s="60">
        <v>29611</v>
      </c>
      <c r="I20" s="5">
        <v>4.1999999999999997E-3</v>
      </c>
      <c r="J20" s="5">
        <v>0.3856</v>
      </c>
      <c r="K20" s="4">
        <v>9884903900.6100006</v>
      </c>
      <c r="L20" s="3">
        <f t="shared" si="2"/>
        <v>0.44285172746666684</v>
      </c>
      <c r="M20" s="4">
        <v>16827.07</v>
      </c>
      <c r="N20" s="4">
        <v>17032.62</v>
      </c>
      <c r="O20" s="60">
        <v>29383</v>
      </c>
      <c r="P20" s="5">
        <v>1E-3</v>
      </c>
      <c r="Q20" s="5">
        <v>0.37669999999999998</v>
      </c>
      <c r="R20" s="83">
        <f t="shared" si="3"/>
        <v>-4.1574087839711324E-3</v>
      </c>
      <c r="S20" s="83">
        <f t="shared" si="4"/>
        <v>-6.4126982275099272E-3</v>
      </c>
      <c r="T20" s="83">
        <f t="shared" si="5"/>
        <v>-7.699841275201783E-3</v>
      </c>
      <c r="U20" s="84">
        <f t="shared" si="6"/>
        <v>-3.1999999999999997E-3</v>
      </c>
      <c r="V20" s="86">
        <f t="shared" si="7"/>
        <v>-8.900000000000019E-3</v>
      </c>
    </row>
    <row r="21" spans="1:22" x14ac:dyDescent="0.25">
      <c r="A21" s="131">
        <v>16</v>
      </c>
      <c r="B21" s="63" t="s">
        <v>44</v>
      </c>
      <c r="C21" s="63" t="s">
        <v>45</v>
      </c>
      <c r="D21" s="4">
        <v>2492207330.0799999</v>
      </c>
      <c r="E21" s="3">
        <f t="shared" si="0"/>
        <v>0.11099752739527047</v>
      </c>
      <c r="F21" s="4">
        <v>1.2283999999999999</v>
      </c>
      <c r="G21" s="8">
        <v>1.2401</v>
      </c>
      <c r="H21" s="60">
        <v>3409</v>
      </c>
      <c r="I21" s="5">
        <v>-1.8E-3</v>
      </c>
      <c r="J21" s="5">
        <v>0.34670000000000001</v>
      </c>
      <c r="K21" s="4">
        <v>2488038131.0799999</v>
      </c>
      <c r="L21" s="3">
        <f t="shared" si="2"/>
        <v>0.11146613011419573</v>
      </c>
      <c r="M21" s="4">
        <v>1.2266999999999999</v>
      </c>
      <c r="N21" s="8">
        <v>1.2383999999999999</v>
      </c>
      <c r="O21" s="60">
        <v>3419</v>
      </c>
      <c r="P21" s="5">
        <v>-1.4E-3</v>
      </c>
      <c r="Q21" s="5">
        <v>0.34670000000000001</v>
      </c>
      <c r="R21" s="83">
        <f t="shared" si="3"/>
        <v>-1.6728941246899264E-3</v>
      </c>
      <c r="S21" s="83">
        <f t="shared" si="4"/>
        <v>-1.3708571889364041E-3</v>
      </c>
      <c r="T21" s="83">
        <f t="shared" si="5"/>
        <v>2.933411557641537E-3</v>
      </c>
      <c r="U21" s="84">
        <f t="shared" si="6"/>
        <v>3.9999999999999996E-4</v>
      </c>
      <c r="V21" s="86">
        <f t="shared" si="7"/>
        <v>0</v>
      </c>
    </row>
    <row r="22" spans="1:22" x14ac:dyDescent="0.25">
      <c r="A22" s="78"/>
      <c r="B22" s="19"/>
      <c r="C22" s="74" t="s">
        <v>46</v>
      </c>
      <c r="D22" s="58">
        <f>SUM(D6:D21)</f>
        <v>22452818441.667297</v>
      </c>
      <c r="E22" s="118">
        <f>(D22/$D$171)</f>
        <v>1.1448302324744851E-2</v>
      </c>
      <c r="F22" s="30"/>
      <c r="G22" s="31"/>
      <c r="H22" s="68">
        <f>SUM(H6:H21)</f>
        <v>59022</v>
      </c>
      <c r="I22" s="28"/>
      <c r="J22" s="60">
        <v>0</v>
      </c>
      <c r="K22" s="58">
        <f>SUM(K6:K21)</f>
        <v>22321023691.510902</v>
      </c>
      <c r="L22" s="118">
        <f>(K22/$K$171)</f>
        <v>1.1148303520826469E-2</v>
      </c>
      <c r="M22" s="30"/>
      <c r="N22" s="31"/>
      <c r="O22" s="68">
        <f>SUM(O6:O21)</f>
        <v>58824</v>
      </c>
      <c r="P22" s="28"/>
      <c r="Q22" s="68"/>
      <c r="R22" s="83">
        <f t="shared" si="3"/>
        <v>-5.8698532880760322E-3</v>
      </c>
      <c r="S22" s="83" t="e">
        <f t="shared" si="4"/>
        <v>#DIV/0!</v>
      </c>
      <c r="T22" s="83">
        <f t="shared" si="5"/>
        <v>-3.3546813052759989E-3</v>
      </c>
      <c r="U22" s="84">
        <f t="shared" si="6"/>
        <v>0</v>
      </c>
      <c r="V22" s="86">
        <f t="shared" si="7"/>
        <v>0</v>
      </c>
    </row>
    <row r="23" spans="1:22" ht="9" customHeigh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1:22" ht="15" customHeight="1" x14ac:dyDescent="0.25">
      <c r="A24" s="138" t="s">
        <v>47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 x14ac:dyDescent="0.25">
      <c r="A25" s="130">
        <v>17</v>
      </c>
      <c r="B25" s="62" t="s">
        <v>48</v>
      </c>
      <c r="C25" s="63" t="s">
        <v>17</v>
      </c>
      <c r="D25" s="9">
        <v>837110213.88999999</v>
      </c>
      <c r="E25" s="3">
        <f>(D25/$K$54)</f>
        <v>9.6359872579599088E-4</v>
      </c>
      <c r="F25" s="8">
        <v>100</v>
      </c>
      <c r="G25" s="8">
        <v>100</v>
      </c>
      <c r="H25" s="60">
        <v>947</v>
      </c>
      <c r="I25" s="5">
        <v>8.0299999999999996E-2</v>
      </c>
      <c r="J25" s="5">
        <v>8.0299999999999996E-2</v>
      </c>
      <c r="K25" s="9">
        <v>847109213.23000002</v>
      </c>
      <c r="L25" s="3">
        <f t="shared" ref="L25:L53" si="8">(K25/$K$54)</f>
        <v>9.7510858777519866E-4</v>
      </c>
      <c r="M25" s="8">
        <v>100</v>
      </c>
      <c r="N25" s="8">
        <v>100</v>
      </c>
      <c r="O25" s="60">
        <v>947</v>
      </c>
      <c r="P25" s="5">
        <v>8.0299999999999996E-2</v>
      </c>
      <c r="Q25" s="5">
        <v>8.0299999999999996E-2</v>
      </c>
      <c r="R25" s="83">
        <f t="shared" ref="R25" si="9">((K25-D25)/D25)</f>
        <v>1.194466292978949E-2</v>
      </c>
      <c r="S25" s="83">
        <f t="shared" ref="S25" si="10">((N25-G25)/G25)</f>
        <v>0</v>
      </c>
      <c r="T25" s="83">
        <f t="shared" ref="T25" si="11">((O25-H25)/H25)</f>
        <v>0</v>
      </c>
      <c r="U25" s="84">
        <f t="shared" ref="U25" si="12">P25-I25</f>
        <v>0</v>
      </c>
      <c r="V25" s="86">
        <f t="shared" ref="V25" si="13">Q25-J25</f>
        <v>0</v>
      </c>
    </row>
    <row r="26" spans="1:22" x14ac:dyDescent="0.25">
      <c r="A26" s="126">
        <v>18</v>
      </c>
      <c r="B26" s="62" t="s">
        <v>49</v>
      </c>
      <c r="C26" s="63" t="s">
        <v>50</v>
      </c>
      <c r="D26" s="9">
        <v>3763806000.3800001</v>
      </c>
      <c r="E26" s="3">
        <f t="shared" ref="E26:E53" si="14">(D26/$K$54)</f>
        <v>4.3325222962648626E-3</v>
      </c>
      <c r="F26" s="8">
        <v>100</v>
      </c>
      <c r="G26" s="8">
        <v>100</v>
      </c>
      <c r="H26" s="60">
        <v>1074</v>
      </c>
      <c r="I26" s="5">
        <v>0.1174</v>
      </c>
      <c r="J26" s="5">
        <v>0.1174</v>
      </c>
      <c r="K26" s="9">
        <v>3913377316.1300001</v>
      </c>
      <c r="L26" s="3">
        <f t="shared" si="8"/>
        <v>4.5046940448361548E-3</v>
      </c>
      <c r="M26" s="8">
        <v>100</v>
      </c>
      <c r="N26" s="8">
        <v>100</v>
      </c>
      <c r="O26" s="60">
        <v>1133</v>
      </c>
      <c r="P26" s="5">
        <v>0.1323</v>
      </c>
      <c r="Q26" s="5">
        <v>0.1323</v>
      </c>
      <c r="R26" s="83">
        <f t="shared" ref="R26:R54" si="15">((K26-D26)/D26)</f>
        <v>3.9739379695685438E-2</v>
      </c>
      <c r="S26" s="83">
        <f t="shared" ref="S26:S54" si="16">((N26-G26)/G26)</f>
        <v>0</v>
      </c>
      <c r="T26" s="83">
        <f t="shared" ref="T26:T54" si="17">((O26-H26)/H26)</f>
        <v>5.493482309124767E-2</v>
      </c>
      <c r="U26" s="84">
        <f t="shared" ref="U26:U54" si="18">P26-I26</f>
        <v>1.4899999999999997E-2</v>
      </c>
      <c r="V26" s="86">
        <f t="shared" ref="V26:V54" si="19">Q26-J26</f>
        <v>1.4899999999999997E-2</v>
      </c>
    </row>
    <row r="27" spans="1:22" x14ac:dyDescent="0.25">
      <c r="A27" s="131">
        <v>19</v>
      </c>
      <c r="B27" s="62" t="s">
        <v>51</v>
      </c>
      <c r="C27" s="63" t="s">
        <v>19</v>
      </c>
      <c r="D27" s="9">
        <v>363542125.58999997</v>
      </c>
      <c r="E27" s="3">
        <f t="shared" si="14"/>
        <v>4.1847384392053566E-4</v>
      </c>
      <c r="F27" s="8">
        <v>100</v>
      </c>
      <c r="G27" s="8">
        <v>100</v>
      </c>
      <c r="H27" s="60">
        <v>1304</v>
      </c>
      <c r="I27" s="5">
        <v>9.3299999999999994E-2</v>
      </c>
      <c r="J27" s="5">
        <v>9.3299999999999994E-2</v>
      </c>
      <c r="K27" s="9">
        <v>365937800.13</v>
      </c>
      <c r="L27" s="3">
        <f t="shared" si="8"/>
        <v>4.2123150819921957E-4</v>
      </c>
      <c r="M27" s="8">
        <v>100</v>
      </c>
      <c r="N27" s="8">
        <v>100</v>
      </c>
      <c r="O27" s="60">
        <v>1311</v>
      </c>
      <c r="P27" s="5">
        <v>2.43E-4</v>
      </c>
      <c r="Q27" s="5">
        <v>8.9800000000000005E-2</v>
      </c>
      <c r="R27" s="83">
        <f t="shared" si="15"/>
        <v>6.5898127654725903E-3</v>
      </c>
      <c r="S27" s="83">
        <f t="shared" si="16"/>
        <v>0</v>
      </c>
      <c r="T27" s="83">
        <f t="shared" si="17"/>
        <v>5.3680981595092027E-3</v>
      </c>
      <c r="U27" s="84">
        <f t="shared" si="18"/>
        <v>-9.3057000000000001E-2</v>
      </c>
      <c r="V27" s="86">
        <f t="shared" si="19"/>
        <v>-3.4999999999999892E-3</v>
      </c>
    </row>
    <row r="28" spans="1:22" x14ac:dyDescent="0.25">
      <c r="A28" s="128">
        <v>20</v>
      </c>
      <c r="B28" s="62" t="s">
        <v>52</v>
      </c>
      <c r="C28" s="63" t="s">
        <v>21</v>
      </c>
      <c r="D28" s="9">
        <v>82034168648.210007</v>
      </c>
      <c r="E28" s="3">
        <f t="shared" si="14"/>
        <v>9.4429645068858106E-2</v>
      </c>
      <c r="F28" s="8">
        <v>1</v>
      </c>
      <c r="G28" s="8">
        <v>1</v>
      </c>
      <c r="H28" s="60">
        <v>53798</v>
      </c>
      <c r="I28" s="5">
        <v>8.7400000000000005E-2</v>
      </c>
      <c r="J28" s="5">
        <v>8.7400000000000005E-2</v>
      </c>
      <c r="K28" s="9">
        <v>81480575141.039993</v>
      </c>
      <c r="L28" s="3">
        <f t="shared" si="8"/>
        <v>9.3792402816563647E-2</v>
      </c>
      <c r="M28" s="8">
        <v>1</v>
      </c>
      <c r="N28" s="8">
        <v>1</v>
      </c>
      <c r="O28" s="60">
        <v>53923</v>
      </c>
      <c r="P28" s="5">
        <v>9.0499999999999997E-2</v>
      </c>
      <c r="Q28" s="5">
        <v>9.0499999999999997E-2</v>
      </c>
      <c r="R28" s="83">
        <f t="shared" si="15"/>
        <v>-6.7483283647818484E-3</v>
      </c>
      <c r="S28" s="83">
        <f t="shared" si="16"/>
        <v>0</v>
      </c>
      <c r="T28" s="83">
        <f t="shared" si="17"/>
        <v>2.3235064500539055E-3</v>
      </c>
      <c r="U28" s="84">
        <f t="shared" si="18"/>
        <v>3.0999999999999917E-3</v>
      </c>
      <c r="V28" s="86">
        <f t="shared" si="19"/>
        <v>3.0999999999999917E-3</v>
      </c>
    </row>
    <row r="29" spans="1:22" x14ac:dyDescent="0.25">
      <c r="A29" s="131">
        <v>21</v>
      </c>
      <c r="B29" s="62" t="s">
        <v>53</v>
      </c>
      <c r="C29" s="63" t="s">
        <v>23</v>
      </c>
      <c r="D29" s="9">
        <v>41526515180.32</v>
      </c>
      <c r="E29" s="3">
        <f t="shared" si="14"/>
        <v>4.7801229098086671E-2</v>
      </c>
      <c r="F29" s="8">
        <v>1</v>
      </c>
      <c r="G29" s="8">
        <v>1</v>
      </c>
      <c r="H29" s="60">
        <v>26078</v>
      </c>
      <c r="I29" s="5">
        <v>9.1700000000000004E-2</v>
      </c>
      <c r="J29" s="5">
        <v>9.1700000000000004E-2</v>
      </c>
      <c r="K29" s="9">
        <v>41281176695.019997</v>
      </c>
      <c r="L29" s="3">
        <f t="shared" si="8"/>
        <v>4.7518819628101561E-2</v>
      </c>
      <c r="M29" s="8">
        <v>1</v>
      </c>
      <c r="N29" s="8">
        <v>1</v>
      </c>
      <c r="O29" s="60">
        <v>26099</v>
      </c>
      <c r="P29" s="5">
        <v>9.5100000000000004E-2</v>
      </c>
      <c r="Q29" s="5">
        <v>9.5100000000000004E-2</v>
      </c>
      <c r="R29" s="83">
        <f t="shared" si="15"/>
        <v>-5.9079959932749762E-3</v>
      </c>
      <c r="S29" s="83">
        <f t="shared" si="16"/>
        <v>0</v>
      </c>
      <c r="T29" s="83">
        <f t="shared" si="17"/>
        <v>8.0527647825753509E-4</v>
      </c>
      <c r="U29" s="84">
        <f t="shared" si="18"/>
        <v>3.4000000000000002E-3</v>
      </c>
      <c r="V29" s="86">
        <f t="shared" si="19"/>
        <v>3.4000000000000002E-3</v>
      </c>
    </row>
    <row r="30" spans="1:22" ht="15" customHeight="1" x14ac:dyDescent="0.25">
      <c r="A30" s="120">
        <v>22</v>
      </c>
      <c r="B30" s="62" t="s">
        <v>54</v>
      </c>
      <c r="C30" s="63" t="s">
        <v>40</v>
      </c>
      <c r="D30" s="9">
        <v>6814682054.79</v>
      </c>
      <c r="E30" s="3">
        <f t="shared" si="14"/>
        <v>7.8443899450058932E-3</v>
      </c>
      <c r="F30" s="8">
        <v>100</v>
      </c>
      <c r="G30" s="8">
        <v>100</v>
      </c>
      <c r="H30" s="60">
        <v>2705</v>
      </c>
      <c r="I30" s="5">
        <v>9.2999999999999999E-2</v>
      </c>
      <c r="J30" s="5">
        <v>9.2999999999999999E-2</v>
      </c>
      <c r="K30" s="9">
        <v>6814682054.79</v>
      </c>
      <c r="L30" s="3">
        <f t="shared" si="8"/>
        <v>7.8443899450058932E-3</v>
      </c>
      <c r="M30" s="8">
        <v>100</v>
      </c>
      <c r="N30" s="8">
        <v>100</v>
      </c>
      <c r="O30" s="60">
        <v>2705</v>
      </c>
      <c r="P30" s="5">
        <v>9.3200000000000005E-2</v>
      </c>
      <c r="Q30" s="5">
        <v>9.3200000000000005E-2</v>
      </c>
      <c r="R30" s="83">
        <f t="shared" si="15"/>
        <v>0</v>
      </c>
      <c r="S30" s="83">
        <f t="shared" si="16"/>
        <v>0</v>
      </c>
      <c r="T30" s="83">
        <f t="shared" si="17"/>
        <v>0</v>
      </c>
      <c r="U30" s="84">
        <f t="shared" si="18"/>
        <v>2.0000000000000573E-4</v>
      </c>
      <c r="V30" s="86">
        <f t="shared" si="19"/>
        <v>2.0000000000000573E-4</v>
      </c>
    </row>
    <row r="31" spans="1:22" x14ac:dyDescent="0.25">
      <c r="A31" s="131">
        <v>23</v>
      </c>
      <c r="B31" s="62" t="s">
        <v>55</v>
      </c>
      <c r="C31" s="63" t="s">
        <v>56</v>
      </c>
      <c r="D31" s="9">
        <v>13071620507.719999</v>
      </c>
      <c r="E31" s="3">
        <f t="shared" si="14"/>
        <v>1.5046760457975823E-2</v>
      </c>
      <c r="F31" s="8">
        <v>100</v>
      </c>
      <c r="G31" s="8">
        <v>100</v>
      </c>
      <c r="H31" s="60">
        <v>1710</v>
      </c>
      <c r="I31" s="5">
        <v>0.104391425697709</v>
      </c>
      <c r="J31" s="5">
        <v>0.104391425697709</v>
      </c>
      <c r="K31" s="9">
        <v>12600498264.370001</v>
      </c>
      <c r="L31" s="3">
        <f t="shared" si="8"/>
        <v>1.4504450991607442E-2</v>
      </c>
      <c r="M31" s="8">
        <v>100</v>
      </c>
      <c r="N31" s="8">
        <v>100</v>
      </c>
      <c r="O31" s="60">
        <v>1717</v>
      </c>
      <c r="P31" s="5">
        <v>0.107841380945379</v>
      </c>
      <c r="Q31" s="5">
        <v>0.107841380945379</v>
      </c>
      <c r="R31" s="83">
        <f t="shared" si="15"/>
        <v>-3.604160961311241E-2</v>
      </c>
      <c r="S31" s="83">
        <f t="shared" si="16"/>
        <v>0</v>
      </c>
      <c r="T31" s="83">
        <f t="shared" si="17"/>
        <v>4.0935672514619886E-3</v>
      </c>
      <c r="U31" s="84">
        <f t="shared" si="18"/>
        <v>3.4499552476700002E-3</v>
      </c>
      <c r="V31" s="86">
        <f t="shared" si="19"/>
        <v>3.4499552476700002E-3</v>
      </c>
    </row>
    <row r="32" spans="1:22" x14ac:dyDescent="0.25">
      <c r="A32" s="131">
        <v>24</v>
      </c>
      <c r="B32" s="62" t="s">
        <v>57</v>
      </c>
      <c r="C32" s="63" t="s">
        <v>58</v>
      </c>
      <c r="D32" s="9">
        <v>6374094793.0500002</v>
      </c>
      <c r="E32" s="3">
        <f t="shared" si="14"/>
        <v>7.3372293382301702E-3</v>
      </c>
      <c r="F32" s="8">
        <v>100</v>
      </c>
      <c r="G32" s="8">
        <v>100</v>
      </c>
      <c r="H32" s="60">
        <v>5638</v>
      </c>
      <c r="I32" s="5">
        <v>9.5600000000000004E-2</v>
      </c>
      <c r="J32" s="5">
        <v>9.5600000000000004E-2</v>
      </c>
      <c r="K32" s="9">
        <v>6745076671.8999996</v>
      </c>
      <c r="L32" s="3">
        <f t="shared" si="8"/>
        <v>7.7642670924251466E-3</v>
      </c>
      <c r="M32" s="8">
        <v>100</v>
      </c>
      <c r="N32" s="8">
        <v>100</v>
      </c>
      <c r="O32" s="60">
        <v>5646</v>
      </c>
      <c r="P32" s="5">
        <v>8.8300000000000003E-2</v>
      </c>
      <c r="Q32" s="5">
        <v>8.8300000000000003E-2</v>
      </c>
      <c r="R32" s="83">
        <f t="shared" si="15"/>
        <v>5.8201500118024579E-2</v>
      </c>
      <c r="S32" s="83">
        <f t="shared" si="16"/>
        <v>0</v>
      </c>
      <c r="T32" s="83">
        <f t="shared" si="17"/>
        <v>1.4189428875487761E-3</v>
      </c>
      <c r="U32" s="84">
        <f t="shared" si="18"/>
        <v>-7.3000000000000009E-3</v>
      </c>
      <c r="V32" s="86">
        <f t="shared" si="19"/>
        <v>-7.3000000000000009E-3</v>
      </c>
    </row>
    <row r="33" spans="1:22" x14ac:dyDescent="0.25">
      <c r="A33" s="131">
        <v>25</v>
      </c>
      <c r="B33" s="62" t="s">
        <v>59</v>
      </c>
      <c r="C33" s="63" t="s">
        <v>60</v>
      </c>
      <c r="D33" s="9">
        <v>44514190.369999997</v>
      </c>
      <c r="E33" s="3">
        <f t="shared" si="14"/>
        <v>5.124034614396499E-5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5.124034614396499E-5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3">
        <f t="shared" si="15"/>
        <v>0</v>
      </c>
      <c r="S33" s="83">
        <f t="shared" si="16"/>
        <v>0</v>
      </c>
      <c r="T33" s="83" t="e">
        <f t="shared" si="17"/>
        <v>#DIV/0!</v>
      </c>
      <c r="U33" s="84">
        <f t="shared" si="18"/>
        <v>0</v>
      </c>
      <c r="V33" s="86">
        <f t="shared" si="19"/>
        <v>0</v>
      </c>
    </row>
    <row r="34" spans="1:22" x14ac:dyDescent="0.25">
      <c r="A34" s="134">
        <v>26</v>
      </c>
      <c r="B34" s="62" t="s">
        <v>61</v>
      </c>
      <c r="C34" s="63" t="s">
        <v>62</v>
      </c>
      <c r="D34" s="9">
        <v>5032120181.8100004</v>
      </c>
      <c r="E34" s="3">
        <f t="shared" si="14"/>
        <v>5.79248050589618E-3</v>
      </c>
      <c r="F34" s="8">
        <v>1</v>
      </c>
      <c r="G34" s="8">
        <v>1</v>
      </c>
      <c r="H34" s="60">
        <v>0</v>
      </c>
      <c r="I34" s="5">
        <v>0.1043</v>
      </c>
      <c r="J34" s="5">
        <v>0.1043</v>
      </c>
      <c r="K34" s="9">
        <v>4946220910</v>
      </c>
      <c r="L34" s="3">
        <f t="shared" si="8"/>
        <v>5.6936017352283586E-3</v>
      </c>
      <c r="M34" s="8">
        <v>1</v>
      </c>
      <c r="N34" s="8">
        <v>1</v>
      </c>
      <c r="O34" s="60">
        <v>0</v>
      </c>
      <c r="P34" s="5">
        <v>0.1037</v>
      </c>
      <c r="Q34" s="5">
        <v>0.1037</v>
      </c>
      <c r="R34" s="83">
        <f t="shared" si="15"/>
        <v>-1.7070194809835276E-2</v>
      </c>
      <c r="S34" s="83">
        <f t="shared" si="16"/>
        <v>0</v>
      </c>
      <c r="T34" s="83" t="e">
        <f t="shared" si="17"/>
        <v>#DIV/0!</v>
      </c>
      <c r="U34" s="84">
        <f t="shared" si="18"/>
        <v>-6.0000000000000331E-4</v>
      </c>
      <c r="V34" s="86">
        <f t="shared" si="19"/>
        <v>-6.0000000000000331E-4</v>
      </c>
    </row>
    <row r="35" spans="1:22" x14ac:dyDescent="0.25">
      <c r="A35" s="134">
        <v>27</v>
      </c>
      <c r="B35" s="62" t="s">
        <v>63</v>
      </c>
      <c r="C35" s="63" t="s">
        <v>64</v>
      </c>
      <c r="D35" s="9">
        <v>13960640925.370001</v>
      </c>
      <c r="E35" s="3">
        <f t="shared" si="14"/>
        <v>1.6070113091165329E-2</v>
      </c>
      <c r="F35" s="11">
        <v>100</v>
      </c>
      <c r="G35" s="11">
        <v>100</v>
      </c>
      <c r="H35" s="60">
        <v>2541</v>
      </c>
      <c r="I35" s="5">
        <v>9.4899999999999998E-2</v>
      </c>
      <c r="J35" s="5">
        <v>9.4899999999999998E-2</v>
      </c>
      <c r="K35" s="9">
        <v>14100360847.379999</v>
      </c>
      <c r="L35" s="3">
        <f t="shared" si="8"/>
        <v>1.6230944886767861E-2</v>
      </c>
      <c r="M35" s="11">
        <v>100</v>
      </c>
      <c r="N35" s="11">
        <v>100</v>
      </c>
      <c r="O35" s="60">
        <v>2535</v>
      </c>
      <c r="P35" s="5">
        <v>9.4700000000000006E-2</v>
      </c>
      <c r="Q35" s="5">
        <v>9.4700000000000006E-2</v>
      </c>
      <c r="R35" s="83">
        <f t="shared" si="15"/>
        <v>1.0008130912964893E-2</v>
      </c>
      <c r="S35" s="83">
        <f t="shared" si="16"/>
        <v>0</v>
      </c>
      <c r="T35" s="83">
        <f t="shared" si="17"/>
        <v>-2.3612750885478157E-3</v>
      </c>
      <c r="U35" s="84">
        <f t="shared" si="18"/>
        <v>-1.9999999999999185E-4</v>
      </c>
      <c r="V35" s="86">
        <f t="shared" si="19"/>
        <v>-1.9999999999999185E-4</v>
      </c>
    </row>
    <row r="36" spans="1:22" x14ac:dyDescent="0.25">
      <c r="A36" s="134">
        <v>28</v>
      </c>
      <c r="B36" s="62" t="s">
        <v>65</v>
      </c>
      <c r="C36" s="63" t="s">
        <v>64</v>
      </c>
      <c r="D36" s="9">
        <v>1351004192.6400001</v>
      </c>
      <c r="E36" s="3">
        <f t="shared" si="14"/>
        <v>1.5551427959807588E-3</v>
      </c>
      <c r="F36" s="11">
        <v>1000000</v>
      </c>
      <c r="G36" s="11">
        <v>1000000</v>
      </c>
      <c r="H36" s="60">
        <v>9</v>
      </c>
      <c r="I36" s="5">
        <v>8.8800000000000004E-2</v>
      </c>
      <c r="J36" s="5">
        <v>8.8800000000000004E-2</v>
      </c>
      <c r="K36" s="9">
        <v>1372315570.1500001</v>
      </c>
      <c r="L36" s="3">
        <f t="shared" si="8"/>
        <v>1.5796743521281453E-3</v>
      </c>
      <c r="M36" s="11">
        <v>1000000</v>
      </c>
      <c r="N36" s="11">
        <v>1000000</v>
      </c>
      <c r="O36" s="60">
        <v>9</v>
      </c>
      <c r="P36" s="5">
        <v>8.9499999999999996E-2</v>
      </c>
      <c r="Q36" s="5">
        <v>8.9499999999999996E-2</v>
      </c>
      <c r="R36" s="83">
        <f t="shared" si="15"/>
        <v>1.5774471778918303E-2</v>
      </c>
      <c r="S36" s="83">
        <f t="shared" si="16"/>
        <v>0</v>
      </c>
      <c r="T36" s="83">
        <f t="shared" si="17"/>
        <v>0</v>
      </c>
      <c r="U36" s="84">
        <f t="shared" si="18"/>
        <v>6.999999999999923E-4</v>
      </c>
      <c r="V36" s="86">
        <f t="shared" si="19"/>
        <v>6.999999999999923E-4</v>
      </c>
    </row>
    <row r="37" spans="1:22" x14ac:dyDescent="0.25">
      <c r="A37" s="128">
        <v>29</v>
      </c>
      <c r="B37" s="62" t="s">
        <v>66</v>
      </c>
      <c r="C37" s="63" t="s">
        <v>67</v>
      </c>
      <c r="D37" s="9">
        <v>2759386722.8499999</v>
      </c>
      <c r="E37" s="3">
        <f t="shared" si="14"/>
        <v>3.1763338757517918E-3</v>
      </c>
      <c r="F37" s="8">
        <v>1</v>
      </c>
      <c r="G37" s="8">
        <v>1</v>
      </c>
      <c r="H37" s="60">
        <v>429</v>
      </c>
      <c r="I37" s="5">
        <v>0.12970000000000001</v>
      </c>
      <c r="J37" s="5">
        <v>0.12970000000000001</v>
      </c>
      <c r="K37" s="9">
        <v>2789268132.73</v>
      </c>
      <c r="L37" s="3">
        <f t="shared" si="8"/>
        <v>3.2107304080214835E-3</v>
      </c>
      <c r="M37" s="8">
        <v>1</v>
      </c>
      <c r="N37" s="8">
        <v>1</v>
      </c>
      <c r="O37" s="60">
        <v>429</v>
      </c>
      <c r="P37" s="5">
        <v>0.1295</v>
      </c>
      <c r="Q37" s="5">
        <v>0.1295</v>
      </c>
      <c r="R37" s="83">
        <f t="shared" si="15"/>
        <v>1.0829004007505499E-2</v>
      </c>
      <c r="S37" s="83">
        <f t="shared" si="16"/>
        <v>0</v>
      </c>
      <c r="T37" s="83">
        <f t="shared" si="17"/>
        <v>0</v>
      </c>
      <c r="U37" s="84">
        <f t="shared" si="18"/>
        <v>-2.0000000000000573E-4</v>
      </c>
      <c r="V37" s="86">
        <f t="shared" si="19"/>
        <v>-2.0000000000000573E-4</v>
      </c>
    </row>
    <row r="38" spans="1:22" x14ac:dyDescent="0.25">
      <c r="A38" s="125">
        <v>30</v>
      </c>
      <c r="B38" s="62" t="s">
        <v>68</v>
      </c>
      <c r="C38" s="63" t="s">
        <v>27</v>
      </c>
      <c r="D38" s="9">
        <v>192769835383.51999</v>
      </c>
      <c r="E38" s="3">
        <f t="shared" si="14"/>
        <v>0.22189762430956497</v>
      </c>
      <c r="F38" s="8">
        <v>100</v>
      </c>
      <c r="G38" s="8">
        <v>100</v>
      </c>
      <c r="H38" s="60">
        <v>14693</v>
      </c>
      <c r="I38" s="5">
        <v>0.10100000000000001</v>
      </c>
      <c r="J38" s="5">
        <v>0.10100000000000001</v>
      </c>
      <c r="K38" s="9">
        <v>193224908947.26001</v>
      </c>
      <c r="L38" s="3">
        <f t="shared" si="8"/>
        <v>0.2224214601186224</v>
      </c>
      <c r="M38" s="8">
        <v>100</v>
      </c>
      <c r="N38" s="8">
        <v>100</v>
      </c>
      <c r="O38" s="60">
        <v>14754</v>
      </c>
      <c r="P38" s="5">
        <v>0.1021</v>
      </c>
      <c r="Q38" s="5">
        <v>0.1021</v>
      </c>
      <c r="R38" s="83">
        <f t="shared" si="15"/>
        <v>2.3607094068148239E-3</v>
      </c>
      <c r="S38" s="83">
        <f t="shared" si="16"/>
        <v>0</v>
      </c>
      <c r="T38" s="83">
        <f t="shared" si="17"/>
        <v>4.1516368338664674E-3</v>
      </c>
      <c r="U38" s="84">
        <f t="shared" si="18"/>
        <v>1.0999999999999899E-3</v>
      </c>
      <c r="V38" s="86">
        <f t="shared" si="19"/>
        <v>1.0999999999999899E-3</v>
      </c>
    </row>
    <row r="39" spans="1:22" x14ac:dyDescent="0.25">
      <c r="A39" s="134">
        <v>31</v>
      </c>
      <c r="B39" s="62" t="s">
        <v>69</v>
      </c>
      <c r="C39" s="63" t="s">
        <v>70</v>
      </c>
      <c r="D39" s="9">
        <v>273639555.12</v>
      </c>
      <c r="E39" s="3">
        <f t="shared" si="14"/>
        <v>3.1498687062449628E-4</v>
      </c>
      <c r="F39" s="8">
        <v>1</v>
      </c>
      <c r="G39" s="8">
        <v>1</v>
      </c>
      <c r="H39" s="61">
        <v>433</v>
      </c>
      <c r="I39" s="12">
        <v>6.5600000000000006E-2</v>
      </c>
      <c r="J39" s="12">
        <v>6.5600000000000006E-2</v>
      </c>
      <c r="K39" s="9">
        <v>273909450.56</v>
      </c>
      <c r="L39" s="3">
        <f t="shared" si="8"/>
        <v>3.1529754763902416E-4</v>
      </c>
      <c r="M39" s="8">
        <v>1</v>
      </c>
      <c r="N39" s="8">
        <v>1</v>
      </c>
      <c r="O39" s="61">
        <v>433</v>
      </c>
      <c r="P39" s="12">
        <v>6.5299999999999997E-2</v>
      </c>
      <c r="Q39" s="12">
        <v>6.5299999999999997E-2</v>
      </c>
      <c r="R39" s="83">
        <f t="shared" si="15"/>
        <v>9.8631734685301442E-4</v>
      </c>
      <c r="S39" s="83">
        <f t="shared" si="16"/>
        <v>0</v>
      </c>
      <c r="T39" s="83">
        <f t="shared" si="17"/>
        <v>0</v>
      </c>
      <c r="U39" s="84">
        <f t="shared" si="18"/>
        <v>-3.0000000000000859E-4</v>
      </c>
      <c r="V39" s="86">
        <f t="shared" si="19"/>
        <v>-3.0000000000000859E-4</v>
      </c>
    </row>
    <row r="40" spans="1:22" x14ac:dyDescent="0.25">
      <c r="A40" s="128">
        <v>32</v>
      </c>
      <c r="B40" s="62" t="s">
        <v>71</v>
      </c>
      <c r="C40" s="63" t="s">
        <v>72</v>
      </c>
      <c r="D40" s="9">
        <v>604012724.24000001</v>
      </c>
      <c r="E40" s="3">
        <f t="shared" si="14"/>
        <v>6.952798828455222E-4</v>
      </c>
      <c r="F40" s="8">
        <v>10</v>
      </c>
      <c r="G40" s="8">
        <v>10</v>
      </c>
      <c r="H40" s="60">
        <v>284</v>
      </c>
      <c r="I40" s="5">
        <v>8.2400000000000001E-2</v>
      </c>
      <c r="J40" s="5">
        <v>8.2400000000000001E-2</v>
      </c>
      <c r="K40" s="9">
        <v>605692612.35000002</v>
      </c>
      <c r="L40" s="3">
        <f t="shared" si="8"/>
        <v>6.9721360437396192E-4</v>
      </c>
      <c r="M40" s="8">
        <v>10</v>
      </c>
      <c r="N40" s="8">
        <v>10</v>
      </c>
      <c r="O40" s="60">
        <v>284</v>
      </c>
      <c r="P40" s="5">
        <v>8.2799999999999999E-2</v>
      </c>
      <c r="Q40" s="5">
        <v>8.2799999999999999E-2</v>
      </c>
      <c r="R40" s="83">
        <f t="shared" si="15"/>
        <v>2.7812131145312151E-3</v>
      </c>
      <c r="S40" s="83">
        <f t="shared" si="16"/>
        <v>0</v>
      </c>
      <c r="T40" s="83">
        <f t="shared" si="17"/>
        <v>0</v>
      </c>
      <c r="U40" s="84">
        <f t="shared" si="18"/>
        <v>3.9999999999999758E-4</v>
      </c>
      <c r="V40" s="86">
        <f t="shared" si="19"/>
        <v>3.9999999999999758E-4</v>
      </c>
    </row>
    <row r="41" spans="1:22" x14ac:dyDescent="0.25">
      <c r="A41" s="131">
        <v>33</v>
      </c>
      <c r="B41" s="62" t="s">
        <v>73</v>
      </c>
      <c r="C41" s="63" t="s">
        <v>74</v>
      </c>
      <c r="D41" s="9">
        <v>3800489070.384069</v>
      </c>
      <c r="E41" s="3">
        <f t="shared" si="14"/>
        <v>4.3747482289170844E-3</v>
      </c>
      <c r="F41" s="8">
        <v>100</v>
      </c>
      <c r="G41" s="8">
        <v>100</v>
      </c>
      <c r="H41" s="60">
        <v>565</v>
      </c>
      <c r="I41" s="5">
        <v>9.7095694543709532E-2</v>
      </c>
      <c r="J41" s="5">
        <v>9.7095694543709532E-2</v>
      </c>
      <c r="K41" s="9">
        <v>3137947149.8440833</v>
      </c>
      <c r="L41" s="3">
        <f t="shared" si="8"/>
        <v>3.6120953072043757E-3</v>
      </c>
      <c r="M41" s="8">
        <v>100</v>
      </c>
      <c r="N41" s="8">
        <v>100</v>
      </c>
      <c r="O41" s="60">
        <v>565</v>
      </c>
      <c r="P41" s="5">
        <v>9.8400000000000001E-2</v>
      </c>
      <c r="Q41" s="5">
        <v>9.8400000000000001E-2</v>
      </c>
      <c r="R41" s="83">
        <f t="shared" si="15"/>
        <v>-0.17433070014671312</v>
      </c>
      <c r="S41" s="83">
        <f t="shared" si="16"/>
        <v>0</v>
      </c>
      <c r="T41" s="83">
        <f t="shared" si="17"/>
        <v>0</v>
      </c>
      <c r="U41" s="84">
        <f t="shared" si="18"/>
        <v>1.3043054562904693E-3</v>
      </c>
      <c r="V41" s="86">
        <f t="shared" si="19"/>
        <v>1.3043054562904693E-3</v>
      </c>
    </row>
    <row r="42" spans="1:22" ht="15.75" customHeight="1" x14ac:dyDescent="0.25">
      <c r="A42" s="130">
        <v>34</v>
      </c>
      <c r="B42" s="62" t="s">
        <v>245</v>
      </c>
      <c r="C42" s="63" t="s">
        <v>32</v>
      </c>
      <c r="D42" s="9">
        <v>21339396794.479198</v>
      </c>
      <c r="E42" s="3">
        <f t="shared" si="14"/>
        <v>2.4563809184530185E-2</v>
      </c>
      <c r="F42" s="8">
        <v>100</v>
      </c>
      <c r="G42" s="8">
        <v>100</v>
      </c>
      <c r="H42" s="60">
        <v>10669</v>
      </c>
      <c r="I42" s="5">
        <v>9.4799999999999995E-2</v>
      </c>
      <c r="J42" s="5">
        <v>9.4799999999999995E-2</v>
      </c>
      <c r="K42" s="9">
        <v>21577529361.375999</v>
      </c>
      <c r="L42" s="3">
        <f t="shared" si="8"/>
        <v>2.4837923911868152E-2</v>
      </c>
      <c r="M42" s="8">
        <v>100</v>
      </c>
      <c r="N42" s="8">
        <v>100</v>
      </c>
      <c r="O42" s="60">
        <v>10703</v>
      </c>
      <c r="P42" s="5">
        <v>9.3426468425913428E-2</v>
      </c>
      <c r="Q42" s="5">
        <v>9.3426468425913428E-2</v>
      </c>
      <c r="R42" s="83">
        <f t="shared" si="15"/>
        <v>1.1159292326313986E-2</v>
      </c>
      <c r="S42" s="83">
        <f t="shared" si="16"/>
        <v>0</v>
      </c>
      <c r="T42" s="83">
        <f t="shared" si="17"/>
        <v>3.1868028868684973E-3</v>
      </c>
      <c r="U42" s="84">
        <f t="shared" si="18"/>
        <v>-1.3735315740865672E-3</v>
      </c>
      <c r="V42" s="86">
        <f t="shared" si="19"/>
        <v>-1.3735315740865672E-3</v>
      </c>
    </row>
    <row r="43" spans="1:22" x14ac:dyDescent="0.25">
      <c r="A43" s="130">
        <v>35</v>
      </c>
      <c r="B43" s="62" t="s">
        <v>75</v>
      </c>
      <c r="C43" s="63" t="s">
        <v>34</v>
      </c>
      <c r="D43" s="9">
        <v>3049719001.3400002</v>
      </c>
      <c r="E43" s="3">
        <f t="shared" si="14"/>
        <v>3.5105357633507563E-3</v>
      </c>
      <c r="F43" s="8">
        <v>1</v>
      </c>
      <c r="G43" s="8">
        <v>1</v>
      </c>
      <c r="H43" s="60">
        <v>821</v>
      </c>
      <c r="I43" s="5">
        <v>7.5399999999999995E-2</v>
      </c>
      <c r="J43" s="5">
        <v>7.5399999999999995E-2</v>
      </c>
      <c r="K43" s="9">
        <v>3021619431.5900002</v>
      </c>
      <c r="L43" s="3">
        <f t="shared" si="8"/>
        <v>3.4781903097208314E-3</v>
      </c>
      <c r="M43" s="8">
        <v>1</v>
      </c>
      <c r="N43" s="8">
        <v>1</v>
      </c>
      <c r="O43" s="60">
        <v>824</v>
      </c>
      <c r="P43" s="5">
        <v>7.5600000000000001E-2</v>
      </c>
      <c r="Q43" s="5">
        <v>7.5600000000000001E-2</v>
      </c>
      <c r="R43" s="83">
        <f t="shared" si="15"/>
        <v>-9.2138225645226578E-3</v>
      </c>
      <c r="S43" s="83">
        <f t="shared" si="16"/>
        <v>0</v>
      </c>
      <c r="T43" s="83">
        <f t="shared" si="17"/>
        <v>3.6540803897685747E-3</v>
      </c>
      <c r="U43" s="84">
        <f t="shared" si="18"/>
        <v>2.0000000000000573E-4</v>
      </c>
      <c r="V43" s="86">
        <f t="shared" si="19"/>
        <v>2.0000000000000573E-4</v>
      </c>
    </row>
    <row r="44" spans="1:22" x14ac:dyDescent="0.25">
      <c r="A44" s="131">
        <v>36</v>
      </c>
      <c r="B44" s="62" t="s">
        <v>76</v>
      </c>
      <c r="C44" s="63" t="s">
        <v>36</v>
      </c>
      <c r="D44" s="13">
        <v>3217680961.54</v>
      </c>
      <c r="E44" s="3">
        <f t="shared" si="14"/>
        <v>3.7038770082016815E-3</v>
      </c>
      <c r="F44" s="8">
        <v>10</v>
      </c>
      <c r="G44" s="8">
        <v>10</v>
      </c>
      <c r="H44" s="60">
        <v>1864</v>
      </c>
      <c r="I44" s="5">
        <v>0.1128</v>
      </c>
      <c r="J44" s="5">
        <v>0.1128</v>
      </c>
      <c r="K44" s="13">
        <v>3228270849.6999998</v>
      </c>
      <c r="L44" s="3">
        <f t="shared" si="8"/>
        <v>3.7160670431194E-3</v>
      </c>
      <c r="M44" s="8">
        <v>10</v>
      </c>
      <c r="N44" s="8">
        <v>10</v>
      </c>
      <c r="O44" s="60">
        <v>1858</v>
      </c>
      <c r="P44" s="5">
        <v>0.1138</v>
      </c>
      <c r="Q44" s="5">
        <v>0.1138</v>
      </c>
      <c r="R44" s="83">
        <f t="shared" si="15"/>
        <v>3.2911554273334382E-3</v>
      </c>
      <c r="S44" s="83">
        <f t="shared" si="16"/>
        <v>0</v>
      </c>
      <c r="T44" s="83">
        <f t="shared" si="17"/>
        <v>-3.2188841201716738E-3</v>
      </c>
      <c r="U44" s="84">
        <f t="shared" si="18"/>
        <v>1.0000000000000009E-3</v>
      </c>
      <c r="V44" s="86">
        <f t="shared" si="19"/>
        <v>1.0000000000000009E-3</v>
      </c>
    </row>
    <row r="45" spans="1:22" x14ac:dyDescent="0.25">
      <c r="A45" s="128">
        <v>37</v>
      </c>
      <c r="B45" s="62" t="s">
        <v>77</v>
      </c>
      <c r="C45" s="63" t="s">
        <v>78</v>
      </c>
      <c r="D45" s="9">
        <v>5589698296.9499998</v>
      </c>
      <c r="E45" s="3">
        <f t="shared" si="14"/>
        <v>6.4343094459397131E-3</v>
      </c>
      <c r="F45" s="8">
        <v>100</v>
      </c>
      <c r="G45" s="8">
        <v>100</v>
      </c>
      <c r="H45" s="60">
        <v>1843</v>
      </c>
      <c r="I45" s="5">
        <v>0.1144</v>
      </c>
      <c r="J45" s="5">
        <v>0.1144</v>
      </c>
      <c r="K45" s="9">
        <v>5765473057.7099991</v>
      </c>
      <c r="L45" s="3">
        <f t="shared" si="8"/>
        <v>6.6366440163284184E-3</v>
      </c>
      <c r="M45" s="8">
        <v>100</v>
      </c>
      <c r="N45" s="8">
        <v>100</v>
      </c>
      <c r="O45" s="60">
        <v>1861</v>
      </c>
      <c r="P45" s="5">
        <v>0.1186</v>
      </c>
      <c r="Q45" s="5">
        <v>0.1186</v>
      </c>
      <c r="R45" s="83">
        <f t="shared" si="15"/>
        <v>3.1446198242203911E-2</v>
      </c>
      <c r="S45" s="83">
        <f t="shared" si="16"/>
        <v>0</v>
      </c>
      <c r="T45" s="83">
        <f t="shared" si="17"/>
        <v>9.7666847531199131E-3</v>
      </c>
      <c r="U45" s="84">
        <f t="shared" si="18"/>
        <v>4.1999999999999954E-3</v>
      </c>
      <c r="V45" s="86">
        <f t="shared" si="19"/>
        <v>4.1999999999999954E-3</v>
      </c>
    </row>
    <row r="46" spans="1:22" x14ac:dyDescent="0.25">
      <c r="A46" s="131">
        <v>38</v>
      </c>
      <c r="B46" s="62" t="s">
        <v>79</v>
      </c>
      <c r="C46" s="63" t="s">
        <v>80</v>
      </c>
      <c r="D46" s="9">
        <v>160476347.78999999</v>
      </c>
      <c r="E46" s="3">
        <f t="shared" si="14"/>
        <v>1.8472454604544819E-4</v>
      </c>
      <c r="F46" s="8">
        <v>1</v>
      </c>
      <c r="G46" s="8">
        <v>1</v>
      </c>
      <c r="H46" s="60">
        <v>59</v>
      </c>
      <c r="I46" s="5">
        <v>7.0300000000000001E-2</v>
      </c>
      <c r="J46" s="5">
        <v>7.0300000000000001E-2</v>
      </c>
      <c r="K46" s="9">
        <v>162316006.78999999</v>
      </c>
      <c r="L46" s="3">
        <f t="shared" si="8"/>
        <v>1.8684218006649486E-4</v>
      </c>
      <c r="M46" s="8">
        <v>1</v>
      </c>
      <c r="N46" s="8">
        <v>1</v>
      </c>
      <c r="O46" s="60">
        <v>59</v>
      </c>
      <c r="P46" s="5">
        <v>6.9400000000000003E-2</v>
      </c>
      <c r="Q46" s="5">
        <v>6.9400000000000003E-2</v>
      </c>
      <c r="R46" s="83">
        <f t="shared" si="15"/>
        <v>1.1463739207271749E-2</v>
      </c>
      <c r="S46" s="83">
        <f t="shared" si="16"/>
        <v>0</v>
      </c>
      <c r="T46" s="83">
        <f t="shared" si="17"/>
        <v>0</v>
      </c>
      <c r="U46" s="84">
        <f t="shared" si="18"/>
        <v>-8.9999999999999802E-4</v>
      </c>
      <c r="V46" s="86">
        <f t="shared" si="19"/>
        <v>-8.9999999999999802E-4</v>
      </c>
    </row>
    <row r="47" spans="1:22" x14ac:dyDescent="0.25">
      <c r="A47" s="131">
        <v>39</v>
      </c>
      <c r="B47" s="62" t="s">
        <v>81</v>
      </c>
      <c r="C47" s="63" t="s">
        <v>38</v>
      </c>
      <c r="D47" s="13">
        <v>792848697.70000005</v>
      </c>
      <c r="E47" s="3">
        <f t="shared" si="14"/>
        <v>9.1264923325033308E-4</v>
      </c>
      <c r="F47" s="8">
        <v>10</v>
      </c>
      <c r="G47" s="8">
        <v>10</v>
      </c>
      <c r="H47" s="60">
        <v>597</v>
      </c>
      <c r="I47" s="5">
        <v>0.10829999999999999</v>
      </c>
      <c r="J47" s="5">
        <v>0.10829999999999999</v>
      </c>
      <c r="K47" s="13">
        <v>732040145.75</v>
      </c>
      <c r="L47" s="3">
        <f t="shared" si="8"/>
        <v>8.4265242493971443E-4</v>
      </c>
      <c r="M47" s="8">
        <v>10</v>
      </c>
      <c r="N47" s="8">
        <v>10</v>
      </c>
      <c r="O47" s="60">
        <v>624</v>
      </c>
      <c r="P47" s="5">
        <v>0.1135</v>
      </c>
      <c r="Q47" s="5">
        <v>0.1135</v>
      </c>
      <c r="R47" s="83">
        <f t="shared" si="15"/>
        <v>-7.6696287862238421E-2</v>
      </c>
      <c r="S47" s="83">
        <f t="shared" si="16"/>
        <v>0</v>
      </c>
      <c r="T47" s="83">
        <f t="shared" si="17"/>
        <v>4.5226130653266333E-2</v>
      </c>
      <c r="U47" s="84">
        <f t="shared" si="18"/>
        <v>5.2000000000000102E-3</v>
      </c>
      <c r="V47" s="86">
        <f t="shared" si="19"/>
        <v>5.2000000000000102E-3</v>
      </c>
    </row>
    <row r="48" spans="1:22" x14ac:dyDescent="0.25">
      <c r="A48" s="131">
        <v>40</v>
      </c>
      <c r="B48" s="62" t="s">
        <v>82</v>
      </c>
      <c r="C48" s="63" t="s">
        <v>42</v>
      </c>
      <c r="D48" s="9">
        <v>379600985355.39001</v>
      </c>
      <c r="E48" s="3">
        <f t="shared" si="14"/>
        <v>0.43695921962244977</v>
      </c>
      <c r="F48" s="8">
        <v>100</v>
      </c>
      <c r="G48" s="8">
        <v>100</v>
      </c>
      <c r="H48" s="60">
        <v>129136</v>
      </c>
      <c r="I48" s="5">
        <v>9.8599999999999993E-2</v>
      </c>
      <c r="J48" s="5">
        <v>9.8599999999999993E-2</v>
      </c>
      <c r="K48" s="9">
        <v>383969715304.21002</v>
      </c>
      <c r="L48" s="3">
        <f t="shared" si="8"/>
        <v>0.44198807071299795</v>
      </c>
      <c r="M48" s="8">
        <v>100</v>
      </c>
      <c r="N48" s="8">
        <v>100</v>
      </c>
      <c r="O48" s="60">
        <v>129530</v>
      </c>
      <c r="P48" s="5">
        <v>9.6100000000000005E-2</v>
      </c>
      <c r="Q48" s="5">
        <v>9.6100000000000005E-2</v>
      </c>
      <c r="R48" s="83">
        <f t="shared" si="15"/>
        <v>1.1508742383083951E-2</v>
      </c>
      <c r="S48" s="83">
        <f t="shared" si="16"/>
        <v>0</v>
      </c>
      <c r="T48" s="83">
        <f t="shared" si="17"/>
        <v>3.0510469582455705E-3</v>
      </c>
      <c r="U48" s="84">
        <f t="shared" si="18"/>
        <v>-2.4999999999999883E-3</v>
      </c>
      <c r="V48" s="86">
        <f t="shared" si="19"/>
        <v>-2.4999999999999883E-3</v>
      </c>
    </row>
    <row r="49" spans="1:22" x14ac:dyDescent="0.25">
      <c r="A49" s="130">
        <v>41</v>
      </c>
      <c r="B49" s="62" t="s">
        <v>83</v>
      </c>
      <c r="C49" s="63" t="s">
        <v>84</v>
      </c>
      <c r="D49" s="9">
        <v>2671634854.8899999</v>
      </c>
      <c r="E49" s="3">
        <f t="shared" si="14"/>
        <v>3.0753225790916541E-3</v>
      </c>
      <c r="F49" s="8">
        <v>1</v>
      </c>
      <c r="G49" s="8">
        <v>1</v>
      </c>
      <c r="H49" s="60">
        <v>313</v>
      </c>
      <c r="I49" s="5">
        <v>0.13066866558126672</v>
      </c>
      <c r="J49" s="5">
        <v>0.13066866558126672</v>
      </c>
      <c r="K49" s="9">
        <v>2676678807.0799999</v>
      </c>
      <c r="L49" s="3">
        <f t="shared" si="8"/>
        <v>3.0811286794385538E-3</v>
      </c>
      <c r="M49" s="8">
        <v>1</v>
      </c>
      <c r="N49" s="8">
        <v>1</v>
      </c>
      <c r="O49" s="60">
        <v>309</v>
      </c>
      <c r="P49" s="5">
        <v>0.13034404212740136</v>
      </c>
      <c r="Q49" s="5">
        <v>0.13034404212740136</v>
      </c>
      <c r="R49" s="83">
        <f t="shared" si="15"/>
        <v>1.8879646598291343E-3</v>
      </c>
      <c r="S49" s="83">
        <f t="shared" si="16"/>
        <v>0</v>
      </c>
      <c r="T49" s="83">
        <f t="shared" si="17"/>
        <v>-1.2779552715654952E-2</v>
      </c>
      <c r="U49" s="84">
        <f t="shared" si="18"/>
        <v>-3.2462345386535807E-4</v>
      </c>
      <c r="V49" s="86">
        <f t="shared" si="19"/>
        <v>-3.2462345386535807E-4</v>
      </c>
    </row>
    <row r="50" spans="1:22" x14ac:dyDescent="0.25">
      <c r="A50" s="131">
        <v>42</v>
      </c>
      <c r="B50" s="62" t="s">
        <v>85</v>
      </c>
      <c r="C50" s="63" t="s">
        <v>45</v>
      </c>
      <c r="D50" s="9">
        <v>45041610775.940002</v>
      </c>
      <c r="E50" s="3">
        <f t="shared" si="14"/>
        <v>5.1847460503209174E-2</v>
      </c>
      <c r="F50" s="8">
        <v>1</v>
      </c>
      <c r="G50" s="8">
        <v>1</v>
      </c>
      <c r="H50" s="60">
        <v>18342</v>
      </c>
      <c r="I50" s="5">
        <v>9.4200000000000006E-2</v>
      </c>
      <c r="J50" s="5">
        <v>9.4200000000000006E-2</v>
      </c>
      <c r="K50" s="9">
        <v>44174608416.349998</v>
      </c>
      <c r="L50" s="3">
        <f t="shared" si="8"/>
        <v>5.084945288712623E-2</v>
      </c>
      <c r="M50" s="8">
        <v>1</v>
      </c>
      <c r="N50" s="8">
        <v>1</v>
      </c>
      <c r="O50" s="60">
        <v>18436</v>
      </c>
      <c r="P50" s="5">
        <v>9.69E-2</v>
      </c>
      <c r="Q50" s="5">
        <v>9.69E-2</v>
      </c>
      <c r="R50" s="83">
        <f t="shared" si="15"/>
        <v>-1.9248919935455171E-2</v>
      </c>
      <c r="S50" s="83">
        <f t="shared" si="16"/>
        <v>0</v>
      </c>
      <c r="T50" s="83">
        <f t="shared" si="17"/>
        <v>5.124850070875586E-3</v>
      </c>
      <c r="U50" s="84">
        <f t="shared" si="18"/>
        <v>2.6999999999999941E-3</v>
      </c>
      <c r="V50" s="86">
        <f t="shared" si="19"/>
        <v>2.6999999999999941E-3</v>
      </c>
    </row>
    <row r="51" spans="1:22" x14ac:dyDescent="0.25">
      <c r="A51" s="131">
        <v>43</v>
      </c>
      <c r="B51" s="62" t="s">
        <v>86</v>
      </c>
      <c r="C51" s="63" t="s">
        <v>87</v>
      </c>
      <c r="D51" s="9">
        <v>1998619594.05</v>
      </c>
      <c r="E51" s="3">
        <f t="shared" si="14"/>
        <v>2.3006137808641624E-3</v>
      </c>
      <c r="F51" s="8">
        <v>1</v>
      </c>
      <c r="G51" s="8">
        <v>1</v>
      </c>
      <c r="H51" s="60">
        <v>0</v>
      </c>
      <c r="I51" s="5">
        <v>7.1599999999999997E-2</v>
      </c>
      <c r="J51" s="5">
        <v>7.1599999999999997E-2</v>
      </c>
      <c r="K51" s="9">
        <v>1993635189.8099999</v>
      </c>
      <c r="L51" s="3">
        <f t="shared" si="8"/>
        <v>2.2948762262449242E-3</v>
      </c>
      <c r="M51" s="8">
        <v>1</v>
      </c>
      <c r="N51" s="8">
        <v>1</v>
      </c>
      <c r="O51" s="60">
        <v>57</v>
      </c>
      <c r="P51" s="5">
        <v>7.6499999999999999E-2</v>
      </c>
      <c r="Q51" s="5">
        <v>7.6499999999999999E-2</v>
      </c>
      <c r="R51" s="83">
        <f t="shared" si="15"/>
        <v>-2.4939234333731411E-3</v>
      </c>
      <c r="S51" s="83">
        <f t="shared" si="16"/>
        <v>0</v>
      </c>
      <c r="T51" s="83" t="e">
        <f t="shared" si="17"/>
        <v>#DIV/0!</v>
      </c>
      <c r="U51" s="84">
        <f t="shared" si="18"/>
        <v>4.9000000000000016E-3</v>
      </c>
      <c r="V51" s="86">
        <f t="shared" si="19"/>
        <v>4.9000000000000016E-3</v>
      </c>
    </row>
    <row r="52" spans="1:22" x14ac:dyDescent="0.25">
      <c r="A52" s="130">
        <v>44</v>
      </c>
      <c r="B52" s="62" t="s">
        <v>88</v>
      </c>
      <c r="C52" s="63" t="s">
        <v>89</v>
      </c>
      <c r="D52" s="9">
        <v>943305933.41999996</v>
      </c>
      <c r="E52" s="3">
        <f t="shared" si="14"/>
        <v>1.0858407655252337E-3</v>
      </c>
      <c r="F52" s="8">
        <v>1</v>
      </c>
      <c r="G52" s="8">
        <v>1</v>
      </c>
      <c r="H52" s="60">
        <v>204</v>
      </c>
      <c r="I52" s="5">
        <v>0.1008</v>
      </c>
      <c r="J52" s="5">
        <v>0.10150000000000001</v>
      </c>
      <c r="K52" s="9">
        <v>940035417.71000004</v>
      </c>
      <c r="L52" s="3">
        <f t="shared" si="8"/>
        <v>1.0820760703649549E-3</v>
      </c>
      <c r="M52" s="8">
        <v>1</v>
      </c>
      <c r="N52" s="8">
        <v>1</v>
      </c>
      <c r="O52" s="60">
        <v>204</v>
      </c>
      <c r="P52" s="5">
        <v>0.10059999999999999</v>
      </c>
      <c r="Q52" s="5">
        <v>0.10150000000000001</v>
      </c>
      <c r="R52" s="83">
        <f t="shared" si="15"/>
        <v>-3.4670784886749418E-3</v>
      </c>
      <c r="S52" s="83">
        <f t="shared" si="16"/>
        <v>0</v>
      </c>
      <c r="T52" s="83">
        <f t="shared" si="17"/>
        <v>0</v>
      </c>
      <c r="U52" s="84">
        <f t="shared" si="18"/>
        <v>-2.0000000000000573E-4</v>
      </c>
      <c r="V52" s="86">
        <f t="shared" si="19"/>
        <v>0</v>
      </c>
    </row>
    <row r="53" spans="1:22" x14ac:dyDescent="0.25">
      <c r="A53" s="131">
        <v>45</v>
      </c>
      <c r="B53" s="62" t="s">
        <v>90</v>
      </c>
      <c r="C53" s="63" t="s">
        <v>91</v>
      </c>
      <c r="D53" s="9">
        <v>26643198661.169998</v>
      </c>
      <c r="E53" s="3">
        <f t="shared" si="14"/>
        <v>3.066902285390876E-2</v>
      </c>
      <c r="F53" s="8">
        <v>1</v>
      </c>
      <c r="G53" s="8">
        <v>1</v>
      </c>
      <c r="H53" s="60">
        <v>3041</v>
      </c>
      <c r="I53" s="5">
        <v>0.1019</v>
      </c>
      <c r="J53" s="5">
        <v>0.1019</v>
      </c>
      <c r="K53" s="9">
        <v>25947716709.82</v>
      </c>
      <c r="L53" s="3">
        <f t="shared" si="8"/>
        <v>2.9868452617140596E-2</v>
      </c>
      <c r="M53" s="8">
        <v>1</v>
      </c>
      <c r="N53" s="8">
        <v>1</v>
      </c>
      <c r="O53" s="60">
        <v>3042</v>
      </c>
      <c r="P53" s="5">
        <v>0.1024</v>
      </c>
      <c r="Q53" s="5">
        <v>0.1024</v>
      </c>
      <c r="R53" s="83">
        <f t="shared" si="15"/>
        <v>-2.6103545606316378E-2</v>
      </c>
      <c r="S53" s="83">
        <f t="shared" si="16"/>
        <v>0</v>
      </c>
      <c r="T53" s="83">
        <f t="shared" si="17"/>
        <v>3.2883919763235779E-4</v>
      </c>
      <c r="U53" s="84">
        <f t="shared" si="18"/>
        <v>5.0000000000000044E-4</v>
      </c>
      <c r="V53" s="86">
        <f t="shared" si="19"/>
        <v>5.0000000000000044E-4</v>
      </c>
    </row>
    <row r="54" spans="1:22" x14ac:dyDescent="0.25">
      <c r="A54" s="78"/>
      <c r="B54" s="19"/>
      <c r="C54" s="74" t="s">
        <v>46</v>
      </c>
      <c r="D54" s="59">
        <f>SUM(D25:D53)</f>
        <v>866430357744.91357</v>
      </c>
      <c r="E54" s="118">
        <f>(D54/$D$171)</f>
        <v>0.44177779749881735</v>
      </c>
      <c r="F54" s="30"/>
      <c r="G54" s="11"/>
      <c r="H54" s="68">
        <f>SUM(H25:H53)</f>
        <v>279097</v>
      </c>
      <c r="I54" s="32"/>
      <c r="J54" s="32"/>
      <c r="K54" s="59">
        <f>SUM(K25:K53)</f>
        <v>868733209665.15002</v>
      </c>
      <c r="L54" s="118">
        <f>(K54/$K$171)</f>
        <v>0.43389145739100748</v>
      </c>
      <c r="M54" s="30"/>
      <c r="N54" s="11"/>
      <c r="O54" s="68">
        <f>SUM(O25:O53)</f>
        <v>279997</v>
      </c>
      <c r="P54" s="32"/>
      <c r="Q54" s="32"/>
      <c r="R54" s="83">
        <f t="shared" si="15"/>
        <v>2.6578615345729086E-3</v>
      </c>
      <c r="S54" s="83" t="e">
        <f t="shared" si="16"/>
        <v>#DIV/0!</v>
      </c>
      <c r="T54" s="83">
        <f t="shared" si="17"/>
        <v>3.2246853244570885E-3</v>
      </c>
      <c r="U54" s="84">
        <f t="shared" si="18"/>
        <v>0</v>
      </c>
      <c r="V54" s="86">
        <f t="shared" si="19"/>
        <v>0</v>
      </c>
    </row>
    <row r="55" spans="1:22" ht="9" customHeight="1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</row>
    <row r="56" spans="1:22" ht="15" customHeight="1" x14ac:dyDescent="0.25">
      <c r="A56" s="138" t="s">
        <v>92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</row>
    <row r="57" spans="1:22" x14ac:dyDescent="0.25">
      <c r="A57" s="131">
        <v>46</v>
      </c>
      <c r="B57" s="62" t="s">
        <v>93</v>
      </c>
      <c r="C57" s="63" t="s">
        <v>19</v>
      </c>
      <c r="D57" s="2">
        <v>478183571.20999998</v>
      </c>
      <c r="E57" s="3">
        <f>(D57/$D$87)</f>
        <v>1.6143908182722265E-3</v>
      </c>
      <c r="F57" s="14">
        <v>1.2707999999999999</v>
      </c>
      <c r="G57" s="14">
        <v>1.2707999999999999</v>
      </c>
      <c r="H57" s="60">
        <v>390</v>
      </c>
      <c r="I57" s="5">
        <v>-2.3599999999999999E-4</v>
      </c>
      <c r="J57" s="5">
        <v>3.2199999999999999E-2</v>
      </c>
      <c r="K57" s="2">
        <v>475049998.19</v>
      </c>
      <c r="L57" s="3">
        <f t="shared" ref="L57:L86" si="20">(K57/$K$87)</f>
        <v>1.5978015715562416E-3</v>
      </c>
      <c r="M57" s="14">
        <v>1.2630999999999999</v>
      </c>
      <c r="N57" s="14">
        <v>1.2630999999999999</v>
      </c>
      <c r="O57" s="60">
        <v>391</v>
      </c>
      <c r="P57" s="5">
        <v>-9.4899999999999997E-4</v>
      </c>
      <c r="Q57" s="5">
        <v>2.5899999999999999E-2</v>
      </c>
      <c r="R57" s="83">
        <f t="shared" ref="R57" si="21">((K57-D57)/D57)</f>
        <v>-6.5530754477213836E-3</v>
      </c>
      <c r="S57" s="83">
        <f t="shared" ref="S57" si="22">((N57-G57)/G57)</f>
        <v>-6.059175322631445E-3</v>
      </c>
      <c r="T57" s="83">
        <f t="shared" ref="T57" si="23">((O57-H57)/H57)</f>
        <v>2.5641025641025641E-3</v>
      </c>
      <c r="U57" s="84">
        <f t="shared" ref="U57" si="24">P57-I57</f>
        <v>-7.1299999999999998E-4</v>
      </c>
      <c r="V57" s="86">
        <f t="shared" ref="V57" si="25">Q57-J57</f>
        <v>-6.3E-3</v>
      </c>
    </row>
    <row r="58" spans="1:22" x14ac:dyDescent="0.25">
      <c r="A58" s="128">
        <v>47</v>
      </c>
      <c r="B58" s="62" t="s">
        <v>94</v>
      </c>
      <c r="C58" s="63" t="s">
        <v>21</v>
      </c>
      <c r="D58" s="2">
        <v>884797485.21000004</v>
      </c>
      <c r="E58" s="3">
        <f>(D58/$D$87)</f>
        <v>2.9871560257474375E-3</v>
      </c>
      <c r="F58" s="14">
        <v>1.1431</v>
      </c>
      <c r="G58" s="14">
        <v>1.1431</v>
      </c>
      <c r="H58" s="60">
        <v>529</v>
      </c>
      <c r="I58" s="5">
        <v>5.0200000000000002E-2</v>
      </c>
      <c r="J58" s="5">
        <v>4.0899999999999999E-2</v>
      </c>
      <c r="K58" s="2">
        <v>1116581543.49</v>
      </c>
      <c r="L58" s="3">
        <f t="shared" si="20"/>
        <v>3.7555536296317608E-3</v>
      </c>
      <c r="M58" s="14">
        <v>1.1445000000000001</v>
      </c>
      <c r="N58" s="14">
        <v>1.1445000000000001</v>
      </c>
      <c r="O58" s="60">
        <v>538</v>
      </c>
      <c r="P58" s="5">
        <v>6.3899999999999998E-2</v>
      </c>
      <c r="Q58" s="5">
        <v>4.1500000000000002E-2</v>
      </c>
      <c r="R58" s="83">
        <f t="shared" ref="R58:R87" si="26">((K58-D58)/D58)</f>
        <v>0.26196283573860718</v>
      </c>
      <c r="S58" s="83">
        <f t="shared" ref="S58:S87" si="27">((N58-G58)/G58)</f>
        <v>1.2247397428047134E-3</v>
      </c>
      <c r="T58" s="83">
        <f t="shared" ref="T58:T87" si="28">((O58-H58)/H58)</f>
        <v>1.7013232514177693E-2</v>
      </c>
      <c r="U58" s="84">
        <f t="shared" ref="U58:U87" si="29">P58-I58</f>
        <v>1.3699999999999997E-2</v>
      </c>
      <c r="V58" s="86">
        <f t="shared" ref="V58:V87" si="30">Q58-J58</f>
        <v>6.0000000000000331E-4</v>
      </c>
    </row>
    <row r="59" spans="1:22" x14ac:dyDescent="0.25">
      <c r="A59" s="128">
        <v>48</v>
      </c>
      <c r="B59" s="62" t="s">
        <v>95</v>
      </c>
      <c r="C59" s="63" t="s">
        <v>21</v>
      </c>
      <c r="D59" s="2">
        <v>990476722.82000005</v>
      </c>
      <c r="E59" s="3">
        <f>(D59/$D$87)</f>
        <v>3.3439386530716804E-3</v>
      </c>
      <c r="F59" s="14">
        <v>1.0497000000000001</v>
      </c>
      <c r="G59" s="14">
        <v>1.0497000000000001</v>
      </c>
      <c r="H59" s="60">
        <v>144</v>
      </c>
      <c r="I59" s="5">
        <v>6.9599999999999995E-2</v>
      </c>
      <c r="J59" s="5">
        <v>1.7600000000000001E-2</v>
      </c>
      <c r="K59" s="2">
        <v>991851407.98000002</v>
      </c>
      <c r="L59" s="3">
        <f t="shared" si="20"/>
        <v>3.3360314587073613E-3</v>
      </c>
      <c r="M59" s="14">
        <v>1.0510999999999999</v>
      </c>
      <c r="N59" s="14">
        <v>1.0510999999999999</v>
      </c>
      <c r="O59" s="60">
        <v>144</v>
      </c>
      <c r="P59" s="5">
        <v>6.9500000000000006E-2</v>
      </c>
      <c r="Q59" s="5">
        <v>1.89E-2</v>
      </c>
      <c r="R59" s="83">
        <f t="shared" si="26"/>
        <v>1.3879025405928586E-3</v>
      </c>
      <c r="S59" s="83">
        <f t="shared" si="27"/>
        <v>1.3337143945887833E-3</v>
      </c>
      <c r="T59" s="83">
        <f t="shared" si="28"/>
        <v>0</v>
      </c>
      <c r="U59" s="84">
        <f t="shared" si="29"/>
        <v>-9.9999999999988987E-5</v>
      </c>
      <c r="V59" s="86">
        <f t="shared" si="30"/>
        <v>1.2999999999999991E-3</v>
      </c>
    </row>
    <row r="60" spans="1:22" x14ac:dyDescent="0.25">
      <c r="A60" s="131">
        <v>49</v>
      </c>
      <c r="B60" s="62" t="s">
        <v>96</v>
      </c>
      <c r="C60" s="63" t="s">
        <v>97</v>
      </c>
      <c r="D60" s="2">
        <v>259058010.11000001</v>
      </c>
      <c r="E60" s="3">
        <f>(D60/$D$87)</f>
        <v>8.7460318191858377E-4</v>
      </c>
      <c r="F60" s="7">
        <v>1134.1400000000001</v>
      </c>
      <c r="G60" s="7">
        <v>1134.1400000000001</v>
      </c>
      <c r="H60" s="60">
        <v>111</v>
      </c>
      <c r="I60" s="5">
        <v>2.7000000000000001E-3</v>
      </c>
      <c r="J60" s="5">
        <v>5.8500000000000003E-2</v>
      </c>
      <c r="K60" s="2">
        <v>259516645.75</v>
      </c>
      <c r="L60" s="3">
        <f t="shared" si="20"/>
        <v>8.7286834228869831E-4</v>
      </c>
      <c r="M60" s="7">
        <v>1136.69</v>
      </c>
      <c r="N60" s="7">
        <v>1136.69</v>
      </c>
      <c r="O60" s="60">
        <v>110</v>
      </c>
      <c r="P60" s="5">
        <v>1.8E-3</v>
      </c>
      <c r="Q60" s="5">
        <v>6.0699999999999997E-2</v>
      </c>
      <c r="R60" s="83">
        <f t="shared" si="26"/>
        <v>1.7703974480667167E-3</v>
      </c>
      <c r="S60" s="83">
        <f t="shared" si="27"/>
        <v>2.2483996684712244E-3</v>
      </c>
      <c r="T60" s="83">
        <f t="shared" si="28"/>
        <v>-9.0090090090090089E-3</v>
      </c>
      <c r="U60" s="84">
        <f t="shared" si="29"/>
        <v>-9.0000000000000019E-4</v>
      </c>
      <c r="V60" s="86">
        <f t="shared" si="30"/>
        <v>2.1999999999999936E-3</v>
      </c>
    </row>
    <row r="61" spans="1:22" ht="15" customHeight="1" x14ac:dyDescent="0.25">
      <c r="A61" s="126">
        <v>50</v>
      </c>
      <c r="B61" s="62" t="s">
        <v>98</v>
      </c>
      <c r="C61" s="63" t="s">
        <v>99</v>
      </c>
      <c r="D61" s="2">
        <v>1462336975.8599999</v>
      </c>
      <c r="E61" s="3">
        <f>(D61/$K$87)</f>
        <v>4.9184808484924953E-3</v>
      </c>
      <c r="F61" s="7">
        <v>1.0330999999999999</v>
      </c>
      <c r="G61" s="7">
        <v>1.0330999999999999</v>
      </c>
      <c r="H61" s="60">
        <v>775</v>
      </c>
      <c r="I61" s="5">
        <v>5.5999999999999999E-3</v>
      </c>
      <c r="J61" s="5">
        <v>6.4699999999999994E-2</v>
      </c>
      <c r="K61" s="2">
        <v>1463754365.3199999</v>
      </c>
      <c r="L61" s="3">
        <f t="shared" si="20"/>
        <v>4.92324815112448E-3</v>
      </c>
      <c r="M61" s="7">
        <v>1.0346</v>
      </c>
      <c r="N61" s="7">
        <v>1.0346</v>
      </c>
      <c r="O61" s="60">
        <v>775</v>
      </c>
      <c r="P61" s="5">
        <v>7.1000000000000004E-3</v>
      </c>
      <c r="Q61" s="5">
        <v>6.6199999999999995E-2</v>
      </c>
      <c r="R61" s="83">
        <f t="shared" si="26"/>
        <v>9.6926322960990015E-4</v>
      </c>
      <c r="S61" s="83">
        <f t="shared" si="27"/>
        <v>1.4519407608170139E-3</v>
      </c>
      <c r="T61" s="83">
        <f t="shared" si="28"/>
        <v>0</v>
      </c>
      <c r="U61" s="84">
        <f t="shared" si="29"/>
        <v>1.5000000000000005E-3</v>
      </c>
      <c r="V61" s="86">
        <f t="shared" si="30"/>
        <v>1.5000000000000013E-3</v>
      </c>
    </row>
    <row r="62" spans="1:22" x14ac:dyDescent="0.25">
      <c r="A62" s="130">
        <v>51</v>
      </c>
      <c r="B62" s="62" t="s">
        <v>100</v>
      </c>
      <c r="C62" s="63" t="s">
        <v>101</v>
      </c>
      <c r="D62" s="2">
        <v>436696941.79000002</v>
      </c>
      <c r="E62" s="3">
        <f t="shared" ref="E62:E86" si="31">(D62/$D$87)</f>
        <v>1.4743282196195071E-3</v>
      </c>
      <c r="F62" s="7">
        <v>2.2667999999999999</v>
      </c>
      <c r="G62" s="7">
        <v>2.2667999999999999</v>
      </c>
      <c r="H62" s="60">
        <v>1402</v>
      </c>
      <c r="I62" s="5">
        <v>0.20553232143648301</v>
      </c>
      <c r="J62" s="5">
        <v>0.111959750070334</v>
      </c>
      <c r="K62" s="2">
        <v>437276180.73000002</v>
      </c>
      <c r="L62" s="3">
        <f t="shared" si="20"/>
        <v>1.4707516502190626E-3</v>
      </c>
      <c r="M62" s="7">
        <v>2.2698</v>
      </c>
      <c r="N62" s="7">
        <v>2.2698</v>
      </c>
      <c r="O62" s="60">
        <v>1402</v>
      </c>
      <c r="P62" s="5">
        <v>6.9008545715800798E-2</v>
      </c>
      <c r="Q62" s="5">
        <v>0.108399899119552</v>
      </c>
      <c r="R62" s="83">
        <f t="shared" si="26"/>
        <v>1.3264094262389948E-3</v>
      </c>
      <c r="S62" s="83">
        <f t="shared" si="27"/>
        <v>1.3234515616728929E-3</v>
      </c>
      <c r="T62" s="83">
        <f t="shared" si="28"/>
        <v>0</v>
      </c>
      <c r="U62" s="84">
        <f t="shared" si="29"/>
        <v>-0.13652377572068219</v>
      </c>
      <c r="V62" s="86">
        <f t="shared" si="30"/>
        <v>-3.5598509507819981E-3</v>
      </c>
    </row>
    <row r="63" spans="1:22" x14ac:dyDescent="0.25">
      <c r="A63" s="131">
        <v>52</v>
      </c>
      <c r="B63" s="62" t="s">
        <v>102</v>
      </c>
      <c r="C63" s="63" t="s">
        <v>56</v>
      </c>
      <c r="D63" s="2">
        <v>2361227377.737</v>
      </c>
      <c r="E63" s="3">
        <f t="shared" si="31"/>
        <v>7.9717163616178678E-3</v>
      </c>
      <c r="F63" s="2">
        <v>3931.8845496500599</v>
      </c>
      <c r="G63" s="2">
        <v>3931.8845496500599</v>
      </c>
      <c r="H63" s="60">
        <v>1026</v>
      </c>
      <c r="I63" s="5">
        <v>6.4745750969063542E-2</v>
      </c>
      <c r="J63" s="5">
        <v>7.5559273768968288E-2</v>
      </c>
      <c r="K63" s="2">
        <v>2363608118.9264598</v>
      </c>
      <c r="L63" s="3">
        <f t="shared" si="20"/>
        <v>7.94985113430801E-3</v>
      </c>
      <c r="M63" s="2">
        <v>3936.9971619530802</v>
      </c>
      <c r="N63" s="2">
        <v>3936.9971619530802</v>
      </c>
      <c r="O63" s="60">
        <v>1027</v>
      </c>
      <c r="P63" s="5">
        <v>6.7801129350791828E-2</v>
      </c>
      <c r="Q63" s="5">
        <v>7.5469827747262463E-2</v>
      </c>
      <c r="R63" s="83">
        <f t="shared" si="26"/>
        <v>1.0082642662484723E-3</v>
      </c>
      <c r="S63" s="83">
        <f t="shared" si="27"/>
        <v>1.3002956313850486E-3</v>
      </c>
      <c r="T63" s="83">
        <f t="shared" si="28"/>
        <v>9.7465886939571145E-4</v>
      </c>
      <c r="U63" s="84">
        <f t="shared" si="29"/>
        <v>3.0553783817282854E-3</v>
      </c>
      <c r="V63" s="86">
        <f t="shared" si="30"/>
        <v>-8.9446021705824608E-5</v>
      </c>
    </row>
    <row r="64" spans="1:22" x14ac:dyDescent="0.25">
      <c r="A64" s="131">
        <v>53</v>
      </c>
      <c r="B64" s="62" t="s">
        <v>103</v>
      </c>
      <c r="C64" s="63" t="s">
        <v>58</v>
      </c>
      <c r="D64" s="2">
        <v>338854965.87</v>
      </c>
      <c r="E64" s="3">
        <f t="shared" si="31"/>
        <v>1.1440048938574591E-3</v>
      </c>
      <c r="F64" s="14">
        <v>109.07</v>
      </c>
      <c r="G64" s="14">
        <v>109.07</v>
      </c>
      <c r="H64" s="60">
        <v>120</v>
      </c>
      <c r="I64" s="5">
        <v>1.8E-3</v>
      </c>
      <c r="J64" s="5">
        <v>9.9699999999999997E-2</v>
      </c>
      <c r="K64" s="2">
        <v>344802973.30000001</v>
      </c>
      <c r="L64" s="3">
        <f t="shared" si="20"/>
        <v>1.1597236811179974E-3</v>
      </c>
      <c r="M64" s="14">
        <v>109.27</v>
      </c>
      <c r="N64" s="14">
        <v>109.27</v>
      </c>
      <c r="O64" s="60">
        <v>120</v>
      </c>
      <c r="P64" s="5">
        <v>1.8E-3</v>
      </c>
      <c r="Q64" s="5">
        <v>9.98E-2</v>
      </c>
      <c r="R64" s="83">
        <f t="shared" si="26"/>
        <v>1.7553254427683171E-2</v>
      </c>
      <c r="S64" s="83">
        <f t="shared" si="27"/>
        <v>1.8336847895846966E-3</v>
      </c>
      <c r="T64" s="83">
        <f t="shared" si="28"/>
        <v>0</v>
      </c>
      <c r="U64" s="84">
        <f t="shared" si="29"/>
        <v>0</v>
      </c>
      <c r="V64" s="86">
        <f t="shared" si="30"/>
        <v>1.0000000000000286E-4</v>
      </c>
    </row>
    <row r="65" spans="1:22" x14ac:dyDescent="0.25">
      <c r="A65" s="134">
        <v>54</v>
      </c>
      <c r="B65" s="62" t="s">
        <v>104</v>
      </c>
      <c r="C65" s="63" t="s">
        <v>105</v>
      </c>
      <c r="D65" s="2">
        <v>349546323.04000002</v>
      </c>
      <c r="E65" s="3">
        <f t="shared" si="31"/>
        <v>1.1800998788993793E-3</v>
      </c>
      <c r="F65" s="14">
        <v>1.3913</v>
      </c>
      <c r="G65" s="14">
        <v>1.3913</v>
      </c>
      <c r="H65" s="60">
        <v>0</v>
      </c>
      <c r="I65" s="5">
        <v>1.5E-3</v>
      </c>
      <c r="J65" s="5">
        <v>3.1399999999999997E-2</v>
      </c>
      <c r="K65" s="2">
        <v>352072254</v>
      </c>
      <c r="L65" s="3">
        <f t="shared" si="20"/>
        <v>1.1841734615006887E-3</v>
      </c>
      <c r="M65" s="14">
        <v>1.3997999999999999</v>
      </c>
      <c r="N65" s="14">
        <v>1.3997999999999999</v>
      </c>
      <c r="O65" s="60">
        <v>0</v>
      </c>
      <c r="P65" s="5">
        <v>3.0813328556071884E-3</v>
      </c>
      <c r="Q65" s="5">
        <v>3.7415916009154171E-2</v>
      </c>
      <c r="R65" s="83">
        <f t="shared" si="26"/>
        <v>7.2263124899497964E-3</v>
      </c>
      <c r="S65" s="83">
        <f t="shared" si="27"/>
        <v>6.1093940918565031E-3</v>
      </c>
      <c r="T65" s="83" t="e">
        <f t="shared" si="28"/>
        <v>#DIV/0!</v>
      </c>
      <c r="U65" s="84">
        <f t="shared" si="29"/>
        <v>1.5813328556071884E-3</v>
      </c>
      <c r="V65" s="86">
        <f t="shared" si="30"/>
        <v>6.0159160091541736E-3</v>
      </c>
    </row>
    <row r="66" spans="1:22" x14ac:dyDescent="0.25">
      <c r="A66" s="130">
        <v>55</v>
      </c>
      <c r="B66" s="62" t="s">
        <v>106</v>
      </c>
      <c r="C66" s="63" t="s">
        <v>25</v>
      </c>
      <c r="D66" s="2">
        <v>65033779.520000003</v>
      </c>
      <c r="E66" s="3">
        <f t="shared" si="31"/>
        <v>2.1955989886679065E-4</v>
      </c>
      <c r="F66" s="7">
        <v>109.5979</v>
      </c>
      <c r="G66" s="7">
        <v>109.5979</v>
      </c>
      <c r="H66" s="60">
        <v>74</v>
      </c>
      <c r="I66" s="5">
        <v>2.7999999999999998E-4</v>
      </c>
      <c r="J66" s="5">
        <v>7.5200000000000003E-2</v>
      </c>
      <c r="K66" s="2">
        <v>65127883.909999996</v>
      </c>
      <c r="L66" s="3">
        <f t="shared" si="20"/>
        <v>2.1905364837389234E-4</v>
      </c>
      <c r="M66" s="7">
        <v>109.8408</v>
      </c>
      <c r="N66" s="7">
        <v>109.8408</v>
      </c>
      <c r="O66" s="60">
        <v>74</v>
      </c>
      <c r="P66" s="5">
        <v>3.1599999999999998E-4</v>
      </c>
      <c r="Q66" s="5">
        <v>7.7600000000000002E-2</v>
      </c>
      <c r="R66" s="83">
        <f t="shared" si="26"/>
        <v>1.4470078579863713E-3</v>
      </c>
      <c r="S66" s="83">
        <f t="shared" si="27"/>
        <v>2.2162833411954598E-3</v>
      </c>
      <c r="T66" s="83">
        <f t="shared" si="28"/>
        <v>0</v>
      </c>
      <c r="U66" s="84">
        <f t="shared" si="29"/>
        <v>3.6000000000000008E-5</v>
      </c>
      <c r="V66" s="86">
        <f t="shared" si="30"/>
        <v>2.3999999999999994E-3</v>
      </c>
    </row>
    <row r="67" spans="1:22" x14ac:dyDescent="0.25">
      <c r="A67" s="130">
        <v>56</v>
      </c>
      <c r="B67" s="62" t="s">
        <v>107</v>
      </c>
      <c r="C67" s="63" t="s">
        <v>108</v>
      </c>
      <c r="D67" s="2">
        <v>877199273.69000006</v>
      </c>
      <c r="E67" s="3">
        <f t="shared" si="31"/>
        <v>2.9615037790963468E-3</v>
      </c>
      <c r="F67" s="7">
        <v>1000</v>
      </c>
      <c r="G67" s="7">
        <v>1000</v>
      </c>
      <c r="H67" s="60">
        <v>251</v>
      </c>
      <c r="I67" s="5">
        <v>1.40613815284292E-4</v>
      </c>
      <c r="J67" s="5">
        <v>0.15959999999999999</v>
      </c>
      <c r="K67" s="2">
        <v>888813755.72000003</v>
      </c>
      <c r="L67" s="3">
        <f t="shared" si="20"/>
        <v>2.9894706265049223E-3</v>
      </c>
      <c r="M67" s="7">
        <v>1000</v>
      </c>
      <c r="N67" s="7">
        <v>1000</v>
      </c>
      <c r="O67" s="60">
        <v>257</v>
      </c>
      <c r="P67" s="5">
        <v>9.3966191036276602E-5</v>
      </c>
      <c r="Q67" s="5">
        <v>0.161</v>
      </c>
      <c r="R67" s="83">
        <f t="shared" si="26"/>
        <v>1.32404145538594E-2</v>
      </c>
      <c r="S67" s="83">
        <f t="shared" si="27"/>
        <v>0</v>
      </c>
      <c r="T67" s="83">
        <f t="shared" si="28"/>
        <v>2.3904382470119521E-2</v>
      </c>
      <c r="U67" s="84">
        <f t="shared" si="29"/>
        <v>-4.6647624248015397E-5</v>
      </c>
      <c r="V67" s="86">
        <f t="shared" si="30"/>
        <v>1.4000000000000123E-3</v>
      </c>
    </row>
    <row r="68" spans="1:22" x14ac:dyDescent="0.25">
      <c r="A68" s="134">
        <v>57</v>
      </c>
      <c r="B68" s="62" t="s">
        <v>109</v>
      </c>
      <c r="C68" s="63" t="s">
        <v>64</v>
      </c>
      <c r="D68" s="2">
        <v>240149246.97</v>
      </c>
      <c r="E68" s="3">
        <f t="shared" si="31"/>
        <v>8.1076549397615465E-4</v>
      </c>
      <c r="F68" s="7">
        <v>1106.8900000000001</v>
      </c>
      <c r="G68" s="7">
        <v>1116.4000000000001</v>
      </c>
      <c r="H68" s="60">
        <v>81</v>
      </c>
      <c r="I68" s="5">
        <v>2.2000000000000001E-3</v>
      </c>
      <c r="J68" s="5">
        <v>6.5299999999999997E-2</v>
      </c>
      <c r="K68" s="2">
        <v>240609157.15000001</v>
      </c>
      <c r="L68" s="3">
        <f t="shared" si="20"/>
        <v>8.0927416248790433E-4</v>
      </c>
      <c r="M68" s="7">
        <v>1109.01</v>
      </c>
      <c r="N68" s="7">
        <v>1119.1400000000001</v>
      </c>
      <c r="O68" s="60">
        <v>82</v>
      </c>
      <c r="P68" s="5">
        <v>2.2000000000000001E-3</v>
      </c>
      <c r="Q68" s="5">
        <v>6.7500000000000004E-2</v>
      </c>
      <c r="R68" s="83">
        <f t="shared" si="26"/>
        <v>1.9151014871075578E-3</v>
      </c>
      <c r="S68" s="83">
        <f t="shared" si="27"/>
        <v>2.4543174489430391E-3</v>
      </c>
      <c r="T68" s="83">
        <f t="shared" si="28"/>
        <v>1.2345679012345678E-2</v>
      </c>
      <c r="U68" s="84">
        <f t="shared" si="29"/>
        <v>0</v>
      </c>
      <c r="V68" s="86">
        <f t="shared" si="30"/>
        <v>2.2000000000000075E-3</v>
      </c>
    </row>
    <row r="69" spans="1:22" x14ac:dyDescent="0.25">
      <c r="A69" s="128">
        <v>58</v>
      </c>
      <c r="B69" s="62" t="s">
        <v>110</v>
      </c>
      <c r="C69" s="63" t="s">
        <v>67</v>
      </c>
      <c r="D69" s="2">
        <v>738761529.66999996</v>
      </c>
      <c r="E69" s="3">
        <f t="shared" si="31"/>
        <v>2.4941254827598974E-3</v>
      </c>
      <c r="F69" s="15">
        <v>1.0881000000000001</v>
      </c>
      <c r="G69" s="15">
        <v>1.0881000000000001</v>
      </c>
      <c r="H69" s="60">
        <v>41</v>
      </c>
      <c r="I69" s="5">
        <v>0.11327523710214779</v>
      </c>
      <c r="J69" s="5">
        <v>0.10257611241217805</v>
      </c>
      <c r="K69" s="2">
        <v>740118239.44000006</v>
      </c>
      <c r="L69" s="3">
        <f t="shared" si="20"/>
        <v>2.4893423652676151E-3</v>
      </c>
      <c r="M69" s="15">
        <v>1.0901000000000001</v>
      </c>
      <c r="N69" s="15">
        <v>1.0901000000000001</v>
      </c>
      <c r="O69" s="60">
        <v>40</v>
      </c>
      <c r="P69" s="5">
        <v>1.838066354195388E-3</v>
      </c>
      <c r="Q69" s="5">
        <v>2.6373380438171067E-2</v>
      </c>
      <c r="R69" s="83">
        <f t="shared" si="26"/>
        <v>1.8364651047898144E-3</v>
      </c>
      <c r="S69" s="83">
        <f t="shared" si="27"/>
        <v>1.838066354195388E-3</v>
      </c>
      <c r="T69" s="83">
        <f t="shared" si="28"/>
        <v>-2.4390243902439025E-2</v>
      </c>
      <c r="U69" s="84">
        <f t="shared" si="29"/>
        <v>-0.1114371707479524</v>
      </c>
      <c r="V69" s="86">
        <f t="shared" si="30"/>
        <v>-7.6202731974006982E-2</v>
      </c>
    </row>
    <row r="70" spans="1:22" x14ac:dyDescent="0.25">
      <c r="A70" s="125">
        <v>59</v>
      </c>
      <c r="B70" s="62" t="s">
        <v>111</v>
      </c>
      <c r="C70" s="63" t="s">
        <v>27</v>
      </c>
      <c r="D70" s="2">
        <v>64694369790.790001</v>
      </c>
      <c r="E70" s="3">
        <f t="shared" si="31"/>
        <v>0.21841402104191604</v>
      </c>
      <c r="F70" s="15">
        <v>1509.23</v>
      </c>
      <c r="G70" s="2">
        <v>1509.23</v>
      </c>
      <c r="H70" s="60">
        <v>2453</v>
      </c>
      <c r="I70" s="5">
        <v>-5.9799999999999999E-2</v>
      </c>
      <c r="J70" s="5">
        <v>0.1178</v>
      </c>
      <c r="K70" s="2">
        <v>66034149561.730003</v>
      </c>
      <c r="L70" s="3">
        <f t="shared" si="20"/>
        <v>0.22210181738367835</v>
      </c>
      <c r="M70" s="15">
        <v>1512.28</v>
      </c>
      <c r="N70" s="2">
        <v>1512.28</v>
      </c>
      <c r="O70" s="60">
        <v>2454</v>
      </c>
      <c r="P70" s="5">
        <v>2E-3</v>
      </c>
      <c r="Q70" s="5">
        <v>0.1148</v>
      </c>
      <c r="R70" s="83">
        <f t="shared" si="26"/>
        <v>2.0709372009845836E-2</v>
      </c>
      <c r="S70" s="83">
        <f t="shared" si="27"/>
        <v>2.0208980738521992E-3</v>
      </c>
      <c r="T70" s="83">
        <f t="shared" si="28"/>
        <v>4.0766408479412964E-4</v>
      </c>
      <c r="U70" s="84">
        <f t="shared" si="29"/>
        <v>6.1800000000000001E-2</v>
      </c>
      <c r="V70" s="86">
        <f t="shared" si="30"/>
        <v>-3.0000000000000027E-3</v>
      </c>
    </row>
    <row r="71" spans="1:22" x14ac:dyDescent="0.25">
      <c r="A71" s="128">
        <v>60</v>
      </c>
      <c r="B71" s="62" t="s">
        <v>112</v>
      </c>
      <c r="C71" s="63" t="s">
        <v>72</v>
      </c>
      <c r="D71" s="2">
        <v>24824140.859999999</v>
      </c>
      <c r="E71" s="3">
        <f t="shared" si="31"/>
        <v>8.3808536070095602E-5</v>
      </c>
      <c r="F71" s="2">
        <v>0.75609999999999999</v>
      </c>
      <c r="G71" s="2">
        <v>0.75609999999999999</v>
      </c>
      <c r="H71" s="60">
        <v>748</v>
      </c>
      <c r="I71" s="5">
        <v>1.9E-3</v>
      </c>
      <c r="J71" s="5">
        <v>0.1065</v>
      </c>
      <c r="K71" s="2">
        <v>24613446.449999999</v>
      </c>
      <c r="L71" s="3">
        <f t="shared" si="20"/>
        <v>8.2785819532823346E-5</v>
      </c>
      <c r="M71" s="2">
        <v>0.74960000000000004</v>
      </c>
      <c r="N71" s="2">
        <v>0.74960000000000004</v>
      </c>
      <c r="O71" s="60">
        <v>748</v>
      </c>
      <c r="P71" s="5">
        <v>-8.6E-3</v>
      </c>
      <c r="Q71" s="5">
        <v>9.7000000000000003E-2</v>
      </c>
      <c r="R71" s="83">
        <f t="shared" si="26"/>
        <v>-8.4874804404409167E-3</v>
      </c>
      <c r="S71" s="83">
        <f t="shared" si="27"/>
        <v>-8.5967464621081215E-3</v>
      </c>
      <c r="T71" s="83">
        <f t="shared" si="28"/>
        <v>0</v>
      </c>
      <c r="U71" s="84">
        <f t="shared" si="29"/>
        <v>-1.0500000000000001E-2</v>
      </c>
      <c r="V71" s="86">
        <f t="shared" si="30"/>
        <v>-9.4999999999999946E-3</v>
      </c>
    </row>
    <row r="72" spans="1:22" x14ac:dyDescent="0.25">
      <c r="A72" s="128">
        <v>61</v>
      </c>
      <c r="B72" s="62" t="s">
        <v>113</v>
      </c>
      <c r="C72" s="63" t="s">
        <v>114</v>
      </c>
      <c r="D72" s="2">
        <v>1071993673.4299999</v>
      </c>
      <c r="E72" s="3">
        <f t="shared" si="31"/>
        <v>3.619147222586798E-3</v>
      </c>
      <c r="F72" s="2">
        <v>208.10521</v>
      </c>
      <c r="G72" s="2">
        <v>209.574095</v>
      </c>
      <c r="H72" s="60">
        <v>486</v>
      </c>
      <c r="I72" s="5">
        <v>1.6000000000000001E-3</v>
      </c>
      <c r="J72" s="5">
        <v>5.0500000000000003E-2</v>
      </c>
      <c r="K72" s="2">
        <v>1074759571.75</v>
      </c>
      <c r="L72" s="3">
        <f t="shared" si="20"/>
        <v>3.6148879893278824E-3</v>
      </c>
      <c r="M72" s="2">
        <v>208.757589</v>
      </c>
      <c r="N72" s="2">
        <v>210.31338700000001</v>
      </c>
      <c r="O72" s="60">
        <v>487</v>
      </c>
      <c r="P72" s="5">
        <v>2.3E-3</v>
      </c>
      <c r="Q72" s="5">
        <v>5.45E-2</v>
      </c>
      <c r="R72" s="83">
        <f t="shared" si="26"/>
        <v>2.5801442569620375E-3</v>
      </c>
      <c r="S72" s="83">
        <f t="shared" si="27"/>
        <v>3.5275924727242937E-3</v>
      </c>
      <c r="T72" s="83">
        <f t="shared" si="28"/>
        <v>2.05761316872428E-3</v>
      </c>
      <c r="U72" s="84">
        <f t="shared" si="29"/>
        <v>6.9999999999999988E-4</v>
      </c>
      <c r="V72" s="86">
        <f t="shared" si="30"/>
        <v>3.9999999999999966E-3</v>
      </c>
    </row>
    <row r="73" spans="1:22" x14ac:dyDescent="0.25">
      <c r="A73" s="130">
        <v>62</v>
      </c>
      <c r="B73" s="62" t="s">
        <v>115</v>
      </c>
      <c r="C73" s="63" t="s">
        <v>34</v>
      </c>
      <c r="D73" s="2">
        <v>1243940411.5699999</v>
      </c>
      <c r="E73" s="3">
        <f t="shared" si="31"/>
        <v>4.1996549020594754E-3</v>
      </c>
      <c r="F73" s="14">
        <v>3.55</v>
      </c>
      <c r="G73" s="14">
        <v>3.55</v>
      </c>
      <c r="H73" s="61">
        <v>785</v>
      </c>
      <c r="I73" s="12">
        <v>2.5000000000000001E-3</v>
      </c>
      <c r="J73" s="12">
        <v>-9.9000000000000008E-3</v>
      </c>
      <c r="K73" s="2">
        <v>1242074695.3299999</v>
      </c>
      <c r="L73" s="3">
        <f t="shared" si="20"/>
        <v>4.1776421592464924E-3</v>
      </c>
      <c r="M73" s="14">
        <v>3.55</v>
      </c>
      <c r="N73" s="14">
        <v>3.55</v>
      </c>
      <c r="O73" s="61">
        <v>783</v>
      </c>
      <c r="P73" s="12">
        <v>3.5999999999999999E-3</v>
      </c>
      <c r="Q73" s="12">
        <v>-8.3000000000000001E-3</v>
      </c>
      <c r="R73" s="83">
        <f t="shared" si="26"/>
        <v>-1.4998437406219924E-3</v>
      </c>
      <c r="S73" s="83">
        <f t="shared" si="27"/>
        <v>0</v>
      </c>
      <c r="T73" s="83">
        <f t="shared" si="28"/>
        <v>-2.5477707006369425E-3</v>
      </c>
      <c r="U73" s="84">
        <f t="shared" si="29"/>
        <v>1.0999999999999998E-3</v>
      </c>
      <c r="V73" s="86">
        <f t="shared" si="30"/>
        <v>1.6000000000000007E-3</v>
      </c>
    </row>
    <row r="74" spans="1:22" x14ac:dyDescent="0.25">
      <c r="A74" s="120">
        <v>63</v>
      </c>
      <c r="B74" s="63" t="s">
        <v>116</v>
      </c>
      <c r="C74" s="119" t="s">
        <v>40</v>
      </c>
      <c r="D74" s="2">
        <v>2066197523</v>
      </c>
      <c r="E74" s="3">
        <f t="shared" si="31"/>
        <v>6.9756689913613272E-3</v>
      </c>
      <c r="F74" s="14">
        <v>100.3</v>
      </c>
      <c r="G74" s="14">
        <v>100.3</v>
      </c>
      <c r="H74" s="60">
        <v>169</v>
      </c>
      <c r="I74" s="5">
        <v>1.9E-3</v>
      </c>
      <c r="J74" s="5">
        <v>0.10290000000000001</v>
      </c>
      <c r="K74" s="2">
        <v>2065992478</v>
      </c>
      <c r="L74" s="3">
        <f t="shared" si="20"/>
        <v>6.9488391553503273E-3</v>
      </c>
      <c r="M74" s="14">
        <v>100.46</v>
      </c>
      <c r="N74" s="14">
        <v>100.46</v>
      </c>
      <c r="O74" s="60">
        <v>169</v>
      </c>
      <c r="P74" s="5">
        <v>1.9E-3</v>
      </c>
      <c r="Q74" s="5">
        <v>0.10299999999999999</v>
      </c>
      <c r="R74" s="83">
        <f t="shared" si="26"/>
        <v>-9.9237850068800031E-5</v>
      </c>
      <c r="S74" s="83">
        <f t="shared" si="27"/>
        <v>1.5952143569291785E-3</v>
      </c>
      <c r="T74" s="83">
        <f t="shared" si="28"/>
        <v>0</v>
      </c>
      <c r="U74" s="84">
        <f t="shared" si="29"/>
        <v>0</v>
      </c>
      <c r="V74" s="86">
        <f t="shared" si="30"/>
        <v>9.9999999999988987E-5</v>
      </c>
    </row>
    <row r="75" spans="1:22" x14ac:dyDescent="0.25">
      <c r="A75" s="130">
        <v>64</v>
      </c>
      <c r="B75" s="62" t="s">
        <v>117</v>
      </c>
      <c r="C75" s="63" t="s">
        <v>17</v>
      </c>
      <c r="D75" s="2">
        <v>1643737093.3699999</v>
      </c>
      <c r="E75" s="3">
        <f t="shared" si="31"/>
        <v>5.5494045194301135E-3</v>
      </c>
      <c r="F75" s="14">
        <v>339.8836</v>
      </c>
      <c r="G75" s="14">
        <v>339.8836</v>
      </c>
      <c r="H75" s="60">
        <v>193</v>
      </c>
      <c r="I75" s="5">
        <v>2E-3</v>
      </c>
      <c r="J75" s="5">
        <v>0.1331</v>
      </c>
      <c r="K75" s="2">
        <v>1643737093.3699999</v>
      </c>
      <c r="L75" s="3">
        <f t="shared" si="20"/>
        <v>5.5286090327726703E-3</v>
      </c>
      <c r="M75" s="14">
        <v>339.8836</v>
      </c>
      <c r="N75" s="14">
        <v>339.8836</v>
      </c>
      <c r="O75" s="60">
        <v>193</v>
      </c>
      <c r="P75" s="5">
        <v>2E-3</v>
      </c>
      <c r="Q75" s="5">
        <v>0.1331</v>
      </c>
      <c r="R75" s="83">
        <f t="shared" si="26"/>
        <v>0</v>
      </c>
      <c r="S75" s="83">
        <f t="shared" si="27"/>
        <v>0</v>
      </c>
      <c r="T75" s="83">
        <f t="shared" si="28"/>
        <v>0</v>
      </c>
      <c r="U75" s="84">
        <f t="shared" si="29"/>
        <v>0</v>
      </c>
      <c r="V75" s="86">
        <f t="shared" si="30"/>
        <v>0</v>
      </c>
    </row>
    <row r="76" spans="1:22" x14ac:dyDescent="0.25">
      <c r="A76" s="131">
        <v>65</v>
      </c>
      <c r="B76" s="62" t="s">
        <v>118</v>
      </c>
      <c r="C76" s="63" t="s">
        <v>38</v>
      </c>
      <c r="D76" s="2">
        <v>54757315.93</v>
      </c>
      <c r="E76" s="3">
        <f t="shared" si="31"/>
        <v>1.8486563193071672E-4</v>
      </c>
      <c r="F76" s="14">
        <v>12.09</v>
      </c>
      <c r="G76" s="2">
        <v>12.39</v>
      </c>
      <c r="H76" s="60">
        <v>53</v>
      </c>
      <c r="I76" s="5">
        <v>2.9999999999999997E-4</v>
      </c>
      <c r="J76" s="5">
        <v>9.3899999999999997E-2</v>
      </c>
      <c r="K76" s="2">
        <v>54734447.850000001</v>
      </c>
      <c r="L76" s="3">
        <f t="shared" si="20"/>
        <v>1.8409596279593063E-4</v>
      </c>
      <c r="M76" s="14">
        <v>11.868181</v>
      </c>
      <c r="N76" s="2">
        <v>12.176788999999999</v>
      </c>
      <c r="O76" s="60">
        <v>55</v>
      </c>
      <c r="P76" s="5">
        <v>2.0000000000000001E-4</v>
      </c>
      <c r="Q76" s="5">
        <v>7.4399999999999994E-2</v>
      </c>
      <c r="R76" s="83">
        <f t="shared" si="26"/>
        <v>-4.1762602150244239E-4</v>
      </c>
      <c r="S76" s="83">
        <f t="shared" si="27"/>
        <v>-1.7208313155770875E-2</v>
      </c>
      <c r="T76" s="83">
        <f t="shared" si="28"/>
        <v>3.7735849056603772E-2</v>
      </c>
      <c r="U76" s="84">
        <f t="shared" si="29"/>
        <v>-9.9999999999999964E-5</v>
      </c>
      <c r="V76" s="86">
        <f t="shared" si="30"/>
        <v>-1.9500000000000003E-2</v>
      </c>
    </row>
    <row r="77" spans="1:22" x14ac:dyDescent="0.25">
      <c r="A77" s="128">
        <v>66</v>
      </c>
      <c r="B77" s="62" t="s">
        <v>242</v>
      </c>
      <c r="C77" s="63" t="s">
        <v>243</v>
      </c>
      <c r="D77" s="2">
        <v>0</v>
      </c>
      <c r="E77" s="3">
        <f t="shared" si="31"/>
        <v>0</v>
      </c>
      <c r="F77" s="14">
        <v>0</v>
      </c>
      <c r="G77" s="2">
        <v>0</v>
      </c>
      <c r="H77" s="60">
        <v>0</v>
      </c>
      <c r="I77" s="5">
        <v>0</v>
      </c>
      <c r="J77" s="5">
        <v>0</v>
      </c>
      <c r="K77" s="2">
        <v>134276661.11000001</v>
      </c>
      <c r="L77" s="3">
        <f t="shared" si="20"/>
        <v>4.5163132504438602E-4</v>
      </c>
      <c r="M77" s="14">
        <v>109.6</v>
      </c>
      <c r="N77" s="2">
        <v>109.6</v>
      </c>
      <c r="O77" s="60">
        <v>62</v>
      </c>
      <c r="P77" s="5">
        <v>1.6000000000000001E-3</v>
      </c>
      <c r="Q77" s="5">
        <v>0.1116</v>
      </c>
      <c r="R77" s="83" t="e">
        <f t="shared" ref="R77" si="32">((K77-D77)/D77)</f>
        <v>#DIV/0!</v>
      </c>
      <c r="S77" s="83" t="e">
        <f t="shared" ref="S77" si="33">((N77-G77)/G77)</f>
        <v>#DIV/0!</v>
      </c>
      <c r="T77" s="83" t="e">
        <f t="shared" ref="T77" si="34">((O77-H77)/H77)</f>
        <v>#DIV/0!</v>
      </c>
      <c r="U77" s="84">
        <f t="shared" si="29"/>
        <v>1.6000000000000001E-3</v>
      </c>
      <c r="V77" s="86">
        <f t="shared" si="30"/>
        <v>0.1116</v>
      </c>
    </row>
    <row r="78" spans="1:22" x14ac:dyDescent="0.25">
      <c r="A78" s="131">
        <v>67</v>
      </c>
      <c r="B78" s="62" t="s">
        <v>119</v>
      </c>
      <c r="C78" s="63" t="s">
        <v>120</v>
      </c>
      <c r="D78" s="2">
        <v>6860109609.3699999</v>
      </c>
      <c r="E78" s="3">
        <f t="shared" si="31"/>
        <v>2.3160348101637994E-2</v>
      </c>
      <c r="F78" s="14">
        <v>1.0900000000000001</v>
      </c>
      <c r="G78" s="14">
        <v>1.0900000000000001</v>
      </c>
      <c r="H78" s="60">
        <v>3522</v>
      </c>
      <c r="I78" s="5">
        <v>0</v>
      </c>
      <c r="J78" s="5">
        <v>0.10050000000000001</v>
      </c>
      <c r="K78" s="2">
        <v>6960447914.5600004</v>
      </c>
      <c r="L78" s="3">
        <f t="shared" si="20"/>
        <v>2.3411040225225378E-2</v>
      </c>
      <c r="M78" s="14">
        <v>1.0900000000000001</v>
      </c>
      <c r="N78" s="14">
        <v>1.0900000000000001</v>
      </c>
      <c r="O78" s="60">
        <v>3536</v>
      </c>
      <c r="P78" s="5">
        <v>0</v>
      </c>
      <c r="Q78" s="5">
        <v>0.1002</v>
      </c>
      <c r="R78" s="83">
        <f t="shared" si="26"/>
        <v>1.462634140028196E-2</v>
      </c>
      <c r="S78" s="83">
        <f t="shared" si="27"/>
        <v>0</v>
      </c>
      <c r="T78" s="83">
        <f t="shared" si="28"/>
        <v>3.9750141964792728E-3</v>
      </c>
      <c r="U78" s="84">
        <f t="shared" si="29"/>
        <v>0</v>
      </c>
      <c r="V78" s="86">
        <f t="shared" si="30"/>
        <v>-3.0000000000000859E-4</v>
      </c>
    </row>
    <row r="79" spans="1:22" ht="14.25" customHeight="1" x14ac:dyDescent="0.25">
      <c r="A79" s="131">
        <v>68</v>
      </c>
      <c r="B79" s="62" t="s">
        <v>121</v>
      </c>
      <c r="C79" s="63" t="s">
        <v>42</v>
      </c>
      <c r="D79" s="2">
        <v>22247726706.689999</v>
      </c>
      <c r="E79" s="3">
        <f t="shared" si="31"/>
        <v>7.5110329766927456E-2</v>
      </c>
      <c r="F79" s="2">
        <v>4902.92</v>
      </c>
      <c r="G79" s="2">
        <v>4902.92</v>
      </c>
      <c r="H79" s="60">
        <v>1136</v>
      </c>
      <c r="I79" s="5">
        <v>1.9E-3</v>
      </c>
      <c r="J79" s="5">
        <v>7.2400000000000006E-2</v>
      </c>
      <c r="K79" s="2">
        <v>22224487621.84</v>
      </c>
      <c r="L79" s="3">
        <f t="shared" si="20"/>
        <v>7.4750702840768263E-2</v>
      </c>
      <c r="M79" s="2">
        <v>4912.3500000000004</v>
      </c>
      <c r="N79" s="2">
        <v>4912.3500000000004</v>
      </c>
      <c r="O79" s="60">
        <v>1136</v>
      </c>
      <c r="P79" s="5">
        <v>2.5000000000000001E-3</v>
      </c>
      <c r="Q79" s="5">
        <v>7.51E-2</v>
      </c>
      <c r="R79" s="83">
        <f t="shared" si="26"/>
        <v>-1.0445599748854506E-3</v>
      </c>
      <c r="S79" s="83">
        <f t="shared" si="27"/>
        <v>1.9233436401165614E-3</v>
      </c>
      <c r="T79" s="83">
        <f t="shared" si="28"/>
        <v>0</v>
      </c>
      <c r="U79" s="84">
        <f t="shared" si="29"/>
        <v>6.0000000000000006E-4</v>
      </c>
      <c r="V79" s="86">
        <f t="shared" si="30"/>
        <v>2.6999999999999941E-3</v>
      </c>
    </row>
    <row r="80" spans="1:22" x14ac:dyDescent="0.25">
      <c r="A80" s="131">
        <v>69</v>
      </c>
      <c r="B80" s="62" t="s">
        <v>122</v>
      </c>
      <c r="C80" s="63" t="s">
        <v>42</v>
      </c>
      <c r="D80" s="2">
        <v>38979624284.660004</v>
      </c>
      <c r="E80" s="3">
        <f t="shared" si="31"/>
        <v>0.13159872344761189</v>
      </c>
      <c r="F80" s="14">
        <v>254.36</v>
      </c>
      <c r="G80" s="14">
        <v>254.36</v>
      </c>
      <c r="H80" s="60">
        <v>11739</v>
      </c>
      <c r="I80" s="5">
        <v>6.9999999999999999E-4</v>
      </c>
      <c r="J80" s="5">
        <v>3.7900000000000003E-2</v>
      </c>
      <c r="K80" s="2">
        <v>38902248680.370003</v>
      </c>
      <c r="L80" s="3">
        <f t="shared" si="20"/>
        <v>0.13084533062919054</v>
      </c>
      <c r="M80" s="14">
        <v>254.55</v>
      </c>
      <c r="N80" s="14">
        <v>254.55</v>
      </c>
      <c r="O80" s="60">
        <v>11750</v>
      </c>
      <c r="P80" s="5">
        <v>1.1000000000000001E-3</v>
      </c>
      <c r="Q80" s="5">
        <v>3.9100000000000003E-2</v>
      </c>
      <c r="R80" s="83">
        <f t="shared" si="26"/>
        <v>-1.985026939329716E-3</v>
      </c>
      <c r="S80" s="83">
        <f t="shared" si="27"/>
        <v>7.4697279446452947E-4</v>
      </c>
      <c r="T80" s="83">
        <f t="shared" si="28"/>
        <v>9.3704744867535565E-4</v>
      </c>
      <c r="U80" s="84">
        <f t="shared" si="29"/>
        <v>4.0000000000000007E-4</v>
      </c>
      <c r="V80" s="86">
        <f t="shared" si="30"/>
        <v>1.1999999999999997E-3</v>
      </c>
    </row>
    <row r="81" spans="1:29" ht="12.75" customHeight="1" x14ac:dyDescent="0.25">
      <c r="A81" s="131">
        <v>70</v>
      </c>
      <c r="B81" s="62" t="s">
        <v>123</v>
      </c>
      <c r="C81" s="63" t="s">
        <v>42</v>
      </c>
      <c r="D81" s="2">
        <v>267179634.31</v>
      </c>
      <c r="E81" s="3">
        <f t="shared" si="31"/>
        <v>9.0202251693413042E-4</v>
      </c>
      <c r="F81" s="2">
        <v>5083.87</v>
      </c>
      <c r="G81" s="7">
        <v>5109.0200000000004</v>
      </c>
      <c r="H81" s="60">
        <v>1132</v>
      </c>
      <c r="I81" s="5">
        <v>-6.9999999999999999E-4</v>
      </c>
      <c r="J81" s="5">
        <v>0.1996</v>
      </c>
      <c r="K81" s="2">
        <v>287232090.87</v>
      </c>
      <c r="L81" s="3">
        <f t="shared" si="20"/>
        <v>9.6608754434709964E-4</v>
      </c>
      <c r="M81" s="2">
        <v>5087.5200000000004</v>
      </c>
      <c r="N81" s="7">
        <v>5110.82</v>
      </c>
      <c r="O81" s="60">
        <v>1132</v>
      </c>
      <c r="P81" s="5">
        <v>4.0000000000000002E-4</v>
      </c>
      <c r="Q81" s="5">
        <v>0.2</v>
      </c>
      <c r="R81" s="83">
        <f t="shared" si="26"/>
        <v>7.5052339268994503E-2</v>
      </c>
      <c r="S81" s="83">
        <f t="shared" si="27"/>
        <v>3.5231805708321208E-4</v>
      </c>
      <c r="T81" s="83">
        <f t="shared" si="28"/>
        <v>0</v>
      </c>
      <c r="U81" s="84">
        <f t="shared" si="29"/>
        <v>1.1000000000000001E-3</v>
      </c>
      <c r="V81" s="86">
        <f t="shared" si="30"/>
        <v>4.0000000000001146E-4</v>
      </c>
    </row>
    <row r="82" spans="1:29" ht="12.75" customHeight="1" x14ac:dyDescent="0.25">
      <c r="A82" s="131">
        <v>71</v>
      </c>
      <c r="B82" s="62" t="s">
        <v>124</v>
      </c>
      <c r="C82" s="63" t="s">
        <v>42</v>
      </c>
      <c r="D82" s="2">
        <v>19791682374.669998</v>
      </c>
      <c r="E82" s="3">
        <f t="shared" si="31"/>
        <v>6.6818502825132853E-2</v>
      </c>
      <c r="F82" s="14">
        <v>123.5</v>
      </c>
      <c r="G82" s="14">
        <v>123.5</v>
      </c>
      <c r="H82" s="60">
        <v>5644</v>
      </c>
      <c r="I82" s="5">
        <v>1.8E-3</v>
      </c>
      <c r="J82" s="5">
        <v>7.3899999999999993E-2</v>
      </c>
      <c r="K82" s="2">
        <v>19017569718.41</v>
      </c>
      <c r="L82" s="3">
        <f t="shared" si="20"/>
        <v>6.39644308999716E-2</v>
      </c>
      <c r="M82" s="14">
        <v>123.72</v>
      </c>
      <c r="N82" s="14">
        <v>123.72</v>
      </c>
      <c r="O82" s="60">
        <v>5656</v>
      </c>
      <c r="P82" s="5">
        <v>1.8E-3</v>
      </c>
      <c r="Q82" s="5">
        <v>7.5800000000000006E-2</v>
      </c>
      <c r="R82" s="83">
        <f t="shared" si="26"/>
        <v>-3.9113029484079201E-2</v>
      </c>
      <c r="S82" s="83">
        <f t="shared" si="27"/>
        <v>1.7813765182186144E-3</v>
      </c>
      <c r="T82" s="83">
        <f t="shared" si="28"/>
        <v>2.1261516654854712E-3</v>
      </c>
      <c r="U82" s="84">
        <f t="shared" si="29"/>
        <v>0</v>
      </c>
      <c r="V82" s="86">
        <f t="shared" si="30"/>
        <v>1.9000000000000128E-3</v>
      </c>
    </row>
    <row r="83" spans="1:29" ht="12.75" customHeight="1" x14ac:dyDescent="0.25">
      <c r="A83" s="131">
        <v>72</v>
      </c>
      <c r="B83" s="62" t="s">
        <v>125</v>
      </c>
      <c r="C83" s="63" t="s">
        <v>42</v>
      </c>
      <c r="D83" s="2">
        <v>13624780820.530001</v>
      </c>
      <c r="E83" s="3">
        <f t="shared" si="31"/>
        <v>4.5998487572412823E-2</v>
      </c>
      <c r="F83" s="14">
        <v>346.56</v>
      </c>
      <c r="G83" s="14">
        <v>346.68</v>
      </c>
      <c r="H83" s="60">
        <v>17496</v>
      </c>
      <c r="I83" s="5">
        <v>-1.4E-3</v>
      </c>
      <c r="J83" s="5">
        <v>4.2599999999999999E-2</v>
      </c>
      <c r="K83" s="2">
        <v>13645268468.860001</v>
      </c>
      <c r="L83" s="3">
        <f t="shared" si="20"/>
        <v>4.5895024706707366E-2</v>
      </c>
      <c r="M83" s="14">
        <v>347.09</v>
      </c>
      <c r="N83" s="14">
        <v>347.21</v>
      </c>
      <c r="O83" s="60">
        <v>17507</v>
      </c>
      <c r="P83" s="5">
        <v>1.5E-3</v>
      </c>
      <c r="Q83" s="5">
        <v>4.4200000000000003E-2</v>
      </c>
      <c r="R83" s="83">
        <f t="shared" si="26"/>
        <v>1.5037048008235746E-3</v>
      </c>
      <c r="S83" s="83">
        <f t="shared" si="27"/>
        <v>1.5287873543324468E-3</v>
      </c>
      <c r="T83" s="83">
        <f t="shared" si="28"/>
        <v>6.2871513488797445E-4</v>
      </c>
      <c r="U83" s="84">
        <f t="shared" si="29"/>
        <v>2.8999999999999998E-3</v>
      </c>
      <c r="V83" s="86">
        <f t="shared" si="30"/>
        <v>1.6000000000000042E-3</v>
      </c>
    </row>
    <row r="84" spans="1:29" x14ac:dyDescent="0.25">
      <c r="A84" s="131">
        <v>73</v>
      </c>
      <c r="B84" s="62" t="s">
        <v>126</v>
      </c>
      <c r="C84" s="63" t="s">
        <v>45</v>
      </c>
      <c r="D84" s="2">
        <v>102184024129.7</v>
      </c>
      <c r="E84" s="3">
        <f t="shared" si="31"/>
        <v>0.34498247171408786</v>
      </c>
      <c r="F84" s="2">
        <v>1.9166000000000001</v>
      </c>
      <c r="G84" s="2">
        <v>1.9166000000000001</v>
      </c>
      <c r="H84" s="60">
        <v>6079</v>
      </c>
      <c r="I84" s="5" t="s">
        <v>238</v>
      </c>
      <c r="J84" s="5">
        <v>6.6000000000000003E-2</v>
      </c>
      <c r="K84" s="2">
        <v>102295603173.52</v>
      </c>
      <c r="L84" s="3">
        <f t="shared" si="20"/>
        <v>0.34406499555141895</v>
      </c>
      <c r="M84" s="2">
        <v>1.9187000000000001</v>
      </c>
      <c r="N84" s="2">
        <v>1.9187000000000001</v>
      </c>
      <c r="O84" s="60">
        <v>6082</v>
      </c>
      <c r="P84" s="5">
        <v>5.8700000000000002E-2</v>
      </c>
      <c r="Q84" s="5">
        <v>6.5699999999999995E-2</v>
      </c>
      <c r="R84" s="83">
        <f t="shared" si="26"/>
        <v>1.0919421579872646E-3</v>
      </c>
      <c r="S84" s="83">
        <f t="shared" si="27"/>
        <v>1.0956902848794693E-3</v>
      </c>
      <c r="T84" s="83">
        <f t="shared" si="28"/>
        <v>4.9350222075999345E-4</v>
      </c>
      <c r="U84" s="84" t="e">
        <f t="shared" si="29"/>
        <v>#VALUE!</v>
      </c>
      <c r="V84" s="86">
        <f t="shared" si="30"/>
        <v>-3.0000000000000859E-4</v>
      </c>
    </row>
    <row r="85" spans="1:29" ht="15.75" customHeight="1" x14ac:dyDescent="0.25">
      <c r="A85" s="130">
        <v>74</v>
      </c>
      <c r="B85" s="62" t="s">
        <v>127</v>
      </c>
      <c r="C85" s="63" t="s">
        <v>32</v>
      </c>
      <c r="D85" s="2">
        <v>9377690477.9829998</v>
      </c>
      <c r="E85" s="3">
        <f t="shared" si="31"/>
        <v>3.1659927935094319E-2</v>
      </c>
      <c r="F85" s="14">
        <v>1</v>
      </c>
      <c r="G85" s="14">
        <v>1</v>
      </c>
      <c r="H85" s="60">
        <v>5500</v>
      </c>
      <c r="I85" s="5">
        <v>0.06</v>
      </c>
      <c r="J85" s="5">
        <v>0.06</v>
      </c>
      <c r="K85" s="2">
        <v>9362627322.6184006</v>
      </c>
      <c r="L85" s="3">
        <f t="shared" si="20"/>
        <v>3.1490623527993089E-2</v>
      </c>
      <c r="M85" s="14">
        <v>1</v>
      </c>
      <c r="N85" s="14">
        <v>1</v>
      </c>
      <c r="O85" s="60">
        <v>5507</v>
      </c>
      <c r="P85" s="5">
        <v>0.06</v>
      </c>
      <c r="Q85" s="5">
        <v>0.06</v>
      </c>
      <c r="R85" s="83">
        <f t="shared" si="26"/>
        <v>-1.6062755963170887E-3</v>
      </c>
      <c r="S85" s="83">
        <f t="shared" si="27"/>
        <v>0</v>
      </c>
      <c r="T85" s="83">
        <f t="shared" si="28"/>
        <v>1.2727272727272728E-3</v>
      </c>
      <c r="U85" s="84">
        <f t="shared" si="29"/>
        <v>0</v>
      </c>
      <c r="V85" s="86">
        <f t="shared" si="30"/>
        <v>0</v>
      </c>
    </row>
    <row r="86" spans="1:29" x14ac:dyDescent="0.25">
      <c r="A86" s="131">
        <v>75</v>
      </c>
      <c r="B86" s="62" t="s">
        <v>128</v>
      </c>
      <c r="C86" s="63" t="s">
        <v>91</v>
      </c>
      <c r="D86" s="2">
        <v>2585665951.5599999</v>
      </c>
      <c r="E86" s="3">
        <f t="shared" si="31"/>
        <v>8.7294412075993328E-3</v>
      </c>
      <c r="F86" s="14">
        <v>24.757999999999999</v>
      </c>
      <c r="G86" s="14">
        <v>24.757999999999999</v>
      </c>
      <c r="H86" s="60">
        <v>1319</v>
      </c>
      <c r="I86" s="5">
        <v>1.6000000000000001E-3</v>
      </c>
      <c r="J86" s="5">
        <v>5.0999999999999997E-2</v>
      </c>
      <c r="K86" s="2">
        <v>2605759170.29</v>
      </c>
      <c r="L86" s="3">
        <f t="shared" si="20"/>
        <v>8.7643113635403717E-3</v>
      </c>
      <c r="M86" s="14">
        <v>25.0124</v>
      </c>
      <c r="N86" s="14">
        <v>25.0124</v>
      </c>
      <c r="O86" s="60">
        <v>1318</v>
      </c>
      <c r="P86" s="5">
        <v>1.6000000000000001E-3</v>
      </c>
      <c r="Q86" s="5">
        <v>6.1800000000000001E-2</v>
      </c>
      <c r="R86" s="83">
        <f t="shared" si="26"/>
        <v>7.7710033339292162E-3</v>
      </c>
      <c r="S86" s="83">
        <f t="shared" si="27"/>
        <v>1.0275466515873674E-2</v>
      </c>
      <c r="T86" s="83">
        <f t="shared" si="28"/>
        <v>-7.5815011372251705E-4</v>
      </c>
      <c r="U86" s="84">
        <f t="shared" si="29"/>
        <v>0</v>
      </c>
      <c r="V86" s="86">
        <f t="shared" si="30"/>
        <v>1.0800000000000004E-2</v>
      </c>
    </row>
    <row r="87" spans="1:29" x14ac:dyDescent="0.25">
      <c r="A87" s="78"/>
      <c r="B87" s="19"/>
      <c r="C87" s="74" t="s">
        <v>46</v>
      </c>
      <c r="D87" s="59">
        <f>SUM(D57:D86)</f>
        <v>296200626141.91992</v>
      </c>
      <c r="E87" s="118">
        <f>(D87/$D$171)</f>
        <v>0.15102755699295695</v>
      </c>
      <c r="F87" s="30"/>
      <c r="G87" s="11"/>
      <c r="H87" s="68">
        <f>SUM(H57:H86)</f>
        <v>63398</v>
      </c>
      <c r="I87" s="12"/>
      <c r="J87" s="12"/>
      <c r="K87" s="59">
        <f>SUM(K57:K86)</f>
        <v>297314764640.83484</v>
      </c>
      <c r="L87" s="118">
        <f>(K87/$K$171)</f>
        <v>0.14849476812748955</v>
      </c>
      <c r="M87" s="30"/>
      <c r="N87" s="11"/>
      <c r="O87" s="68">
        <f>SUM(O57:O86)</f>
        <v>63535</v>
      </c>
      <c r="P87" s="12"/>
      <c r="Q87" s="12"/>
      <c r="R87" s="83">
        <f t="shared" si="26"/>
        <v>3.7614319504547396E-3</v>
      </c>
      <c r="S87" s="83" t="e">
        <f t="shared" si="27"/>
        <v>#DIV/0!</v>
      </c>
      <c r="T87" s="83">
        <f t="shared" si="28"/>
        <v>2.1609514495725419E-3</v>
      </c>
      <c r="U87" s="84">
        <f t="shared" si="29"/>
        <v>0</v>
      </c>
      <c r="V87" s="86">
        <f t="shared" si="30"/>
        <v>0</v>
      </c>
    </row>
    <row r="88" spans="1:29" ht="8.25" customHeight="1" x14ac:dyDescent="0.25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</row>
    <row r="89" spans="1:29" ht="15" customHeight="1" x14ac:dyDescent="0.25">
      <c r="A89" s="138" t="s">
        <v>129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</row>
    <row r="90" spans="1:29" x14ac:dyDescent="0.25">
      <c r="A90" s="139" t="s">
        <v>231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Z90" s="102"/>
      <c r="AA90" s="102"/>
      <c r="AB90" s="123"/>
      <c r="AC90" s="102"/>
    </row>
    <row r="91" spans="1:29" ht="15.75" x14ac:dyDescent="0.25">
      <c r="A91" s="130">
        <v>76</v>
      </c>
      <c r="B91" s="62" t="s">
        <v>130</v>
      </c>
      <c r="C91" s="63" t="s">
        <v>17</v>
      </c>
      <c r="D91" s="2">
        <v>1386491136.1700001</v>
      </c>
      <c r="E91" s="3">
        <f t="shared" ref="E91:E101" si="35">(D91/$D$113)</f>
        <v>2.3307997462487249E-3</v>
      </c>
      <c r="F91" s="2">
        <f>108.9877*765.926</f>
        <v>83476.513110200001</v>
      </c>
      <c r="G91" s="2">
        <f>108.9877*765.926</f>
        <v>83476.513110200001</v>
      </c>
      <c r="H91" s="60">
        <v>262</v>
      </c>
      <c r="I91" s="5">
        <v>1.1000000000000001E-3</v>
      </c>
      <c r="J91" s="5">
        <v>5.3199999999999997E-2</v>
      </c>
      <c r="K91" s="2">
        <v>1386491136.1700001</v>
      </c>
      <c r="L91" s="3">
        <f t="shared" ref="L91:L101" si="36">(K91/$K$113)</f>
        <v>2.1945840898832275E-3</v>
      </c>
      <c r="M91" s="2">
        <f>108.9877*832.578</f>
        <v>90740.761290599999</v>
      </c>
      <c r="N91" s="2">
        <f>108.9877*832.578</f>
        <v>90740.761290599999</v>
      </c>
      <c r="O91" s="60">
        <v>262</v>
      </c>
      <c r="P91" s="5">
        <v>1.1000000000000001E-3</v>
      </c>
      <c r="Q91" s="5">
        <v>5.3199999999999997E-2</v>
      </c>
      <c r="R91" s="84">
        <f t="shared" ref="R91" si="37">((K91-D91)/D91)</f>
        <v>0</v>
      </c>
      <c r="S91" s="84">
        <f t="shared" ref="S91" si="38">((N91-G91)/G91)</f>
        <v>8.7021461603340247E-2</v>
      </c>
      <c r="T91" s="84">
        <f t="shared" ref="T91" si="39">((O91-H91)/H91)</f>
        <v>0</v>
      </c>
      <c r="U91" s="84">
        <f t="shared" ref="U91" si="40">P91-I91</f>
        <v>0</v>
      </c>
      <c r="V91" s="86">
        <f t="shared" ref="V91" si="41">Q91-J91</f>
        <v>0</v>
      </c>
      <c r="Z91" s="102"/>
      <c r="AA91" s="124"/>
      <c r="AB91" s="102"/>
      <c r="AC91" s="102"/>
    </row>
    <row r="92" spans="1:29" x14ac:dyDescent="0.25">
      <c r="A92" s="128">
        <v>77</v>
      </c>
      <c r="B92" s="62" t="s">
        <v>131</v>
      </c>
      <c r="C92" s="63" t="s">
        <v>21</v>
      </c>
      <c r="D92" s="2">
        <f>10343224.75*765.426</f>
        <v>7916973147.4935007</v>
      </c>
      <c r="E92" s="3">
        <f t="shared" si="35"/>
        <v>1.3309049385060966E-2</v>
      </c>
      <c r="F92" s="2">
        <f>1.1605*765.426</f>
        <v>888.27687300000014</v>
      </c>
      <c r="G92" s="2">
        <f>1.1605*765.426</f>
        <v>888.27687300000014</v>
      </c>
      <c r="H92" s="60">
        <v>269</v>
      </c>
      <c r="I92" s="5">
        <v>5.8500000000000003E-2</v>
      </c>
      <c r="J92" s="5">
        <v>3.9899999999999998E-2</v>
      </c>
      <c r="K92" s="2">
        <f>10351495*832.078</f>
        <v>8613251256.6100006</v>
      </c>
      <c r="L92" s="3">
        <f t="shared" si="36"/>
        <v>1.3633339353426168E-2</v>
      </c>
      <c r="M92" s="2">
        <f>1.1619*832.078</f>
        <v>966.79142819999993</v>
      </c>
      <c r="N92" s="2">
        <f>1.1619*832.078</f>
        <v>966.79142819999993</v>
      </c>
      <c r="O92" s="60">
        <v>272</v>
      </c>
      <c r="P92" s="5">
        <v>6.2899999999999998E-2</v>
      </c>
      <c r="Q92" s="5">
        <v>4.0500000000000001E-2</v>
      </c>
      <c r="R92" s="84">
        <f t="shared" ref="R92:R101" si="42">((K92-D92)/D92)</f>
        <v>8.794751430184404E-2</v>
      </c>
      <c r="S92" s="84">
        <f t="shared" ref="S92:S101" si="43">((N92-G92)/G92)</f>
        <v>8.8389732510799901E-2</v>
      </c>
      <c r="T92" s="84">
        <f t="shared" ref="T92:T101" si="44">((O92-H92)/H92)</f>
        <v>1.1152416356877323E-2</v>
      </c>
      <c r="U92" s="84">
        <f t="shared" ref="U92:U101" si="45">P92-I92</f>
        <v>4.3999999999999942E-3</v>
      </c>
      <c r="V92" s="86">
        <f t="shared" ref="V92:V101" si="46">Q92-J92</f>
        <v>6.0000000000000331E-4</v>
      </c>
      <c r="Z92" s="102"/>
      <c r="AA92" s="102"/>
      <c r="AB92" s="102"/>
      <c r="AC92" s="102"/>
    </row>
    <row r="93" spans="1:29" x14ac:dyDescent="0.25">
      <c r="A93" s="130">
        <v>78</v>
      </c>
      <c r="B93" s="62" t="s">
        <v>132</v>
      </c>
      <c r="C93" s="63" t="s">
        <v>67</v>
      </c>
      <c r="D93" s="2">
        <v>1935202070.84443</v>
      </c>
      <c r="E93" s="3">
        <f t="shared" si="35"/>
        <v>3.2532256269045168E-3</v>
      </c>
      <c r="F93" s="2">
        <v>81128.784669300003</v>
      </c>
      <c r="G93" s="2">
        <v>81128.784669300003</v>
      </c>
      <c r="H93" s="60">
        <v>39</v>
      </c>
      <c r="I93" s="5">
        <v>6.1297246005058405E-2</v>
      </c>
      <c r="J93" s="5">
        <v>5.6245244828651078E-2</v>
      </c>
      <c r="K93" s="2">
        <v>2112709502.81232</v>
      </c>
      <c r="L93" s="3">
        <f>(K93/$K$113)</f>
        <v>3.344066572415887E-3</v>
      </c>
      <c r="M93" s="2">
        <v>88374.741130199996</v>
      </c>
      <c r="N93" s="2">
        <v>88374.741130199996</v>
      </c>
      <c r="O93" s="60">
        <v>41</v>
      </c>
      <c r="P93" s="5">
        <v>1.2130095748523269E-3</v>
      </c>
      <c r="Q93" s="5">
        <v>5.6427499385215352E-2</v>
      </c>
      <c r="R93" s="84">
        <f t="shared" si="42"/>
        <v>9.172552812039636E-2</v>
      </c>
      <c r="S93" s="84">
        <f t="shared" si="43"/>
        <v>8.9314248825940329E-2</v>
      </c>
      <c r="T93" s="84">
        <f t="shared" si="44"/>
        <v>5.128205128205128E-2</v>
      </c>
      <c r="U93" s="84">
        <f t="shared" si="45"/>
        <v>-6.0084236430206078E-2</v>
      </c>
      <c r="V93" s="86">
        <f t="shared" si="46"/>
        <v>1.8225455656427358E-4</v>
      </c>
      <c r="X93" s="67">
        <v>765.92600000000004</v>
      </c>
    </row>
    <row r="94" spans="1:29" x14ac:dyDescent="0.25">
      <c r="A94" s="128">
        <v>79</v>
      </c>
      <c r="B94" s="62" t="s">
        <v>133</v>
      </c>
      <c r="C94" s="63" t="s">
        <v>27</v>
      </c>
      <c r="D94" s="2">
        <v>21816583274.02</v>
      </c>
      <c r="E94" s="3">
        <f t="shared" si="35"/>
        <v>3.6675378177726176E-2</v>
      </c>
      <c r="F94" s="2">
        <v>93267.03</v>
      </c>
      <c r="G94" s="2">
        <v>93267.03</v>
      </c>
      <c r="H94" s="60">
        <v>1932</v>
      </c>
      <c r="I94" s="5">
        <v>-3.5700000000000003E-2</v>
      </c>
      <c r="J94" s="5">
        <v>7.5200000000000003E-2</v>
      </c>
      <c r="K94" s="2">
        <v>23054794031.439999</v>
      </c>
      <c r="L94" s="3">
        <f t="shared" si="36"/>
        <v>3.6491891550563357E-2</v>
      </c>
      <c r="M94" s="2">
        <v>98697.85</v>
      </c>
      <c r="N94" s="2">
        <v>98697.85</v>
      </c>
      <c r="O94" s="60">
        <v>1940</v>
      </c>
      <c r="P94" s="5">
        <v>1.4E-3</v>
      </c>
      <c r="Q94" s="5">
        <v>7.3800000000000004E-2</v>
      </c>
      <c r="R94" s="84">
        <f t="shared" si="42"/>
        <v>5.6755484663563505E-2</v>
      </c>
      <c r="S94" s="84">
        <f t="shared" si="43"/>
        <v>5.8228722411338786E-2</v>
      </c>
      <c r="T94" s="84">
        <f t="shared" si="44"/>
        <v>4.140786749482402E-3</v>
      </c>
      <c r="U94" s="84">
        <f t="shared" si="45"/>
        <v>3.7100000000000001E-2</v>
      </c>
      <c r="V94" s="86">
        <f t="shared" si="46"/>
        <v>-1.3999999999999985E-3</v>
      </c>
    </row>
    <row r="95" spans="1:29" x14ac:dyDescent="0.25">
      <c r="A95" s="130">
        <v>80</v>
      </c>
      <c r="B95" s="127" t="s">
        <v>134</v>
      </c>
      <c r="C95" s="127" t="s">
        <v>27</v>
      </c>
      <c r="D95" s="2">
        <v>18903215861.860001</v>
      </c>
      <c r="E95" s="3">
        <f t="shared" si="35"/>
        <v>3.1777780315146519E-2</v>
      </c>
      <c r="F95" s="2">
        <v>83759.820000000007</v>
      </c>
      <c r="G95" s="2">
        <v>83759.820000000007</v>
      </c>
      <c r="H95" s="60">
        <v>150</v>
      </c>
      <c r="I95" s="5">
        <v>-2.41E-2</v>
      </c>
      <c r="J95" s="5">
        <v>9.5200000000000007E-2</v>
      </c>
      <c r="K95" s="2">
        <v>20264151367.619999</v>
      </c>
      <c r="L95" s="3">
        <f t="shared" si="36"/>
        <v>3.207476991826335E-2</v>
      </c>
      <c r="M95" s="2">
        <v>88626.81</v>
      </c>
      <c r="N95" s="2">
        <v>88626.81</v>
      </c>
      <c r="O95" s="60">
        <v>156</v>
      </c>
      <c r="P95" s="5">
        <v>1.2999999999999999E-3</v>
      </c>
      <c r="Q95" s="5">
        <v>9.4299999999999995E-2</v>
      </c>
      <c r="R95" s="84">
        <f t="shared" si="42"/>
        <v>7.1994919579048161E-2</v>
      </c>
      <c r="S95" s="84">
        <f t="shared" si="43"/>
        <v>5.8106500228868568E-2</v>
      </c>
      <c r="T95" s="84">
        <f t="shared" si="44"/>
        <v>0.04</v>
      </c>
      <c r="U95" s="84">
        <f t="shared" si="45"/>
        <v>2.5399999999999999E-2</v>
      </c>
      <c r="V95" s="86">
        <f t="shared" si="46"/>
        <v>-9.000000000000119E-4</v>
      </c>
    </row>
    <row r="96" spans="1:29" x14ac:dyDescent="0.25">
      <c r="A96" s="132">
        <v>81</v>
      </c>
      <c r="B96" s="62" t="s">
        <v>135</v>
      </c>
      <c r="C96" s="63" t="s">
        <v>31</v>
      </c>
      <c r="D96" s="2">
        <f>89584.44*765.926</f>
        <v>68615051.79144001</v>
      </c>
      <c r="E96" s="3">
        <f t="shared" si="35"/>
        <v>1.1534725403734744E-4</v>
      </c>
      <c r="F96" s="2">
        <f>107.96*765.926</f>
        <v>82689.37096</v>
      </c>
      <c r="G96" s="2">
        <f>107.96*765.926</f>
        <v>82689.37096</v>
      </c>
      <c r="H96" s="60">
        <v>2</v>
      </c>
      <c r="I96" s="5">
        <v>1E-3</v>
      </c>
      <c r="J96" s="5">
        <v>9.9000000000000005E-2</v>
      </c>
      <c r="K96" s="2">
        <f>89801.96*832.578</f>
        <v>74767136.252880007</v>
      </c>
      <c r="L96" s="3">
        <f t="shared" si="36"/>
        <v>1.1834389949290196E-4</v>
      </c>
      <c r="M96" s="2">
        <f>108.23*832.578</f>
        <v>90109.916939999996</v>
      </c>
      <c r="N96" s="2">
        <f>108.23*832.578</f>
        <v>90109.916939999996</v>
      </c>
      <c r="O96" s="60">
        <v>2</v>
      </c>
      <c r="P96" s="5">
        <v>3.0000000000000001E-3</v>
      </c>
      <c r="Q96" s="5">
        <v>0.10199999999999999</v>
      </c>
      <c r="R96" s="84">
        <f t="shared" si="42"/>
        <v>8.9660858671937821E-2</v>
      </c>
      <c r="S96" s="84">
        <f t="shared" si="43"/>
        <v>8.9740022131618302E-2</v>
      </c>
      <c r="T96" s="84">
        <f t="shared" si="44"/>
        <v>0</v>
      </c>
      <c r="U96" s="84">
        <f t="shared" si="45"/>
        <v>2E-3</v>
      </c>
      <c r="V96" s="86">
        <f t="shared" si="46"/>
        <v>2.9999999999999888E-3</v>
      </c>
    </row>
    <row r="97" spans="1:22" x14ac:dyDescent="0.25">
      <c r="A97" s="130">
        <v>82</v>
      </c>
      <c r="B97" s="62" t="s">
        <v>136</v>
      </c>
      <c r="C97" s="63" t="s">
        <v>34</v>
      </c>
      <c r="D97" s="2">
        <f>13156833.36*765.926</f>
        <v>10077160748.09136</v>
      </c>
      <c r="E97" s="3">
        <f t="shared" si="35"/>
        <v>1.6940493236358538E-2</v>
      </c>
      <c r="F97" s="2">
        <f>1.31*765.926</f>
        <v>1003.3630600000001</v>
      </c>
      <c r="G97" s="2">
        <f>1.31*765.926</f>
        <v>1003.3630600000001</v>
      </c>
      <c r="H97" s="61">
        <v>118</v>
      </c>
      <c r="I97" s="12">
        <v>2.47E-2</v>
      </c>
      <c r="J97" s="12">
        <v>5.3100000000000001E-2</v>
      </c>
      <c r="K97" s="2">
        <f>12983944.92*832.578</f>
        <v>10810146893.60376</v>
      </c>
      <c r="L97" s="3">
        <f t="shared" si="36"/>
        <v>1.7110658527206474E-2</v>
      </c>
      <c r="M97" s="2">
        <f>1.31*832.578</f>
        <v>1090.6771799999999</v>
      </c>
      <c r="N97" s="2">
        <f>1.31*832.578</f>
        <v>1090.6771799999999</v>
      </c>
      <c r="O97" s="61">
        <v>119</v>
      </c>
      <c r="P97" s="12">
        <v>2.5700000000000001E-2</v>
      </c>
      <c r="Q97" s="12">
        <v>5.3100000000000001E-2</v>
      </c>
      <c r="R97" s="84">
        <f t="shared" si="42"/>
        <v>7.2737367581561019E-2</v>
      </c>
      <c r="S97" s="84">
        <f t="shared" si="43"/>
        <v>8.7021461603340039E-2</v>
      </c>
      <c r="T97" s="84">
        <f t="shared" si="44"/>
        <v>8.4745762711864406E-3</v>
      </c>
      <c r="U97" s="84">
        <f t="shared" si="45"/>
        <v>1.0000000000000009E-3</v>
      </c>
      <c r="V97" s="86">
        <f t="shared" si="46"/>
        <v>0</v>
      </c>
    </row>
    <row r="98" spans="1:22" x14ac:dyDescent="0.25">
      <c r="A98" s="128">
        <v>83</v>
      </c>
      <c r="B98" s="62" t="s">
        <v>137</v>
      </c>
      <c r="C98" s="63" t="s">
        <v>78</v>
      </c>
      <c r="D98" s="2">
        <f>4876186.53*765.926</f>
        <v>3734798044.1767802</v>
      </c>
      <c r="E98" s="3">
        <f t="shared" si="35"/>
        <v>6.2784868266118725E-3</v>
      </c>
      <c r="F98" s="2">
        <f>101.18*765.926</f>
        <v>77496.392680000004</v>
      </c>
      <c r="G98" s="2">
        <f>101.18*765.926</f>
        <v>77496.392680000004</v>
      </c>
      <c r="H98" s="60">
        <v>183</v>
      </c>
      <c r="I98" s="5">
        <v>2E-3</v>
      </c>
      <c r="J98" s="5">
        <v>7.8299999999999995E-2</v>
      </c>
      <c r="K98" s="2">
        <f>4983893.01*832.578</f>
        <v>4149479674.4797797</v>
      </c>
      <c r="L98" s="3">
        <f t="shared" si="36"/>
        <v>6.567933856441624E-3</v>
      </c>
      <c r="M98" s="2">
        <f>102.38*832.578</f>
        <v>85239.33563999999</v>
      </c>
      <c r="N98" s="2">
        <f>102.38*832.578</f>
        <v>85239.33563999999</v>
      </c>
      <c r="O98" s="60">
        <v>186</v>
      </c>
      <c r="P98" s="5">
        <v>2E-3</v>
      </c>
      <c r="Q98" s="5">
        <v>8.0299999999999996E-2</v>
      </c>
      <c r="R98" s="84">
        <f t="shared" si="42"/>
        <v>0.11103187519056419</v>
      </c>
      <c r="S98" s="84">
        <f t="shared" si="43"/>
        <v>9.9913592003854093E-2</v>
      </c>
      <c r="T98" s="84">
        <f t="shared" si="44"/>
        <v>1.6393442622950821E-2</v>
      </c>
      <c r="U98" s="84">
        <f t="shared" si="45"/>
        <v>0</v>
      </c>
      <c r="V98" s="86">
        <f t="shared" si="46"/>
        <v>2.0000000000000018E-3</v>
      </c>
    </row>
    <row r="99" spans="1:22" x14ac:dyDescent="0.25">
      <c r="A99" s="131">
        <v>84</v>
      </c>
      <c r="B99" s="62" t="s">
        <v>138</v>
      </c>
      <c r="C99" s="63" t="s">
        <v>38</v>
      </c>
      <c r="D99" s="2">
        <f>1802098.48*765.926</f>
        <v>1380274080.3924801</v>
      </c>
      <c r="E99" s="3">
        <f t="shared" si="35"/>
        <v>2.3203483905561914E-3</v>
      </c>
      <c r="F99" s="2">
        <f>129.06*765.926</f>
        <v>98850.409560000015</v>
      </c>
      <c r="G99" s="2">
        <f>131.83*765.926</f>
        <v>100972.02458000001</v>
      </c>
      <c r="H99" s="60">
        <v>43</v>
      </c>
      <c r="I99" s="5">
        <v>4.0000000000000002E-4</v>
      </c>
      <c r="J99" s="5">
        <v>0.15709999999999999</v>
      </c>
      <c r="K99" s="2">
        <f>1796463.97*832.578</f>
        <v>1495696379.2146599</v>
      </c>
      <c r="L99" s="3">
        <f t="shared" si="36"/>
        <v>2.3674377653705955E-3</v>
      </c>
      <c r="M99" s="2">
        <f>128.62*832.578</f>
        <v>107086.18236000001</v>
      </c>
      <c r="N99" s="2">
        <f>131.43*832.578</f>
        <v>109425.72654</v>
      </c>
      <c r="O99" s="60">
        <v>45</v>
      </c>
      <c r="P99" s="5">
        <v>4.0000000000000002E-4</v>
      </c>
      <c r="Q99" s="5">
        <v>0.15340000000000001</v>
      </c>
      <c r="R99" s="84">
        <f t="shared" si="42"/>
        <v>8.3622738745742095E-2</v>
      </c>
      <c r="S99" s="84">
        <f t="shared" si="43"/>
        <v>8.3723209425221864E-2</v>
      </c>
      <c r="T99" s="84">
        <f t="shared" si="44"/>
        <v>4.6511627906976744E-2</v>
      </c>
      <c r="U99" s="84">
        <f t="shared" si="45"/>
        <v>0</v>
      </c>
      <c r="V99" s="86">
        <f t="shared" si="46"/>
        <v>-3.6999999999999811E-3</v>
      </c>
    </row>
    <row r="100" spans="1:22" ht="16.5" customHeight="1" x14ac:dyDescent="0.25">
      <c r="A100" s="131">
        <v>85</v>
      </c>
      <c r="B100" s="62" t="s">
        <v>139</v>
      </c>
      <c r="C100" s="63" t="s">
        <v>45</v>
      </c>
      <c r="D100" s="2">
        <v>113400656035.07001</v>
      </c>
      <c r="E100" s="3">
        <f t="shared" si="35"/>
        <v>0.19063534804925869</v>
      </c>
      <c r="F100" s="2">
        <v>94004.6</v>
      </c>
      <c r="G100" s="2">
        <v>94004.6</v>
      </c>
      <c r="H100" s="60">
        <v>2919</v>
      </c>
      <c r="I100" s="5">
        <v>5.4899999999999997E-2</v>
      </c>
      <c r="J100" s="5">
        <v>5.62E-2</v>
      </c>
      <c r="K100" s="2">
        <v>119817053310.52</v>
      </c>
      <c r="L100" s="3">
        <f t="shared" si="36"/>
        <v>0.18965040023142066</v>
      </c>
      <c r="M100" s="2">
        <v>99441.7</v>
      </c>
      <c r="N100" s="2">
        <v>99441.7</v>
      </c>
      <c r="O100" s="60">
        <v>2929</v>
      </c>
      <c r="P100" s="5">
        <v>5.4899999999999997E-2</v>
      </c>
      <c r="Q100" s="5">
        <v>5.6099999999999997E-2</v>
      </c>
      <c r="R100" s="84">
        <f t="shared" si="42"/>
        <v>5.658165922307961E-2</v>
      </c>
      <c r="S100" s="84">
        <f t="shared" si="43"/>
        <v>5.7838658959242326E-2</v>
      </c>
      <c r="T100" s="84">
        <f t="shared" si="44"/>
        <v>3.4258307639602604E-3</v>
      </c>
      <c r="U100" s="84">
        <f t="shared" si="45"/>
        <v>0</v>
      </c>
      <c r="V100" s="86">
        <f t="shared" si="46"/>
        <v>-1.0000000000000286E-4</v>
      </c>
    </row>
    <row r="101" spans="1:22" x14ac:dyDescent="0.25">
      <c r="A101" s="134">
        <v>86</v>
      </c>
      <c r="B101" s="62" t="s">
        <v>140</v>
      </c>
      <c r="C101" s="63" t="s">
        <v>64</v>
      </c>
      <c r="D101" s="2">
        <f>266533.51*765.926</f>
        <v>204144945.18026003</v>
      </c>
      <c r="E101" s="3">
        <f t="shared" si="35"/>
        <v>3.4318357615938534E-4</v>
      </c>
      <c r="F101" s="2">
        <f>100.72*765.926</f>
        <v>77144.066720000003</v>
      </c>
      <c r="G101" s="2">
        <f>101.19*765.926</f>
        <v>77504.051940000005</v>
      </c>
      <c r="H101" s="60">
        <v>28</v>
      </c>
      <c r="I101" s="5">
        <v>2.0000000000000001E-4</v>
      </c>
      <c r="J101" s="5">
        <v>9.5999999999999992E-3</v>
      </c>
      <c r="K101" s="2">
        <f>272930.58*832.578</f>
        <v>227235996.43524</v>
      </c>
      <c r="L101" s="3">
        <f t="shared" si="36"/>
        <v>3.5967666104458557E-4</v>
      </c>
      <c r="M101" s="2">
        <f>100.79*832.578</f>
        <v>83915.536619999999</v>
      </c>
      <c r="N101" s="2">
        <f>101.3*832.578</f>
        <v>84340.151399999988</v>
      </c>
      <c r="O101" s="60">
        <v>28</v>
      </c>
      <c r="P101" s="5">
        <v>8.0000000000000004E-4</v>
      </c>
      <c r="Q101" s="5">
        <v>1.04E-2</v>
      </c>
      <c r="R101" s="84">
        <f t="shared" si="42"/>
        <v>0.11311106054862424</v>
      </c>
      <c r="S101" s="84">
        <f t="shared" si="43"/>
        <v>8.8203123435303357E-2</v>
      </c>
      <c r="T101" s="84">
        <f t="shared" si="44"/>
        <v>0</v>
      </c>
      <c r="U101" s="84">
        <f t="shared" si="45"/>
        <v>6.0000000000000006E-4</v>
      </c>
      <c r="V101" s="86">
        <f t="shared" si="46"/>
        <v>8.0000000000000036E-4</v>
      </c>
    </row>
    <row r="102" spans="1:22" ht="6" customHeigh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</row>
    <row r="103" spans="1:22" x14ac:dyDescent="0.25">
      <c r="A103" s="139" t="s">
        <v>232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1:22" x14ac:dyDescent="0.25">
      <c r="A104" s="131">
        <v>87</v>
      </c>
      <c r="B104" s="62" t="s">
        <v>141</v>
      </c>
      <c r="C104" s="63" t="s">
        <v>97</v>
      </c>
      <c r="D104" s="4">
        <v>670637662.33000004</v>
      </c>
      <c r="E104" s="3">
        <f>(D104/$D$113)</f>
        <v>1.1273942201329335E-3</v>
      </c>
      <c r="F104" s="2">
        <v>73934.94</v>
      </c>
      <c r="G104" s="2">
        <v>73934.94</v>
      </c>
      <c r="H104" s="60">
        <v>28</v>
      </c>
      <c r="I104" s="5">
        <v>1.47E-2</v>
      </c>
      <c r="J104" s="5">
        <v>6.2899999999999998E-2</v>
      </c>
      <c r="K104" s="4">
        <v>657966240.65999997</v>
      </c>
      <c r="L104" s="3">
        <f t="shared" ref="L104:L112" si="47">(K104/$K$113)</f>
        <v>1.0414507570682861E-3</v>
      </c>
      <c r="M104" s="2">
        <v>72615.77</v>
      </c>
      <c r="N104" s="2">
        <v>72615.77</v>
      </c>
      <c r="O104" s="60">
        <v>27</v>
      </c>
      <c r="P104" s="5">
        <v>-1.7600000000000001E-2</v>
      </c>
      <c r="Q104" s="5">
        <v>4.48E-2</v>
      </c>
      <c r="R104" s="84">
        <f t="shared" ref="R104" si="48">((K104-D104)/D104)</f>
        <v>-1.8894587020322848E-2</v>
      </c>
      <c r="S104" s="84">
        <f t="shared" ref="S104" si="49">((N104-G104)/G104)</f>
        <v>-1.7842308386264983E-2</v>
      </c>
      <c r="T104" s="84">
        <f t="shared" ref="T104" si="50">((O104-H104)/H104)</f>
        <v>-3.5714285714285712E-2</v>
      </c>
      <c r="U104" s="84">
        <f t="shared" ref="U104" si="51">P104-I104</f>
        <v>-3.2300000000000002E-2</v>
      </c>
      <c r="V104" s="86">
        <f t="shared" ref="V104" si="52">Q104-J104</f>
        <v>-1.8099999999999998E-2</v>
      </c>
    </row>
    <row r="105" spans="1:22" x14ac:dyDescent="0.25">
      <c r="A105" s="131">
        <v>88</v>
      </c>
      <c r="B105" s="63" t="s">
        <v>142</v>
      </c>
      <c r="C105" s="63" t="s">
        <v>23</v>
      </c>
      <c r="D105" s="2">
        <f>6375324.64*765.926</f>
        <v>4883026900.2166405</v>
      </c>
      <c r="E105" s="3">
        <f>(D105/$K$113)</f>
        <v>7.7290166998754753E-3</v>
      </c>
      <c r="F105" s="4">
        <f>127.47*765.926</f>
        <v>97632.587220000001</v>
      </c>
      <c r="G105" s="4">
        <f>128.37*765.926</f>
        <v>98321.920620000004</v>
      </c>
      <c r="H105" s="60">
        <v>302</v>
      </c>
      <c r="I105" s="5">
        <v>8.9999999999999998E-4</v>
      </c>
      <c r="J105" s="5">
        <v>3.4000000000000002E-2</v>
      </c>
      <c r="K105" s="2">
        <f>6274453.77*832.578</f>
        <v>5223972170.9190598</v>
      </c>
      <c r="L105" s="3">
        <f t="shared" si="47"/>
        <v>8.2686761661965903E-3</v>
      </c>
      <c r="M105" s="4">
        <f>128.32*832.578</f>
        <v>106836.40895999999</v>
      </c>
      <c r="N105" s="4">
        <f>129.22*832.578</f>
        <v>107585.72916</v>
      </c>
      <c r="O105" s="60">
        <v>302</v>
      </c>
      <c r="P105" s="5">
        <v>5.0000000000000001E-4</v>
      </c>
      <c r="Q105" s="5">
        <v>3.5700000000000003E-2</v>
      </c>
      <c r="R105" s="84">
        <f t="shared" ref="R105:R113" si="53">((K105-D105)/D105)</f>
        <v>6.9822525591102705E-2</v>
      </c>
      <c r="S105" s="84">
        <f t="shared" ref="S105:S113" si="54">((N105-G105)/G105)</f>
        <v>9.4219157656645847E-2</v>
      </c>
      <c r="T105" s="84">
        <f t="shared" ref="T105:T113" si="55">((O105-H105)/H105)</f>
        <v>0</v>
      </c>
      <c r="U105" s="84">
        <f t="shared" ref="U105:U113" si="56">P105-I105</f>
        <v>-3.9999999999999996E-4</v>
      </c>
      <c r="V105" s="86">
        <f t="shared" ref="V105:V113" si="57">Q105-J105</f>
        <v>1.7000000000000001E-3</v>
      </c>
    </row>
    <row r="106" spans="1:22" x14ac:dyDescent="0.25">
      <c r="A106" s="131">
        <v>89</v>
      </c>
      <c r="B106" s="62" t="s">
        <v>143</v>
      </c>
      <c r="C106" s="63" t="s">
        <v>58</v>
      </c>
      <c r="D106" s="4">
        <f>10867562.75*765.926</f>
        <v>8323748866.8565006</v>
      </c>
      <c r="E106" s="3">
        <f t="shared" ref="E106:E112" si="58">(D106/$D$113)</f>
        <v>1.3992871097827526E-2</v>
      </c>
      <c r="F106" s="4">
        <f>113.8*765.926</f>
        <v>87162.378800000006</v>
      </c>
      <c r="G106" s="4">
        <f>113.8*765.926</f>
        <v>87162.378800000006</v>
      </c>
      <c r="H106" s="60">
        <v>547</v>
      </c>
      <c r="I106" s="5">
        <v>1.1000000000000001E-3</v>
      </c>
      <c r="J106" s="5">
        <v>7.1599999999999997E-2</v>
      </c>
      <c r="K106" s="4">
        <v>8178816336.5</v>
      </c>
      <c r="L106" s="3">
        <f t="shared" si="47"/>
        <v>1.2945701373715203E-2</v>
      </c>
      <c r="M106" s="4">
        <v>85926.26</v>
      </c>
      <c r="N106" s="4">
        <v>85926.26</v>
      </c>
      <c r="O106" s="60">
        <v>550</v>
      </c>
      <c r="P106" s="5">
        <v>-5.4000000000000003E-3</v>
      </c>
      <c r="Q106" s="5">
        <v>6.2199999999999998E-2</v>
      </c>
      <c r="R106" s="84">
        <f t="shared" si="53"/>
        <v>-1.7411929729594908E-2</v>
      </c>
      <c r="S106" s="84">
        <f t="shared" si="54"/>
        <v>-1.4181792844781917E-2</v>
      </c>
      <c r="T106" s="84">
        <f t="shared" si="55"/>
        <v>5.4844606946983544E-3</v>
      </c>
      <c r="U106" s="84">
        <f t="shared" si="56"/>
        <v>-6.5000000000000006E-3</v>
      </c>
      <c r="V106" s="86">
        <f t="shared" si="57"/>
        <v>-9.3999999999999986E-3</v>
      </c>
    </row>
    <row r="107" spans="1:22" x14ac:dyDescent="0.25">
      <c r="A107" s="131">
        <v>90</v>
      </c>
      <c r="B107" s="62" t="s">
        <v>144</v>
      </c>
      <c r="C107" s="63" t="s">
        <v>56</v>
      </c>
      <c r="D107" s="4">
        <v>2865661476.0738153</v>
      </c>
      <c r="E107" s="3">
        <f t="shared" si="58"/>
        <v>4.8174004629544468E-3</v>
      </c>
      <c r="F107" s="4">
        <v>925.22394315739257</v>
      </c>
      <c r="G107" s="4">
        <v>925.22394315739257</v>
      </c>
      <c r="H107" s="60">
        <v>153</v>
      </c>
      <c r="I107" s="5">
        <v>5.0175351751171549E-2</v>
      </c>
      <c r="J107" s="5">
        <v>5.8967830311437174E-2</v>
      </c>
      <c r="K107" s="4">
        <v>2867114208.346693</v>
      </c>
      <c r="L107" s="3">
        <f t="shared" si="47"/>
        <v>4.5381633256574311E-3</v>
      </c>
      <c r="M107" s="4">
        <v>928.22975697549998</v>
      </c>
      <c r="N107" s="4">
        <v>928.22975697549998</v>
      </c>
      <c r="O107" s="60">
        <v>153</v>
      </c>
      <c r="P107" s="5">
        <v>5.1241505951952884E-2</v>
      </c>
      <c r="Q107" s="5">
        <v>5.8839806423626753E-2</v>
      </c>
      <c r="R107" s="84">
        <f t="shared" si="53"/>
        <v>5.0694483106499108E-4</v>
      </c>
      <c r="S107" s="84">
        <f t="shared" si="54"/>
        <v>3.2487419292780719E-3</v>
      </c>
      <c r="T107" s="84">
        <f t="shared" si="55"/>
        <v>0</v>
      </c>
      <c r="U107" s="84">
        <f t="shared" si="56"/>
        <v>1.0661542007813357E-3</v>
      </c>
      <c r="V107" s="86">
        <f t="shared" si="57"/>
        <v>-1.2802388781042034E-4</v>
      </c>
    </row>
    <row r="108" spans="1:22" x14ac:dyDescent="0.25">
      <c r="A108" s="131">
        <v>91</v>
      </c>
      <c r="B108" s="63" t="s">
        <v>145</v>
      </c>
      <c r="C108" s="119" t="s">
        <v>40</v>
      </c>
      <c r="D108" s="2">
        <v>8217768960.3299999</v>
      </c>
      <c r="E108" s="3">
        <f t="shared" si="58"/>
        <v>1.3814710608520839E-2</v>
      </c>
      <c r="F108" s="4">
        <f>1.018*765.926</f>
        <v>779.71266800000001</v>
      </c>
      <c r="G108" s="4">
        <f>1.018*765.926</f>
        <v>779.71266800000001</v>
      </c>
      <c r="H108" s="60">
        <v>376</v>
      </c>
      <c r="I108" s="5">
        <v>1.5E-3</v>
      </c>
      <c r="J108" s="5">
        <v>9.1600000000000001E-2</v>
      </c>
      <c r="K108" s="2">
        <v>9106937957.2299995</v>
      </c>
      <c r="L108" s="3">
        <f t="shared" si="47"/>
        <v>1.441476301370318E-2</v>
      </c>
      <c r="M108" s="4">
        <f>1.098*832.578</f>
        <v>914.17064400000004</v>
      </c>
      <c r="N108" s="4">
        <f>1.098*832.578</f>
        <v>914.17064400000004</v>
      </c>
      <c r="O108" s="60">
        <v>378</v>
      </c>
      <c r="P108" s="5">
        <v>1.5E-3</v>
      </c>
      <c r="Q108" s="5">
        <v>9.1899999999999996E-2</v>
      </c>
      <c r="R108" s="84">
        <f t="shared" si="53"/>
        <v>0.10820077823948623</v>
      </c>
      <c r="S108" s="84">
        <f t="shared" si="54"/>
        <v>0.17244554502992893</v>
      </c>
      <c r="T108" s="84">
        <f t="shared" si="55"/>
        <v>5.3191489361702126E-3</v>
      </c>
      <c r="U108" s="84">
        <f t="shared" si="56"/>
        <v>0</v>
      </c>
      <c r="V108" s="86">
        <f t="shared" si="57"/>
        <v>2.9999999999999472E-4</v>
      </c>
    </row>
    <row r="109" spans="1:22" x14ac:dyDescent="0.25">
      <c r="A109" s="131">
        <v>92</v>
      </c>
      <c r="B109" s="62" t="s">
        <v>146</v>
      </c>
      <c r="C109" s="63" t="s">
        <v>80</v>
      </c>
      <c r="D109" s="4">
        <v>181344366.09999999</v>
      </c>
      <c r="E109" s="3">
        <f t="shared" si="58"/>
        <v>3.0485402427966955E-4</v>
      </c>
      <c r="F109" s="4">
        <f>0.93*764.86</f>
        <v>711.3198000000001</v>
      </c>
      <c r="G109" s="4">
        <f>0.93*764.86</f>
        <v>711.3198000000001</v>
      </c>
      <c r="H109" s="60">
        <v>3</v>
      </c>
      <c r="I109" s="5">
        <v>2.2994000000000001E-2</v>
      </c>
      <c r="J109" s="5">
        <v>7.6924999999999993E-2</v>
      </c>
      <c r="K109" s="4">
        <v>181541396.37920001</v>
      </c>
      <c r="L109" s="3">
        <f t="shared" si="47"/>
        <v>2.8734973470477879E-4</v>
      </c>
      <c r="M109" s="4">
        <f>0.91*832.578</f>
        <v>757.64598000000001</v>
      </c>
      <c r="N109" s="4">
        <f>0.91*832.578</f>
        <v>757.64598000000001</v>
      </c>
      <c r="O109" s="60">
        <v>3</v>
      </c>
      <c r="P109" s="5">
        <v>-2.2904999999999998E-2</v>
      </c>
      <c r="Q109" s="5">
        <v>5.2257999999999999E-2</v>
      </c>
      <c r="R109" s="84">
        <f t="shared" si="53"/>
        <v>1.0864979344953438E-3</v>
      </c>
      <c r="S109" s="84">
        <f t="shared" si="54"/>
        <v>6.5127077862868296E-2</v>
      </c>
      <c r="T109" s="84">
        <f t="shared" si="55"/>
        <v>0</v>
      </c>
      <c r="U109" s="84">
        <f t="shared" si="56"/>
        <v>-4.5898999999999995E-2</v>
      </c>
      <c r="V109" s="86">
        <f t="shared" si="57"/>
        <v>-2.4666999999999994E-2</v>
      </c>
    </row>
    <row r="110" spans="1:22" x14ac:dyDescent="0.25">
      <c r="A110" s="131">
        <v>93</v>
      </c>
      <c r="B110" s="62" t="s">
        <v>147</v>
      </c>
      <c r="C110" s="63" t="s">
        <v>42</v>
      </c>
      <c r="D110" s="2">
        <v>356458602829.26001</v>
      </c>
      <c r="E110" s="3">
        <f t="shared" si="58"/>
        <v>0.599234715136862</v>
      </c>
      <c r="F110" s="4">
        <v>1102.93</v>
      </c>
      <c r="G110" s="4">
        <v>1102.93</v>
      </c>
      <c r="H110" s="60">
        <v>9260</v>
      </c>
      <c r="I110" s="5">
        <v>1.5E-3</v>
      </c>
      <c r="J110" s="5">
        <v>5.6599999999999998E-2</v>
      </c>
      <c r="K110" s="2">
        <v>378474578403.46002</v>
      </c>
      <c r="L110" s="3">
        <f t="shared" si="47"/>
        <v>0.59906209749303074</v>
      </c>
      <c r="M110" s="4">
        <v>1167.22</v>
      </c>
      <c r="N110" s="4">
        <v>1167.22</v>
      </c>
      <c r="O110" s="60">
        <v>9350</v>
      </c>
      <c r="P110" s="5">
        <v>1.5E-3</v>
      </c>
      <c r="Q110" s="5">
        <v>5.8099999999999999E-2</v>
      </c>
      <c r="R110" s="84">
        <f t="shared" si="53"/>
        <v>6.1763064208455752E-2</v>
      </c>
      <c r="S110" s="84">
        <f t="shared" si="54"/>
        <v>5.8290190673932124E-2</v>
      </c>
      <c r="T110" s="84">
        <f t="shared" si="55"/>
        <v>9.7192224622030237E-3</v>
      </c>
      <c r="U110" s="84">
        <f t="shared" si="56"/>
        <v>0</v>
      </c>
      <c r="V110" s="86">
        <f t="shared" si="57"/>
        <v>1.5000000000000013E-3</v>
      </c>
    </row>
    <row r="111" spans="1:22" ht="16.5" customHeight="1" x14ac:dyDescent="0.25">
      <c r="A111" s="131">
        <v>94</v>
      </c>
      <c r="B111" s="62" t="s">
        <v>148</v>
      </c>
      <c r="C111" s="63" t="s">
        <v>45</v>
      </c>
      <c r="D111" s="2">
        <v>13603451023.219999</v>
      </c>
      <c r="E111" s="3">
        <f t="shared" si="58"/>
        <v>2.2868462239588733E-2</v>
      </c>
      <c r="F111" s="2">
        <v>814.27</v>
      </c>
      <c r="G111" s="2">
        <v>814.27</v>
      </c>
      <c r="H111" s="60">
        <v>110</v>
      </c>
      <c r="I111" s="5">
        <v>7.0999999999999994E-2</v>
      </c>
      <c r="J111" s="5">
        <v>8.4400000000000003E-2</v>
      </c>
      <c r="K111" s="2">
        <v>16304607566.16</v>
      </c>
      <c r="L111" s="3">
        <f t="shared" si="47"/>
        <v>2.5807472852172025E-2</v>
      </c>
      <c r="M111" s="4">
        <v>861.62</v>
      </c>
      <c r="N111" s="4">
        <v>861.62</v>
      </c>
      <c r="O111" s="60">
        <v>115</v>
      </c>
      <c r="P111" s="5">
        <v>7.0900000000000005E-2</v>
      </c>
      <c r="Q111" s="5">
        <v>8.4099999999999994E-2</v>
      </c>
      <c r="R111" s="84">
        <f t="shared" si="53"/>
        <v>0.19856406571607035</v>
      </c>
      <c r="S111" s="84">
        <f t="shared" si="54"/>
        <v>5.8150245004728193E-2</v>
      </c>
      <c r="T111" s="84">
        <f t="shared" si="55"/>
        <v>4.5454545454545456E-2</v>
      </c>
      <c r="U111" s="84">
        <f t="shared" si="56"/>
        <v>-9.9999999999988987E-5</v>
      </c>
      <c r="V111" s="86">
        <f t="shared" si="57"/>
        <v>-3.0000000000000859E-4</v>
      </c>
    </row>
    <row r="112" spans="1:22" x14ac:dyDescent="0.25">
      <c r="A112" s="130">
        <v>95</v>
      </c>
      <c r="B112" s="62" t="s">
        <v>149</v>
      </c>
      <c r="C112" s="63" t="s">
        <v>32</v>
      </c>
      <c r="D112" s="4">
        <v>18828039228.249409</v>
      </c>
      <c r="E112" s="3">
        <f t="shared" si="58"/>
        <v>3.165140253026761E-2</v>
      </c>
      <c r="F112" s="4">
        <f>1.111*755.27</f>
        <v>839.10496999999998</v>
      </c>
      <c r="G112" s="4">
        <f>1.111*755.27</f>
        <v>839.10496999999998</v>
      </c>
      <c r="H112" s="60">
        <v>886</v>
      </c>
      <c r="I112" s="5">
        <v>1.4E-3</v>
      </c>
      <c r="J112" s="5">
        <v>5.6500000000000002E-2</v>
      </c>
      <c r="K112" s="4">
        <v>18777230837.963509</v>
      </c>
      <c r="L112" s="3">
        <f t="shared" si="47"/>
        <v>2.9721222858223022E-2</v>
      </c>
      <c r="M112" s="4">
        <f>1.1119*832.578</f>
        <v>925.74347820000003</v>
      </c>
      <c r="N112" s="4">
        <f>1.1119*832.578</f>
        <v>925.74347820000003</v>
      </c>
      <c r="O112" s="60">
        <v>906</v>
      </c>
      <c r="P112" s="5">
        <v>8.1008100810087136E-4</v>
      </c>
      <c r="Q112" s="5">
        <v>5.7341194370483128E-2</v>
      </c>
      <c r="R112" s="84">
        <f t="shared" si="53"/>
        <v>-2.6985492047237555E-3</v>
      </c>
      <c r="S112" s="84">
        <f t="shared" si="54"/>
        <v>0.10325109646293723</v>
      </c>
      <c r="T112" s="84">
        <f t="shared" si="55"/>
        <v>2.2573363431151242E-2</v>
      </c>
      <c r="U112" s="84">
        <f t="shared" si="56"/>
        <v>-5.8991899189912863E-4</v>
      </c>
      <c r="V112" s="86">
        <f t="shared" si="57"/>
        <v>8.4119437048312679E-4</v>
      </c>
    </row>
    <row r="113" spans="1:22" x14ac:dyDescent="0.25">
      <c r="A113" s="78"/>
      <c r="B113" s="19"/>
      <c r="C113" s="69" t="s">
        <v>46</v>
      </c>
      <c r="D113" s="59">
        <f>SUM(D91:D112)</f>
        <v>594856395707.72656</v>
      </c>
      <c r="E113" s="118">
        <f>(D113/$D$171)</f>
        <v>0.30330694899452482</v>
      </c>
      <c r="F113" s="30"/>
      <c r="G113" s="11"/>
      <c r="H113" s="68">
        <f>SUM(H91:H112)</f>
        <v>17610</v>
      </c>
      <c r="I113" s="33"/>
      <c r="J113" s="33"/>
      <c r="K113" s="59">
        <f>SUM(K91:K112)</f>
        <v>631778541802.7771</v>
      </c>
      <c r="L113" s="118">
        <f>(K113/$K$171)</f>
        <v>0.31554372412772425</v>
      </c>
      <c r="M113" s="30"/>
      <c r="N113" s="11"/>
      <c r="O113" s="68">
        <f>SUM(O91:O112)</f>
        <v>17764</v>
      </c>
      <c r="P113" s="33"/>
      <c r="Q113" s="33"/>
      <c r="R113" s="84">
        <f t="shared" si="53"/>
        <v>6.2069007514196181E-2</v>
      </c>
      <c r="S113" s="84" t="e">
        <f t="shared" si="54"/>
        <v>#DIV/0!</v>
      </c>
      <c r="T113" s="84">
        <f t="shared" si="55"/>
        <v>8.7450312322544001E-3</v>
      </c>
      <c r="U113" s="84">
        <f t="shared" si="56"/>
        <v>0</v>
      </c>
      <c r="V113" s="86">
        <f t="shared" si="57"/>
        <v>0</v>
      </c>
    </row>
    <row r="114" spans="1:22" ht="8.25" customHeight="1" x14ac:dyDescent="0.25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</row>
    <row r="115" spans="1:22" ht="15.75" x14ac:dyDescent="0.25">
      <c r="A115" s="138" t="s">
        <v>150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</row>
    <row r="116" spans="1:22" x14ac:dyDescent="0.25">
      <c r="A116" s="120">
        <v>96</v>
      </c>
      <c r="B116" s="62" t="s">
        <v>151</v>
      </c>
      <c r="C116" s="63" t="s">
        <v>40</v>
      </c>
      <c r="D116" s="2">
        <v>54330953714</v>
      </c>
      <c r="E116" s="3">
        <f>(D116/$D$120)</f>
        <v>0.58380411137008792</v>
      </c>
      <c r="F116" s="14">
        <v>101.48</v>
      </c>
      <c r="G116" s="14">
        <v>101.48</v>
      </c>
      <c r="H116" s="60">
        <v>0</v>
      </c>
      <c r="I116" s="5">
        <v>0</v>
      </c>
      <c r="J116" s="5">
        <v>7.6999999999999999E-2</v>
      </c>
      <c r="K116" s="2">
        <v>54330953714</v>
      </c>
      <c r="L116" s="3">
        <f>(K116/$K$120)</f>
        <v>0.58375496560837681</v>
      </c>
      <c r="M116" s="14">
        <v>101.48</v>
      </c>
      <c r="N116" s="14">
        <v>101.48</v>
      </c>
      <c r="O116" s="60">
        <v>0</v>
      </c>
      <c r="P116" s="5">
        <v>0</v>
      </c>
      <c r="Q116" s="5">
        <v>7.6999999999999999E-2</v>
      </c>
      <c r="R116" s="84">
        <f t="shared" ref="R116" si="59">((K116-D116)/D116)</f>
        <v>0</v>
      </c>
      <c r="S116" s="84">
        <f t="shared" ref="S116" si="60">((N116-G116)/G116)</f>
        <v>0</v>
      </c>
      <c r="T116" s="84" t="e">
        <f t="shared" ref="T116" si="61">((O116-H116)/H116)</f>
        <v>#DIV/0!</v>
      </c>
      <c r="U116" s="84">
        <f t="shared" ref="U116" si="62">P116-I116</f>
        <v>0</v>
      </c>
      <c r="V116" s="86">
        <f t="shared" ref="V116" si="63">Q116-J116</f>
        <v>0</v>
      </c>
    </row>
    <row r="117" spans="1:22" ht="17.25" customHeight="1" x14ac:dyDescent="0.25">
      <c r="A117" s="131">
        <v>97</v>
      </c>
      <c r="B117" s="62" t="s">
        <v>152</v>
      </c>
      <c r="C117" s="63" t="s">
        <v>120</v>
      </c>
      <c r="D117" s="2">
        <v>2324426103.1100001</v>
      </c>
      <c r="E117" s="3">
        <f>(D117/$D$120)</f>
        <v>2.4976729153603938E-2</v>
      </c>
      <c r="F117" s="14">
        <v>92.15</v>
      </c>
      <c r="G117" s="14">
        <v>92.15</v>
      </c>
      <c r="H117" s="60">
        <v>2743</v>
      </c>
      <c r="I117" s="5">
        <v>0.13439999999999999</v>
      </c>
      <c r="J117" s="5">
        <v>0.1226</v>
      </c>
      <c r="K117" s="2">
        <v>2327876160.5700002</v>
      </c>
      <c r="L117" s="3">
        <f>(K117/$K$120)</f>
        <v>2.5011695454628783E-2</v>
      </c>
      <c r="M117" s="14">
        <v>92.15</v>
      </c>
      <c r="N117" s="14">
        <v>92.15</v>
      </c>
      <c r="O117" s="60">
        <v>2743</v>
      </c>
      <c r="P117" s="5">
        <v>7.2599999999999998E-2</v>
      </c>
      <c r="Q117" s="5">
        <v>0.1217</v>
      </c>
      <c r="R117" s="84">
        <f t="shared" ref="R117:R120" si="64">((K117-D117)/D117)</f>
        <v>1.4842620530650481E-3</v>
      </c>
      <c r="S117" s="84">
        <f t="shared" ref="S117:S120" si="65">((N117-G117)/G117)</f>
        <v>0</v>
      </c>
      <c r="T117" s="84">
        <f t="shared" ref="T117:T120" si="66">((O117-H117)/H117)</f>
        <v>0</v>
      </c>
      <c r="U117" s="84">
        <f t="shared" ref="U117:U120" si="67">P117-I117</f>
        <v>-6.1799999999999994E-2</v>
      </c>
      <c r="V117" s="86">
        <f t="shared" ref="V117:V120" si="68">Q117-J117</f>
        <v>-8.9999999999999802E-4</v>
      </c>
    </row>
    <row r="118" spans="1:22" x14ac:dyDescent="0.25">
      <c r="A118" s="131">
        <v>98</v>
      </c>
      <c r="B118" s="62" t="s">
        <v>153</v>
      </c>
      <c r="C118" s="63" t="s">
        <v>120</v>
      </c>
      <c r="D118" s="2">
        <v>10075971122.959999</v>
      </c>
      <c r="E118" s="3">
        <f>(D118/$D$120)</f>
        <v>0.10826965045737001</v>
      </c>
      <c r="F118" s="14">
        <v>36.6</v>
      </c>
      <c r="G118" s="14">
        <v>36.6</v>
      </c>
      <c r="H118" s="60">
        <v>5264</v>
      </c>
      <c r="I118" s="5">
        <v>0.1409</v>
      </c>
      <c r="J118" s="5">
        <v>0.1736</v>
      </c>
      <c r="K118" s="2">
        <v>10075480881.08</v>
      </c>
      <c r="L118" s="3">
        <f>(K118/$K$120)</f>
        <v>0.10825526874024188</v>
      </c>
      <c r="M118" s="14">
        <v>36.6</v>
      </c>
      <c r="N118" s="14">
        <v>36.6</v>
      </c>
      <c r="O118" s="60">
        <v>5264</v>
      </c>
      <c r="P118" s="5">
        <v>0.1409</v>
      </c>
      <c r="Q118" s="5">
        <v>0.16950000000000001</v>
      </c>
      <c r="R118" s="84">
        <f t="shared" si="64"/>
        <v>-4.8654553890299693E-5</v>
      </c>
      <c r="S118" s="84">
        <f t="shared" si="65"/>
        <v>0</v>
      </c>
      <c r="T118" s="84">
        <f t="shared" si="66"/>
        <v>0</v>
      </c>
      <c r="U118" s="84">
        <f t="shared" si="67"/>
        <v>0</v>
      </c>
      <c r="V118" s="86">
        <f t="shared" si="68"/>
        <v>-4.0999999999999925E-3</v>
      </c>
    </row>
    <row r="119" spans="1:22" x14ac:dyDescent="0.25">
      <c r="A119" s="131">
        <v>99</v>
      </c>
      <c r="B119" s="62" t="s">
        <v>154</v>
      </c>
      <c r="C119" s="63" t="s">
        <v>42</v>
      </c>
      <c r="D119" s="2">
        <v>26332319999.990002</v>
      </c>
      <c r="E119" s="3">
        <f>(D119/$D$120)</f>
        <v>0.28294950901893817</v>
      </c>
      <c r="F119" s="14">
        <v>3.55</v>
      </c>
      <c r="G119" s="14">
        <v>3.55</v>
      </c>
      <c r="H119" s="60">
        <v>208853</v>
      </c>
      <c r="I119" s="5">
        <v>1.43E-2</v>
      </c>
      <c r="J119" s="5">
        <v>0.18329999999999999</v>
      </c>
      <c r="K119" s="2">
        <v>26337195124.18</v>
      </c>
      <c r="L119" s="3">
        <f>(K119/$K$120)</f>
        <v>0.28297807019675253</v>
      </c>
      <c r="M119" s="14">
        <v>3.7</v>
      </c>
      <c r="N119" s="14">
        <v>3.7</v>
      </c>
      <c r="O119" s="60">
        <v>208853</v>
      </c>
      <c r="P119" s="5">
        <v>4.2299999999999997E-2</v>
      </c>
      <c r="Q119" s="5">
        <v>0.23330000000000001</v>
      </c>
      <c r="R119" s="84">
        <f t="shared" si="64"/>
        <v>1.8513842266843476E-4</v>
      </c>
      <c r="S119" s="84">
        <f t="shared" si="65"/>
        <v>4.2253521126760667E-2</v>
      </c>
      <c r="T119" s="84">
        <f t="shared" si="66"/>
        <v>0</v>
      </c>
      <c r="U119" s="84">
        <f t="shared" si="67"/>
        <v>2.7999999999999997E-2</v>
      </c>
      <c r="V119" s="86">
        <f t="shared" si="68"/>
        <v>5.0000000000000017E-2</v>
      </c>
    </row>
    <row r="120" spans="1:22" x14ac:dyDescent="0.25">
      <c r="A120" s="78"/>
      <c r="B120" s="19"/>
      <c r="C120" s="74" t="s">
        <v>46</v>
      </c>
      <c r="D120" s="58">
        <f>SUM(D116:D119)</f>
        <v>93063670940.059998</v>
      </c>
      <c r="E120" s="118">
        <f>(D120/$D$171)</f>
        <v>4.7451550153507716E-2</v>
      </c>
      <c r="F120" s="30"/>
      <c r="G120" s="34"/>
      <c r="H120" s="68">
        <f>SUM(H116:H119)</f>
        <v>216860</v>
      </c>
      <c r="I120" s="35"/>
      <c r="J120" s="35"/>
      <c r="K120" s="58">
        <f>SUM(K116:K119)</f>
        <v>93071505879.830002</v>
      </c>
      <c r="L120" s="118">
        <f>(K120/$K$171)</f>
        <v>4.6484848142665819E-2</v>
      </c>
      <c r="M120" s="30"/>
      <c r="N120" s="34"/>
      <c r="O120" s="68">
        <f>SUM(O116:O119)</f>
        <v>216860</v>
      </c>
      <c r="P120" s="35"/>
      <c r="Q120" s="35"/>
      <c r="R120" s="84">
        <f t="shared" si="64"/>
        <v>8.4189025544141309E-5</v>
      </c>
      <c r="S120" s="84" t="e">
        <f t="shared" si="65"/>
        <v>#DIV/0!</v>
      </c>
      <c r="T120" s="84">
        <f t="shared" si="66"/>
        <v>0</v>
      </c>
      <c r="U120" s="84">
        <f t="shared" si="67"/>
        <v>0</v>
      </c>
      <c r="V120" s="86">
        <f t="shared" si="68"/>
        <v>0</v>
      </c>
    </row>
    <row r="121" spans="1:22" ht="7.5" customHeight="1" x14ac:dyDescent="0.25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</row>
    <row r="122" spans="1:22" ht="15" customHeight="1" x14ac:dyDescent="0.25">
      <c r="A122" s="138" t="s">
        <v>155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</row>
    <row r="123" spans="1:22" x14ac:dyDescent="0.25">
      <c r="A123" s="126">
        <v>100</v>
      </c>
      <c r="B123" s="62" t="s">
        <v>156</v>
      </c>
      <c r="C123" s="63" t="s">
        <v>50</v>
      </c>
      <c r="D123" s="4">
        <v>206612453.94</v>
      </c>
      <c r="E123" s="3">
        <f t="shared" ref="E123:E146" si="69">(D123/$D$147)</f>
        <v>5.2902235464949831E-3</v>
      </c>
      <c r="F123" s="4">
        <v>4.62</v>
      </c>
      <c r="G123" s="4">
        <v>4.71</v>
      </c>
      <c r="H123" s="64">
        <v>11815</v>
      </c>
      <c r="I123" s="6">
        <v>9.7160000000000007E-3</v>
      </c>
      <c r="J123" s="6">
        <v>0.22956299999999999</v>
      </c>
      <c r="K123" s="4">
        <v>207796892.99000001</v>
      </c>
      <c r="L123" s="16">
        <f t="shared" ref="L123:L138" si="70">(K123/$K$147)</f>
        <v>5.3110036057995467E-3</v>
      </c>
      <c r="M123" s="4">
        <v>4.6500000000000004</v>
      </c>
      <c r="N123" s="4">
        <v>4.74</v>
      </c>
      <c r="O123" s="64">
        <v>11817</v>
      </c>
      <c r="P123" s="6">
        <v>7.0010000000000003E-3</v>
      </c>
      <c r="Q123" s="6">
        <v>0.236564</v>
      </c>
      <c r="R123" s="84">
        <f t="shared" ref="R123" si="71">((K123-D123)/D123)</f>
        <v>5.7326604830121785E-3</v>
      </c>
      <c r="S123" s="84">
        <f t="shared" ref="S123" si="72">((N123-G123)/G123)</f>
        <v>6.3694267515924099E-3</v>
      </c>
      <c r="T123" s="84">
        <f t="shared" ref="T123" si="73">((O123-H123)/H123)</f>
        <v>1.6927634363097757E-4</v>
      </c>
      <c r="U123" s="84">
        <f t="shared" ref="U123" si="74">P123-I123</f>
        <v>-2.7150000000000004E-3</v>
      </c>
      <c r="V123" s="86">
        <f t="shared" ref="V123" si="75">Q123-J123</f>
        <v>7.0010000000000072E-3</v>
      </c>
    </row>
    <row r="124" spans="1:22" x14ac:dyDescent="0.25">
      <c r="A124" s="128">
        <v>101</v>
      </c>
      <c r="B124" s="62" t="s">
        <v>157</v>
      </c>
      <c r="C124" s="63" t="s">
        <v>21</v>
      </c>
      <c r="D124" s="4">
        <v>5974392655.3100004</v>
      </c>
      <c r="E124" s="3">
        <f t="shared" si="69"/>
        <v>0.1529717696025524</v>
      </c>
      <c r="F124" s="4">
        <v>638.60910000000001</v>
      </c>
      <c r="G124" s="4">
        <v>657.86369999999999</v>
      </c>
      <c r="H124" s="64">
        <v>21189</v>
      </c>
      <c r="I124" s="6">
        <v>0.34329999999999999</v>
      </c>
      <c r="J124" s="6">
        <v>0.27189999999999998</v>
      </c>
      <c r="K124" s="4">
        <v>5960712992.4899998</v>
      </c>
      <c r="L124" s="16">
        <f t="shared" si="70"/>
        <v>0.15234764938364151</v>
      </c>
      <c r="M124" s="4">
        <v>636.96860000000004</v>
      </c>
      <c r="N124" s="4">
        <v>656.17359999999996</v>
      </c>
      <c r="O124" s="64">
        <v>21185</v>
      </c>
      <c r="P124" s="6">
        <v>-0.13400000000000001</v>
      </c>
      <c r="Q124" s="6">
        <v>0.26150000000000001</v>
      </c>
      <c r="R124" s="84">
        <f t="shared" ref="R124:R147" si="76">((K124-D124)/D124)</f>
        <v>-2.289716061404544E-3</v>
      </c>
      <c r="S124" s="84">
        <f t="shared" ref="S124:S147" si="77">((N124-G124)/G124)</f>
        <v>-2.5690731985972617E-3</v>
      </c>
      <c r="T124" s="84">
        <f t="shared" ref="T124:T147" si="78">((O124-H124)/H124)</f>
        <v>-1.8877719571475766E-4</v>
      </c>
      <c r="U124" s="84">
        <f t="shared" ref="U124:U147" si="79">P124-I124</f>
        <v>-0.4773</v>
      </c>
      <c r="V124" s="86">
        <f t="shared" ref="V124:V147" si="80">Q124-J124</f>
        <v>-1.0399999999999965E-2</v>
      </c>
    </row>
    <row r="125" spans="1:22" x14ac:dyDescent="0.25">
      <c r="A125" s="128">
        <v>102</v>
      </c>
      <c r="B125" s="62" t="s">
        <v>158</v>
      </c>
      <c r="C125" s="63" t="s">
        <v>91</v>
      </c>
      <c r="D125" s="4">
        <v>3225026685.1700001</v>
      </c>
      <c r="E125" s="3">
        <f t="shared" si="69"/>
        <v>8.2575429421672342E-2</v>
      </c>
      <c r="F125" s="4">
        <v>17.869900000000001</v>
      </c>
      <c r="G125" s="4">
        <v>18.071300000000001</v>
      </c>
      <c r="H125" s="60">
        <v>6278</v>
      </c>
      <c r="I125" s="5">
        <v>6.0000000000000001E-3</v>
      </c>
      <c r="J125" s="5">
        <v>0.28970000000000001</v>
      </c>
      <c r="K125" s="4">
        <v>3235736465.3000002</v>
      </c>
      <c r="L125" s="16">
        <f t="shared" si="70"/>
        <v>8.2700986464953496E-2</v>
      </c>
      <c r="M125" s="4">
        <v>18.1388</v>
      </c>
      <c r="N125" s="4">
        <v>18.346</v>
      </c>
      <c r="O125" s="60">
        <v>6276</v>
      </c>
      <c r="P125" s="5">
        <v>9.4999999999999998E-3</v>
      </c>
      <c r="Q125" s="5">
        <v>0.30919999999999997</v>
      </c>
      <c r="R125" s="84">
        <f t="shared" si="76"/>
        <v>3.3208345776635246E-3</v>
      </c>
      <c r="S125" s="84">
        <f t="shared" si="77"/>
        <v>1.5200898662520088E-2</v>
      </c>
      <c r="T125" s="84">
        <f t="shared" si="78"/>
        <v>-3.1857279388340236E-4</v>
      </c>
      <c r="U125" s="84">
        <f t="shared" si="79"/>
        <v>3.4999999999999996E-3</v>
      </c>
      <c r="V125" s="86">
        <f t="shared" si="80"/>
        <v>1.9499999999999962E-2</v>
      </c>
    </row>
    <row r="126" spans="1:22" x14ac:dyDescent="0.25">
      <c r="A126" s="130">
        <v>103</v>
      </c>
      <c r="B126" s="62" t="s">
        <v>159</v>
      </c>
      <c r="C126" s="63" t="s">
        <v>101</v>
      </c>
      <c r="D126" s="2">
        <v>1194637510.55</v>
      </c>
      <c r="E126" s="3">
        <f t="shared" si="69"/>
        <v>3.0588182693348433E-2</v>
      </c>
      <c r="F126" s="4">
        <v>2.794</v>
      </c>
      <c r="G126" s="4">
        <v>2.8618000000000001</v>
      </c>
      <c r="H126" s="60">
        <v>3441</v>
      </c>
      <c r="I126" s="5">
        <v>-0.73116771256305702</v>
      </c>
      <c r="J126" s="5">
        <v>0.28227919165950599</v>
      </c>
      <c r="K126" s="2">
        <v>1197703174.8599999</v>
      </c>
      <c r="L126" s="16">
        <f t="shared" si="70"/>
        <v>3.061165058259625E-2</v>
      </c>
      <c r="M126" s="4">
        <v>2.8012000000000001</v>
      </c>
      <c r="N126" s="4">
        <v>2.8691</v>
      </c>
      <c r="O126" s="60">
        <v>2755</v>
      </c>
      <c r="P126" s="5">
        <v>0.133008196639475</v>
      </c>
      <c r="Q126" s="5">
        <v>0.272654763491045</v>
      </c>
      <c r="R126" s="84">
        <f t="shared" si="76"/>
        <v>2.5661878878962536E-3</v>
      </c>
      <c r="S126" s="84">
        <f t="shared" si="77"/>
        <v>2.5508421273324E-3</v>
      </c>
      <c r="T126" s="84">
        <f t="shared" si="78"/>
        <v>-0.19936065097355421</v>
      </c>
      <c r="U126" s="84">
        <f t="shared" si="79"/>
        <v>0.86417590920253207</v>
      </c>
      <c r="V126" s="86">
        <f t="shared" si="80"/>
        <v>-9.6244281684609856E-3</v>
      </c>
    </row>
    <row r="127" spans="1:22" x14ac:dyDescent="0.25">
      <c r="A127" s="131">
        <v>104</v>
      </c>
      <c r="B127" s="62" t="s">
        <v>160</v>
      </c>
      <c r="C127" s="63" t="s">
        <v>56</v>
      </c>
      <c r="D127" s="2">
        <v>2860839189.5680699</v>
      </c>
      <c r="E127" s="3">
        <f t="shared" si="69"/>
        <v>7.3250564304239194E-2</v>
      </c>
      <c r="F127" s="4">
        <v>5283.0216952823403</v>
      </c>
      <c r="G127" s="4">
        <v>5321.8493886932501</v>
      </c>
      <c r="H127" s="60">
        <v>840</v>
      </c>
      <c r="I127" s="5">
        <v>-0.11583566795703169</v>
      </c>
      <c r="J127" s="5">
        <v>0.32606178730106539</v>
      </c>
      <c r="K127" s="2">
        <v>2836453596.4534101</v>
      </c>
      <c r="L127" s="16">
        <f t="shared" si="70"/>
        <v>7.2495863925992915E-2</v>
      </c>
      <c r="M127" s="4">
        <v>5329.5399338282896</v>
      </c>
      <c r="N127" s="4">
        <v>5369.6445467182502</v>
      </c>
      <c r="O127" s="60">
        <v>842</v>
      </c>
      <c r="P127" s="5">
        <v>0.45913002197299413</v>
      </c>
      <c r="Q127" s="5">
        <v>0.33204335034968002</v>
      </c>
      <c r="R127" s="84">
        <f t="shared" si="76"/>
        <v>-8.5239300424787348E-3</v>
      </c>
      <c r="S127" s="84">
        <f t="shared" si="77"/>
        <v>8.9809302244714447E-3</v>
      </c>
      <c r="T127" s="84">
        <f t="shared" si="78"/>
        <v>2.3809523809523812E-3</v>
      </c>
      <c r="U127" s="84">
        <f t="shared" si="79"/>
        <v>0.57496568993002584</v>
      </c>
      <c r="V127" s="86">
        <f t="shared" si="80"/>
        <v>5.9815630486146354E-3</v>
      </c>
    </row>
    <row r="128" spans="1:22" x14ac:dyDescent="0.25">
      <c r="A128" s="131">
        <v>105</v>
      </c>
      <c r="B128" s="62" t="s">
        <v>161</v>
      </c>
      <c r="C128" s="63" t="s">
        <v>58</v>
      </c>
      <c r="D128" s="4">
        <v>419791856.44999999</v>
      </c>
      <c r="E128" s="3">
        <f t="shared" si="69"/>
        <v>1.0748591003442354E-2</v>
      </c>
      <c r="F128" s="4">
        <v>156.02000000000001</v>
      </c>
      <c r="G128" s="4">
        <v>157</v>
      </c>
      <c r="H128" s="60">
        <v>617</v>
      </c>
      <c r="I128" s="5">
        <v>-4.8999999999999998E-3</v>
      </c>
      <c r="J128" s="5">
        <v>0.21729999999999999</v>
      </c>
      <c r="K128" s="4">
        <v>421871585.77999997</v>
      </c>
      <c r="L128" s="16">
        <f t="shared" si="70"/>
        <v>1.0782459164920127E-2</v>
      </c>
      <c r="M128" s="4">
        <v>156.99</v>
      </c>
      <c r="N128" s="4">
        <v>157.97999999999999</v>
      </c>
      <c r="O128" s="60">
        <v>620</v>
      </c>
      <c r="P128" s="5">
        <v>6.1999999999999998E-3</v>
      </c>
      <c r="Q128" s="5">
        <v>0.2243</v>
      </c>
      <c r="R128" s="84">
        <f t="shared" si="76"/>
        <v>4.954191697731738E-3</v>
      </c>
      <c r="S128" s="84">
        <f t="shared" si="77"/>
        <v>6.2420382165604442E-3</v>
      </c>
      <c r="T128" s="84">
        <f t="shared" si="78"/>
        <v>4.8622366288492711E-3</v>
      </c>
      <c r="U128" s="84">
        <f t="shared" si="79"/>
        <v>1.1099999999999999E-2</v>
      </c>
      <c r="V128" s="86">
        <f t="shared" si="80"/>
        <v>7.0000000000000062E-3</v>
      </c>
    </row>
    <row r="129" spans="1:24" x14ac:dyDescent="0.25">
      <c r="A129" s="128">
        <v>106</v>
      </c>
      <c r="B129" s="62" t="s">
        <v>162</v>
      </c>
      <c r="C129" s="63" t="s">
        <v>60</v>
      </c>
      <c r="D129" s="4">
        <v>3734808.11</v>
      </c>
      <c r="E129" s="3">
        <f t="shared" si="69"/>
        <v>9.5628164848669356E-5</v>
      </c>
      <c r="F129" s="4">
        <v>102.747</v>
      </c>
      <c r="G129" s="4">
        <v>102.99</v>
      </c>
      <c r="H129" s="60">
        <v>0</v>
      </c>
      <c r="I129" s="5">
        <v>0</v>
      </c>
      <c r="J129" s="5">
        <v>0</v>
      </c>
      <c r="K129" s="4">
        <v>3734808.11</v>
      </c>
      <c r="L129" s="16">
        <f t="shared" si="70"/>
        <v>9.5456573261343006E-5</v>
      </c>
      <c r="M129" s="4">
        <v>102.747</v>
      </c>
      <c r="N129" s="4">
        <v>102.99</v>
      </c>
      <c r="O129" s="60">
        <v>0</v>
      </c>
      <c r="P129" s="5">
        <v>0</v>
      </c>
      <c r="Q129" s="5">
        <v>0</v>
      </c>
      <c r="R129" s="84">
        <f t="shared" si="76"/>
        <v>0</v>
      </c>
      <c r="S129" s="84">
        <f t="shared" si="77"/>
        <v>0</v>
      </c>
      <c r="T129" s="84" t="e">
        <f t="shared" si="78"/>
        <v>#DIV/0!</v>
      </c>
      <c r="U129" s="84">
        <f t="shared" si="79"/>
        <v>0</v>
      </c>
      <c r="V129" s="86">
        <f t="shared" si="80"/>
        <v>0</v>
      </c>
    </row>
    <row r="130" spans="1:24" x14ac:dyDescent="0.25">
      <c r="A130" s="134">
        <v>107</v>
      </c>
      <c r="B130" s="62" t="s">
        <v>163</v>
      </c>
      <c r="C130" s="63" t="s">
        <v>105</v>
      </c>
      <c r="D130" s="4">
        <v>163498921.61000001</v>
      </c>
      <c r="E130" s="3">
        <f t="shared" si="69"/>
        <v>4.186319984268415E-3</v>
      </c>
      <c r="F130" s="4">
        <v>1.4339999999999999</v>
      </c>
      <c r="G130" s="4">
        <v>1.4470000000000001</v>
      </c>
      <c r="H130" s="60">
        <v>0</v>
      </c>
      <c r="I130" s="5">
        <v>-3.5000000000000001E-3</v>
      </c>
      <c r="J130" s="5">
        <v>0.1938</v>
      </c>
      <c r="K130" s="4">
        <v>160885429.80000001</v>
      </c>
      <c r="L130" s="16">
        <f t="shared" si="70"/>
        <v>4.1120109424808869E-3</v>
      </c>
      <c r="M130" s="4">
        <v>1.4389000000000001</v>
      </c>
      <c r="N130" s="4">
        <v>1.4523999999999999</v>
      </c>
      <c r="O130" s="60">
        <v>0</v>
      </c>
      <c r="P130" s="5">
        <v>3.4760845383763339E-4</v>
      </c>
      <c r="Q130" s="5">
        <v>0.19788544788544793</v>
      </c>
      <c r="R130" s="84">
        <f t="shared" si="76"/>
        <v>-1.5984764818413055E-2</v>
      </c>
      <c r="S130" s="84">
        <f t="shared" si="77"/>
        <v>3.7318590186591906E-3</v>
      </c>
      <c r="T130" s="84" t="e">
        <f t="shared" si="78"/>
        <v>#DIV/0!</v>
      </c>
      <c r="U130" s="84">
        <f t="shared" si="79"/>
        <v>3.8476084538376335E-3</v>
      </c>
      <c r="V130" s="86">
        <f t="shared" si="80"/>
        <v>4.0854478854479293E-3</v>
      </c>
    </row>
    <row r="131" spans="1:24" x14ac:dyDescent="0.25">
      <c r="A131" s="130">
        <v>108</v>
      </c>
      <c r="B131" s="62" t="s">
        <v>164</v>
      </c>
      <c r="C131" s="63" t="s">
        <v>25</v>
      </c>
      <c r="D131" s="9">
        <v>113311989.48</v>
      </c>
      <c r="E131" s="3">
        <f t="shared" si="69"/>
        <v>2.9013050443772673E-3</v>
      </c>
      <c r="F131" s="4">
        <v>121.6793</v>
      </c>
      <c r="G131" s="4">
        <v>122.1776</v>
      </c>
      <c r="H131" s="60">
        <v>69</v>
      </c>
      <c r="I131" s="5">
        <v>-5.3000000000000001E-5</v>
      </c>
      <c r="J131" s="5">
        <v>0.17469999999999999</v>
      </c>
      <c r="K131" s="9">
        <v>113422996.23999999</v>
      </c>
      <c r="L131" s="16">
        <f t="shared" si="70"/>
        <v>2.8989362321226704E-3</v>
      </c>
      <c r="M131" s="4">
        <v>121.89449999999999</v>
      </c>
      <c r="N131" s="4">
        <v>122.39400000000001</v>
      </c>
      <c r="O131" s="60">
        <v>70</v>
      </c>
      <c r="P131" s="5">
        <v>6.4300000000000002E-4</v>
      </c>
      <c r="Q131" s="5">
        <v>0.17680000000000001</v>
      </c>
      <c r="R131" s="84">
        <f t="shared" si="76"/>
        <v>9.7965590851781465E-4</v>
      </c>
      <c r="S131" s="84">
        <f t="shared" si="77"/>
        <v>1.7711921006797256E-3</v>
      </c>
      <c r="T131" s="84">
        <f t="shared" si="78"/>
        <v>1.4492753623188406E-2</v>
      </c>
      <c r="U131" s="84">
        <f t="shared" si="79"/>
        <v>6.96E-4</v>
      </c>
      <c r="V131" s="86">
        <f t="shared" si="80"/>
        <v>2.1000000000000185E-3</v>
      </c>
    </row>
    <row r="132" spans="1:24" x14ac:dyDescent="0.25">
      <c r="A132" s="134">
        <v>109</v>
      </c>
      <c r="B132" s="62" t="s">
        <v>165</v>
      </c>
      <c r="C132" s="63" t="s">
        <v>64</v>
      </c>
      <c r="D132" s="9">
        <v>179609575.30000001</v>
      </c>
      <c r="E132" s="3">
        <f t="shared" si="69"/>
        <v>4.5988263839311129E-3</v>
      </c>
      <c r="F132" s="4">
        <v>113.59</v>
      </c>
      <c r="G132" s="4">
        <v>115.68</v>
      </c>
      <c r="H132" s="60">
        <v>28</v>
      </c>
      <c r="I132" s="5">
        <v>2.7000000000000001E-3</v>
      </c>
      <c r="J132" s="5">
        <v>0.10249999999999999</v>
      </c>
      <c r="K132" s="9">
        <v>179482515.41</v>
      </c>
      <c r="L132" s="16">
        <f t="shared" si="70"/>
        <v>4.5873269460595632E-3</v>
      </c>
      <c r="M132" s="4">
        <v>113.52</v>
      </c>
      <c r="N132" s="4">
        <v>115.69</v>
      </c>
      <c r="O132" s="60">
        <v>28</v>
      </c>
      <c r="P132" s="5">
        <v>-2.9999999999999997E-4</v>
      </c>
      <c r="Q132" s="5">
        <v>0.1022</v>
      </c>
      <c r="R132" s="84">
        <f t="shared" si="76"/>
        <v>-7.0742269607724801E-4</v>
      </c>
      <c r="S132" s="84">
        <f t="shared" si="77"/>
        <v>8.6445366528275453E-5</v>
      </c>
      <c r="T132" s="84">
        <f t="shared" si="78"/>
        <v>0</v>
      </c>
      <c r="U132" s="84">
        <f t="shared" si="79"/>
        <v>-3.0000000000000001E-3</v>
      </c>
      <c r="V132" s="86">
        <f t="shared" si="80"/>
        <v>-2.9999999999999472E-4</v>
      </c>
    </row>
    <row r="133" spans="1:24" ht="15.75" customHeight="1" x14ac:dyDescent="0.25">
      <c r="A133" s="128">
        <v>110</v>
      </c>
      <c r="B133" s="62" t="s">
        <v>166</v>
      </c>
      <c r="C133" s="63" t="s">
        <v>67</v>
      </c>
      <c r="D133" s="2">
        <v>512757935.19</v>
      </c>
      <c r="E133" s="3">
        <f t="shared" si="69"/>
        <v>1.312894770216525E-2</v>
      </c>
      <c r="F133" s="4">
        <v>1.2496</v>
      </c>
      <c r="G133" s="4">
        <v>1.2496</v>
      </c>
      <c r="H133" s="60">
        <v>107</v>
      </c>
      <c r="I133" s="5">
        <v>-7.9016301171164413E-3</v>
      </c>
      <c r="J133" s="5">
        <v>0.28733104236771517</v>
      </c>
      <c r="K133" s="2">
        <v>511369385.80000001</v>
      </c>
      <c r="L133" s="16">
        <f t="shared" si="70"/>
        <v>1.3069900193406637E-2</v>
      </c>
      <c r="M133" s="4">
        <v>1.2476</v>
      </c>
      <c r="N133" s="4">
        <v>1.2476</v>
      </c>
      <c r="O133" s="60">
        <v>106</v>
      </c>
      <c r="P133" s="5">
        <v>-1.600512163892447E-3</v>
      </c>
      <c r="Q133" s="5">
        <v>0.19719395684848362</v>
      </c>
      <c r="R133" s="84">
        <f t="shared" si="76"/>
        <v>-2.7080017581501987E-3</v>
      </c>
      <c r="S133" s="84">
        <f t="shared" si="77"/>
        <v>-1.600512163892447E-3</v>
      </c>
      <c r="T133" s="84">
        <f t="shared" si="78"/>
        <v>-9.3457943925233638E-3</v>
      </c>
      <c r="U133" s="84">
        <f t="shared" si="79"/>
        <v>6.3011179532239947E-3</v>
      </c>
      <c r="V133" s="86">
        <f t="shared" si="80"/>
        <v>-9.0137085519231552E-2</v>
      </c>
      <c r="X133" s="129"/>
    </row>
    <row r="134" spans="1:24" x14ac:dyDescent="0.25">
      <c r="A134" s="128">
        <v>111</v>
      </c>
      <c r="B134" s="62" t="s">
        <v>167</v>
      </c>
      <c r="C134" s="63" t="s">
        <v>27</v>
      </c>
      <c r="D134" s="4">
        <v>6592384160.9200001</v>
      </c>
      <c r="E134" s="3">
        <f t="shared" si="69"/>
        <v>0.16879517788297149</v>
      </c>
      <c r="F134" s="4">
        <v>249.62</v>
      </c>
      <c r="G134" s="4">
        <v>251.86</v>
      </c>
      <c r="H134" s="60">
        <v>5460</v>
      </c>
      <c r="I134" s="5">
        <v>-7.3300000000000004E-2</v>
      </c>
      <c r="J134" s="5">
        <v>0.3478</v>
      </c>
      <c r="K134" s="4">
        <v>6586233824.96</v>
      </c>
      <c r="L134" s="16">
        <f t="shared" si="70"/>
        <v>0.16833510400314239</v>
      </c>
      <c r="M134" s="4">
        <v>249.37</v>
      </c>
      <c r="N134" s="4">
        <v>251.61</v>
      </c>
      <c r="O134" s="60">
        <v>5460</v>
      </c>
      <c r="P134" s="5">
        <v>-1E-3</v>
      </c>
      <c r="Q134" s="5">
        <v>0.35570000000000002</v>
      </c>
      <c r="R134" s="84">
        <f t="shared" si="76"/>
        <v>-9.329456248104522E-4</v>
      </c>
      <c r="S134" s="84">
        <f t="shared" si="77"/>
        <v>-9.9261494481060904E-4</v>
      </c>
      <c r="T134" s="84">
        <f t="shared" si="78"/>
        <v>0</v>
      </c>
      <c r="U134" s="84">
        <f t="shared" si="79"/>
        <v>7.2300000000000003E-2</v>
      </c>
      <c r="V134" s="86">
        <f t="shared" si="80"/>
        <v>7.9000000000000181E-3</v>
      </c>
    </row>
    <row r="135" spans="1:24" x14ac:dyDescent="0.25">
      <c r="A135" s="128">
        <v>112</v>
      </c>
      <c r="B135" s="62" t="s">
        <v>168</v>
      </c>
      <c r="C135" s="63" t="s">
        <v>72</v>
      </c>
      <c r="D135" s="4">
        <v>2329768233.9699998</v>
      </c>
      <c r="E135" s="3">
        <f t="shared" si="69"/>
        <v>5.9652719544211447E-2</v>
      </c>
      <c r="F135" s="4">
        <v>1.6226</v>
      </c>
      <c r="G135" s="4">
        <v>1.6476999999999999</v>
      </c>
      <c r="H135" s="60">
        <v>10316</v>
      </c>
      <c r="I135" s="5">
        <v>5.1999999999999998E-3</v>
      </c>
      <c r="J135" s="5">
        <v>0.25979999999999998</v>
      </c>
      <c r="K135" s="4">
        <v>2338670905.5900002</v>
      </c>
      <c r="L135" s="16">
        <f t="shared" si="70"/>
        <v>5.9773221021955862E-2</v>
      </c>
      <c r="M135" s="4">
        <v>1.6274</v>
      </c>
      <c r="N135" s="4">
        <v>1.6552</v>
      </c>
      <c r="O135" s="60">
        <v>10316</v>
      </c>
      <c r="P135" s="5">
        <v>3.8999999999999998E-3</v>
      </c>
      <c r="Q135" s="5">
        <v>0.2646</v>
      </c>
      <c r="R135" s="84">
        <f t="shared" si="76"/>
        <v>3.8212692104698863E-3</v>
      </c>
      <c r="S135" s="84">
        <f t="shared" si="77"/>
        <v>4.5517994780603643E-3</v>
      </c>
      <c r="T135" s="84">
        <f t="shared" si="78"/>
        <v>0</v>
      </c>
      <c r="U135" s="84">
        <f t="shared" si="79"/>
        <v>-1.2999999999999999E-3</v>
      </c>
      <c r="V135" s="86">
        <f t="shared" si="80"/>
        <v>4.8000000000000265E-3</v>
      </c>
    </row>
    <row r="136" spans="1:24" x14ac:dyDescent="0.25">
      <c r="A136" s="131">
        <v>113</v>
      </c>
      <c r="B136" s="62" t="s">
        <v>169</v>
      </c>
      <c r="C136" s="63" t="s">
        <v>74</v>
      </c>
      <c r="D136" s="4">
        <v>158178086.0637821</v>
      </c>
      <c r="E136" s="3">
        <f t="shared" si="69"/>
        <v>4.0500822650174559E-3</v>
      </c>
      <c r="F136" s="4">
        <v>103.24750094450032</v>
      </c>
      <c r="G136" s="4">
        <v>108.38068816973268</v>
      </c>
      <c r="H136" s="60">
        <v>39</v>
      </c>
      <c r="I136" s="5">
        <v>-3.7210801452702835E-4</v>
      </c>
      <c r="J136" s="5">
        <v>-7.8675876421322205E-2</v>
      </c>
      <c r="K136" s="4">
        <v>158578776.96789482</v>
      </c>
      <c r="L136" s="16">
        <f t="shared" si="70"/>
        <v>4.0530560595066359E-3</v>
      </c>
      <c r="M136" s="4">
        <v>103.24750094450032</v>
      </c>
      <c r="N136" s="4">
        <v>108.38068816973268</v>
      </c>
      <c r="O136" s="60">
        <v>39</v>
      </c>
      <c r="P136" s="5">
        <v>3.53511091670722E-4</v>
      </c>
      <c r="Q136" s="5">
        <v>-7.5140765504614987E-2</v>
      </c>
      <c r="R136" s="84">
        <f t="shared" si="76"/>
        <v>2.5331631838759004E-3</v>
      </c>
      <c r="S136" s="84">
        <f t="shared" si="77"/>
        <v>0</v>
      </c>
      <c r="T136" s="84">
        <f t="shared" si="78"/>
        <v>0</v>
      </c>
      <c r="U136" s="84">
        <f t="shared" si="79"/>
        <v>7.2561910619775029E-4</v>
      </c>
      <c r="V136" s="86">
        <f t="shared" si="80"/>
        <v>3.5351109167072181E-3</v>
      </c>
    </row>
    <row r="137" spans="1:24" ht="13.5" customHeight="1" x14ac:dyDescent="0.25">
      <c r="A137" s="130">
        <v>114</v>
      </c>
      <c r="B137" s="62" t="s">
        <v>246</v>
      </c>
      <c r="C137" s="63" t="s">
        <v>32</v>
      </c>
      <c r="D137" s="2">
        <v>2639010872.4537001</v>
      </c>
      <c r="E137" s="3">
        <f t="shared" si="69"/>
        <v>6.7570745086668771E-2</v>
      </c>
      <c r="F137" s="4">
        <v>3.6352000000000002</v>
      </c>
      <c r="G137" s="4">
        <v>3.7040000000000002</v>
      </c>
      <c r="H137" s="60">
        <v>2244</v>
      </c>
      <c r="I137" s="5">
        <v>4.5999999999999999E-3</v>
      </c>
      <c r="J137" s="5">
        <v>0.17810000000000001</v>
      </c>
      <c r="K137" s="2">
        <v>2612587306.4108</v>
      </c>
      <c r="L137" s="16">
        <f t="shared" si="70"/>
        <v>6.6774148569592059E-2</v>
      </c>
      <c r="M137" s="4">
        <v>3.5960000000000001</v>
      </c>
      <c r="N137" s="4">
        <v>3.6629999999999998</v>
      </c>
      <c r="O137" s="60">
        <v>2251</v>
      </c>
      <c r="P137" s="5">
        <v>-1.0783450704225372E-2</v>
      </c>
      <c r="Q137" s="5">
        <v>0.16541353383458657</v>
      </c>
      <c r="R137" s="84">
        <f t="shared" si="76"/>
        <v>-1.0012677976704194E-2</v>
      </c>
      <c r="S137" s="84">
        <f t="shared" si="77"/>
        <v>-1.1069114470842432E-2</v>
      </c>
      <c r="T137" s="84">
        <f t="shared" si="78"/>
        <v>3.1194295900178253E-3</v>
      </c>
      <c r="U137" s="84">
        <f t="shared" si="79"/>
        <v>-1.5383450704225372E-2</v>
      </c>
      <c r="V137" s="86">
        <f t="shared" si="80"/>
        <v>-1.268646616541344E-2</v>
      </c>
    </row>
    <row r="138" spans="1:24" x14ac:dyDescent="0.25">
      <c r="A138" s="128">
        <v>115</v>
      </c>
      <c r="B138" s="62" t="s">
        <v>170</v>
      </c>
      <c r="C138" s="63" t="s">
        <v>114</v>
      </c>
      <c r="D138" s="2">
        <v>176549540.43000001</v>
      </c>
      <c r="E138" s="3">
        <f t="shared" si="69"/>
        <v>4.5204754993950292E-3</v>
      </c>
      <c r="F138" s="4">
        <v>168.26351500000001</v>
      </c>
      <c r="G138" s="4">
        <v>172.82102</v>
      </c>
      <c r="H138" s="60">
        <v>138</v>
      </c>
      <c r="I138" s="5">
        <v>1.1000000000000001E-3</v>
      </c>
      <c r="J138" s="5">
        <v>0.1477</v>
      </c>
      <c r="K138" s="2">
        <v>176549540.43000001</v>
      </c>
      <c r="L138" s="16">
        <f t="shared" si="70"/>
        <v>4.5123641279425026E-3</v>
      </c>
      <c r="M138" s="4">
        <v>168.346262</v>
      </c>
      <c r="N138" s="4">
        <v>173.00275400000001</v>
      </c>
      <c r="O138" s="60">
        <v>138</v>
      </c>
      <c r="P138" s="5">
        <v>-1.1000000000000001E-3</v>
      </c>
      <c r="Q138" s="5">
        <v>0.1489</v>
      </c>
      <c r="R138" s="84">
        <f t="shared" si="76"/>
        <v>0</v>
      </c>
      <c r="S138" s="84">
        <f t="shared" si="77"/>
        <v>1.0515734717918331E-3</v>
      </c>
      <c r="T138" s="84">
        <f t="shared" si="78"/>
        <v>0</v>
      </c>
      <c r="U138" s="84">
        <f t="shared" si="79"/>
        <v>-2.2000000000000001E-3</v>
      </c>
      <c r="V138" s="86">
        <f t="shared" si="80"/>
        <v>1.2000000000000066E-3</v>
      </c>
    </row>
    <row r="139" spans="1:24" x14ac:dyDescent="0.25">
      <c r="A139" s="133">
        <v>116</v>
      </c>
      <c r="B139" s="62" t="s">
        <v>171</v>
      </c>
      <c r="C139" s="63" t="s">
        <v>29</v>
      </c>
      <c r="D139" s="2">
        <v>1507370830.48</v>
      </c>
      <c r="E139" s="3">
        <f t="shared" si="69"/>
        <v>3.8595585641806124E-2</v>
      </c>
      <c r="F139" s="4">
        <v>552.20000000000005</v>
      </c>
      <c r="G139" s="4">
        <v>552.20000000000005</v>
      </c>
      <c r="H139" s="60">
        <v>0</v>
      </c>
      <c r="I139" s="5">
        <v>1.0950000000000001E-3</v>
      </c>
      <c r="J139" s="5">
        <v>0.30969999999999998</v>
      </c>
      <c r="K139" s="2">
        <v>1507640841.04</v>
      </c>
      <c r="L139" s="16">
        <f t="shared" ref="L139:L146" si="81">(K139/$K$147)</f>
        <v>3.8533232272146785E-2</v>
      </c>
      <c r="M139" s="4">
        <v>552.20000000000005</v>
      </c>
      <c r="N139" s="4">
        <v>552.20000000000005</v>
      </c>
      <c r="O139" s="60">
        <v>0</v>
      </c>
      <c r="P139" s="5">
        <v>1.0179000000000001E-2</v>
      </c>
      <c r="Q139" s="5">
        <v>0.309944</v>
      </c>
      <c r="R139" s="84">
        <f t="shared" si="76"/>
        <v>1.7912683099616694E-4</v>
      </c>
      <c r="S139" s="84">
        <f t="shared" si="77"/>
        <v>0</v>
      </c>
      <c r="T139" s="84" t="e">
        <f t="shared" si="78"/>
        <v>#DIV/0!</v>
      </c>
      <c r="U139" s="84">
        <f t="shared" si="79"/>
        <v>9.0840000000000001E-3</v>
      </c>
      <c r="V139" s="86">
        <f t="shared" si="80"/>
        <v>2.4400000000002198E-4</v>
      </c>
    </row>
    <row r="140" spans="1:24" x14ac:dyDescent="0.25">
      <c r="A140" s="131">
        <v>117</v>
      </c>
      <c r="B140" s="62" t="s">
        <v>172</v>
      </c>
      <c r="C140" s="63" t="s">
        <v>80</v>
      </c>
      <c r="D140" s="2">
        <v>24690759.379999999</v>
      </c>
      <c r="E140" s="3">
        <f t="shared" si="69"/>
        <v>6.3219633745238625E-4</v>
      </c>
      <c r="F140" s="4">
        <v>1.55</v>
      </c>
      <c r="G140" s="4">
        <v>1.55</v>
      </c>
      <c r="H140" s="60">
        <v>8</v>
      </c>
      <c r="I140" s="5">
        <v>9.5119999999999996E-3</v>
      </c>
      <c r="J140" s="5">
        <v>0.28207199999999999</v>
      </c>
      <c r="K140" s="2">
        <v>24900431.399999999</v>
      </c>
      <c r="L140" s="16">
        <f t="shared" si="81"/>
        <v>6.3642087736955934E-4</v>
      </c>
      <c r="M140" s="4">
        <v>1.56</v>
      </c>
      <c r="N140" s="4">
        <v>1.56</v>
      </c>
      <c r="O140" s="60">
        <v>8</v>
      </c>
      <c r="P140" s="5">
        <v>8.4919999999999995E-3</v>
      </c>
      <c r="Q140" s="5">
        <v>0.29295900000000002</v>
      </c>
      <c r="R140" s="84">
        <f t="shared" si="76"/>
        <v>8.491922697599897E-3</v>
      </c>
      <c r="S140" s="84">
        <f t="shared" si="77"/>
        <v>6.4516129032258117E-3</v>
      </c>
      <c r="T140" s="84">
        <f t="shared" si="78"/>
        <v>0</v>
      </c>
      <c r="U140" s="84">
        <f t="shared" si="79"/>
        <v>-1.0200000000000001E-3</v>
      </c>
      <c r="V140" s="86">
        <f t="shared" si="80"/>
        <v>1.0887000000000036E-2</v>
      </c>
    </row>
    <row r="141" spans="1:24" x14ac:dyDescent="0.25">
      <c r="A141" s="131">
        <v>118</v>
      </c>
      <c r="B141" s="62" t="s">
        <v>173</v>
      </c>
      <c r="C141" s="63" t="s">
        <v>38</v>
      </c>
      <c r="D141" s="4">
        <v>200581733.56</v>
      </c>
      <c r="E141" s="3">
        <f t="shared" si="69"/>
        <v>5.1358095295845211E-3</v>
      </c>
      <c r="F141" s="4">
        <v>2.04</v>
      </c>
      <c r="G141" s="4">
        <v>2.08</v>
      </c>
      <c r="H141" s="60">
        <v>112</v>
      </c>
      <c r="I141" s="5">
        <v>7.5144912552769897E-4</v>
      </c>
      <c r="J141" s="5">
        <v>0.29620000000000002</v>
      </c>
      <c r="K141" s="4">
        <v>203899618.22</v>
      </c>
      <c r="L141" s="16">
        <f t="shared" si="81"/>
        <v>5.2113946075203581E-3</v>
      </c>
      <c r="M141" s="4">
        <v>2.071561</v>
      </c>
      <c r="N141" s="4">
        <v>2.1186310000000002</v>
      </c>
      <c r="O141" s="60">
        <v>116</v>
      </c>
      <c r="P141" s="5">
        <v>8.9999999999999998E-4</v>
      </c>
      <c r="Q141" s="5">
        <v>0.31769999999999998</v>
      </c>
      <c r="R141" s="84">
        <f t="shared" si="76"/>
        <v>1.654131012387286E-2</v>
      </c>
      <c r="S141" s="84">
        <f t="shared" si="77"/>
        <v>1.8572596153846193E-2</v>
      </c>
      <c r="T141" s="84">
        <f t="shared" si="78"/>
        <v>3.5714285714285712E-2</v>
      </c>
      <c r="U141" s="84">
        <f t="shared" si="79"/>
        <v>1.48550874472301E-4</v>
      </c>
      <c r="V141" s="86">
        <f t="shared" si="80"/>
        <v>2.1499999999999964E-2</v>
      </c>
    </row>
    <row r="142" spans="1:24" x14ac:dyDescent="0.25">
      <c r="A142" s="131">
        <v>119</v>
      </c>
      <c r="B142" s="62" t="s">
        <v>174</v>
      </c>
      <c r="C142" s="63" t="s">
        <v>42</v>
      </c>
      <c r="D142" s="2">
        <v>2036455779.9300001</v>
      </c>
      <c r="E142" s="3">
        <f t="shared" si="69"/>
        <v>5.2142579563524499E-2</v>
      </c>
      <c r="F142" s="4">
        <v>4560.6899999999996</v>
      </c>
      <c r="G142" s="4">
        <v>4596.91</v>
      </c>
      <c r="H142" s="60">
        <v>3468</v>
      </c>
      <c r="I142" s="5">
        <v>-1.46E-2</v>
      </c>
      <c r="J142" s="5">
        <v>0.25009999999999999</v>
      </c>
      <c r="K142" s="2">
        <v>2074001395.03</v>
      </c>
      <c r="L142" s="3">
        <f t="shared" si="81"/>
        <v>5.300863130791713E-2</v>
      </c>
      <c r="M142" s="4">
        <v>4665.88</v>
      </c>
      <c r="N142" s="4">
        <v>4702.57</v>
      </c>
      <c r="O142" s="60">
        <v>3480</v>
      </c>
      <c r="P142" s="5">
        <v>2.3E-2</v>
      </c>
      <c r="Q142" s="5">
        <v>0.27889999999999998</v>
      </c>
      <c r="R142" s="84">
        <f t="shared" si="76"/>
        <v>1.8436744598152029E-2</v>
      </c>
      <c r="S142" s="84">
        <f t="shared" si="77"/>
        <v>2.2985005144760255E-2</v>
      </c>
      <c r="T142" s="84">
        <f t="shared" si="78"/>
        <v>3.4602076124567475E-3</v>
      </c>
      <c r="U142" s="84">
        <f t="shared" si="79"/>
        <v>3.7600000000000001E-2</v>
      </c>
      <c r="V142" s="86">
        <f t="shared" si="80"/>
        <v>2.8799999999999992E-2</v>
      </c>
    </row>
    <row r="143" spans="1:24" x14ac:dyDescent="0.25">
      <c r="A143" s="131">
        <v>120</v>
      </c>
      <c r="B143" s="62" t="s">
        <v>175</v>
      </c>
      <c r="C143" s="63" t="s">
        <v>45</v>
      </c>
      <c r="D143" s="4">
        <v>1527507029.9100001</v>
      </c>
      <c r="E143" s="3">
        <f t="shared" si="69"/>
        <v>3.9111164419029495E-2</v>
      </c>
      <c r="F143" s="4">
        <v>1.7093</v>
      </c>
      <c r="G143" s="4">
        <v>1.7196</v>
      </c>
      <c r="H143" s="60">
        <v>1858</v>
      </c>
      <c r="I143" s="5">
        <v>-3.0000000000000001E-3</v>
      </c>
      <c r="J143" s="5">
        <v>0.31979999999999997</v>
      </c>
      <c r="K143" s="4">
        <v>1525888066.8399999</v>
      </c>
      <c r="L143" s="16">
        <f t="shared" si="81"/>
        <v>3.8999606338790321E-2</v>
      </c>
      <c r="M143" s="4">
        <v>1.7084999999999999</v>
      </c>
      <c r="N143" s="4">
        <v>1.7188000000000001</v>
      </c>
      <c r="O143" s="60">
        <v>1866</v>
      </c>
      <c r="P143" s="5">
        <v>-5.0000000000000001E-4</v>
      </c>
      <c r="Q143" s="5">
        <v>0.31979999999999997</v>
      </c>
      <c r="R143" s="84">
        <f t="shared" si="76"/>
        <v>-1.0598727457873369E-3</v>
      </c>
      <c r="S143" s="84">
        <f t="shared" si="77"/>
        <v>-4.6522447080711321E-4</v>
      </c>
      <c r="T143" s="84">
        <f t="shared" si="78"/>
        <v>4.3057050592034442E-3</v>
      </c>
      <c r="U143" s="84">
        <f t="shared" si="79"/>
        <v>2.5000000000000001E-3</v>
      </c>
      <c r="V143" s="86">
        <f t="shared" si="80"/>
        <v>0</v>
      </c>
    </row>
    <row r="144" spans="1:24" x14ac:dyDescent="0.25">
      <c r="A144" s="131">
        <v>121</v>
      </c>
      <c r="B144" s="62" t="s">
        <v>176</v>
      </c>
      <c r="C144" s="63" t="s">
        <v>45</v>
      </c>
      <c r="D144" s="4">
        <v>810343715.69000006</v>
      </c>
      <c r="E144" s="3">
        <f t="shared" si="69"/>
        <v>2.0748504379810448E-2</v>
      </c>
      <c r="F144" s="4">
        <v>1.3231999999999999</v>
      </c>
      <c r="G144" s="4">
        <v>1.3323</v>
      </c>
      <c r="H144" s="60">
        <v>445</v>
      </c>
      <c r="I144" s="5">
        <v>-4.1000000000000003E-3</v>
      </c>
      <c r="J144" s="5">
        <v>0.2334</v>
      </c>
      <c r="K144" s="4">
        <v>806668069.71000004</v>
      </c>
      <c r="L144" s="16">
        <f t="shared" si="81"/>
        <v>2.061732957248472E-2</v>
      </c>
      <c r="M144" s="4">
        <v>1.3179000000000001</v>
      </c>
      <c r="N144" s="4">
        <v>1.3268</v>
      </c>
      <c r="O144" s="60">
        <v>447</v>
      </c>
      <c r="P144" s="5">
        <v>4.0000000000000001E-3</v>
      </c>
      <c r="Q144" s="5">
        <v>0.2334</v>
      </c>
      <c r="R144" s="84">
        <f t="shared" si="76"/>
        <v>-4.5359097736325888E-3</v>
      </c>
      <c r="S144" s="84">
        <f t="shared" si="77"/>
        <v>-4.1281993544997828E-3</v>
      </c>
      <c r="T144" s="84">
        <f t="shared" si="78"/>
        <v>4.4943820224719105E-3</v>
      </c>
      <c r="U144" s="84">
        <f t="shared" si="79"/>
        <v>8.0999999999999996E-3</v>
      </c>
      <c r="V144" s="86">
        <f t="shared" si="80"/>
        <v>0</v>
      </c>
    </row>
    <row r="145" spans="1:22" x14ac:dyDescent="0.25">
      <c r="A145" s="131">
        <v>122</v>
      </c>
      <c r="B145" s="62" t="s">
        <v>177</v>
      </c>
      <c r="C145" s="63" t="s">
        <v>87</v>
      </c>
      <c r="D145" s="4">
        <v>5938491014.3100004</v>
      </c>
      <c r="E145" s="3">
        <f t="shared" si="69"/>
        <v>0.15205252343440434</v>
      </c>
      <c r="F145" s="4">
        <v>291.77</v>
      </c>
      <c r="G145" s="4">
        <v>295.08</v>
      </c>
      <c r="H145" s="60">
        <v>0</v>
      </c>
      <c r="I145" s="5">
        <v>-1.1000000000000001E-3</v>
      </c>
      <c r="J145" s="5">
        <v>0.54830000000000001</v>
      </c>
      <c r="K145" s="4">
        <v>6017130636.7700005</v>
      </c>
      <c r="L145" s="16">
        <f t="shared" si="81"/>
        <v>0.1537896069985526</v>
      </c>
      <c r="M145" s="4">
        <v>295.66000000000003</v>
      </c>
      <c r="N145" s="4">
        <v>298.98</v>
      </c>
      <c r="O145" s="60">
        <v>29</v>
      </c>
      <c r="P145" s="5">
        <v>1.32E-2</v>
      </c>
      <c r="Q145" s="5">
        <v>0.56799999999999995</v>
      </c>
      <c r="R145" s="84">
        <f t="shared" si="76"/>
        <v>1.3242357742143903E-2</v>
      </c>
      <c r="S145" s="84">
        <f t="shared" si="77"/>
        <v>1.3216754778365305E-2</v>
      </c>
      <c r="T145" s="84" t="e">
        <f t="shared" si="78"/>
        <v>#DIV/0!</v>
      </c>
      <c r="U145" s="84">
        <f t="shared" si="79"/>
        <v>1.43E-2</v>
      </c>
      <c r="V145" s="86">
        <f t="shared" si="80"/>
        <v>1.969999999999994E-2</v>
      </c>
    </row>
    <row r="146" spans="1:22" x14ac:dyDescent="0.25">
      <c r="A146" s="128">
        <v>123</v>
      </c>
      <c r="B146" s="62" t="s">
        <v>178</v>
      </c>
      <c r="C146" s="63" t="s">
        <v>40</v>
      </c>
      <c r="D146" s="2">
        <v>259978899.36000001</v>
      </c>
      <c r="E146" s="3">
        <f t="shared" si="69"/>
        <v>6.6566485647836142E-3</v>
      </c>
      <c r="F146" s="4">
        <v>187.44</v>
      </c>
      <c r="G146" s="4">
        <v>190.3</v>
      </c>
      <c r="H146" s="60">
        <v>734</v>
      </c>
      <c r="I146" s="5">
        <v>5.3E-3</v>
      </c>
      <c r="J146" s="5">
        <v>0.35089999999999999</v>
      </c>
      <c r="K146" s="2">
        <v>263810720.88999999</v>
      </c>
      <c r="L146" s="16">
        <f t="shared" si="81"/>
        <v>6.7426402278439939E-3</v>
      </c>
      <c r="M146" s="4">
        <v>187.45</v>
      </c>
      <c r="N146" s="4">
        <v>190.3</v>
      </c>
      <c r="O146" s="60">
        <v>734</v>
      </c>
      <c r="P146" s="5">
        <v>2.8999999999999998E-3</v>
      </c>
      <c r="Q146" s="5">
        <v>0.35499999999999998</v>
      </c>
      <c r="R146" s="84">
        <f t="shared" si="76"/>
        <v>1.4738971275872438E-2</v>
      </c>
      <c r="S146" s="84">
        <f t="shared" si="77"/>
        <v>0</v>
      </c>
      <c r="T146" s="84">
        <f t="shared" si="78"/>
        <v>0</v>
      </c>
      <c r="U146" s="84">
        <f t="shared" si="79"/>
        <v>-2.4000000000000002E-3</v>
      </c>
      <c r="V146" s="86">
        <f t="shared" si="80"/>
        <v>4.0999999999999925E-3</v>
      </c>
    </row>
    <row r="147" spans="1:22" x14ac:dyDescent="0.25">
      <c r="A147" s="87"/>
      <c r="B147" s="19"/>
      <c r="C147" s="74" t="s">
        <v>46</v>
      </c>
      <c r="D147" s="75">
        <f>SUM(D123:D146)</f>
        <v>39055524237.135551</v>
      </c>
      <c r="E147" s="118">
        <f>(D147/$D$171)</f>
        <v>1.9913733773768746E-2</v>
      </c>
      <c r="F147" s="30"/>
      <c r="G147" s="36"/>
      <c r="H147" s="68">
        <f>SUM(H123:H146)</f>
        <v>69206</v>
      </c>
      <c r="I147" s="37"/>
      <c r="J147" s="37"/>
      <c r="K147" s="75">
        <f>SUM(K123:K146)</f>
        <v>39125729977.492111</v>
      </c>
      <c r="L147" s="118">
        <f>(K147/$K$171)</f>
        <v>1.9541465449403668E-2</v>
      </c>
      <c r="M147" s="30"/>
      <c r="N147" s="36"/>
      <c r="O147" s="68">
        <f>SUM(O123:O146)</f>
        <v>68583</v>
      </c>
      <c r="P147" s="37"/>
      <c r="Q147" s="37"/>
      <c r="R147" s="84">
        <f t="shared" si="76"/>
        <v>1.797587965540745E-3</v>
      </c>
      <c r="S147" s="84" t="e">
        <f t="shared" si="77"/>
        <v>#DIV/0!</v>
      </c>
      <c r="T147" s="84">
        <f t="shared" si="78"/>
        <v>-9.0021096436725141E-3</v>
      </c>
      <c r="U147" s="84">
        <f t="shared" si="79"/>
        <v>0</v>
      </c>
      <c r="V147" s="86">
        <f t="shared" si="80"/>
        <v>0</v>
      </c>
    </row>
    <row r="148" spans="1:22" ht="8.25" customHeight="1" x14ac:dyDescent="0.25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</row>
    <row r="149" spans="1:22" ht="15" customHeight="1" x14ac:dyDescent="0.25">
      <c r="A149" s="138" t="s">
        <v>179</v>
      </c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</row>
    <row r="150" spans="1:22" x14ac:dyDescent="0.25">
      <c r="A150" s="128">
        <v>124</v>
      </c>
      <c r="B150" s="62" t="s">
        <v>180</v>
      </c>
      <c r="C150" s="63" t="s">
        <v>21</v>
      </c>
      <c r="D150" s="17">
        <v>702030465.40999997</v>
      </c>
      <c r="E150" s="3">
        <f>(D150/$D$153)</f>
        <v>0.18245676624416371</v>
      </c>
      <c r="F150" s="17">
        <v>51.955300000000001</v>
      </c>
      <c r="G150" s="17">
        <v>53.521799999999999</v>
      </c>
      <c r="H150" s="64">
        <v>1390</v>
      </c>
      <c r="I150" s="6">
        <v>0.26150000000000001</v>
      </c>
      <c r="J150" s="6">
        <v>0.17899999999999999</v>
      </c>
      <c r="K150" s="17">
        <v>691488293.60000002</v>
      </c>
      <c r="L150" s="16">
        <f>(K150/$K$153)</f>
        <v>0.17952543098821488</v>
      </c>
      <c r="M150" s="17">
        <v>51.223500000000001</v>
      </c>
      <c r="N150" s="17">
        <v>52.767899999999997</v>
      </c>
      <c r="O150" s="64">
        <v>1391</v>
      </c>
      <c r="P150" s="6">
        <v>-0.73450000000000004</v>
      </c>
      <c r="Q150" s="6">
        <v>0.1547</v>
      </c>
      <c r="R150" s="84">
        <f t="shared" ref="R150" si="82">((K150-D150)/D150)</f>
        <v>-1.5016687066198903E-2</v>
      </c>
      <c r="S150" s="84">
        <f t="shared" ref="S150" si="83">((N150-G150)/G150)</f>
        <v>-1.408584913063465E-2</v>
      </c>
      <c r="T150" s="84">
        <f t="shared" ref="T150" si="84">((O150-H150)/H150)</f>
        <v>7.1942446043165469E-4</v>
      </c>
      <c r="U150" s="84">
        <f t="shared" ref="U150" si="85">P150-I150</f>
        <v>-0.996</v>
      </c>
      <c r="V150" s="86">
        <f t="shared" ref="V150" si="86">Q150-J150</f>
        <v>-2.4299999999999988E-2</v>
      </c>
    </row>
    <row r="151" spans="1:22" x14ac:dyDescent="0.25">
      <c r="A151" s="131">
        <v>125</v>
      </c>
      <c r="B151" s="62" t="s">
        <v>181</v>
      </c>
      <c r="C151" s="63" t="s">
        <v>182</v>
      </c>
      <c r="D151" s="109">
        <v>771249452.75</v>
      </c>
      <c r="E151" s="3">
        <f>(D151/$D$153)</f>
        <v>0.20044668721629169</v>
      </c>
      <c r="F151" s="17">
        <v>20.98</v>
      </c>
      <c r="G151" s="17">
        <v>21.1995</v>
      </c>
      <c r="H151" s="60">
        <v>1508</v>
      </c>
      <c r="I151" s="5">
        <v>5.3E-3</v>
      </c>
      <c r="J151" s="5">
        <v>0.3276</v>
      </c>
      <c r="K151" s="109">
        <v>779487580.36000001</v>
      </c>
      <c r="L151" s="16">
        <f>(K151/$K$153)</f>
        <v>0.20237196364605209</v>
      </c>
      <c r="M151" s="17">
        <v>21.456900000000001</v>
      </c>
      <c r="N151" s="17">
        <v>21.686699999999998</v>
      </c>
      <c r="O151" s="60">
        <v>1506</v>
      </c>
      <c r="P151" s="5">
        <v>1.6E-2</v>
      </c>
      <c r="Q151" s="5">
        <v>0.3579</v>
      </c>
      <c r="R151" s="84">
        <f t="shared" ref="R151:R153" si="87">((K151-D151)/D151)</f>
        <v>1.06815344641423E-2</v>
      </c>
      <c r="S151" s="84">
        <f t="shared" ref="S151:S153" si="88">((N151-G151)/G151)</f>
        <v>2.2981674096087069E-2</v>
      </c>
      <c r="T151" s="84">
        <f t="shared" ref="T151:T153" si="89">((O151-H151)/H151)</f>
        <v>-1.3262599469496021E-3</v>
      </c>
      <c r="U151" s="84">
        <f t="shared" ref="U151:U153" si="90">P151-I151</f>
        <v>1.0700000000000001E-2</v>
      </c>
      <c r="V151" s="86">
        <f t="shared" ref="V151:V153" si="91">Q151-J151</f>
        <v>3.0299999999999994E-2</v>
      </c>
    </row>
    <row r="152" spans="1:22" x14ac:dyDescent="0.25">
      <c r="A152" s="131">
        <v>126</v>
      </c>
      <c r="B152" s="62" t="s">
        <v>183</v>
      </c>
      <c r="C152" s="63" t="s">
        <v>42</v>
      </c>
      <c r="D152" s="9">
        <v>2374373856.8200002</v>
      </c>
      <c r="E152" s="3">
        <f>(D152/$D$153)</f>
        <v>0.6170965465395446</v>
      </c>
      <c r="F152" s="17">
        <v>1.89</v>
      </c>
      <c r="G152" s="17">
        <v>1.91</v>
      </c>
      <c r="H152" s="60">
        <v>17748</v>
      </c>
      <c r="I152" s="5">
        <v>-1.04E-2</v>
      </c>
      <c r="J152" s="5">
        <v>0.32640000000000002</v>
      </c>
      <c r="K152" s="9">
        <v>2380780892.7199998</v>
      </c>
      <c r="L152" s="16">
        <f>(K152/$K$153)</f>
        <v>0.61810260536573303</v>
      </c>
      <c r="M152" s="17">
        <v>1.9</v>
      </c>
      <c r="N152" s="17">
        <v>1.92</v>
      </c>
      <c r="O152" s="60">
        <v>17750</v>
      </c>
      <c r="P152" s="5">
        <v>5.1999999999999998E-3</v>
      </c>
      <c r="Q152" s="5">
        <v>0.33329999999999999</v>
      </c>
      <c r="R152" s="84">
        <f t="shared" si="87"/>
        <v>2.6984107332535087E-3</v>
      </c>
      <c r="S152" s="84">
        <f t="shared" si="88"/>
        <v>5.2356020942408424E-3</v>
      </c>
      <c r="T152" s="84">
        <f t="shared" si="89"/>
        <v>1.126887536623845E-4</v>
      </c>
      <c r="U152" s="84">
        <f t="shared" si="90"/>
        <v>1.5599999999999999E-2</v>
      </c>
      <c r="V152" s="86">
        <f t="shared" si="91"/>
        <v>6.8999999999999617E-3</v>
      </c>
    </row>
    <row r="153" spans="1:22" x14ac:dyDescent="0.25">
      <c r="A153" s="78"/>
      <c r="B153" s="19"/>
      <c r="C153" s="69" t="s">
        <v>46</v>
      </c>
      <c r="D153" s="75">
        <f>SUM(D150:D152)</f>
        <v>3847653774.98</v>
      </c>
      <c r="E153" s="118">
        <f>(D153/$D$171)</f>
        <v>1.9618518615539052E-3</v>
      </c>
      <c r="F153" s="30"/>
      <c r="G153" s="36"/>
      <c r="H153" s="68">
        <f>SUM(H150:H152)</f>
        <v>20646</v>
      </c>
      <c r="I153" s="37"/>
      <c r="J153" s="37"/>
      <c r="K153" s="75">
        <f>SUM(K150:K152)</f>
        <v>3851756766.6799998</v>
      </c>
      <c r="L153" s="118">
        <f>(K153/$K$171)</f>
        <v>1.9237716924101875E-3</v>
      </c>
      <c r="M153" s="30"/>
      <c r="N153" s="36"/>
      <c r="O153" s="68">
        <f>SUM(O150:O152)</f>
        <v>20647</v>
      </c>
      <c r="P153" s="37"/>
      <c r="Q153" s="37"/>
      <c r="R153" s="84">
        <f t="shared" si="87"/>
        <v>1.0663619805607735E-3</v>
      </c>
      <c r="S153" s="84" t="e">
        <f t="shared" si="88"/>
        <v>#DIV/0!</v>
      </c>
      <c r="T153" s="84">
        <f t="shared" si="89"/>
        <v>4.8435532306500046E-5</v>
      </c>
      <c r="U153" s="84">
        <f t="shared" si="90"/>
        <v>0</v>
      </c>
      <c r="V153" s="86">
        <f t="shared" si="91"/>
        <v>0</v>
      </c>
    </row>
    <row r="154" spans="1:22" ht="6" customHeigh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</row>
    <row r="155" spans="1:22" ht="15" customHeight="1" x14ac:dyDescent="0.25">
      <c r="A155" s="138" t="s">
        <v>184</v>
      </c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</row>
    <row r="156" spans="1:22" x14ac:dyDescent="0.25">
      <c r="A156" s="139" t="s">
        <v>233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</row>
    <row r="157" spans="1:22" x14ac:dyDescent="0.25">
      <c r="A157" s="131">
        <v>127</v>
      </c>
      <c r="B157" s="62" t="s">
        <v>185</v>
      </c>
      <c r="C157" s="63" t="s">
        <v>186</v>
      </c>
      <c r="D157" s="13">
        <v>3708723659.52</v>
      </c>
      <c r="E157" s="3">
        <f>(D157/$D$170)</f>
        <v>8.1818651162496994E-2</v>
      </c>
      <c r="F157" s="18">
        <v>1.82</v>
      </c>
      <c r="G157" s="18">
        <v>1.85</v>
      </c>
      <c r="H157" s="61">
        <v>14978</v>
      </c>
      <c r="I157" s="12">
        <v>2.8E-3</v>
      </c>
      <c r="J157" s="12">
        <v>0.1396</v>
      </c>
      <c r="K157" s="13">
        <v>3698819563.1900001</v>
      </c>
      <c r="L157" s="3">
        <f>(K157/$K$170)</f>
        <v>8.0420248865375896E-2</v>
      </c>
      <c r="M157" s="18">
        <v>1.81</v>
      </c>
      <c r="N157" s="18">
        <v>1.85</v>
      </c>
      <c r="O157" s="61">
        <v>14976</v>
      </c>
      <c r="P157" s="12">
        <v>-2.7000000000000001E-3</v>
      </c>
      <c r="Q157" s="12">
        <v>0.1366</v>
      </c>
      <c r="R157" s="84">
        <f t="shared" ref="R157" si="92">((K157-D157)/D157)</f>
        <v>-2.6704864636050442E-3</v>
      </c>
      <c r="S157" s="84">
        <f t="shared" ref="S157" si="93">((N157-G157)/G157)</f>
        <v>0</v>
      </c>
      <c r="T157" s="84">
        <f t="shared" ref="T157" si="94">((O157-H157)/H157)</f>
        <v>-1.3352917612498332E-4</v>
      </c>
      <c r="U157" s="84">
        <f t="shared" ref="U157" si="95">P157-I157</f>
        <v>-5.4999999999999997E-3</v>
      </c>
      <c r="V157" s="86">
        <f t="shared" ref="V157" si="96">Q157-J157</f>
        <v>-3.0000000000000027E-3</v>
      </c>
    </row>
    <row r="158" spans="1:22" x14ac:dyDescent="0.25">
      <c r="A158" s="131">
        <v>128</v>
      </c>
      <c r="B158" s="62" t="s">
        <v>187</v>
      </c>
      <c r="C158" s="63" t="s">
        <v>42</v>
      </c>
      <c r="D158" s="13">
        <v>509977686</v>
      </c>
      <c r="E158" s="3">
        <f>(D158/$D$170)</f>
        <v>1.1250686279735319E-2</v>
      </c>
      <c r="F158" s="18">
        <v>364.17</v>
      </c>
      <c r="G158" s="18">
        <v>368.75</v>
      </c>
      <c r="H158" s="61">
        <v>1277</v>
      </c>
      <c r="I158" s="12">
        <v>-6.4999999999999997E-3</v>
      </c>
      <c r="J158" s="12">
        <v>0.38890000000000002</v>
      </c>
      <c r="K158" s="13">
        <v>515373576.35000002</v>
      </c>
      <c r="L158" s="3">
        <f>(K158/$K$170)</f>
        <v>1.1205323904191971E-2</v>
      </c>
      <c r="M158" s="18">
        <v>368</v>
      </c>
      <c r="N158" s="18">
        <v>372.52</v>
      </c>
      <c r="O158" s="61">
        <v>1280</v>
      </c>
      <c r="P158" s="12">
        <v>1.0200000000000001E-2</v>
      </c>
      <c r="Q158" s="12">
        <v>0.40310000000000001</v>
      </c>
      <c r="R158" s="84">
        <f t="shared" ref="R158" si="97">((K158-D158)/D158)</f>
        <v>1.0580640090986302E-2</v>
      </c>
      <c r="S158" s="84">
        <f t="shared" ref="S158" si="98">((N158-G158)/G158)</f>
        <v>1.0223728813559273E-2</v>
      </c>
      <c r="T158" s="84">
        <f t="shared" ref="T158" si="99">((O158-H158)/H158)</f>
        <v>2.3492560689115116E-3</v>
      </c>
      <c r="U158" s="84">
        <f t="shared" ref="U158" si="100">P158-I158</f>
        <v>1.67E-2</v>
      </c>
      <c r="V158" s="86">
        <f t="shared" ref="V158" si="101">Q158-J158</f>
        <v>1.419999999999999E-2</v>
      </c>
    </row>
    <row r="159" spans="1:22" ht="6" customHeight="1" x14ac:dyDescent="0.25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</row>
    <row r="160" spans="1:22" ht="15" customHeight="1" x14ac:dyDescent="0.25">
      <c r="A160" s="139" t="s">
        <v>232</v>
      </c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</row>
    <row r="161" spans="1:24" x14ac:dyDescent="0.25">
      <c r="A161" s="126">
        <v>129</v>
      </c>
      <c r="B161" s="62" t="s">
        <v>188</v>
      </c>
      <c r="C161" s="63" t="s">
        <v>189</v>
      </c>
      <c r="D161" s="2">
        <v>421442043.81999999</v>
      </c>
      <c r="E161" s="3">
        <f t="shared" ref="E161:E169" si="102">(D161/$D$170)</f>
        <v>9.2974895770425621E-3</v>
      </c>
      <c r="F161" s="2">
        <v>1042.21</v>
      </c>
      <c r="G161" s="2">
        <v>1042.21</v>
      </c>
      <c r="H161" s="60">
        <v>21</v>
      </c>
      <c r="I161" s="5">
        <v>2.2000000000000001E-3</v>
      </c>
      <c r="J161" s="5">
        <v>4.2200000000000001E-2</v>
      </c>
      <c r="K161" s="2">
        <v>416818747.45999998</v>
      </c>
      <c r="L161" s="3">
        <f t="shared" ref="L161:L169" si="103">(K161/$K$170)</f>
        <v>9.0625311210309461E-3</v>
      </c>
      <c r="M161" s="2">
        <v>1021.66</v>
      </c>
      <c r="N161" s="2">
        <v>1021.66</v>
      </c>
      <c r="O161" s="60">
        <v>21</v>
      </c>
      <c r="P161" s="5">
        <v>1.6999999999999999E-3</v>
      </c>
      <c r="Q161" s="5">
        <v>5.9400000000000001E-2</v>
      </c>
      <c r="R161" s="84">
        <f t="shared" ref="R161" si="104">((K161-D161)/D161)</f>
        <v>-1.0970183036542618E-2</v>
      </c>
      <c r="S161" s="84">
        <f t="shared" ref="S161" si="105">((N161-G161)/G161)</f>
        <v>-1.971771523973102E-2</v>
      </c>
      <c r="T161" s="84">
        <f t="shared" ref="T161" si="106">((O161-H161)/H161)</f>
        <v>0</v>
      </c>
      <c r="U161" s="84">
        <f t="shared" ref="U161" si="107">P161-I161</f>
        <v>-5.0000000000000023E-4</v>
      </c>
      <c r="V161" s="86">
        <f t="shared" ref="V161" si="108">Q161-J161</f>
        <v>1.72E-2</v>
      </c>
      <c r="X161" s="73"/>
    </row>
    <row r="162" spans="1:24" x14ac:dyDescent="0.25">
      <c r="A162" s="131">
        <v>130</v>
      </c>
      <c r="B162" s="62" t="s">
        <v>190</v>
      </c>
      <c r="C162" s="63" t="s">
        <v>58</v>
      </c>
      <c r="D162" s="2">
        <v>50725240.939999998</v>
      </c>
      <c r="E162" s="3">
        <f t="shared" si="102"/>
        <v>1.1190563586343388E-3</v>
      </c>
      <c r="F162" s="17">
        <v>110.13</v>
      </c>
      <c r="G162" s="17">
        <v>110.13</v>
      </c>
      <c r="H162" s="60">
        <v>57</v>
      </c>
      <c r="I162" s="5">
        <v>1.5E-3</v>
      </c>
      <c r="J162" s="5">
        <v>0.1166</v>
      </c>
      <c r="K162" s="2">
        <v>51874069</v>
      </c>
      <c r="L162" s="3">
        <f t="shared" si="103"/>
        <v>1.1278532157004786E-3</v>
      </c>
      <c r="M162" s="17">
        <v>110.33</v>
      </c>
      <c r="N162" s="17">
        <v>110.33</v>
      </c>
      <c r="O162" s="60">
        <v>59</v>
      </c>
      <c r="P162" s="5">
        <v>1.8E-3</v>
      </c>
      <c r="Q162" s="5">
        <v>0.1164</v>
      </c>
      <c r="R162" s="84">
        <f t="shared" ref="R162:R170" si="109">((K162-D162)/D162)</f>
        <v>2.2648055262248744E-2</v>
      </c>
      <c r="S162" s="84">
        <f t="shared" ref="S162:S170" si="110">((N162-G162)/G162)</f>
        <v>1.8160355942976741E-3</v>
      </c>
      <c r="T162" s="84">
        <f t="shared" ref="T162:T170" si="111">((O162-H162)/H162)</f>
        <v>3.5087719298245612E-2</v>
      </c>
      <c r="U162" s="84">
        <f t="shared" ref="U162:U170" si="112">P162-I162</f>
        <v>2.9999999999999992E-4</v>
      </c>
      <c r="V162" s="86">
        <f t="shared" ref="V162:V170" si="113">Q162-J162</f>
        <v>-1.9999999999999185E-4</v>
      </c>
    </row>
    <row r="163" spans="1:24" x14ac:dyDescent="0.25">
      <c r="A163" s="134">
        <v>131</v>
      </c>
      <c r="B163" s="136" t="s">
        <v>191</v>
      </c>
      <c r="C163" s="63" t="s">
        <v>64</v>
      </c>
      <c r="D163" s="9">
        <v>54079470.969999999</v>
      </c>
      <c r="E163" s="3">
        <f t="shared" si="102"/>
        <v>1.1930544781865681E-3</v>
      </c>
      <c r="F163" s="17">
        <v>102.85</v>
      </c>
      <c r="G163" s="17">
        <v>109.2</v>
      </c>
      <c r="H163" s="60">
        <v>10</v>
      </c>
      <c r="I163" s="5">
        <v>1.9E-3</v>
      </c>
      <c r="J163" s="5">
        <v>6.9500000000000006E-2</v>
      </c>
      <c r="K163" s="9">
        <v>55243955.659999996</v>
      </c>
      <c r="L163" s="3">
        <f t="shared" si="103"/>
        <v>1.2011217596820032E-3</v>
      </c>
      <c r="M163" s="17">
        <v>103.09</v>
      </c>
      <c r="N163" s="17">
        <v>109.46</v>
      </c>
      <c r="O163" s="60">
        <v>10</v>
      </c>
      <c r="P163" s="5">
        <v>2.5999999999999999E-3</v>
      </c>
      <c r="Q163" s="5">
        <v>7.2099999999999997E-2</v>
      </c>
      <c r="R163" s="84">
        <f t="shared" si="109"/>
        <v>2.1532841744069258E-2</v>
      </c>
      <c r="S163" s="84">
        <f t="shared" si="110"/>
        <v>2.3809523809522975E-3</v>
      </c>
      <c r="T163" s="84">
        <f t="shared" si="111"/>
        <v>0</v>
      </c>
      <c r="U163" s="84">
        <f t="shared" si="112"/>
        <v>6.9999999999999988E-4</v>
      </c>
      <c r="V163" s="86">
        <f t="shared" si="113"/>
        <v>2.5999999999999912E-3</v>
      </c>
    </row>
    <row r="164" spans="1:24" x14ac:dyDescent="0.25">
      <c r="A164" s="125">
        <v>132</v>
      </c>
      <c r="B164" s="62" t="s">
        <v>192</v>
      </c>
      <c r="C164" s="63" t="s">
        <v>27</v>
      </c>
      <c r="D164" s="2">
        <v>9048002437.5900002</v>
      </c>
      <c r="E164" s="3">
        <f t="shared" si="102"/>
        <v>0.19960919796715484</v>
      </c>
      <c r="F164" s="17">
        <v>130.12</v>
      </c>
      <c r="G164" s="17">
        <v>130.12</v>
      </c>
      <c r="H164" s="60">
        <v>583</v>
      </c>
      <c r="I164" s="5">
        <v>-3.44E-2</v>
      </c>
      <c r="J164" s="5">
        <v>0.1308</v>
      </c>
      <c r="K164" s="2">
        <v>8760513528.2099991</v>
      </c>
      <c r="L164" s="3">
        <f t="shared" si="103"/>
        <v>0.19047230233624421</v>
      </c>
      <c r="M164" s="17">
        <v>130.43</v>
      </c>
      <c r="N164" s="17">
        <v>130.43</v>
      </c>
      <c r="O164" s="60">
        <v>590</v>
      </c>
      <c r="P164" s="5">
        <v>2.3999999999999998E-3</v>
      </c>
      <c r="Q164" s="5">
        <v>0.13020000000000001</v>
      </c>
      <c r="R164" s="84">
        <f t="shared" si="109"/>
        <v>-3.1773743581856924E-2</v>
      </c>
      <c r="S164" s="84">
        <f t="shared" si="110"/>
        <v>2.3824162311712441E-3</v>
      </c>
      <c r="T164" s="84">
        <f t="shared" si="111"/>
        <v>1.2006861063464836E-2</v>
      </c>
      <c r="U164" s="84">
        <f t="shared" si="112"/>
        <v>3.6799999999999999E-2</v>
      </c>
      <c r="V164" s="86">
        <f t="shared" si="113"/>
        <v>-5.9999999999998943E-4</v>
      </c>
    </row>
    <row r="165" spans="1:24" x14ac:dyDescent="0.25">
      <c r="A165" s="131">
        <v>133</v>
      </c>
      <c r="B165" s="62" t="s">
        <v>193</v>
      </c>
      <c r="C165" s="63" t="s">
        <v>186</v>
      </c>
      <c r="D165" s="2">
        <v>18075974424.689999</v>
      </c>
      <c r="E165" s="3">
        <f t="shared" si="102"/>
        <v>0.3987765014736474</v>
      </c>
      <c r="F165" s="17">
        <v>1213.67</v>
      </c>
      <c r="G165" s="17">
        <v>1213.67</v>
      </c>
      <c r="H165" s="60">
        <v>7143</v>
      </c>
      <c r="I165" s="5">
        <v>1.8E-3</v>
      </c>
      <c r="J165" s="5">
        <v>8.4599999999999995E-2</v>
      </c>
      <c r="K165" s="2">
        <v>17961092794.66</v>
      </c>
      <c r="L165" s="3">
        <f t="shared" si="103"/>
        <v>0.39051257509704851</v>
      </c>
      <c r="M165" s="17">
        <v>1187.4100000000001</v>
      </c>
      <c r="N165" s="17">
        <v>1187.4100000000001</v>
      </c>
      <c r="O165" s="60">
        <v>7159</v>
      </c>
      <c r="P165" s="5">
        <v>-2.1600000000000001E-2</v>
      </c>
      <c r="Q165" s="5">
        <v>8.5999999999999993E-2</v>
      </c>
      <c r="R165" s="84">
        <f t="shared" si="109"/>
        <v>-6.3554875289645136E-3</v>
      </c>
      <c r="S165" s="84">
        <f t="shared" si="110"/>
        <v>-2.1636853510427042E-2</v>
      </c>
      <c r="T165" s="84">
        <f t="shared" si="111"/>
        <v>2.2399552008959822E-3</v>
      </c>
      <c r="U165" s="84">
        <f t="shared" si="112"/>
        <v>-2.3400000000000001E-2</v>
      </c>
      <c r="V165" s="86">
        <f t="shared" si="113"/>
        <v>1.3999999999999985E-3</v>
      </c>
    </row>
    <row r="166" spans="1:24" x14ac:dyDescent="0.25">
      <c r="A166" s="128">
        <v>134</v>
      </c>
      <c r="B166" s="62" t="s">
        <v>194</v>
      </c>
      <c r="C166" s="63" t="s">
        <v>78</v>
      </c>
      <c r="D166" s="2">
        <v>747809442.88999999</v>
      </c>
      <c r="E166" s="3">
        <f t="shared" si="102"/>
        <v>1.6497524636752508E-2</v>
      </c>
      <c r="F166" s="14">
        <v>102.18</v>
      </c>
      <c r="G166" s="14">
        <v>102.18</v>
      </c>
      <c r="H166" s="60">
        <v>510</v>
      </c>
      <c r="I166" s="5">
        <v>2.0999999999999999E-3</v>
      </c>
      <c r="J166" s="5">
        <v>8.0600000000000005E-2</v>
      </c>
      <c r="K166" s="2">
        <v>765166034.13999999</v>
      </c>
      <c r="L166" s="3">
        <f t="shared" si="103"/>
        <v>1.6636346228200861E-2</v>
      </c>
      <c r="M166" s="14">
        <v>102.44</v>
      </c>
      <c r="N166" s="14">
        <v>102.44</v>
      </c>
      <c r="O166" s="60">
        <v>510</v>
      </c>
      <c r="P166" s="5">
        <v>2.5000000000000001E-3</v>
      </c>
      <c r="Q166" s="5">
        <v>8.3199999999999996E-2</v>
      </c>
      <c r="R166" s="84">
        <f t="shared" si="109"/>
        <v>2.3209911849900365E-2</v>
      </c>
      <c r="S166" s="84">
        <f t="shared" si="110"/>
        <v>2.5445292620864248E-3</v>
      </c>
      <c r="T166" s="84">
        <f t="shared" si="111"/>
        <v>0</v>
      </c>
      <c r="U166" s="84">
        <f t="shared" si="112"/>
        <v>4.0000000000000018E-4</v>
      </c>
      <c r="V166" s="86">
        <f t="shared" si="113"/>
        <v>2.5999999999999912E-3</v>
      </c>
    </row>
    <row r="167" spans="1:24" ht="15.75" customHeight="1" x14ac:dyDescent="0.25">
      <c r="A167" s="131">
        <v>135</v>
      </c>
      <c r="B167" s="62" t="s">
        <v>195</v>
      </c>
      <c r="C167" s="63" t="s">
        <v>42</v>
      </c>
      <c r="D167" s="2">
        <v>8504022090.7600002</v>
      </c>
      <c r="E167" s="3">
        <f t="shared" si="102"/>
        <v>0.18760837441636533</v>
      </c>
      <c r="F167" s="14">
        <v>126.49</v>
      </c>
      <c r="G167" s="14">
        <v>126.49</v>
      </c>
      <c r="H167" s="60">
        <v>1912</v>
      </c>
      <c r="I167" s="5">
        <v>1.1999999999999999E-3</v>
      </c>
      <c r="J167" s="5">
        <v>4.5199999999999997E-2</v>
      </c>
      <c r="K167" s="2">
        <v>8321809615.9300003</v>
      </c>
      <c r="L167" s="3">
        <f t="shared" si="103"/>
        <v>0.18093394092092169</v>
      </c>
      <c r="M167" s="14">
        <v>126.65</v>
      </c>
      <c r="N167" s="14">
        <v>126.65</v>
      </c>
      <c r="O167" s="60">
        <v>1916</v>
      </c>
      <c r="P167" s="5">
        <v>1.2999999999999999E-3</v>
      </c>
      <c r="Q167" s="5">
        <v>4.65E-2</v>
      </c>
      <c r="R167" s="84">
        <f t="shared" si="109"/>
        <v>-2.1426622942099589E-2</v>
      </c>
      <c r="S167" s="84">
        <f t="shared" si="110"/>
        <v>1.2649221282315661E-3</v>
      </c>
      <c r="T167" s="84">
        <f t="shared" si="111"/>
        <v>2.0920502092050207E-3</v>
      </c>
      <c r="U167" s="84">
        <f t="shared" si="112"/>
        <v>1.0000000000000005E-4</v>
      </c>
      <c r="V167" s="86">
        <f t="shared" si="113"/>
        <v>1.3000000000000025E-3</v>
      </c>
    </row>
    <row r="168" spans="1:24" x14ac:dyDescent="0.25">
      <c r="A168" s="131">
        <v>136</v>
      </c>
      <c r="B168" s="62" t="s">
        <v>196</v>
      </c>
      <c r="C168" s="63" t="s">
        <v>45</v>
      </c>
      <c r="D168" s="2">
        <v>3891497068.6100001</v>
      </c>
      <c r="E168" s="3">
        <f t="shared" si="102"/>
        <v>8.5850839908004795E-2</v>
      </c>
      <c r="F168" s="14">
        <v>1.1497999999999999</v>
      </c>
      <c r="G168" s="14">
        <v>1.1497999999999999</v>
      </c>
      <c r="H168" s="60">
        <v>542</v>
      </c>
      <c r="I168" s="5">
        <v>0.1</v>
      </c>
      <c r="J168" s="5">
        <v>0.1116</v>
      </c>
      <c r="K168" s="2">
        <v>5114956673.2399998</v>
      </c>
      <c r="L168" s="3">
        <f t="shared" si="103"/>
        <v>0.11121009867343076</v>
      </c>
      <c r="M168" s="14">
        <v>1.1518999999999999</v>
      </c>
      <c r="N168" s="14">
        <v>1.1518999999999999</v>
      </c>
      <c r="O168" s="60">
        <v>551</v>
      </c>
      <c r="P168" s="5">
        <v>9.9699999999999997E-2</v>
      </c>
      <c r="Q168" s="5">
        <v>0.11119999999999999</v>
      </c>
      <c r="R168" s="84">
        <f t="shared" si="109"/>
        <v>0.31439304284687691</v>
      </c>
      <c r="S168" s="84">
        <f t="shared" si="110"/>
        <v>1.8264045921029665E-3</v>
      </c>
      <c r="T168" s="84">
        <f t="shared" si="111"/>
        <v>1.6605166051660517E-2</v>
      </c>
      <c r="U168" s="84">
        <f t="shared" si="112"/>
        <v>-3.0000000000000859E-4</v>
      </c>
      <c r="V168" s="86">
        <f t="shared" si="113"/>
        <v>-4.0000000000001146E-4</v>
      </c>
    </row>
    <row r="169" spans="1:24" x14ac:dyDescent="0.25">
      <c r="A169" s="135">
        <v>137</v>
      </c>
      <c r="B169" s="62" t="s">
        <v>197</v>
      </c>
      <c r="C169" s="63" t="s">
        <v>198</v>
      </c>
      <c r="D169" s="13">
        <v>316331137.39999998</v>
      </c>
      <c r="E169" s="3">
        <f t="shared" si="102"/>
        <v>6.9786237419792669E-3</v>
      </c>
      <c r="F169" s="14">
        <v>98.944199999999995</v>
      </c>
      <c r="G169" s="18">
        <v>98.977900000000005</v>
      </c>
      <c r="H169" s="61">
        <v>110</v>
      </c>
      <c r="I169" s="12">
        <v>1.0177999999999999E-3</v>
      </c>
      <c r="J169" s="12">
        <v>-1.06E-2</v>
      </c>
      <c r="K169" s="13">
        <v>331966321.13</v>
      </c>
      <c r="L169" s="3">
        <f t="shared" si="103"/>
        <v>7.2176578781727773E-3</v>
      </c>
      <c r="M169" s="18">
        <v>99.088800000000006</v>
      </c>
      <c r="N169" s="18">
        <v>99.121600000000001</v>
      </c>
      <c r="O169" s="61">
        <v>126</v>
      </c>
      <c r="P169" s="12">
        <v>5.9500000000000004E-4</v>
      </c>
      <c r="Q169" s="12">
        <v>-9.1120000000000003E-3</v>
      </c>
      <c r="R169" s="84">
        <f t="shared" si="109"/>
        <v>4.9426635197879258E-2</v>
      </c>
      <c r="S169" s="84">
        <f t="shared" si="110"/>
        <v>1.451839248963612E-3</v>
      </c>
      <c r="T169" s="84">
        <f t="shared" si="111"/>
        <v>0.14545454545454545</v>
      </c>
      <c r="U169" s="84">
        <f t="shared" si="112"/>
        <v>-4.2279999999999987E-4</v>
      </c>
      <c r="V169" s="86">
        <f t="shared" si="113"/>
        <v>1.4879999999999997E-3</v>
      </c>
    </row>
    <row r="170" spans="1:24" x14ac:dyDescent="0.25">
      <c r="A170" s="88"/>
      <c r="B170" s="19"/>
      <c r="C170" s="69" t="s">
        <v>46</v>
      </c>
      <c r="D170" s="59">
        <f>SUM(D157:D169)</f>
        <v>45328584703.190002</v>
      </c>
      <c r="E170" s="118">
        <f>(D170/$D$171)</f>
        <v>2.311225840012578E-2</v>
      </c>
      <c r="F170" s="30"/>
      <c r="G170" s="34"/>
      <c r="H170" s="71">
        <f>SUM(H157:H169)</f>
        <v>27143</v>
      </c>
      <c r="I170" s="35"/>
      <c r="J170" s="35"/>
      <c r="K170" s="59">
        <f>SUM(K157:K169)</f>
        <v>45993634878.969994</v>
      </c>
      <c r="L170" s="118">
        <f>(K170/$K$171)</f>
        <v>2.2971661548472661E-2</v>
      </c>
      <c r="M170" s="30"/>
      <c r="N170" s="34"/>
      <c r="O170" s="71">
        <f>SUM(O157:O169)</f>
        <v>27198</v>
      </c>
      <c r="P170" s="35"/>
      <c r="Q170" s="35"/>
      <c r="R170" s="84">
        <f t="shared" si="109"/>
        <v>1.4671761320912987E-2</v>
      </c>
      <c r="S170" s="84" t="e">
        <f t="shared" si="110"/>
        <v>#DIV/0!</v>
      </c>
      <c r="T170" s="84">
        <f t="shared" si="111"/>
        <v>2.02630512470987E-3</v>
      </c>
      <c r="U170" s="84">
        <f t="shared" si="112"/>
        <v>0</v>
      </c>
      <c r="V170" s="86">
        <f t="shared" si="113"/>
        <v>0</v>
      </c>
    </row>
    <row r="171" spans="1:24" x14ac:dyDescent="0.25">
      <c r="A171" s="89"/>
      <c r="B171" s="38"/>
      <c r="C171" s="70" t="s">
        <v>199</v>
      </c>
      <c r="D171" s="72">
        <f>SUM(D22,D54,D87,D113,D120,D147,D153,D170)</f>
        <v>1961235631691.5928</v>
      </c>
      <c r="E171" s="39"/>
      <c r="F171" s="39"/>
      <c r="G171" s="40"/>
      <c r="H171" s="72">
        <f>SUM(H22,H54,H87,H113,H120,H147,H153,H170)</f>
        <v>752982</v>
      </c>
      <c r="I171" s="41"/>
      <c r="J171" s="41"/>
      <c r="K171" s="72">
        <f>SUM(K22,K54,K87,K113,K120,K147,K153,K170)</f>
        <v>2002190167303.2449</v>
      </c>
      <c r="L171" s="39"/>
      <c r="M171" s="39"/>
      <c r="N171" s="40"/>
      <c r="O171" s="72">
        <f>SUM(O22,O54,O87,O113,O120,O147,O153,O170)</f>
        <v>753408</v>
      </c>
      <c r="P171" s="42"/>
      <c r="Q171" s="72"/>
      <c r="R171" s="25"/>
      <c r="S171" s="25"/>
      <c r="T171" s="25"/>
      <c r="U171" s="25"/>
      <c r="V171" s="25"/>
    </row>
    <row r="172" spans="1:24" ht="6.75" customHeight="1" x14ac:dyDescent="0.25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9"/>
    </row>
    <row r="173" spans="1:24" ht="15.75" x14ac:dyDescent="0.25">
      <c r="A173" s="138" t="s">
        <v>200</v>
      </c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</row>
    <row r="174" spans="1:24" x14ac:dyDescent="0.25">
      <c r="A174" s="120">
        <v>1</v>
      </c>
      <c r="B174" s="62" t="s">
        <v>201</v>
      </c>
      <c r="C174" s="63" t="s">
        <v>202</v>
      </c>
      <c r="D174" s="2">
        <v>92548651821</v>
      </c>
      <c r="E174" s="3">
        <f>(D174/$D$176)</f>
        <v>0.97877795976086401</v>
      </c>
      <c r="F174" s="14">
        <v>108.4</v>
      </c>
      <c r="G174" s="14">
        <v>108.4</v>
      </c>
      <c r="H174" s="66"/>
      <c r="I174" s="20">
        <v>0</v>
      </c>
      <c r="J174" s="20">
        <v>0.13800000000000001</v>
      </c>
      <c r="K174" s="2">
        <v>92548651821</v>
      </c>
      <c r="L174" s="3">
        <f>(K174/$K$176)</f>
        <v>0.97870710423930085</v>
      </c>
      <c r="M174" s="14">
        <v>108.4</v>
      </c>
      <c r="N174" s="14">
        <v>108.4</v>
      </c>
      <c r="O174" s="66">
        <v>0</v>
      </c>
      <c r="P174" s="20">
        <v>0</v>
      </c>
      <c r="Q174" s="20">
        <v>0.13800000000000001</v>
      </c>
      <c r="R174" s="84">
        <f t="shared" ref="R174:R175" si="114">((K174-D174)/D174)</f>
        <v>0</v>
      </c>
      <c r="S174" s="84">
        <f t="shared" ref="S174:S175" si="115">((N174-G174)/G174)</f>
        <v>0</v>
      </c>
      <c r="T174" s="84" t="e">
        <f t="shared" ref="T174:T175" si="116">((O174-H174)/H174)</f>
        <v>#DIV/0!</v>
      </c>
      <c r="U174" s="84">
        <f t="shared" ref="U174:U175" si="117">P174-I174</f>
        <v>0</v>
      </c>
      <c r="V174" s="86">
        <f t="shared" ref="V174:V175" si="118">Q174-J174</f>
        <v>0</v>
      </c>
    </row>
    <row r="175" spans="1:24" x14ac:dyDescent="0.25">
      <c r="A175" s="131">
        <v>2</v>
      </c>
      <c r="B175" s="62" t="s">
        <v>203</v>
      </c>
      <c r="C175" s="63" t="s">
        <v>45</v>
      </c>
      <c r="D175" s="2">
        <v>2006656559.27</v>
      </c>
      <c r="E175" s="3">
        <f>(D175/$D$176)</f>
        <v>2.1222040239135962E-2</v>
      </c>
      <c r="F175" s="21">
        <v>1000000</v>
      </c>
      <c r="G175" s="21">
        <v>1000000</v>
      </c>
      <c r="H175" s="66">
        <v>0</v>
      </c>
      <c r="I175" s="20">
        <v>0.16650000000000001</v>
      </c>
      <c r="J175" s="20">
        <v>0.16650000000000001</v>
      </c>
      <c r="K175" s="2">
        <v>2013502086.05</v>
      </c>
      <c r="L175" s="3">
        <f>(K175/$K$176)</f>
        <v>2.129289576069909E-2</v>
      </c>
      <c r="M175" s="21">
        <v>1000000</v>
      </c>
      <c r="N175" s="21">
        <v>1000000</v>
      </c>
      <c r="O175" s="66">
        <v>0</v>
      </c>
      <c r="P175" s="20">
        <v>0.16689999999999999</v>
      </c>
      <c r="Q175" s="20">
        <v>0.16689999999999999</v>
      </c>
      <c r="R175" s="84">
        <f t="shared" si="114"/>
        <v>3.4114092660132633E-3</v>
      </c>
      <c r="S175" s="84">
        <f t="shared" si="115"/>
        <v>0</v>
      </c>
      <c r="T175" s="84" t="e">
        <f t="shared" si="116"/>
        <v>#DIV/0!</v>
      </c>
      <c r="U175" s="84">
        <f t="shared" si="117"/>
        <v>3.999999999999837E-4</v>
      </c>
      <c r="V175" s="86">
        <f t="shared" si="118"/>
        <v>3.999999999999837E-4</v>
      </c>
    </row>
    <row r="176" spans="1:24" x14ac:dyDescent="0.25">
      <c r="A176" s="38"/>
      <c r="B176" s="38"/>
      <c r="C176" s="70" t="s">
        <v>204</v>
      </c>
      <c r="D176" s="76">
        <f>SUM(D174:D175)</f>
        <v>94555308380.270004</v>
      </c>
      <c r="E176" s="24"/>
      <c r="F176" s="22"/>
      <c r="G176" s="22"/>
      <c r="H176" s="76">
        <f>SUM(H174:H175)</f>
        <v>0</v>
      </c>
      <c r="I176" s="23"/>
      <c r="J176" s="23"/>
      <c r="K176" s="76">
        <f>SUM(K174:K175)</f>
        <v>94562153907.050003</v>
      </c>
      <c r="L176" s="24"/>
      <c r="M176" s="22"/>
      <c r="N176" s="22"/>
      <c r="O176" s="23"/>
      <c r="P176" s="23"/>
      <c r="Q176" s="76"/>
      <c r="R176" s="25">
        <f>((K176-D176)/D176)</f>
        <v>7.2397064715482151E-5</v>
      </c>
      <c r="S176" s="26"/>
      <c r="T176" s="26"/>
      <c r="U176" s="25">
        <f t="shared" ref="U176:V176" si="119">O176-H176</f>
        <v>0</v>
      </c>
      <c r="V176" s="90">
        <f t="shared" si="119"/>
        <v>0</v>
      </c>
    </row>
    <row r="177" spans="1:22" ht="8.25" customHeight="1" x14ac:dyDescent="0.25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</row>
    <row r="178" spans="1:22" ht="15.75" x14ac:dyDescent="0.25">
      <c r="A178" s="138" t="s">
        <v>205</v>
      </c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</row>
    <row r="179" spans="1:22" x14ac:dyDescent="0.25">
      <c r="A179" s="131">
        <v>1</v>
      </c>
      <c r="B179" s="62" t="s">
        <v>206</v>
      </c>
      <c r="C179" s="63" t="s">
        <v>74</v>
      </c>
      <c r="D179" s="27">
        <v>683128883.21719611</v>
      </c>
      <c r="E179" s="10">
        <f t="shared" ref="E179:E190" si="120">(D179/$D$191)</f>
        <v>7.240815914310321E-2</v>
      </c>
      <c r="F179" s="21">
        <v>157.27613289218283</v>
      </c>
      <c r="G179" s="21">
        <v>160.25134024634499</v>
      </c>
      <c r="H179" s="65">
        <v>103</v>
      </c>
      <c r="I179" s="28">
        <v>1.3253362131026902E-2</v>
      </c>
      <c r="J179" s="28">
        <v>0.24645329145556</v>
      </c>
      <c r="K179" s="27">
        <v>681444400.55532622</v>
      </c>
      <c r="L179" s="10">
        <f t="shared" ref="L179:L190" si="121">(K179/$K$191)</f>
        <v>7.2452479313295626E-2</v>
      </c>
      <c r="M179" s="21">
        <v>157.27613289218283</v>
      </c>
      <c r="N179" s="21">
        <v>160.25134024634499</v>
      </c>
      <c r="O179" s="65">
        <v>103</v>
      </c>
      <c r="P179" s="28">
        <v>-2.4204883183391899E-4</v>
      </c>
      <c r="Q179" s="28">
        <v>0.24887377977389899</v>
      </c>
      <c r="R179" s="84">
        <f t="shared" ref="R179" si="122">((K179-D179)/D179)</f>
        <v>-2.4658343443726329E-3</v>
      </c>
      <c r="S179" s="84">
        <f t="shared" ref="S179" si="123">((N179-G179)/G179)</f>
        <v>0</v>
      </c>
      <c r="T179" s="84">
        <f t="shared" ref="T179" si="124">((O179-H179)/H179)</f>
        <v>0</v>
      </c>
      <c r="U179" s="84">
        <f t="shared" ref="U179" si="125">P179-I179</f>
        <v>-1.3495410962860822E-2</v>
      </c>
      <c r="V179" s="86">
        <f t="shared" ref="V179" si="126">Q179-J179</f>
        <v>2.4204883183389925E-3</v>
      </c>
    </row>
    <row r="180" spans="1:22" x14ac:dyDescent="0.25">
      <c r="A180" s="131">
        <v>2</v>
      </c>
      <c r="B180" s="62" t="s">
        <v>207</v>
      </c>
      <c r="C180" s="63" t="s">
        <v>186</v>
      </c>
      <c r="D180" s="27">
        <v>708706289.79999995</v>
      </c>
      <c r="E180" s="10">
        <f t="shared" si="120"/>
        <v>7.5119233102666244E-2</v>
      </c>
      <c r="F180" s="21">
        <v>20.16</v>
      </c>
      <c r="G180" s="21">
        <v>22.28</v>
      </c>
      <c r="H180" s="65">
        <v>138</v>
      </c>
      <c r="I180" s="28">
        <v>-1.24E-2</v>
      </c>
      <c r="J180" s="28">
        <v>0.3669</v>
      </c>
      <c r="K180" s="27">
        <v>701472545.01999998</v>
      </c>
      <c r="L180" s="10">
        <f t="shared" si="121"/>
        <v>7.4581910153622352E-2</v>
      </c>
      <c r="M180" s="21">
        <v>19.95</v>
      </c>
      <c r="N180" s="21">
        <v>22.05</v>
      </c>
      <c r="O180" s="65">
        <v>138</v>
      </c>
      <c r="P180" s="28">
        <v>-1.0200000000000001E-2</v>
      </c>
      <c r="Q180" s="28">
        <v>0.35289999999999999</v>
      </c>
      <c r="R180" s="84">
        <f t="shared" ref="R180:R191" si="127">((K180-D180)/D180)</f>
        <v>-1.0206971328053779E-2</v>
      </c>
      <c r="S180" s="84">
        <f t="shared" ref="S180:S191" si="128">((N180-G180)/G180)</f>
        <v>-1.0323159784560162E-2</v>
      </c>
      <c r="T180" s="84">
        <f t="shared" ref="T180:T191" si="129">((O180-H180)/H180)</f>
        <v>0</v>
      </c>
      <c r="U180" s="84">
        <f t="shared" ref="U180:U191" si="130">P180-I180</f>
        <v>2.1999999999999988E-3</v>
      </c>
      <c r="V180" s="86">
        <f t="shared" ref="V180:V191" si="131">Q180-J180</f>
        <v>-1.4000000000000012E-2</v>
      </c>
    </row>
    <row r="181" spans="1:22" x14ac:dyDescent="0.25">
      <c r="A181" s="131">
        <v>3</v>
      </c>
      <c r="B181" s="62" t="s">
        <v>208</v>
      </c>
      <c r="C181" s="63" t="s">
        <v>36</v>
      </c>
      <c r="D181" s="27">
        <v>297496545.39999998</v>
      </c>
      <c r="E181" s="10">
        <f t="shared" si="120"/>
        <v>3.1533108514455475E-2</v>
      </c>
      <c r="F181" s="21">
        <v>22.06</v>
      </c>
      <c r="G181" s="21">
        <v>22.459999999999997</v>
      </c>
      <c r="H181" s="65">
        <v>60</v>
      </c>
      <c r="I181" s="28">
        <v>-2.9103237026883999E-4</v>
      </c>
      <c r="J181" s="28">
        <v>0.56779020293333482</v>
      </c>
      <c r="K181" s="27">
        <v>282455308.49000001</v>
      </c>
      <c r="L181" s="10">
        <f t="shared" si="121"/>
        <v>3.0031191654998048E-2</v>
      </c>
      <c r="M181" s="21">
        <v>21.074822000000001</v>
      </c>
      <c r="N181" s="21">
        <v>21.491205999999998</v>
      </c>
      <c r="O181" s="65">
        <v>65</v>
      </c>
      <c r="P181" s="28">
        <v>-4.6659918185974147E-2</v>
      </c>
      <c r="Q181" s="28">
        <v>0.48852372326450166</v>
      </c>
      <c r="R181" s="84">
        <f t="shared" si="127"/>
        <v>-5.0559366629875389E-2</v>
      </c>
      <c r="S181" s="84">
        <f t="shared" si="128"/>
        <v>-4.3134194122885092E-2</v>
      </c>
      <c r="T181" s="84">
        <f t="shared" si="129"/>
        <v>8.3333333333333329E-2</v>
      </c>
      <c r="U181" s="84">
        <f t="shared" si="130"/>
        <v>-4.6368885815705307E-2</v>
      </c>
      <c r="V181" s="86">
        <f t="shared" si="131"/>
        <v>-7.9266479668833156E-2</v>
      </c>
    </row>
    <row r="182" spans="1:22" x14ac:dyDescent="0.25">
      <c r="A182" s="131">
        <v>4</v>
      </c>
      <c r="B182" s="62" t="s">
        <v>209</v>
      </c>
      <c r="C182" s="63" t="s">
        <v>36</v>
      </c>
      <c r="D182" s="27">
        <v>388485979.48000002</v>
      </c>
      <c r="E182" s="10">
        <f t="shared" si="120"/>
        <v>4.11775220139661E-2</v>
      </c>
      <c r="F182" s="21">
        <v>29.18</v>
      </c>
      <c r="G182" s="21">
        <v>29.63</v>
      </c>
      <c r="H182" s="65">
        <v>53</v>
      </c>
      <c r="I182" s="28">
        <v>-1.207683691288064E-2</v>
      </c>
      <c r="J182" s="28">
        <v>0.67172109145118686</v>
      </c>
      <c r="K182" s="27">
        <v>401762131.25</v>
      </c>
      <c r="L182" s="10">
        <f t="shared" si="121"/>
        <v>4.2716122517896991E-2</v>
      </c>
      <c r="M182" s="21">
        <v>30.148515</v>
      </c>
      <c r="N182" s="21">
        <v>30.624922000000002</v>
      </c>
      <c r="O182" s="65">
        <v>61</v>
      </c>
      <c r="P182" s="28">
        <v>2.7748358319452215E-2</v>
      </c>
      <c r="Q182" s="28">
        <v>0.72885062533275269</v>
      </c>
      <c r="R182" s="84">
        <f t="shared" si="127"/>
        <v>3.4174082132308874E-2</v>
      </c>
      <c r="S182" s="84">
        <f t="shared" si="128"/>
        <v>3.3578197772527928E-2</v>
      </c>
      <c r="T182" s="84">
        <f t="shared" si="129"/>
        <v>0.15094339622641509</v>
      </c>
      <c r="U182" s="84">
        <f t="shared" si="130"/>
        <v>3.9825195232332855E-2</v>
      </c>
      <c r="V182" s="86">
        <f t="shared" si="131"/>
        <v>5.712953388156583E-2</v>
      </c>
    </row>
    <row r="183" spans="1:22" x14ac:dyDescent="0.25">
      <c r="A183" s="134">
        <v>5</v>
      </c>
      <c r="B183" s="62" t="s">
        <v>210</v>
      </c>
      <c r="C183" s="63" t="s">
        <v>211</v>
      </c>
      <c r="D183" s="27">
        <v>630380156.07000005</v>
      </c>
      <c r="E183" s="10">
        <f t="shared" si="120"/>
        <v>6.6817064514103408E-2</v>
      </c>
      <c r="F183" s="21">
        <v>14199.99</v>
      </c>
      <c r="G183" s="21">
        <v>14199.99</v>
      </c>
      <c r="H183" s="65">
        <v>0</v>
      </c>
      <c r="I183" s="28">
        <v>0</v>
      </c>
      <c r="J183" s="28">
        <v>0</v>
      </c>
      <c r="K183" s="27">
        <v>621502000</v>
      </c>
      <c r="L183" s="10">
        <f t="shared" si="121"/>
        <v>6.6079287996902311E-2</v>
      </c>
      <c r="M183" s="21">
        <v>14000</v>
      </c>
      <c r="N183" s="21">
        <v>14000</v>
      </c>
      <c r="O183" s="65">
        <v>0</v>
      </c>
      <c r="P183" s="28">
        <v>0</v>
      </c>
      <c r="Q183" s="28">
        <v>0</v>
      </c>
      <c r="R183" s="84">
        <f t="shared" si="127"/>
        <v>-1.4083812735079472E-2</v>
      </c>
      <c r="S183" s="84">
        <f t="shared" si="128"/>
        <v>-1.4083812735079375E-2</v>
      </c>
      <c r="T183" s="84" t="e">
        <f t="shared" si="129"/>
        <v>#DIV/0!</v>
      </c>
      <c r="U183" s="84">
        <f t="shared" si="130"/>
        <v>0</v>
      </c>
      <c r="V183" s="86">
        <f t="shared" si="131"/>
        <v>0</v>
      </c>
    </row>
    <row r="184" spans="1:22" x14ac:dyDescent="0.25">
      <c r="A184" s="131">
        <v>6</v>
      </c>
      <c r="B184" s="62" t="s">
        <v>212</v>
      </c>
      <c r="C184" s="63" t="s">
        <v>213</v>
      </c>
      <c r="D184" s="27">
        <v>890230810.29999995</v>
      </c>
      <c r="E184" s="10">
        <f t="shared" si="120"/>
        <v>9.4359901579218572E-2</v>
      </c>
      <c r="F184" s="21">
        <v>231</v>
      </c>
      <c r="G184" s="21">
        <v>231</v>
      </c>
      <c r="H184" s="65">
        <v>46</v>
      </c>
      <c r="I184" s="28">
        <v>1.41E-2</v>
      </c>
      <c r="J184" s="28">
        <v>0.55810000000000004</v>
      </c>
      <c r="K184" s="27">
        <v>878218550.96000004</v>
      </c>
      <c r="L184" s="10">
        <f t="shared" si="121"/>
        <v>9.337388544704292E-2</v>
      </c>
      <c r="M184" s="21">
        <v>369</v>
      </c>
      <c r="N184" s="21">
        <v>369</v>
      </c>
      <c r="O184" s="65">
        <v>46</v>
      </c>
      <c r="P184" s="28">
        <v>-1.35E-2</v>
      </c>
      <c r="Q184" s="28">
        <v>0.53779999999999994</v>
      </c>
      <c r="R184" s="84">
        <f t="shared" si="127"/>
        <v>-1.3493421257743133E-2</v>
      </c>
      <c r="S184" s="84">
        <f t="shared" si="128"/>
        <v>0.59740259740259738</v>
      </c>
      <c r="T184" s="84">
        <f t="shared" si="129"/>
        <v>0</v>
      </c>
      <c r="U184" s="84">
        <f t="shared" si="130"/>
        <v>-2.76E-2</v>
      </c>
      <c r="V184" s="86">
        <f t="shared" si="131"/>
        <v>-2.0300000000000096E-2</v>
      </c>
    </row>
    <row r="185" spans="1:22" x14ac:dyDescent="0.25">
      <c r="A185" s="131">
        <v>7</v>
      </c>
      <c r="B185" s="62" t="s">
        <v>214</v>
      </c>
      <c r="C185" s="63" t="s">
        <v>213</v>
      </c>
      <c r="D185" s="27">
        <v>586423593.72000003</v>
      </c>
      <c r="E185" s="10">
        <f t="shared" si="120"/>
        <v>6.2157894275197571E-2</v>
      </c>
      <c r="F185" s="21">
        <v>381.16</v>
      </c>
      <c r="G185" s="21">
        <v>381.16</v>
      </c>
      <c r="H185" s="65">
        <v>377</v>
      </c>
      <c r="I185" s="28">
        <v>1.0800000000000001E-2</v>
      </c>
      <c r="J185" s="28">
        <v>0.34089999999999998</v>
      </c>
      <c r="K185" s="27">
        <v>584827134.61000001</v>
      </c>
      <c r="L185" s="10">
        <f t="shared" si="121"/>
        <v>6.2179945770564446E-2</v>
      </c>
      <c r="M185" s="21">
        <v>385</v>
      </c>
      <c r="N185" s="21">
        <v>385</v>
      </c>
      <c r="O185" s="65">
        <v>377</v>
      </c>
      <c r="P185" s="28">
        <v>-4.4999999999999997E-3</v>
      </c>
      <c r="Q185" s="28">
        <v>0.36359999999999998</v>
      </c>
      <c r="R185" s="84">
        <f t="shared" si="127"/>
        <v>-2.7223650738075118E-3</v>
      </c>
      <c r="S185" s="84">
        <f t="shared" si="128"/>
        <v>1.0074509392381087E-2</v>
      </c>
      <c r="T185" s="84">
        <f t="shared" si="129"/>
        <v>0</v>
      </c>
      <c r="U185" s="84">
        <f t="shared" si="130"/>
        <v>-1.5300000000000001E-2</v>
      </c>
      <c r="V185" s="86">
        <f t="shared" si="131"/>
        <v>2.2699999999999998E-2</v>
      </c>
    </row>
    <row r="186" spans="1:22" x14ac:dyDescent="0.25">
      <c r="A186" s="130">
        <v>8</v>
      </c>
      <c r="B186" s="62" t="s">
        <v>215</v>
      </c>
      <c r="C186" s="63" t="s">
        <v>216</v>
      </c>
      <c r="D186" s="27">
        <v>259423745.19</v>
      </c>
      <c r="E186" s="10">
        <f t="shared" si="120"/>
        <v>2.7497586895685405E-2</v>
      </c>
      <c r="F186" s="21">
        <v>11.45</v>
      </c>
      <c r="G186" s="21">
        <v>11.55</v>
      </c>
      <c r="H186" s="65">
        <v>50</v>
      </c>
      <c r="I186" s="28">
        <v>1.4999999999999999E-2</v>
      </c>
      <c r="J186" s="28">
        <v>0.95579999999999998</v>
      </c>
      <c r="K186" s="27">
        <v>258089763.88999999</v>
      </c>
      <c r="L186" s="10">
        <f t="shared" si="121"/>
        <v>2.7440600090007476E-2</v>
      </c>
      <c r="M186" s="21">
        <v>11.4</v>
      </c>
      <c r="N186" s="21">
        <v>11.5</v>
      </c>
      <c r="O186" s="65">
        <v>50</v>
      </c>
      <c r="P186" s="28">
        <v>-4.3E-3</v>
      </c>
      <c r="Q186" s="28">
        <v>0.94730000000000003</v>
      </c>
      <c r="R186" s="84">
        <f t="shared" si="127"/>
        <v>-5.1420940632208286E-3</v>
      </c>
      <c r="S186" s="84">
        <f t="shared" si="128"/>
        <v>-4.3290043290043906E-3</v>
      </c>
      <c r="T186" s="84">
        <f t="shared" si="129"/>
        <v>0</v>
      </c>
      <c r="U186" s="84">
        <f t="shared" si="130"/>
        <v>-1.9299999999999998E-2</v>
      </c>
      <c r="V186" s="86">
        <f t="shared" si="131"/>
        <v>-8.499999999999952E-3</v>
      </c>
    </row>
    <row r="187" spans="1:22" x14ac:dyDescent="0.25">
      <c r="A187" s="130">
        <v>9</v>
      </c>
      <c r="B187" s="62" t="s">
        <v>217</v>
      </c>
      <c r="C187" s="63" t="s">
        <v>216</v>
      </c>
      <c r="D187" s="29">
        <v>568423067.05999994</v>
      </c>
      <c r="E187" s="10">
        <f t="shared" si="120"/>
        <v>6.0249930739943926E-2</v>
      </c>
      <c r="F187" s="21">
        <v>6.65</v>
      </c>
      <c r="G187" s="21">
        <v>6.75</v>
      </c>
      <c r="H187" s="65">
        <v>76</v>
      </c>
      <c r="I187" s="28">
        <v>0</v>
      </c>
      <c r="J187" s="28">
        <v>0.58630000000000004</v>
      </c>
      <c r="K187" s="29">
        <v>587129554.60000002</v>
      </c>
      <c r="L187" s="10">
        <f t="shared" si="121"/>
        <v>6.2424743492227507E-2</v>
      </c>
      <c r="M187" s="21">
        <v>6.89</v>
      </c>
      <c r="N187" s="21">
        <v>6.99</v>
      </c>
      <c r="O187" s="65">
        <v>76</v>
      </c>
      <c r="P187" s="28">
        <v>2.8299999999999999E-2</v>
      </c>
      <c r="Q187" s="28">
        <v>0.63119999999999998</v>
      </c>
      <c r="R187" s="84">
        <f t="shared" si="127"/>
        <v>3.2909444785120791E-2</v>
      </c>
      <c r="S187" s="84">
        <f t="shared" si="128"/>
        <v>3.555555555555559E-2</v>
      </c>
      <c r="T187" s="84">
        <f t="shared" si="129"/>
        <v>0</v>
      </c>
      <c r="U187" s="84">
        <f t="shared" si="130"/>
        <v>2.8299999999999999E-2</v>
      </c>
      <c r="V187" s="86">
        <f t="shared" si="131"/>
        <v>4.489999999999994E-2</v>
      </c>
    </row>
    <row r="188" spans="1:22" ht="17.25" customHeight="1" x14ac:dyDescent="0.25">
      <c r="A188" s="130">
        <v>10</v>
      </c>
      <c r="B188" s="62" t="s">
        <v>218</v>
      </c>
      <c r="C188" s="63" t="s">
        <v>216</v>
      </c>
      <c r="D188" s="27">
        <v>496895116.06999999</v>
      </c>
      <c r="E188" s="10">
        <f t="shared" si="120"/>
        <v>5.266833466678051E-2</v>
      </c>
      <c r="F188" s="21">
        <v>140.15</v>
      </c>
      <c r="G188" s="21">
        <v>142.15</v>
      </c>
      <c r="H188" s="65">
        <v>50</v>
      </c>
      <c r="I188" s="28">
        <v>0</v>
      </c>
      <c r="J188" s="28">
        <v>0.12609999999999999</v>
      </c>
      <c r="K188" s="27">
        <v>496501284.16000003</v>
      </c>
      <c r="L188" s="10">
        <f t="shared" si="121"/>
        <v>5.278897147047068E-2</v>
      </c>
      <c r="M188" s="21">
        <v>140.04</v>
      </c>
      <c r="N188" s="21">
        <v>142.04</v>
      </c>
      <c r="O188" s="65">
        <v>50</v>
      </c>
      <c r="P188" s="28">
        <v>0</v>
      </c>
      <c r="Q188" s="28">
        <v>0.12609999999999999</v>
      </c>
      <c r="R188" s="84">
        <f t="shared" si="127"/>
        <v>-7.925855925387796E-4</v>
      </c>
      <c r="S188" s="84">
        <f t="shared" si="128"/>
        <v>-7.7383046078096122E-4</v>
      </c>
      <c r="T188" s="84">
        <f t="shared" si="129"/>
        <v>0</v>
      </c>
      <c r="U188" s="84">
        <f t="shared" si="130"/>
        <v>0</v>
      </c>
      <c r="V188" s="86">
        <f t="shared" si="131"/>
        <v>0</v>
      </c>
    </row>
    <row r="189" spans="1:22" x14ac:dyDescent="0.25">
      <c r="A189" s="130">
        <v>11</v>
      </c>
      <c r="B189" s="62" t="s">
        <v>219</v>
      </c>
      <c r="C189" s="63" t="s">
        <v>216</v>
      </c>
      <c r="D189" s="27">
        <v>3633202490.21</v>
      </c>
      <c r="E189" s="10">
        <f t="shared" si="120"/>
        <v>0.38510083612816903</v>
      </c>
      <c r="F189" s="21">
        <v>24.95</v>
      </c>
      <c r="G189" s="21">
        <v>25.15</v>
      </c>
      <c r="H189" s="65">
        <v>204</v>
      </c>
      <c r="I189" s="28">
        <v>0</v>
      </c>
      <c r="J189" s="28">
        <v>0.25269999999999998</v>
      </c>
      <c r="K189" s="27">
        <v>3620718901.0900002</v>
      </c>
      <c r="L189" s="10">
        <f t="shared" si="121"/>
        <v>0.38496179742133374</v>
      </c>
      <c r="M189" s="21">
        <v>24.85</v>
      </c>
      <c r="N189" s="21">
        <v>25.05</v>
      </c>
      <c r="O189" s="65">
        <v>198</v>
      </c>
      <c r="P189" s="28">
        <v>0</v>
      </c>
      <c r="Q189" s="28">
        <v>0.25269999999999998</v>
      </c>
      <c r="R189" s="84">
        <f t="shared" si="127"/>
        <v>-3.4359739523569278E-3</v>
      </c>
      <c r="S189" s="84">
        <f t="shared" si="128"/>
        <v>-3.976143141152997E-3</v>
      </c>
      <c r="T189" s="84">
        <f t="shared" si="129"/>
        <v>-2.9411764705882353E-2</v>
      </c>
      <c r="U189" s="84">
        <f t="shared" si="130"/>
        <v>0</v>
      </c>
      <c r="V189" s="86">
        <f t="shared" si="131"/>
        <v>0</v>
      </c>
    </row>
    <row r="190" spans="1:22" x14ac:dyDescent="0.25">
      <c r="A190" s="130">
        <v>12</v>
      </c>
      <c r="B190" s="62" t="s">
        <v>220</v>
      </c>
      <c r="C190" s="63" t="s">
        <v>216</v>
      </c>
      <c r="D190" s="29">
        <v>291621920.80000001</v>
      </c>
      <c r="E190" s="10">
        <f t="shared" si="120"/>
        <v>3.0910428426710539E-2</v>
      </c>
      <c r="F190" s="21">
        <v>27.48</v>
      </c>
      <c r="G190" s="21">
        <v>27.68</v>
      </c>
      <c r="H190" s="65">
        <v>44</v>
      </c>
      <c r="I190" s="28">
        <v>5.0200000000000002E-2</v>
      </c>
      <c r="J190" s="28">
        <v>0.15010000000000001</v>
      </c>
      <c r="K190" s="29">
        <v>291276377.44</v>
      </c>
      <c r="L190" s="10">
        <f t="shared" si="121"/>
        <v>3.0969064671637705E-2</v>
      </c>
      <c r="M190" s="21">
        <v>27.46</v>
      </c>
      <c r="N190" s="21">
        <v>27.66</v>
      </c>
      <c r="O190" s="65">
        <v>44</v>
      </c>
      <c r="P190" s="28">
        <v>-6.9999999999999999E-4</v>
      </c>
      <c r="Q190" s="28">
        <v>0.1492</v>
      </c>
      <c r="R190" s="84">
        <f t="shared" si="127"/>
        <v>-1.1849018724384393E-3</v>
      </c>
      <c r="S190" s="84">
        <f t="shared" si="128"/>
        <v>-7.2254335260114064E-4</v>
      </c>
      <c r="T190" s="84">
        <f t="shared" si="129"/>
        <v>0</v>
      </c>
      <c r="U190" s="84">
        <f t="shared" si="130"/>
        <v>-5.0900000000000001E-2</v>
      </c>
      <c r="V190" s="86">
        <f t="shared" si="131"/>
        <v>-9.000000000000119E-4</v>
      </c>
    </row>
    <row r="191" spans="1:22" x14ac:dyDescent="0.25">
      <c r="A191" s="43"/>
      <c r="B191" s="43"/>
      <c r="C191" s="77" t="s">
        <v>221</v>
      </c>
      <c r="D191" s="76">
        <f>SUM(D179:D190)</f>
        <v>9434418597.3171959</v>
      </c>
      <c r="E191" s="24"/>
      <c r="F191" s="24"/>
      <c r="G191" s="22"/>
      <c r="H191" s="76">
        <f>SUM(H179:H190)</f>
        <v>1201</v>
      </c>
      <c r="I191" s="23"/>
      <c r="J191" s="23"/>
      <c r="K191" s="76">
        <f>SUM(K179:K190)</f>
        <v>9405397952.0653286</v>
      </c>
      <c r="L191" s="24"/>
      <c r="M191" s="24"/>
      <c r="N191" s="22"/>
      <c r="O191" s="76">
        <f>SUM(O179:O190)</f>
        <v>1208</v>
      </c>
      <c r="P191" s="23"/>
      <c r="Q191" s="23"/>
      <c r="R191" s="84">
        <f t="shared" si="127"/>
        <v>-3.0760396046153504E-3</v>
      </c>
      <c r="S191" s="84" t="e">
        <f t="shared" si="128"/>
        <v>#DIV/0!</v>
      </c>
      <c r="T191" s="84">
        <f t="shared" si="129"/>
        <v>5.8284762697751874E-3</v>
      </c>
      <c r="U191" s="84">
        <f t="shared" si="130"/>
        <v>0</v>
      </c>
      <c r="V191" s="86">
        <f t="shared" si="131"/>
        <v>0</v>
      </c>
    </row>
    <row r="192" spans="1:22" x14ac:dyDescent="0.25">
      <c r="A192" s="91"/>
      <c r="B192" s="91"/>
      <c r="C192" s="92" t="s">
        <v>222</v>
      </c>
      <c r="D192" s="93">
        <f>SUM(D171,D176,D191)</f>
        <v>2065225358669.1799</v>
      </c>
      <c r="E192" s="94"/>
      <c r="F192" s="94"/>
      <c r="G192" s="95"/>
      <c r="H192" s="93">
        <f>SUM(H171,H176,H191)</f>
        <v>754183</v>
      </c>
      <c r="I192" s="96"/>
      <c r="J192" s="96"/>
      <c r="K192" s="93">
        <f>SUM(K171,K176,K191)</f>
        <v>2106157719162.3604</v>
      </c>
      <c r="L192" s="94"/>
      <c r="M192" s="94"/>
      <c r="N192" s="95"/>
      <c r="O192" s="93">
        <f>SUM(O171,O176,O191)</f>
        <v>754616</v>
      </c>
      <c r="P192" s="97"/>
      <c r="Q192" s="93"/>
      <c r="R192" s="98"/>
      <c r="S192" s="99"/>
      <c r="T192" s="99"/>
      <c r="U192" s="100"/>
      <c r="V192" s="100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O52:Q52 H52:J52" name="Yield_1_1_1_1_1_2"/>
    <protectedRange password="CADF" sqref="O47:Q47 H47:J47" name="Yield_1_1_2_1_1_1_1_1_2"/>
    <protectedRange password="CADF" sqref="K78 D78" name="Yield_2_1_2_1_1_2"/>
    <protectedRange password="CADF" sqref="O78:Q78 H78:J78" name="Yield_1_1_2_1_2_1_2"/>
    <protectedRange password="CADF" sqref="M78:N78 F78:G78" name="Fund Name_2_2_1_1_2"/>
    <protectedRange password="CADF" sqref="N76:N77 G76:G77" name="BidOffer Prices_2_1_1_1_1_1_1_1_1_1_2"/>
    <protectedRange password="CADF" sqref="K94:K95 D94:D95" name="Yield_2_1_2_6_3_2"/>
    <protectedRange password="CADF" sqref="K137 K145:K146 D137 D145:D146" name="Fund Name_1_1_1_2_2"/>
    <protectedRange password="CADF" sqref="O137:Q137 O145:Q146 H137:J137 H145:J146" name="Yield_1_1_2_2_2"/>
    <protectedRange password="CADF" sqref="M137:N137 M145:N146 F137:G137 F145:G146" name="Fund Name_1_1_1_1_2_2"/>
  </protectedRanges>
  <mergeCells count="31">
    <mergeCell ref="A88:V88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  <mergeCell ref="A155:V155"/>
    <mergeCell ref="A89:V89"/>
    <mergeCell ref="A90:V90"/>
    <mergeCell ref="A102:V102"/>
    <mergeCell ref="A103:V103"/>
    <mergeCell ref="A114:V114"/>
    <mergeCell ref="A115:V115"/>
    <mergeCell ref="A121:V121"/>
    <mergeCell ref="A122:V122"/>
    <mergeCell ref="A148:V148"/>
    <mergeCell ref="A149:V149"/>
    <mergeCell ref="A154:V154"/>
    <mergeCell ref="A177:V177"/>
    <mergeCell ref="A178:V178"/>
    <mergeCell ref="A156:V156"/>
    <mergeCell ref="A159:V159"/>
    <mergeCell ref="A160:V160"/>
    <mergeCell ref="A172:U172"/>
    <mergeCell ref="A173:V17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3" sqref="A3:C13"/>
    </sheetView>
  </sheetViews>
  <sheetFormatPr defaultRowHeight="15" x14ac:dyDescent="0.25"/>
  <cols>
    <col min="1" max="1" width="34" customWidth="1"/>
    <col min="2" max="2" width="17.5703125" customWidth="1"/>
    <col min="3" max="3" width="17.42578125" customWidth="1"/>
  </cols>
  <sheetData>
    <row r="1" spans="1:3" x14ac:dyDescent="0.25">
      <c r="A1" s="115"/>
      <c r="B1" s="115"/>
      <c r="C1" s="115"/>
    </row>
    <row r="2" spans="1:3" x14ac:dyDescent="0.25">
      <c r="A2" s="115"/>
      <c r="B2" s="115"/>
      <c r="C2" s="115"/>
    </row>
    <row r="3" spans="1:3" x14ac:dyDescent="0.25">
      <c r="A3" s="115"/>
      <c r="B3" s="115"/>
      <c r="C3" s="115"/>
    </row>
    <row r="4" spans="1:3" ht="33" customHeight="1" x14ac:dyDescent="0.3">
      <c r="A4" s="103" t="s">
        <v>223</v>
      </c>
      <c r="B4" s="116" t="s">
        <v>239</v>
      </c>
      <c r="C4" s="116" t="s">
        <v>247</v>
      </c>
    </row>
    <row r="5" spans="1:3" ht="19.5" customHeight="1" x14ac:dyDescent="0.3">
      <c r="A5" s="117" t="s">
        <v>15</v>
      </c>
      <c r="B5" s="106">
        <f>22452818441.6673/1000000000</f>
        <v>22.452818441667301</v>
      </c>
      <c r="C5" s="106">
        <f>22321023691.5109/1000000000</f>
        <v>22.321023691510899</v>
      </c>
    </row>
    <row r="6" spans="1:3" ht="16.5" x14ac:dyDescent="0.3">
      <c r="A6" s="105" t="s">
        <v>47</v>
      </c>
      <c r="B6" s="108">
        <f>866430357744.914/1000000000</f>
        <v>866.43035774491398</v>
      </c>
      <c r="C6" s="108">
        <f>868733209665.15/1000000000</f>
        <v>868.73320966515007</v>
      </c>
    </row>
    <row r="7" spans="1:3" ht="16.5" x14ac:dyDescent="0.3">
      <c r="A7" s="105" t="s">
        <v>224</v>
      </c>
      <c r="B7" s="106">
        <f>296194339533.26/1000000000</f>
        <v>296.19433953326001</v>
      </c>
      <c r="C7" s="106">
        <f>297314764640.835/1000000000</f>
        <v>297.31476464083499</v>
      </c>
    </row>
    <row r="8" spans="1:3" ht="16.5" x14ac:dyDescent="0.3">
      <c r="A8" s="105" t="s">
        <v>129</v>
      </c>
      <c r="B8" s="108">
        <f>594856395707.727/1000000000</f>
        <v>594.85639570772707</v>
      </c>
      <c r="C8" s="108">
        <f>631778541802.777/1000000000</f>
        <v>631.778541802777</v>
      </c>
    </row>
    <row r="9" spans="1:3" ht="16.5" x14ac:dyDescent="0.3">
      <c r="A9" s="105" t="s">
        <v>225</v>
      </c>
      <c r="B9" s="106">
        <f>93063670940.06/1000000000</f>
        <v>93.063670940059993</v>
      </c>
      <c r="C9" s="106">
        <f>93071505879.83/1000000000</f>
        <v>93.071505879829999</v>
      </c>
    </row>
    <row r="10" spans="1:3" ht="16.5" x14ac:dyDescent="0.3">
      <c r="A10" s="105" t="s">
        <v>155</v>
      </c>
      <c r="B10" s="107">
        <f>39055524237.1356/1000000000</f>
        <v>39.0555242371356</v>
      </c>
      <c r="C10" s="107">
        <f>39125729977.4921/1000000000</f>
        <v>39.125729977492107</v>
      </c>
    </row>
    <row r="11" spans="1:3" ht="16.5" x14ac:dyDescent="0.3">
      <c r="A11" s="105" t="s">
        <v>179</v>
      </c>
      <c r="B11" s="106">
        <f>3847653774.98/1000000000</f>
        <v>3.8476537749799999</v>
      </c>
      <c r="C11" s="106">
        <f>3851756766.68/1000000000</f>
        <v>3.8517567666799999</v>
      </c>
    </row>
    <row r="12" spans="1:3" ht="16.5" x14ac:dyDescent="0.3">
      <c r="A12" s="105" t="s">
        <v>226</v>
      </c>
      <c r="B12" s="106">
        <f>45328584703.19/1000000000</f>
        <v>45.328584703190003</v>
      </c>
      <c r="C12" s="106">
        <f>45993634878.97/1000000000</f>
        <v>45.993634878969999</v>
      </c>
    </row>
    <row r="13" spans="1:3" x14ac:dyDescent="0.25">
      <c r="A13" s="115"/>
      <c r="B13" s="115"/>
      <c r="C13" s="115"/>
    </row>
    <row r="17" spans="1:3" ht="16.5" x14ac:dyDescent="0.3">
      <c r="B17" s="112"/>
      <c r="C17" s="112"/>
    </row>
    <row r="18" spans="1:3" ht="16.5" x14ac:dyDescent="0.3">
      <c r="A18" s="110"/>
      <c r="B18" s="151"/>
      <c r="C18" s="151"/>
    </row>
    <row r="19" spans="1:3" ht="16.5" x14ac:dyDescent="0.3">
      <c r="A19" s="111"/>
      <c r="B19" s="112"/>
      <c r="C19" s="112"/>
    </row>
    <row r="20" spans="1:3" ht="16.5" x14ac:dyDescent="0.3">
      <c r="A20" s="111"/>
      <c r="B20" s="151"/>
      <c r="C20" s="151"/>
    </row>
    <row r="21" spans="1:3" ht="16.5" x14ac:dyDescent="0.3">
      <c r="A21" s="111"/>
      <c r="B21" s="112"/>
      <c r="C21" s="112"/>
    </row>
    <row r="22" spans="1:3" ht="16.5" x14ac:dyDescent="0.3">
      <c r="A22" s="111"/>
      <c r="B22" s="113"/>
      <c r="C22" s="113"/>
    </row>
    <row r="23" spans="1:3" ht="16.5" x14ac:dyDescent="0.3">
      <c r="A23" s="111"/>
      <c r="B23" s="112"/>
      <c r="C23" s="112"/>
    </row>
    <row r="24" spans="1:3" ht="16.5" x14ac:dyDescent="0.3">
      <c r="A24" s="111"/>
      <c r="B24" s="112"/>
      <c r="C24" s="112"/>
    </row>
    <row r="25" spans="1:3" ht="16.5" x14ac:dyDescent="0.3">
      <c r="A25" s="111"/>
      <c r="B25" s="150"/>
      <c r="C25" s="150"/>
    </row>
    <row r="26" spans="1:3" ht="16.5" x14ac:dyDescent="0.3">
      <c r="A26" s="111"/>
      <c r="B26" s="150"/>
      <c r="C26" s="150"/>
    </row>
    <row r="27" spans="1:3" x14ac:dyDescent="0.25">
      <c r="B27" s="121"/>
      <c r="C27" s="121"/>
    </row>
    <row r="28" spans="1:3" x14ac:dyDescent="0.25">
      <c r="B28" s="121"/>
      <c r="C28" s="121"/>
    </row>
  </sheetData>
  <sheetProtection algorithmName="SHA-512" hashValue="LooOce1EjWFSE/ieszZc7Tb+xLHYcPnrp8y0s/86K3u27/jL15LxU1Y9rSQkI7m963RxOvDLHCN1LXO81JuRWg==" saltValue="0YCTNRD10M8S/lHdEm7vc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R1" sqref="R1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03" t="s">
        <v>223</v>
      </c>
      <c r="B1" s="104">
        <v>45219</v>
      </c>
    </row>
    <row r="2" spans="1:2" ht="16.5" x14ac:dyDescent="0.3">
      <c r="A2" s="105" t="s">
        <v>179</v>
      </c>
      <c r="B2" s="106">
        <v>3851756766.6799998</v>
      </c>
    </row>
    <row r="3" spans="1:2" ht="16.5" x14ac:dyDescent="0.3">
      <c r="A3" s="105" t="s">
        <v>15</v>
      </c>
      <c r="B3" s="106">
        <v>22321023691.510902</v>
      </c>
    </row>
    <row r="4" spans="1:2" ht="16.5" x14ac:dyDescent="0.3">
      <c r="A4" s="105" t="s">
        <v>155</v>
      </c>
      <c r="B4" s="107">
        <v>39125729977.492111</v>
      </c>
    </row>
    <row r="5" spans="1:2" ht="16.5" x14ac:dyDescent="0.3">
      <c r="A5" s="105" t="s">
        <v>226</v>
      </c>
      <c r="B5" s="106">
        <v>45993634878.969994</v>
      </c>
    </row>
    <row r="6" spans="1:2" ht="16.5" x14ac:dyDescent="0.3">
      <c r="A6" s="105" t="s">
        <v>225</v>
      </c>
      <c r="B6" s="106">
        <v>93071505879.830002</v>
      </c>
    </row>
    <row r="7" spans="1:2" ht="16.5" x14ac:dyDescent="0.3">
      <c r="A7" s="105" t="s">
        <v>224</v>
      </c>
      <c r="B7" s="106">
        <v>297314764640.83484</v>
      </c>
    </row>
    <row r="8" spans="1:2" ht="16.5" x14ac:dyDescent="0.3">
      <c r="A8" s="105" t="s">
        <v>129</v>
      </c>
      <c r="B8" s="108">
        <v>631778541802.7771</v>
      </c>
    </row>
    <row r="9" spans="1:2" ht="16.5" x14ac:dyDescent="0.3">
      <c r="A9" s="105" t="s">
        <v>47</v>
      </c>
      <c r="B9" s="108">
        <v>868733209665.15002</v>
      </c>
    </row>
    <row r="14" spans="1:2" ht="16.5" x14ac:dyDescent="0.3">
      <c r="A14" s="114"/>
      <c r="B14" s="47"/>
    </row>
    <row r="15" spans="1:2" ht="16.5" x14ac:dyDescent="0.3">
      <c r="A15" s="114"/>
      <c r="B15" s="47"/>
    </row>
    <row r="16" spans="1:2" ht="16.5" x14ac:dyDescent="0.3">
      <c r="A16" s="114"/>
      <c r="B16" s="49"/>
    </row>
    <row r="17" spans="1:2" ht="16.5" x14ac:dyDescent="0.3">
      <c r="A17" s="114"/>
      <c r="B17" s="47"/>
    </row>
    <row r="18" spans="1:2" ht="16.5" x14ac:dyDescent="0.3">
      <c r="A18" s="114"/>
      <c r="B18" s="47"/>
    </row>
    <row r="19" spans="1:2" ht="16.5" x14ac:dyDescent="0.3">
      <c r="A19" s="114"/>
      <c r="B19" s="47"/>
    </row>
    <row r="20" spans="1:2" ht="16.5" x14ac:dyDescent="0.3">
      <c r="A20" s="114"/>
      <c r="B20" s="48"/>
    </row>
    <row r="21" spans="1:2" ht="16.5" x14ac:dyDescent="0.3">
      <c r="A21" s="114"/>
      <c r="B21" s="48"/>
    </row>
    <row r="22" spans="1:2" ht="16.5" x14ac:dyDescent="0.3">
      <c r="A22" s="102"/>
      <c r="B22" s="48"/>
    </row>
  </sheetData>
  <sheetProtection algorithmName="SHA-512" hashValue="fsdCSEjPMD0UIb/bcYU9h6IUVLzfMhBt29X9yj5pqTOdxcAqdy89cP6RB3ImKGEvdqmdKArGgxK2VxZNlTh5kA==" saltValue="MHgMGy8XFGrv1teh3C76Fg==" spinCount="100000" sheet="1" objects="1" scenarios="1"/>
  <sortState ref="B14:B21">
    <sortCondition ref="B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0" zoomScaleNormal="110" workbookViewId="0">
      <selection activeCell="K1" sqref="K1"/>
    </sheetView>
  </sheetViews>
  <sheetFormatPr defaultRowHeight="15" x14ac:dyDescent="0.25"/>
  <cols>
    <col min="1" max="1" width="10.5703125" customWidth="1"/>
    <col min="2" max="2" width="12.7109375" customWidth="1"/>
    <col min="3" max="3" width="15.140625" customWidth="1"/>
    <col min="4" max="4" width="14.85546875" customWidth="1"/>
    <col min="5" max="5" width="15.42578125" customWidth="1"/>
    <col min="6" max="6" width="15.85546875" customWidth="1"/>
    <col min="7" max="7" width="15.42578125" customWidth="1"/>
    <col min="8" max="8" width="14.28515625" customWidth="1"/>
    <col min="9" max="9" width="13.140625" customWidth="1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</row>
    <row r="2" spans="1:10" x14ac:dyDescent="0.25">
      <c r="A2" s="101" t="s">
        <v>234</v>
      </c>
      <c r="B2" s="152">
        <v>45170</v>
      </c>
      <c r="C2" s="152">
        <v>45177</v>
      </c>
      <c r="D2" s="152">
        <v>45184</v>
      </c>
      <c r="E2" s="152">
        <v>45191</v>
      </c>
      <c r="F2" s="152">
        <v>45198</v>
      </c>
      <c r="G2" s="152">
        <v>45205</v>
      </c>
      <c r="H2" s="152">
        <v>45212</v>
      </c>
      <c r="I2" s="152">
        <v>45219</v>
      </c>
      <c r="J2" s="121"/>
    </row>
    <row r="3" spans="1:10" x14ac:dyDescent="0.25">
      <c r="A3" s="101" t="s">
        <v>235</v>
      </c>
      <c r="B3" s="153">
        <v>1922810043593.2705</v>
      </c>
      <c r="C3" s="153">
        <v>1905565030169.3159</v>
      </c>
      <c r="D3" s="153">
        <v>1930034404358.7712</v>
      </c>
      <c r="E3" s="153">
        <v>1927585637735.8486</v>
      </c>
      <c r="F3" s="153">
        <v>1938057005087.2852</v>
      </c>
      <c r="G3" s="153">
        <v>1935067759050.2058</v>
      </c>
      <c r="H3" s="153">
        <v>1961229345082.9329</v>
      </c>
      <c r="I3" s="153">
        <v>2002190167303.2449</v>
      </c>
      <c r="J3" s="121"/>
    </row>
    <row r="4" spans="1:10" x14ac:dyDescent="0.25">
      <c r="A4" s="102"/>
      <c r="B4" s="102"/>
      <c r="C4" s="102"/>
      <c r="D4" s="102"/>
      <c r="E4" s="102"/>
      <c r="F4" s="102"/>
      <c r="G4" s="102"/>
      <c r="H4" s="102"/>
      <c r="I4" s="102"/>
    </row>
    <row r="5" spans="1:10" x14ac:dyDescent="0.25">
      <c r="A5" s="102"/>
      <c r="B5" s="102"/>
      <c r="C5" s="102"/>
      <c r="D5" s="102"/>
      <c r="E5" s="102"/>
      <c r="F5" s="102"/>
      <c r="G5" s="102"/>
      <c r="H5" s="102"/>
      <c r="I5" s="102"/>
    </row>
    <row r="6" spans="1:10" x14ac:dyDescent="0.25">
      <c r="A6" s="102"/>
      <c r="B6" s="102"/>
      <c r="C6" s="102"/>
      <c r="D6" s="102"/>
      <c r="E6" s="102"/>
      <c r="F6" s="102"/>
      <c r="G6" s="102"/>
      <c r="H6" s="102"/>
      <c r="I6" s="102"/>
    </row>
    <row r="7" spans="1:10" x14ac:dyDescent="0.25">
      <c r="A7" s="102"/>
      <c r="B7" s="102"/>
      <c r="C7" s="102"/>
      <c r="D7" s="102"/>
      <c r="E7" s="102"/>
      <c r="F7" s="102"/>
      <c r="G7" s="102"/>
      <c r="H7" s="102"/>
      <c r="I7" s="102"/>
    </row>
    <row r="8" spans="1:10" x14ac:dyDescent="0.25">
      <c r="A8" s="102"/>
      <c r="B8" s="102"/>
      <c r="C8" s="102"/>
      <c r="D8" s="102"/>
      <c r="E8" s="102"/>
      <c r="F8" s="102"/>
      <c r="G8" s="102"/>
      <c r="H8" s="102"/>
      <c r="I8" s="102"/>
    </row>
    <row r="9" spans="1:10" x14ac:dyDescent="0.25">
      <c r="A9" s="102"/>
      <c r="B9" s="102"/>
      <c r="C9" s="102"/>
      <c r="D9" s="102"/>
      <c r="E9" s="102"/>
      <c r="F9" s="102"/>
      <c r="G9" s="102"/>
      <c r="H9" s="102"/>
      <c r="I9" s="102"/>
    </row>
    <row r="10" spans="1:10" x14ac:dyDescent="0.25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x14ac:dyDescent="0.25">
      <c r="A11" s="102"/>
      <c r="B11" s="102"/>
      <c r="C11" s="102"/>
      <c r="D11" s="102"/>
      <c r="E11" s="102"/>
      <c r="F11" s="102"/>
      <c r="G11" s="102"/>
      <c r="H11" s="102"/>
      <c r="I11" s="102"/>
    </row>
    <row r="12" spans="1:10" x14ac:dyDescent="0.25">
      <c r="A12" s="102"/>
      <c r="B12" s="102"/>
      <c r="C12" s="102"/>
      <c r="D12" s="102"/>
      <c r="E12" s="102"/>
      <c r="F12" s="102"/>
      <c r="G12" s="102"/>
      <c r="H12" s="102"/>
      <c r="I12" s="102"/>
    </row>
    <row r="13" spans="1:10" x14ac:dyDescent="0.25">
      <c r="A13" s="102"/>
      <c r="B13" s="102"/>
      <c r="C13" s="102"/>
      <c r="D13" s="102"/>
      <c r="E13" s="102"/>
      <c r="F13" s="102"/>
      <c r="G13" s="102"/>
      <c r="H13" s="102"/>
      <c r="I13" s="102"/>
    </row>
    <row r="14" spans="1:10" x14ac:dyDescent="0.25">
      <c r="A14" s="102"/>
      <c r="B14" s="102"/>
      <c r="C14" s="102"/>
      <c r="D14" s="102"/>
      <c r="E14" s="102"/>
      <c r="F14" s="102"/>
      <c r="G14" s="102"/>
      <c r="H14" s="102"/>
      <c r="I14" s="102"/>
    </row>
    <row r="15" spans="1:10" x14ac:dyDescent="0.25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0" x14ac:dyDescent="0.25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9" x14ac:dyDescent="0.25">
      <c r="A17" s="102"/>
      <c r="B17" s="102"/>
      <c r="C17" s="102"/>
      <c r="D17" s="102"/>
      <c r="E17" s="102"/>
      <c r="F17" s="102"/>
      <c r="G17" s="102"/>
      <c r="H17" s="102"/>
      <c r="I17" s="102"/>
    </row>
    <row r="18" spans="1:9" x14ac:dyDescent="0.25">
      <c r="A18" s="102"/>
      <c r="B18" s="102"/>
      <c r="C18" s="102"/>
      <c r="D18" s="102"/>
      <c r="E18" s="102"/>
      <c r="F18" s="102"/>
      <c r="G18" s="102"/>
      <c r="H18" s="102"/>
      <c r="I18" s="102"/>
    </row>
    <row r="19" spans="1:9" x14ac:dyDescent="0.25">
      <c r="A19" s="102"/>
      <c r="B19" s="102"/>
      <c r="C19" s="102"/>
      <c r="D19" s="102"/>
      <c r="E19" s="102"/>
      <c r="F19" s="102"/>
      <c r="G19" s="102"/>
      <c r="H19" s="102"/>
      <c r="I19" s="102"/>
    </row>
    <row r="20" spans="1:9" x14ac:dyDescent="0.25">
      <c r="A20" s="102"/>
      <c r="B20" s="102"/>
      <c r="C20" s="102"/>
      <c r="D20" s="102"/>
      <c r="E20" s="102"/>
      <c r="F20" s="102"/>
      <c r="G20" s="102"/>
      <c r="H20" s="102"/>
      <c r="I20" s="102"/>
    </row>
    <row r="21" spans="1:9" x14ac:dyDescent="0.25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9" x14ac:dyDescent="0.25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 x14ac:dyDescent="0.25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9" x14ac:dyDescent="0.25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x14ac:dyDescent="0.25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x14ac:dyDescent="0.25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x14ac:dyDescent="0.25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 x14ac:dyDescent="0.25">
      <c r="A28" s="102"/>
      <c r="B28" s="102"/>
      <c r="C28" s="102"/>
      <c r="D28" s="102"/>
      <c r="E28" s="102"/>
      <c r="F28" s="102"/>
      <c r="G28" s="102"/>
      <c r="H28" s="102"/>
      <c r="I28" s="102"/>
    </row>
    <row r="29" spans="1:9" x14ac:dyDescent="0.25">
      <c r="A29" s="102"/>
      <c r="B29" s="102"/>
      <c r="C29" s="102"/>
      <c r="D29" s="102"/>
      <c r="E29" s="102"/>
      <c r="F29" s="102"/>
      <c r="G29" s="102"/>
      <c r="H29" s="102"/>
      <c r="I29" s="102"/>
    </row>
  </sheetData>
  <sheetProtection algorithmName="SHA-512" hashValue="D5d088hftuygzCU0hALsBQlAdAQyibM0Ctd1b1A3qUVGWx4hZmg7cU+GLmpOnmUgs/eNDokEblgC+mC8qCLOqg==" saltValue="uiorcYxImcmDprDnb8KrI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C1" workbookViewId="0">
      <selection activeCell="K1" sqref="K1"/>
    </sheetView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</cols>
  <sheetData>
    <row r="1" spans="1:10" ht="16.5" x14ac:dyDescent="0.3">
      <c r="A1" s="44" t="s">
        <v>223</v>
      </c>
      <c r="B1" s="45">
        <v>45163</v>
      </c>
      <c r="C1" s="45">
        <v>45170</v>
      </c>
      <c r="D1" s="45">
        <v>45177</v>
      </c>
      <c r="E1" s="45">
        <v>45184</v>
      </c>
      <c r="F1" s="45">
        <v>45191</v>
      </c>
      <c r="G1" s="45">
        <v>45198</v>
      </c>
      <c r="H1" s="45">
        <v>45205</v>
      </c>
      <c r="I1" s="45">
        <v>45212</v>
      </c>
      <c r="J1" s="45">
        <v>45219</v>
      </c>
    </row>
    <row r="2" spans="1:10" ht="16.5" x14ac:dyDescent="0.3">
      <c r="A2" s="46" t="s">
        <v>15</v>
      </c>
      <c r="B2" s="47">
        <v>21948547893.360001</v>
      </c>
      <c r="C2" s="47">
        <v>22687921199.809998</v>
      </c>
      <c r="D2" s="47">
        <v>23086923138.879997</v>
      </c>
      <c r="E2" s="47">
        <v>22684841502.700001</v>
      </c>
      <c r="F2" s="47">
        <v>22617340342.240005</v>
      </c>
      <c r="G2" s="47">
        <v>22347298706.340004</v>
      </c>
      <c r="H2" s="47">
        <v>22419529839.446701</v>
      </c>
      <c r="I2" s="47">
        <v>22452818441.667297</v>
      </c>
      <c r="J2" s="47">
        <v>22321023691.510902</v>
      </c>
    </row>
    <row r="3" spans="1:10" ht="16.5" x14ac:dyDescent="0.3">
      <c r="A3" s="46" t="s">
        <v>47</v>
      </c>
      <c r="B3" s="48">
        <v>852824801464.56006</v>
      </c>
      <c r="C3" s="48">
        <v>854338532735.88501</v>
      </c>
      <c r="D3" s="48">
        <v>842459027080.45435</v>
      </c>
      <c r="E3" s="48">
        <v>842959336565.12207</v>
      </c>
      <c r="F3" s="48">
        <v>849677574373.34802</v>
      </c>
      <c r="G3" s="48">
        <v>852624898169.64954</v>
      </c>
      <c r="H3" s="48">
        <v>857851239009.95007</v>
      </c>
      <c r="I3" s="48">
        <v>866430357744.91357</v>
      </c>
      <c r="J3" s="48">
        <v>868733209665.15002</v>
      </c>
    </row>
    <row r="4" spans="1:10" ht="16.5" x14ac:dyDescent="0.3">
      <c r="A4" s="46" t="s">
        <v>224</v>
      </c>
      <c r="B4" s="47">
        <v>319581951019.79437</v>
      </c>
      <c r="C4" s="47">
        <v>319127187068.50275</v>
      </c>
      <c r="D4" s="47">
        <v>320114444673.33032</v>
      </c>
      <c r="E4" s="47">
        <v>320326205967.90063</v>
      </c>
      <c r="F4" s="47">
        <v>299618437754.16949</v>
      </c>
      <c r="G4" s="47">
        <v>300146733726.06244</v>
      </c>
      <c r="H4" s="47">
        <v>298612163023.86542</v>
      </c>
      <c r="I4" s="47">
        <v>296194339533.25995</v>
      </c>
      <c r="J4" s="47">
        <v>297314764640.83484</v>
      </c>
    </row>
    <row r="5" spans="1:10" ht="16.5" x14ac:dyDescent="0.3">
      <c r="A5" s="46" t="s">
        <v>129</v>
      </c>
      <c r="B5" s="48">
        <v>584920699343.90466</v>
      </c>
      <c r="C5" s="48">
        <v>561324750435.97546</v>
      </c>
      <c r="D5" s="48">
        <v>554560757841.43372</v>
      </c>
      <c r="E5" s="48">
        <v>579242821265.46704</v>
      </c>
      <c r="F5" s="48">
        <v>573412197469.83374</v>
      </c>
      <c r="G5" s="48">
        <v>580580020013.89868</v>
      </c>
      <c r="H5" s="48">
        <v>574272210688.57068</v>
      </c>
      <c r="I5" s="48">
        <v>594856395707.72656</v>
      </c>
      <c r="J5" s="48">
        <v>631778541802.7771</v>
      </c>
    </row>
    <row r="6" spans="1:10" ht="16.5" x14ac:dyDescent="0.3">
      <c r="A6" s="46" t="s">
        <v>225</v>
      </c>
      <c r="B6" s="47">
        <v>93509583223.449997</v>
      </c>
      <c r="C6" s="47">
        <v>93504922541.330002</v>
      </c>
      <c r="D6" s="47">
        <v>92863739575.880005</v>
      </c>
      <c r="E6" s="47">
        <v>92900265036.520004</v>
      </c>
      <c r="F6" s="47">
        <v>92930445555.669998</v>
      </c>
      <c r="G6" s="47">
        <v>92953013524.979996</v>
      </c>
      <c r="H6" s="47">
        <v>93025791056.550003</v>
      </c>
      <c r="I6" s="47">
        <v>93063670940.059998</v>
      </c>
      <c r="J6" s="47">
        <v>93071505879.830002</v>
      </c>
    </row>
    <row r="7" spans="1:10" ht="16.5" x14ac:dyDescent="0.3">
      <c r="A7" s="46" t="s">
        <v>155</v>
      </c>
      <c r="B7" s="49">
        <v>39079043179.509552</v>
      </c>
      <c r="C7" s="49">
        <v>39909523580.55719</v>
      </c>
      <c r="D7" s="49">
        <v>40429036765.108025</v>
      </c>
      <c r="E7" s="49">
        <v>39999967409.311623</v>
      </c>
      <c r="F7" s="49">
        <v>40017994182.737228</v>
      </c>
      <c r="G7" s="49">
        <v>39835802330.054489</v>
      </c>
      <c r="H7" s="49">
        <v>39656232639.742752</v>
      </c>
      <c r="I7" s="49">
        <v>39055524237.135551</v>
      </c>
      <c r="J7" s="49">
        <v>39125729977.492111</v>
      </c>
    </row>
    <row r="8" spans="1:10" ht="16.5" x14ac:dyDescent="0.3">
      <c r="A8" s="46" t="s">
        <v>179</v>
      </c>
      <c r="B8" s="47">
        <v>3833193790.9099998</v>
      </c>
      <c r="C8" s="47">
        <v>3950705160.4500003</v>
      </c>
      <c r="D8" s="47">
        <v>3988679154.2799997</v>
      </c>
      <c r="E8" s="47">
        <v>3887178325.5900002</v>
      </c>
      <c r="F8" s="47">
        <v>3868880759.98</v>
      </c>
      <c r="G8" s="47">
        <v>3871825099.96</v>
      </c>
      <c r="H8" s="47">
        <v>3871834604.0900002</v>
      </c>
      <c r="I8" s="47">
        <v>3847653774.98</v>
      </c>
      <c r="J8" s="47">
        <v>3851756766.6799998</v>
      </c>
    </row>
    <row r="9" spans="1:10" ht="16.5" x14ac:dyDescent="0.3">
      <c r="A9" s="46" t="s">
        <v>226</v>
      </c>
      <c r="B9" s="47">
        <v>27709525793.34</v>
      </c>
      <c r="C9" s="47">
        <v>27966500870.759998</v>
      </c>
      <c r="D9" s="47">
        <v>28062421939.949997</v>
      </c>
      <c r="E9" s="47">
        <v>28033788286.160004</v>
      </c>
      <c r="F9" s="47">
        <v>45442767297.869995</v>
      </c>
      <c r="G9" s="47">
        <v>45697413516.340004</v>
      </c>
      <c r="H9" s="47">
        <v>45358758187.989998</v>
      </c>
      <c r="I9" s="47">
        <v>45328584703.190002</v>
      </c>
      <c r="J9" s="47">
        <v>45993634878.969994</v>
      </c>
    </row>
    <row r="10" spans="1:10" ht="15.75" x14ac:dyDescent="0.25">
      <c r="A10" s="50" t="s">
        <v>227</v>
      </c>
      <c r="B10" s="51">
        <f t="shared" ref="B10:H10" si="0">SUM(B2:B9)</f>
        <v>1943407345708.8286</v>
      </c>
      <c r="C10" s="51">
        <f t="shared" si="0"/>
        <v>1922810043593.2705</v>
      </c>
      <c r="D10" s="51">
        <f t="shared" si="0"/>
        <v>1905565030169.3159</v>
      </c>
      <c r="E10" s="51">
        <f t="shared" si="0"/>
        <v>1930034404358.7712</v>
      </c>
      <c r="F10" s="51">
        <f t="shared" si="0"/>
        <v>1927585637735.8486</v>
      </c>
      <c r="G10" s="51">
        <f t="shared" si="0"/>
        <v>1938057005087.2852</v>
      </c>
      <c r="H10" s="51">
        <f t="shared" si="0"/>
        <v>1935067759050.2058</v>
      </c>
      <c r="I10" s="51">
        <f>SUM(I2:I9)</f>
        <v>1961229345082.9329</v>
      </c>
      <c r="J10" s="51">
        <f>SUM(J2:J9)</f>
        <v>2002190167303.2449</v>
      </c>
    </row>
    <row r="11" spans="1:10" ht="16.5" x14ac:dyDescent="0.3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 x14ac:dyDescent="0.25">
      <c r="A12" s="54" t="s">
        <v>228</v>
      </c>
      <c r="B12" s="55" t="s">
        <v>229</v>
      </c>
      <c r="C12" s="56">
        <f>(B10+C10)/2</f>
        <v>1933108694651.0496</v>
      </c>
      <c r="D12" s="57">
        <f t="shared" ref="D12:J12" si="1">(C10+D10)/2</f>
        <v>1914187536881.2932</v>
      </c>
      <c r="E12" s="57">
        <f t="shared" si="1"/>
        <v>1917799717264.0435</v>
      </c>
      <c r="F12" s="57">
        <f t="shared" si="1"/>
        <v>1928810021047.3101</v>
      </c>
      <c r="G12" s="57">
        <f>(F10+G10)/2</f>
        <v>1932821321411.5669</v>
      </c>
      <c r="H12" s="57">
        <f t="shared" si="1"/>
        <v>1936562382068.7456</v>
      </c>
      <c r="I12" s="57">
        <f t="shared" si="1"/>
        <v>1948148552066.5693</v>
      </c>
      <c r="J12" s="57">
        <f t="shared" si="1"/>
        <v>1981709756193.0889</v>
      </c>
    </row>
    <row r="15" spans="1:10" ht="16.5" x14ac:dyDescent="0.3">
      <c r="A15" s="44" t="s">
        <v>223</v>
      </c>
      <c r="B15" s="45">
        <v>45212</v>
      </c>
      <c r="C15" s="45">
        <v>45219</v>
      </c>
    </row>
    <row r="16" spans="1:10" ht="16.5" x14ac:dyDescent="0.3">
      <c r="A16" s="46" t="s">
        <v>15</v>
      </c>
      <c r="B16" s="47">
        <v>22452818441.667297</v>
      </c>
      <c r="C16" s="47">
        <v>22321023691.510902</v>
      </c>
    </row>
    <row r="17" spans="1:3" ht="16.5" x14ac:dyDescent="0.3">
      <c r="A17" s="46" t="s">
        <v>47</v>
      </c>
      <c r="B17" s="48">
        <v>866430357744.91357</v>
      </c>
      <c r="C17" s="48">
        <v>868733209665.15002</v>
      </c>
    </row>
    <row r="18" spans="1:3" ht="16.5" x14ac:dyDescent="0.3">
      <c r="A18" s="46" t="s">
        <v>224</v>
      </c>
      <c r="B18" s="47">
        <v>296194339533.25995</v>
      </c>
      <c r="C18" s="47">
        <v>297314764640.83484</v>
      </c>
    </row>
    <row r="19" spans="1:3" ht="16.5" x14ac:dyDescent="0.3">
      <c r="A19" s="46" t="s">
        <v>129</v>
      </c>
      <c r="B19" s="48">
        <v>594856395707.72656</v>
      </c>
      <c r="C19" s="48">
        <v>631778541802.7771</v>
      </c>
    </row>
    <row r="20" spans="1:3" ht="16.5" x14ac:dyDescent="0.3">
      <c r="A20" s="46" t="s">
        <v>225</v>
      </c>
      <c r="B20" s="47">
        <v>93063670940.059998</v>
      </c>
      <c r="C20" s="47">
        <v>93071505879.830002</v>
      </c>
    </row>
    <row r="21" spans="1:3" ht="16.5" x14ac:dyDescent="0.3">
      <c r="A21" s="46" t="s">
        <v>155</v>
      </c>
      <c r="B21" s="49">
        <v>39055524237.135551</v>
      </c>
      <c r="C21" s="49">
        <v>39125729977.492111</v>
      </c>
    </row>
    <row r="22" spans="1:3" ht="16.5" x14ac:dyDescent="0.3">
      <c r="A22" s="46" t="s">
        <v>179</v>
      </c>
      <c r="B22" s="47">
        <v>3847653774.98</v>
      </c>
      <c r="C22" s="47">
        <v>3851756766.6799998</v>
      </c>
    </row>
    <row r="23" spans="1:3" ht="16.5" x14ac:dyDescent="0.3">
      <c r="A23" s="46" t="s">
        <v>226</v>
      </c>
      <c r="B23" s="47">
        <v>45328584703.190002</v>
      </c>
      <c r="C23" s="47">
        <v>45993634878.969994</v>
      </c>
    </row>
  </sheetData>
  <sheetProtection algorithmName="SHA-512" hashValue="eZvmUzaSUCDa6fuwTqjjNzJyq3pr8gYJajW7Mv2ggmyTcVlmRzClfPkJOouxRWzlboC429Y80yl8orcs+y7lWw==" saltValue="g3Ca6tLnTzNORcDnreg/2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2023-11-06T23:03:04Z</dcterms:modified>
</cp:coreProperties>
</file>