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N91" i="1" l="1"/>
  <c r="M91" i="1"/>
  <c r="K91" i="1"/>
  <c r="N107" i="1"/>
  <c r="M107" i="1"/>
  <c r="M90" i="1" l="1"/>
  <c r="N90" i="1"/>
  <c r="R105" i="1" l="1"/>
  <c r="N105" i="1"/>
  <c r="M105" i="1"/>
  <c r="K105" i="1"/>
  <c r="N95" i="1"/>
  <c r="M95" i="1"/>
  <c r="K95" i="1"/>
  <c r="N108" i="1"/>
  <c r="M108" i="1"/>
  <c r="R19" i="1" l="1"/>
  <c r="N98" i="1" l="1"/>
  <c r="M98" i="1"/>
  <c r="K98" i="1"/>
  <c r="N104" i="1" l="1"/>
  <c r="M104" i="1"/>
  <c r="K104" i="1"/>
  <c r="N111" i="1" l="1"/>
  <c r="M111" i="1"/>
  <c r="N96" i="1" l="1"/>
  <c r="M96" i="1"/>
  <c r="K96" i="1"/>
  <c r="N97" i="1"/>
  <c r="M97" i="1"/>
  <c r="K97" i="1"/>
  <c r="N100" i="1" l="1"/>
  <c r="M100" i="1"/>
  <c r="K100" i="1"/>
  <c r="G111" i="1"/>
  <c r="F111" i="1"/>
  <c r="G108" i="1"/>
  <c r="F108" i="1"/>
  <c r="G107" i="1"/>
  <c r="F107" i="1"/>
  <c r="G104" i="1"/>
  <c r="F104" i="1"/>
  <c r="D104" i="1"/>
  <c r="G100" i="1"/>
  <c r="F100" i="1"/>
  <c r="G98" i="1"/>
  <c r="F98" i="1"/>
  <c r="G97" i="1"/>
  <c r="F97" i="1"/>
  <c r="G96" i="1"/>
  <c r="F96" i="1"/>
  <c r="G95" i="1"/>
  <c r="F95" i="1"/>
  <c r="G91" i="1"/>
  <c r="F91" i="1"/>
  <c r="G90" i="1"/>
  <c r="F90" i="1"/>
  <c r="D100" i="1"/>
  <c r="D98" i="1"/>
  <c r="D97" i="1"/>
  <c r="D96" i="1"/>
  <c r="D95" i="1"/>
  <c r="D91" i="1"/>
  <c r="R179" i="1" l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S190" i="1"/>
  <c r="U190" i="1"/>
  <c r="V190" i="1"/>
  <c r="V178" i="1"/>
  <c r="U178" i="1"/>
  <c r="T178" i="1"/>
  <c r="S178" i="1"/>
  <c r="R178" i="1"/>
  <c r="V174" i="1"/>
  <c r="U174" i="1"/>
  <c r="T174" i="1"/>
  <c r="S174" i="1"/>
  <c r="R174" i="1"/>
  <c r="V173" i="1"/>
  <c r="U173" i="1"/>
  <c r="T173" i="1"/>
  <c r="S173" i="1"/>
  <c r="R173" i="1"/>
  <c r="R161" i="1"/>
  <c r="S161" i="1"/>
  <c r="T161" i="1"/>
  <c r="U161" i="1"/>
  <c r="V161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S169" i="1"/>
  <c r="U169" i="1"/>
  <c r="V169" i="1"/>
  <c r="V160" i="1"/>
  <c r="U160" i="1"/>
  <c r="T160" i="1"/>
  <c r="S160" i="1"/>
  <c r="R160" i="1"/>
  <c r="V157" i="1"/>
  <c r="U157" i="1"/>
  <c r="T157" i="1"/>
  <c r="S157" i="1"/>
  <c r="R157" i="1"/>
  <c r="V156" i="1"/>
  <c r="U156" i="1"/>
  <c r="T156" i="1"/>
  <c r="S156" i="1"/>
  <c r="R156" i="1"/>
  <c r="R150" i="1"/>
  <c r="S150" i="1"/>
  <c r="T150" i="1"/>
  <c r="U150" i="1"/>
  <c r="V150" i="1"/>
  <c r="R151" i="1"/>
  <c r="S151" i="1"/>
  <c r="T151" i="1"/>
  <c r="U151" i="1"/>
  <c r="V151" i="1"/>
  <c r="S152" i="1"/>
  <c r="U152" i="1"/>
  <c r="V152" i="1"/>
  <c r="V149" i="1"/>
  <c r="U149" i="1"/>
  <c r="T149" i="1"/>
  <c r="S149" i="1"/>
  <c r="R14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S146" i="1"/>
  <c r="U146" i="1"/>
  <c r="V146" i="1"/>
  <c r="V122" i="1"/>
  <c r="U122" i="1"/>
  <c r="T122" i="1"/>
  <c r="S122" i="1"/>
  <c r="R122" i="1"/>
  <c r="R116" i="1"/>
  <c r="S116" i="1"/>
  <c r="T116" i="1"/>
  <c r="U116" i="1"/>
  <c r="V116" i="1"/>
  <c r="R117" i="1"/>
  <c r="S117" i="1"/>
  <c r="T117" i="1"/>
  <c r="U117" i="1"/>
  <c r="V117" i="1"/>
  <c r="R118" i="1"/>
  <c r="S118" i="1"/>
  <c r="T118" i="1"/>
  <c r="U118" i="1"/>
  <c r="V118" i="1"/>
  <c r="S119" i="1"/>
  <c r="U119" i="1"/>
  <c r="V119" i="1"/>
  <c r="V115" i="1"/>
  <c r="U115" i="1"/>
  <c r="T115" i="1"/>
  <c r="S115" i="1"/>
  <c r="R115" i="1"/>
  <c r="R104" i="1"/>
  <c r="S104" i="1"/>
  <c r="T104" i="1"/>
  <c r="U104" i="1"/>
  <c r="V104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S112" i="1"/>
  <c r="U112" i="1"/>
  <c r="V112" i="1"/>
  <c r="V103" i="1"/>
  <c r="U103" i="1"/>
  <c r="T103" i="1"/>
  <c r="S103" i="1"/>
  <c r="R103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V90" i="1"/>
  <c r="U90" i="1"/>
  <c r="T90" i="1"/>
  <c r="S90" i="1"/>
  <c r="R90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S86" i="1"/>
  <c r="U86" i="1"/>
  <c r="V86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I10" i="4" l="1"/>
  <c r="H10" i="4"/>
  <c r="G10" i="4"/>
  <c r="F10" i="4"/>
  <c r="E10" i="4"/>
  <c r="D10" i="4"/>
  <c r="C10" i="4"/>
  <c r="B10" i="4"/>
  <c r="O169" i="1" l="1"/>
  <c r="O190" i="1"/>
  <c r="K190" i="1"/>
  <c r="L189" i="1" s="1"/>
  <c r="H190" i="1"/>
  <c r="T190" i="1" s="1"/>
  <c r="D190" i="1"/>
  <c r="K175" i="1"/>
  <c r="H175" i="1"/>
  <c r="D175" i="1"/>
  <c r="H169" i="1"/>
  <c r="T169" i="1" s="1"/>
  <c r="D169" i="1"/>
  <c r="K169" i="1"/>
  <c r="H152" i="1"/>
  <c r="D152" i="1"/>
  <c r="O152" i="1"/>
  <c r="K152" i="1"/>
  <c r="O146" i="1"/>
  <c r="K146" i="1"/>
  <c r="H146" i="1"/>
  <c r="D146" i="1"/>
  <c r="O119" i="1"/>
  <c r="K119" i="1"/>
  <c r="H119" i="1"/>
  <c r="T119" i="1" s="1"/>
  <c r="D119" i="1"/>
  <c r="H112" i="1"/>
  <c r="D112" i="1"/>
  <c r="O112" i="1"/>
  <c r="K112" i="1"/>
  <c r="O86" i="1"/>
  <c r="K86" i="1"/>
  <c r="L83" i="1" s="1"/>
  <c r="H86" i="1"/>
  <c r="D86" i="1"/>
  <c r="O54" i="1"/>
  <c r="K54" i="1"/>
  <c r="H54" i="1"/>
  <c r="O22" i="1"/>
  <c r="H22" i="1"/>
  <c r="T54" i="1" l="1"/>
  <c r="T152" i="1"/>
  <c r="R152" i="1"/>
  <c r="T86" i="1"/>
  <c r="T146" i="1"/>
  <c r="T22" i="1"/>
  <c r="R119" i="1"/>
  <c r="R190" i="1"/>
  <c r="T112" i="1"/>
  <c r="O170" i="1"/>
  <c r="O191" i="1" s="1"/>
  <c r="R146" i="1"/>
  <c r="L136" i="1"/>
  <c r="L137" i="1"/>
  <c r="R112" i="1"/>
  <c r="R86" i="1"/>
  <c r="L59" i="1"/>
  <c r="L61" i="1"/>
  <c r="L63" i="1"/>
  <c r="L65" i="1"/>
  <c r="L67" i="1"/>
  <c r="L69" i="1"/>
  <c r="L71" i="1"/>
  <c r="L73" i="1"/>
  <c r="L75" i="1"/>
  <c r="L77" i="1"/>
  <c r="L79" i="1"/>
  <c r="L81" i="1"/>
  <c r="L85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2" i="1"/>
  <c r="E164" i="1"/>
  <c r="E166" i="1"/>
  <c r="E168" i="1"/>
  <c r="E161" i="1"/>
  <c r="E163" i="1"/>
  <c r="E165" i="1"/>
  <c r="E167" i="1"/>
  <c r="R169" i="1"/>
  <c r="H170" i="1"/>
  <c r="H191" i="1" s="1"/>
  <c r="J10" i="4"/>
  <c r="J12" i="4" s="1"/>
  <c r="I12" i="4"/>
  <c r="H12" i="4"/>
  <c r="G12" i="4"/>
  <c r="F12" i="4"/>
  <c r="E12" i="4"/>
  <c r="C12" i="4"/>
  <c r="L188" i="1"/>
  <c r="E186" i="1"/>
  <c r="L187" i="1"/>
  <c r="L186" i="1"/>
  <c r="L184" i="1"/>
  <c r="L183" i="1"/>
  <c r="L182" i="1"/>
  <c r="L180" i="1"/>
  <c r="L179" i="1"/>
  <c r="L178" i="1"/>
  <c r="V175" i="1"/>
  <c r="U175" i="1"/>
  <c r="L173" i="1"/>
  <c r="E173" i="1"/>
  <c r="L167" i="1"/>
  <c r="L161" i="1"/>
  <c r="L157" i="1"/>
  <c r="L149" i="1"/>
  <c r="E151" i="1"/>
  <c r="L142" i="1"/>
  <c r="E145" i="1"/>
  <c r="E142" i="1"/>
  <c r="L135" i="1"/>
  <c r="L133" i="1"/>
  <c r="L130" i="1"/>
  <c r="L127" i="1"/>
  <c r="L125" i="1"/>
  <c r="L122" i="1"/>
  <c r="L117" i="1"/>
  <c r="E118" i="1"/>
  <c r="L118" i="1"/>
  <c r="E83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L50" i="1"/>
  <c r="D54" i="1"/>
  <c r="R54" i="1" s="1"/>
  <c r="L51" i="1"/>
  <c r="L32" i="1"/>
  <c r="K22" i="1"/>
  <c r="L13" i="1" s="1"/>
  <c r="D22" i="1"/>
  <c r="E14" i="1" s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5" i="1"/>
  <c r="L123" i="1"/>
  <c r="L126" i="1"/>
  <c r="L129" i="1"/>
  <c r="L131" i="1"/>
  <c r="L134" i="1"/>
  <c r="L138" i="1"/>
  <c r="E18" i="1"/>
  <c r="L57" i="1"/>
  <c r="E61" i="1"/>
  <c r="E115" i="1"/>
  <c r="E122" i="1"/>
  <c r="E123" i="1"/>
  <c r="E124" i="1"/>
  <c r="E129" i="1"/>
  <c r="E130" i="1"/>
  <c r="E131" i="1"/>
  <c r="E132" i="1"/>
  <c r="E137" i="1"/>
  <c r="E140" i="1"/>
  <c r="E144" i="1"/>
  <c r="L163" i="1"/>
  <c r="L165" i="1"/>
  <c r="E11" i="1"/>
  <c r="E13" i="1"/>
  <c r="E16" i="1"/>
  <c r="E20" i="1"/>
  <c r="L29" i="1"/>
  <c r="L37" i="1"/>
  <c r="L43" i="1"/>
  <c r="K170" i="1"/>
  <c r="L116" i="1"/>
  <c r="E125" i="1"/>
  <c r="E126" i="1"/>
  <c r="E127" i="1"/>
  <c r="E128" i="1"/>
  <c r="E133" i="1"/>
  <c r="E134" i="1"/>
  <c r="E135" i="1"/>
  <c r="E136" i="1"/>
  <c r="E138" i="1"/>
  <c r="E139" i="1"/>
  <c r="E141" i="1"/>
  <c r="E143" i="1"/>
  <c r="L156" i="1"/>
  <c r="L162" i="1"/>
  <c r="L95" i="1"/>
  <c r="L105" i="1"/>
  <c r="L94" i="1"/>
  <c r="L48" i="1"/>
  <c r="L25" i="1"/>
  <c r="L33" i="1"/>
  <c r="L44" i="1"/>
  <c r="L52" i="1"/>
  <c r="E117" i="1"/>
  <c r="L140" i="1"/>
  <c r="L144" i="1"/>
  <c r="L151" i="1"/>
  <c r="E181" i="1"/>
  <c r="E185" i="1"/>
  <c r="E189" i="1"/>
  <c r="D12" i="4"/>
  <c r="E91" i="1"/>
  <c r="L36" i="1"/>
  <c r="L39" i="1"/>
  <c r="L30" i="1"/>
  <c r="L38" i="1"/>
  <c r="L41" i="1"/>
  <c r="L49" i="1"/>
  <c r="L124" i="1"/>
  <c r="L128" i="1"/>
  <c r="L132" i="1"/>
  <c r="E150" i="1"/>
  <c r="E160" i="1"/>
  <c r="E174" i="1"/>
  <c r="L181" i="1"/>
  <c r="L185" i="1"/>
  <c r="L28" i="1"/>
  <c r="L47" i="1"/>
  <c r="E7" i="1"/>
  <c r="E17" i="1"/>
  <c r="E21" i="1"/>
  <c r="L27" i="1"/>
  <c r="L35" i="1"/>
  <c r="L46" i="1"/>
  <c r="E57" i="1"/>
  <c r="E65" i="1"/>
  <c r="E69" i="1"/>
  <c r="E73" i="1"/>
  <c r="E77" i="1"/>
  <c r="E81" i="1"/>
  <c r="E85" i="1"/>
  <c r="E116" i="1"/>
  <c r="L139" i="1"/>
  <c r="L143" i="1"/>
  <c r="L150" i="1"/>
  <c r="L160" i="1"/>
  <c r="L164" i="1"/>
  <c r="L168" i="1"/>
  <c r="L174" i="1"/>
  <c r="R175" i="1"/>
  <c r="E180" i="1"/>
  <c r="E184" i="1"/>
  <c r="E188" i="1"/>
  <c r="E149" i="1"/>
  <c r="E157" i="1"/>
  <c r="E179" i="1"/>
  <c r="E183" i="1"/>
  <c r="E187" i="1"/>
  <c r="L45" i="1"/>
  <c r="L53" i="1"/>
  <c r="E100" i="1"/>
  <c r="L26" i="1"/>
  <c r="L34" i="1"/>
  <c r="E156" i="1"/>
  <c r="E12" i="1"/>
  <c r="E15" i="1"/>
  <c r="L31" i="1"/>
  <c r="L42" i="1"/>
  <c r="E59" i="1"/>
  <c r="E63" i="1"/>
  <c r="E67" i="1"/>
  <c r="E71" i="1"/>
  <c r="E75" i="1"/>
  <c r="E79" i="1"/>
  <c r="L141" i="1"/>
  <c r="L145" i="1"/>
  <c r="E178" i="1"/>
  <c r="E182" i="1"/>
  <c r="L106" i="1" l="1"/>
  <c r="L90" i="1"/>
  <c r="L91" i="1"/>
  <c r="L92" i="1"/>
  <c r="L98" i="1"/>
  <c r="L108" i="1"/>
  <c r="E104" i="1"/>
  <c r="L93" i="1"/>
  <c r="K191" i="1"/>
  <c r="L22" i="1"/>
  <c r="L146" i="1"/>
  <c r="L54" i="1"/>
  <c r="L119" i="1"/>
  <c r="L86" i="1"/>
  <c r="L112" i="1"/>
  <c r="L169" i="1"/>
  <c r="L152" i="1"/>
  <c r="L100" i="1"/>
  <c r="L97" i="1"/>
  <c r="L96" i="1"/>
  <c r="L111" i="1"/>
  <c r="L103" i="1"/>
  <c r="L107" i="1"/>
  <c r="L109" i="1"/>
  <c r="L99" i="1"/>
  <c r="L110" i="1"/>
  <c r="L104" i="1"/>
  <c r="E110" i="1"/>
  <c r="E107" i="1"/>
  <c r="E99" i="1"/>
  <c r="E96" i="1"/>
  <c r="E93" i="1"/>
  <c r="E98" i="1"/>
  <c r="E94" i="1"/>
  <c r="E105" i="1"/>
  <c r="E95" i="1"/>
  <c r="D170" i="1"/>
  <c r="E112" i="1" s="1"/>
  <c r="E111" i="1"/>
  <c r="E90" i="1"/>
  <c r="E97" i="1"/>
  <c r="E92" i="1"/>
  <c r="E109" i="1"/>
  <c r="E108" i="1"/>
  <c r="E106" i="1"/>
  <c r="E103" i="1"/>
  <c r="E54" i="1" l="1"/>
  <c r="E146" i="1"/>
  <c r="D191" i="1"/>
  <c r="E86" i="1"/>
  <c r="E22" i="1"/>
  <c r="E169" i="1"/>
  <c r="E119" i="1"/>
  <c r="E152" i="1"/>
</calcChain>
</file>

<file path=xl/sharedStrings.xml><?xml version="1.0" encoding="utf-8"?>
<sst xmlns="http://schemas.openxmlformats.org/spreadsheetml/2006/main" count="407" uniqueCount="256">
  <si>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</si>
  <si>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</si>
  <si>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</si>
  <si>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</si>
  <si>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</si>
  <si>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</si>
  <si>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</si>
  <si>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</si>
  <si>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</si>
  <si>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</si>
  <si>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</si>
  <si>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</si>
  <si>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</si>
  <si>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</si>
  <si>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</si>
  <si>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</si>
  <si>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</si>
  <si>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</si>
  <si>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</si>
  <si>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</si>
  <si>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</si>
  <si>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</si>
  <si>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</si>
  <si>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</si>
  <si>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</si>
  <si>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</si>
  <si>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</si>
  <si>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</si>
  <si>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</si>
  <si>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</si>
  <si>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</si>
  <si>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</si>
  <si>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 (GTEIF)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</si>
  <si>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</si>
  <si>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</si>
  <si>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</si>
  <si>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</si>
  <si>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</si>
  <si>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</si>
  <si>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</si>
  <si>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</si>
  <si>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</si>
  <si>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</si>
  <si>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</si>
  <si>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</si>
  <si>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</si>
  <si>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</si>
  <si>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</si>
  <si>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</si>
  <si>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</si>
  <si>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</si>
  <si>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</si>
  <si>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</si>
  <si>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</si>
  <si>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</si>
  <si>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</si>
  <si>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</si>
  <si>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</si>
  <si>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</si>
  <si>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</si>
  <si>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</si>
  <si>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</si>
  <si>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</si>
  <si>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</si>
  <si>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</si>
  <si>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</si>
  <si>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</si>
  <si>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</si>
  <si>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</si>
  <si>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</si>
  <si>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</si>
  <si>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</si>
  <si>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</si>
  <si>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</si>
  <si>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</si>
  <si>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</si>
  <si>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Guaranty Trust Money Market Fund (GTMMF)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</si>
  <si>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</si>
  <si>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</si>
  <si>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</si>
  <si>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</si>
  <si>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</si>
  <si>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</si>
  <si>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</si>
  <si>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</si>
  <si>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</si>
  <si>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</si>
  <si>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</si>
  <si>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</si>
  <si>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</si>
  <si>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</si>
  <si>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</si>
  <si>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</si>
  <si>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</si>
  <si>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</si>
  <si>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</si>
  <si>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</si>
  <si>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</si>
  <si>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</si>
  <si>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</si>
  <si>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</si>
  <si>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</si>
  <si>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</si>
  <si>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</si>
  <si>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</si>
  <si>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</si>
  <si>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</si>
  <si>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</si>
  <si>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</si>
  <si>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</si>
  <si>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</si>
  <si>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</si>
  <si>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</si>
  <si>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</si>
  <si>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</si>
  <si>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</si>
  <si>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</si>
  <si>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</si>
  <si>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</si>
  <si>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</si>
  <si>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</si>
  <si>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</si>
  <si>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</si>
  <si>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</si>
  <si>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</si>
  <si>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</si>
  <si>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</si>
  <si>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</si>
  <si>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</si>
  <si>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</si>
  <si>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</si>
  <si>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</si>
  <si>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</si>
  <si>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</si>
  <si>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</si>
  <si>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</si>
  <si>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</si>
  <si>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</si>
  <si>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</si>
  <si>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</si>
  <si>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</si>
  <si>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</si>
  <si>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</si>
  <si>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</si>
  <si>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</si>
  <si>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</si>
  <si>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</si>
  <si>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</si>
  <si>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</si>
  <si>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</si>
  <si>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</si>
  <si>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</si>
  <si>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</si>
  <si>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</si>
  <si>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</si>
  <si>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</si>
  <si>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</si>
  <si>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</si>
  <si>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</si>
  <si>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</si>
  <si>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</si>
  <si>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</si>
  <si>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</si>
  <si>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</si>
  <si>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</si>
  <si>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</si>
  <si>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</si>
  <si>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</si>
  <si>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</si>
  <si>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</si>
  <si>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</si>
  <si>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</si>
  <si>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Guaranty Trust Balanced Fund (GTBF)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</si>
  <si>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</si>
  <si>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</si>
  <si>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</si>
  <si>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</si>
  <si>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</si>
  <si>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</si>
  <si>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</si>
  <si>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</si>
  <si>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</si>
  <si>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</si>
  <si>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</si>
  <si>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</si>
  <si>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</si>
  <si>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</si>
  <si>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</si>
  <si>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</si>
  <si>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</si>
  <si>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</si>
  <si>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</si>
  <si>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</si>
  <si>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</si>
  <si>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</si>
  <si>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</si>
  <si>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</si>
  <si>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</si>
  <si>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</si>
  <si>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</si>
  <si>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</si>
  <si>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</si>
  <si>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</si>
  <si>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</si>
  <si>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</si>
  <si>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</si>
  <si>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</si>
  <si>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</si>
  <si>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</si>
  <si>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</si>
  <si>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</si>
  <si>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</si>
  <si>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</si>
  <si>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</si>
  <si>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</si>
  <si>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</si>
  <si>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</si>
  <si>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</si>
  <si>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</si>
  <si>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</si>
  <si>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</si>
  <si>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</si>
  <si>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</si>
  <si>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</si>
  <si>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</si>
  <si>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</si>
  <si>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</si>
  <si>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</si>
  <si>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</si>
  <si>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</si>
  <si>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</si>
  <si>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</si>
  <si>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</si>
  <si>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</si>
  <si>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</si>
  <si>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</si>
  <si>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</si>
  <si>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</si>
  <si>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</si>
  <si>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-0.28% </t>
  </si>
  <si>
    <t>34.90% </t>
  </si>
  <si>
    <t>Uniholders</t>
  </si>
  <si>
    <t>9.70% </t>
  </si>
  <si>
    <t>-0.047% </t>
  </si>
  <si>
    <t>32.36% </t>
  </si>
  <si>
    <t>-0.38% </t>
  </si>
  <si>
    <t> -0.53%</t>
  </si>
  <si>
    <t>55.00% </t>
  </si>
  <si>
    <t>10.02% </t>
  </si>
  <si>
    <t>NAV, Unit Price and Yield as at Week Ended October 6, 2023</t>
  </si>
  <si>
    <t>NET ASSET VALUES AND UNIT PRICES OF COLLECTIVE INVESTMENT SCHEMES AS AT WEEK ENDED FRIDAY, OCTOBER 13, 2023</t>
  </si>
  <si>
    <t>NAV, Unit Price and Yield as at Week Ended October 13, 2023</t>
  </si>
  <si>
    <t> -0.11%</t>
  </si>
  <si>
    <t>5,88%</t>
  </si>
  <si>
    <t>Week Ended October 6, 2023</t>
  </si>
  <si>
    <t>Week Ended October 13,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</si>
</sst>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8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" fontId="6" fillId="0" borderId="5" xfId="0" applyNumberFormat="1" applyFont="1" applyBorder="1" applyAlignment="1">
      <alignment wrapText="1"/>
    </xf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18" fillId="0" borderId="0" xfId="0" applyFont="1" applyBorder="1"/>
    <xf numFmtId="0" fontId="0" fillId="0" borderId="0" xfId="0" applyBorder="1"/>
    <xf numFmtId="0" fontId="21" fillId="0" borderId="5" xfId="0" applyFont="1" applyBorder="1" applyAlignment="1">
      <alignment horizontal="right"/>
    </xf>
    <xf numFmtId="16" fontId="22" fillId="3" borderId="5" xfId="0" applyNumberFormat="1" applyFont="1" applyFill="1" applyBorder="1"/>
    <xf numFmtId="0" fontId="22" fillId="0" borderId="5" xfId="0" applyFont="1" applyBorder="1" applyAlignment="1">
      <alignment horizontal="right"/>
    </xf>
    <xf numFmtId="4" fontId="20" fillId="3" borderId="5" xfId="0" applyNumberFormat="1" applyFont="1" applyFill="1" applyBorder="1"/>
    <xf numFmtId="43" fontId="20" fillId="3" borderId="5" xfId="1" applyFont="1" applyFill="1" applyBorder="1" applyAlignment="1">
      <alignment horizontal="right" vertical="top" wrapText="1"/>
    </xf>
    <xf numFmtId="4" fontId="20" fillId="3" borderId="5" xfId="0" applyNumberFormat="1" applyFont="1" applyFill="1" applyBorder="1" applyAlignment="1">
      <alignment horizontal="right"/>
    </xf>
    <xf numFmtId="4" fontId="6" fillId="3" borderId="9" xfId="0" applyNumberFormat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" fontId="11" fillId="3" borderId="0" xfId="0" applyNumberFormat="1" applyFont="1" applyFill="1" applyBorder="1"/>
    <xf numFmtId="43" fontId="12" fillId="3" borderId="0" xfId="1" applyFont="1" applyFill="1" applyBorder="1" applyAlignment="1">
      <alignment horizontal="right" vertical="top" wrapText="1"/>
    </xf>
    <xf numFmtId="0" fontId="23" fillId="0" borderId="0" xfId="0" applyFont="1" applyBorder="1" applyAlignment="1">
      <alignment horizontal="right"/>
    </xf>
    <xf numFmtId="0" fontId="19" fillId="0" borderId="0" xfId="0" applyFont="1"/>
    <xf numFmtId="16" fontId="22" fillId="3" borderId="5" xfId="0" applyNumberFormat="1" applyFont="1" applyFill="1" applyBorder="1" applyAlignment="1">
      <alignment wrapText="1"/>
    </xf>
    <xf numFmtId="0" fontId="22" fillId="0" borderId="5" xfId="0" applyFont="1" applyBorder="1" applyAlignment="1">
      <alignment horizontal="right" wrapText="1"/>
    </xf>
    <xf numFmtId="10" fontId="24" fillId="2" borderId="5" xfId="2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6" fillId="0" borderId="0" xfId="0" applyFont="1"/>
    <xf numFmtId="16" fontId="27" fillId="3" borderId="0" xfId="0" applyNumberFormat="1" applyFont="1" applyFill="1" applyBorder="1"/>
    <xf numFmtId="43" fontId="28" fillId="0" borderId="0" xfId="1" applyFont="1" applyBorder="1"/>
    <xf numFmtId="4" fontId="11" fillId="3" borderId="10" xfId="0" applyNumberFormat="1" applyFont="1" applyFill="1" applyBorder="1"/>
    <xf numFmtId="10" fontId="25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October 6,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22.4195298394467</c:v>
                </c:pt>
                <c:pt idx="1">
                  <c:v>857.85123900994995</c:v>
                </c:pt>
                <c:pt idx="2">
                  <c:v>298.61216302386498</c:v>
                </c:pt>
                <c:pt idx="3">
                  <c:v>574.27221068857102</c:v>
                </c:pt>
                <c:pt idx="4">
                  <c:v>93.025791056550005</c:v>
                </c:pt>
                <c:pt idx="5" formatCode="_(* #,##0.00_);_(* \(#,##0.00\);_(* &quot;-&quot;??_);_(@_)">
                  <c:v>39.656232639742797</c:v>
                </c:pt>
                <c:pt idx="6">
                  <c:v>3.87183460409</c:v>
                </c:pt>
                <c:pt idx="7">
                  <c:v>45.358758187989999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October 13,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22.452818441667301</c:v>
                </c:pt>
                <c:pt idx="1">
                  <c:v>866.43035774491398</c:v>
                </c:pt>
                <c:pt idx="2">
                  <c:v>296.19433953326001</c:v>
                </c:pt>
                <c:pt idx="3">
                  <c:v>594.85639570772707</c:v>
                </c:pt>
                <c:pt idx="4">
                  <c:v>93.063670940059993</c:v>
                </c:pt>
                <c:pt idx="5" formatCode="_(* #,##0.00_);_(* \(#,##0.00\);_(* &quot;-&quot;??_);_(@_)">
                  <c:v>39.0555242371356</c:v>
                </c:pt>
                <c:pt idx="6">
                  <c:v>3.8476537749799999</c:v>
                </c:pt>
                <c:pt idx="7">
                  <c:v>45.328584703190003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13-Oct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3847653774.98</c:v>
                </c:pt>
                <c:pt idx="1">
                  <c:v>22452818441.667297</c:v>
                </c:pt>
                <c:pt idx="2" formatCode="_(* #,##0.00_);_(* \(#,##0.00\);_(* &quot;-&quot;??_);_(@_)">
                  <c:v>39055524237.135551</c:v>
                </c:pt>
                <c:pt idx="3">
                  <c:v>45328584703.190002</c:v>
                </c:pt>
                <c:pt idx="4">
                  <c:v>93063670940.059998</c:v>
                </c:pt>
                <c:pt idx="5">
                  <c:v>296194339533.25995</c:v>
                </c:pt>
                <c:pt idx="6">
                  <c:v>594856395707.72656</c:v>
                </c:pt>
                <c:pt idx="7">
                  <c:v>866430357744.91357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Movement'!$B$2:$I$2</c:f>
              <c:numCache>
                <c:formatCode>d\-mmm</c:formatCode>
                <c:ptCount val="8"/>
                <c:pt idx="0">
                  <c:v>45163</c:v>
                </c:pt>
                <c:pt idx="1">
                  <c:v>45170</c:v>
                </c:pt>
                <c:pt idx="2">
                  <c:v>45177</c:v>
                </c:pt>
                <c:pt idx="3">
                  <c:v>45184</c:v>
                </c:pt>
                <c:pt idx="4">
                  <c:v>45191</c:v>
                </c:pt>
                <c:pt idx="5">
                  <c:v>45198</c:v>
                </c:pt>
                <c:pt idx="6">
                  <c:v>45205</c:v>
                </c:pt>
                <c:pt idx="7">
                  <c:v>45212</c:v>
                </c:pt>
              </c:numCache>
            </c:numRef>
          </c:cat>
          <c:val>
            <c:numRef>
              <c:f>'NAV Movement'!$B$3:$I$3</c:f>
              <c:numCache>
                <c:formatCode>_(* #,##0.00_);_(* \(#,##0.00\);_(* "-"??_);_(@_)</c:formatCode>
                <c:ptCount val="8"/>
                <c:pt idx="0">
                  <c:v>1943407345708.8286</c:v>
                </c:pt>
                <c:pt idx="1">
                  <c:v>1922810043593.2705</c:v>
                </c:pt>
                <c:pt idx="2">
                  <c:v>1905565030169.3159</c:v>
                </c:pt>
                <c:pt idx="3">
                  <c:v>1930034404358.7712</c:v>
                </c:pt>
                <c:pt idx="4">
                  <c:v>1927585637735.8486</c:v>
                </c:pt>
                <c:pt idx="5">
                  <c:v>1938057005087.2852</c:v>
                </c:pt>
                <c:pt idx="6">
                  <c:v>1935067759050.2058</c:v>
                </c:pt>
                <c:pt idx="7">
                  <c:v>1961229345082.9329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12</xdr:col>
      <xdr:colOff>520065</xdr:colOff>
      <xdr:row>22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1732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1"/>
  <sheetViews>
    <sheetView tabSelected="1" zoomScale="115" zoomScaleNormal="115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 x14ac:dyDescent="0.45">
      <c r="A1" s="132" t="s">
        <v>250</v>
      </c>
      <c r="B1" s="133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5"/>
    </row>
    <row r="2" spans="1:25" ht="15" customHeight="1" x14ac:dyDescent="0.25">
      <c r="A2" s="1"/>
      <c r="B2" s="1"/>
      <c r="C2" s="1"/>
      <c r="D2" s="139" t="s">
        <v>249</v>
      </c>
      <c r="E2" s="140"/>
      <c r="F2" s="140"/>
      <c r="G2" s="140"/>
      <c r="H2" s="140"/>
      <c r="I2" s="140"/>
      <c r="J2" s="141"/>
      <c r="K2" s="139" t="s">
        <v>251</v>
      </c>
      <c r="L2" s="140"/>
      <c r="M2" s="140"/>
      <c r="N2" s="140"/>
      <c r="O2" s="140"/>
      <c r="P2" s="140"/>
      <c r="Q2" s="141"/>
      <c r="R2" s="139" t="s">
        <v>0</v>
      </c>
      <c r="S2" s="140"/>
      <c r="T2" s="141"/>
      <c r="U2" s="136" t="s">
        <v>1</v>
      </c>
      <c r="V2" s="136"/>
    </row>
    <row r="3" spans="1:25" ht="25.5" x14ac:dyDescent="0.25">
      <c r="A3" s="86" t="s">
        <v>2</v>
      </c>
      <c r="B3" s="80" t="s">
        <v>3</v>
      </c>
      <c r="C3" s="80" t="s">
        <v>4</v>
      </c>
      <c r="D3" s="81" t="s">
        <v>5</v>
      </c>
      <c r="E3" s="82" t="s">
        <v>6</v>
      </c>
      <c r="F3" s="82" t="s">
        <v>7</v>
      </c>
      <c r="G3" s="82" t="s">
        <v>8</v>
      </c>
      <c r="H3" s="82" t="s">
        <v>233</v>
      </c>
      <c r="I3" s="82" t="s">
        <v>9</v>
      </c>
      <c r="J3" s="82" t="s">
        <v>10</v>
      </c>
      <c r="K3" s="83" t="s">
        <v>5</v>
      </c>
      <c r="L3" s="82" t="s">
        <v>6</v>
      </c>
      <c r="M3" s="82" t="s">
        <v>7</v>
      </c>
      <c r="N3" s="82" t="s">
        <v>8</v>
      </c>
      <c r="O3" s="82" t="s">
        <v>233</v>
      </c>
      <c r="P3" s="82" t="s">
        <v>9</v>
      </c>
      <c r="Q3" s="82" t="s">
        <v>10</v>
      </c>
      <c r="R3" s="81" t="s">
        <v>11</v>
      </c>
      <c r="S3" s="82" t="s">
        <v>12</v>
      </c>
      <c r="T3" s="82" t="s">
        <v>241</v>
      </c>
      <c r="U3" s="82" t="s">
        <v>13</v>
      </c>
      <c r="V3" s="82" t="s">
        <v>14</v>
      </c>
    </row>
    <row r="4" spans="1:25" ht="7.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25" ht="15" customHeight="1" x14ac:dyDescent="0.25">
      <c r="A5" s="138" t="s">
        <v>15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5" x14ac:dyDescent="0.25">
      <c r="A6" s="127">
        <v>1</v>
      </c>
      <c r="B6" s="62" t="s">
        <v>16</v>
      </c>
      <c r="C6" s="63" t="s">
        <v>17</v>
      </c>
      <c r="D6" s="2">
        <v>688976999.73000002</v>
      </c>
      <c r="E6" s="3">
        <f t="shared" ref="E6:E21" si="0">(D6/$D$22)</f>
        <v>3.0803788814629727E-2</v>
      </c>
      <c r="F6" s="4">
        <v>272.12880000000001</v>
      </c>
      <c r="G6" s="4">
        <v>275.23970000000003</v>
      </c>
      <c r="H6" s="60">
        <v>1790</v>
      </c>
      <c r="I6" s="5">
        <v>4.8999999999999998E-3</v>
      </c>
      <c r="J6" s="5">
        <v>0.44359999999999999</v>
      </c>
      <c r="K6" s="2">
        <v>692896642.14999998</v>
      </c>
      <c r="L6" s="3">
        <f>(K6/$K$22)</f>
        <v>3.0860118695127479E-2</v>
      </c>
      <c r="M6" s="4">
        <v>273.96339999999998</v>
      </c>
      <c r="N6" s="4">
        <v>277.19720000000001</v>
      </c>
      <c r="O6" s="60">
        <v>1790</v>
      </c>
      <c r="P6" s="5">
        <v>6.7000000000000002E-3</v>
      </c>
      <c r="Q6" s="5">
        <v>0.45329999999999998</v>
      </c>
      <c r="R6" s="84">
        <f>((K6-D6)/D6)</f>
        <v>5.6890758639780541E-3</v>
      </c>
      <c r="S6" s="84">
        <f t="shared" ref="S6" si="1">((N6-G6)/G6)</f>
        <v>7.1119827553945943E-3</v>
      </c>
      <c r="T6" s="84">
        <f>((O6-H6)/H6)</f>
        <v>0</v>
      </c>
      <c r="U6" s="85">
        <f>P6-I6</f>
        <v>1.8000000000000004E-3</v>
      </c>
      <c r="V6" s="87">
        <f>Q6-J6</f>
        <v>9.6999999999999864E-3</v>
      </c>
    </row>
    <row r="7" spans="1:25" x14ac:dyDescent="0.25">
      <c r="A7" s="126">
        <v>2</v>
      </c>
      <c r="B7" s="62" t="s">
        <v>18</v>
      </c>
      <c r="C7" s="63" t="s">
        <v>19</v>
      </c>
      <c r="D7" s="4">
        <v>490013556.19999999</v>
      </c>
      <c r="E7" s="3">
        <f t="shared" si="0"/>
        <v>2.1908240924451351E-2</v>
      </c>
      <c r="F7" s="4">
        <v>179.70519999999999</v>
      </c>
      <c r="G7" s="4">
        <v>182.1165</v>
      </c>
      <c r="H7" s="60">
        <v>363</v>
      </c>
      <c r="I7" s="5">
        <v>-1.005E-2</v>
      </c>
      <c r="J7" s="5">
        <v>0.23980000000000001</v>
      </c>
      <c r="K7" s="4">
        <v>492539485.55000001</v>
      </c>
      <c r="L7" s="3">
        <f t="shared" ref="L7:L21" si="2">(K7/$K$22)</f>
        <v>2.1936644026656332E-2</v>
      </c>
      <c r="M7" s="4">
        <v>180.65520000000001</v>
      </c>
      <c r="N7" s="4">
        <v>183.0796</v>
      </c>
      <c r="O7" s="60">
        <v>363</v>
      </c>
      <c r="P7" s="5">
        <v>1.536E-3</v>
      </c>
      <c r="Q7" s="5">
        <v>0.24640000000000001</v>
      </c>
      <c r="R7" s="84">
        <f t="shared" ref="R7:R22" si="3">((K7-D7)/D7)</f>
        <v>5.1548152454971279E-3</v>
      </c>
      <c r="S7" s="84">
        <f t="shared" ref="S7:S22" si="4">((N7-G7)/G7)</f>
        <v>5.288373101833152E-3</v>
      </c>
      <c r="T7" s="84">
        <f t="shared" ref="T7:T22" si="5">((O7-H7)/H7)</f>
        <v>0</v>
      </c>
      <c r="U7" s="85">
        <f t="shared" ref="U7:U22" si="6">P7-I7</f>
        <v>1.1585999999999999E-2</v>
      </c>
      <c r="V7" s="87">
        <f t="shared" ref="V7:V22" si="7">Q7-J7</f>
        <v>6.5999999999999948E-3</v>
      </c>
    </row>
    <row r="8" spans="1:25" x14ac:dyDescent="0.25">
      <c r="A8" s="128">
        <v>3</v>
      </c>
      <c r="B8" s="62" t="s">
        <v>20</v>
      </c>
      <c r="C8" s="63" t="s">
        <v>21</v>
      </c>
      <c r="D8" s="4">
        <v>3210732192.4099998</v>
      </c>
      <c r="E8" s="3">
        <f t="shared" si="0"/>
        <v>0.14355009881910319</v>
      </c>
      <c r="F8" s="4">
        <v>28.777999999999999</v>
      </c>
      <c r="G8" s="4">
        <v>29.645700000000001</v>
      </c>
      <c r="H8" s="64">
        <v>6328</v>
      </c>
      <c r="I8" s="6">
        <v>-0.41320000000000001</v>
      </c>
      <c r="J8" s="6">
        <v>0.39040000000000002</v>
      </c>
      <c r="K8" s="4">
        <v>3228166962.6100001</v>
      </c>
      <c r="L8" s="3">
        <f t="shared" si="2"/>
        <v>0.14377557859815321</v>
      </c>
      <c r="M8" s="4">
        <v>29.045999999999999</v>
      </c>
      <c r="N8" s="4">
        <v>29.921800000000001</v>
      </c>
      <c r="O8" s="64">
        <v>6328</v>
      </c>
      <c r="P8" s="6">
        <v>0.48559999999999998</v>
      </c>
      <c r="Q8" s="6">
        <v>0.39629999999999999</v>
      </c>
      <c r="R8" s="84">
        <f t="shared" si="3"/>
        <v>5.4301539820777187E-3</v>
      </c>
      <c r="S8" s="84">
        <f t="shared" si="4"/>
        <v>9.3133236860657546E-3</v>
      </c>
      <c r="T8" s="84">
        <f t="shared" si="5"/>
        <v>0</v>
      </c>
      <c r="U8" s="85">
        <f t="shared" si="6"/>
        <v>0.89880000000000004</v>
      </c>
      <c r="V8" s="87">
        <f t="shared" si="7"/>
        <v>5.8999999999999608E-3</v>
      </c>
      <c r="X8" s="148"/>
      <c r="Y8" s="148"/>
    </row>
    <row r="9" spans="1:25" x14ac:dyDescent="0.25">
      <c r="A9" s="126">
        <v>4</v>
      </c>
      <c r="B9" s="62" t="s">
        <v>22</v>
      </c>
      <c r="C9" s="63" t="s">
        <v>23</v>
      </c>
      <c r="D9" s="4">
        <v>415418694.08999997</v>
      </c>
      <c r="E9" s="3">
        <f t="shared" si="0"/>
        <v>1.8573145006890474E-2</v>
      </c>
      <c r="F9" s="4">
        <v>180.2</v>
      </c>
      <c r="G9" s="4">
        <v>180.2</v>
      </c>
      <c r="H9" s="60">
        <v>1647</v>
      </c>
      <c r="I9" s="5">
        <v>1.4E-3</v>
      </c>
      <c r="J9" s="5">
        <v>0.3196</v>
      </c>
      <c r="K9" s="4">
        <v>415649112.02999997</v>
      </c>
      <c r="L9" s="3">
        <f t="shared" si="2"/>
        <v>1.8512112994182071E-2</v>
      </c>
      <c r="M9" s="4">
        <v>181.32</v>
      </c>
      <c r="N9" s="4">
        <v>181.32</v>
      </c>
      <c r="O9" s="60">
        <v>1656</v>
      </c>
      <c r="P9" s="5">
        <v>6.1999999999999998E-3</v>
      </c>
      <c r="Q9" s="5">
        <v>0.32779999999999998</v>
      </c>
      <c r="R9" s="84">
        <f t="shared" si="3"/>
        <v>5.5466435015579213E-4</v>
      </c>
      <c r="S9" s="84">
        <f t="shared" si="4"/>
        <v>6.2153163152053534E-3</v>
      </c>
      <c r="T9" s="84">
        <f t="shared" si="5"/>
        <v>5.4644808743169399E-3</v>
      </c>
      <c r="U9" s="85">
        <f t="shared" si="6"/>
        <v>4.7999999999999996E-3</v>
      </c>
      <c r="V9" s="87">
        <f t="shared" si="7"/>
        <v>8.1999999999999851E-3</v>
      </c>
    </row>
    <row r="10" spans="1:25" x14ac:dyDescent="0.25">
      <c r="A10" s="121">
        <v>5</v>
      </c>
      <c r="B10" s="62" t="s">
        <v>24</v>
      </c>
      <c r="C10" s="63" t="s">
        <v>25</v>
      </c>
      <c r="D10" s="7">
        <v>122216701.79000001</v>
      </c>
      <c r="E10" s="3">
        <f t="shared" si="0"/>
        <v>5.4642425988604623E-3</v>
      </c>
      <c r="F10" s="4">
        <v>127.4948</v>
      </c>
      <c r="G10" s="4">
        <v>128.08529999999999</v>
      </c>
      <c r="H10" s="64">
        <v>48</v>
      </c>
      <c r="I10" s="6">
        <v>-5.0639999999999999E-3</v>
      </c>
      <c r="J10" s="6">
        <v>0.2135</v>
      </c>
      <c r="K10" s="7">
        <v>120964029.48</v>
      </c>
      <c r="L10" s="3">
        <f t="shared" si="2"/>
        <v>5.3874764005359087E-3</v>
      </c>
      <c r="M10" s="4">
        <v>126.1604</v>
      </c>
      <c r="N10" s="4">
        <v>126.87569999999999</v>
      </c>
      <c r="O10" s="64">
        <v>49</v>
      </c>
      <c r="P10" s="6">
        <v>-1.56E-3</v>
      </c>
      <c r="Q10" s="6">
        <v>0.20080000000000001</v>
      </c>
      <c r="R10" s="84">
        <f t="shared" si="3"/>
        <v>-1.0249600027273018E-2</v>
      </c>
      <c r="S10" s="84">
        <f t="shared" si="4"/>
        <v>-9.4437066548619924E-3</v>
      </c>
      <c r="T10" s="84">
        <f t="shared" si="5"/>
        <v>2.0833333333333332E-2</v>
      </c>
      <c r="U10" s="85">
        <f t="shared" si="6"/>
        <v>3.5040000000000002E-3</v>
      </c>
      <c r="V10" s="87">
        <f t="shared" si="7"/>
        <v>-1.2699999999999989E-2</v>
      </c>
    </row>
    <row r="11" spans="1:25" x14ac:dyDescent="0.25">
      <c r="A11" s="121">
        <v>6</v>
      </c>
      <c r="B11" s="62" t="s">
        <v>26</v>
      </c>
      <c r="C11" s="63" t="s">
        <v>27</v>
      </c>
      <c r="D11" s="4">
        <v>691903794.12</v>
      </c>
      <c r="E11" s="3">
        <f t="shared" si="0"/>
        <v>3.0934644207957419E-2</v>
      </c>
      <c r="F11" s="4">
        <v>248.95</v>
      </c>
      <c r="G11" s="4">
        <v>252.26</v>
      </c>
      <c r="H11" s="64">
        <v>1557</v>
      </c>
      <c r="I11" s="6">
        <v>3.8E-3</v>
      </c>
      <c r="J11" s="6">
        <v>0.50329999999999997</v>
      </c>
      <c r="K11" s="4">
        <v>685536684.65999997</v>
      </c>
      <c r="L11" s="3">
        <f t="shared" si="2"/>
        <v>3.0532322097603596E-2</v>
      </c>
      <c r="M11" s="4">
        <v>226.13</v>
      </c>
      <c r="N11" s="4">
        <v>229.15</v>
      </c>
      <c r="O11" s="64">
        <v>1561</v>
      </c>
      <c r="P11" s="6">
        <v>-9.1600000000000001E-2</v>
      </c>
      <c r="Q11" s="6">
        <v>0.50139999999999996</v>
      </c>
      <c r="R11" s="84">
        <f t="shared" si="3"/>
        <v>-9.2023045893223718E-3</v>
      </c>
      <c r="S11" s="84">
        <f t="shared" si="4"/>
        <v>-9.1611829065250089E-2</v>
      </c>
      <c r="T11" s="84">
        <f t="shared" si="5"/>
        <v>2.569043031470777E-3</v>
      </c>
      <c r="U11" s="85">
        <f t="shared" si="6"/>
        <v>-9.5399999999999999E-2</v>
      </c>
      <c r="V11" s="87">
        <f t="shared" si="7"/>
        <v>-1.9000000000000128E-3</v>
      </c>
    </row>
    <row r="12" spans="1:25" x14ac:dyDescent="0.25">
      <c r="A12" s="126">
        <v>7</v>
      </c>
      <c r="B12" s="62" t="s">
        <v>28</v>
      </c>
      <c r="C12" s="63" t="s">
        <v>29</v>
      </c>
      <c r="D12" s="2">
        <v>313777571.44</v>
      </c>
      <c r="E12" s="3">
        <f t="shared" si="0"/>
        <v>1.4028825416803368E-2</v>
      </c>
      <c r="F12" s="4">
        <v>157.83000000000001</v>
      </c>
      <c r="G12" s="4">
        <v>161.88</v>
      </c>
      <c r="H12" s="60">
        <v>0</v>
      </c>
      <c r="I12" s="5">
        <v>-6.1700000000000001E-3</v>
      </c>
      <c r="J12" s="5">
        <v>0.25550800000000001</v>
      </c>
      <c r="K12" s="2">
        <v>312092022.81</v>
      </c>
      <c r="L12" s="3">
        <f t="shared" si="2"/>
        <v>1.3899904086465536E-2</v>
      </c>
      <c r="M12" s="4">
        <v>156.99</v>
      </c>
      <c r="N12" s="4">
        <v>161.31</v>
      </c>
      <c r="O12" s="60">
        <v>0</v>
      </c>
      <c r="P12" s="5">
        <v>-5.3319999999999999E-3</v>
      </c>
      <c r="Q12" s="5">
        <v>0.24882000000000001</v>
      </c>
      <c r="R12" s="84">
        <f t="shared" si="3"/>
        <v>-5.3717944920811615E-3</v>
      </c>
      <c r="S12" s="84">
        <f t="shared" si="4"/>
        <v>-3.5211267605633383E-3</v>
      </c>
      <c r="T12" s="84" t="e">
        <f t="shared" si="5"/>
        <v>#DIV/0!</v>
      </c>
      <c r="U12" s="85">
        <f t="shared" si="6"/>
        <v>8.380000000000002E-4</v>
      </c>
      <c r="V12" s="87">
        <f t="shared" si="7"/>
        <v>-6.6879999999999995E-3</v>
      </c>
    </row>
    <row r="13" spans="1:25" x14ac:dyDescent="0.25">
      <c r="A13" s="126">
        <v>8</v>
      </c>
      <c r="B13" s="62" t="s">
        <v>30</v>
      </c>
      <c r="C13" s="63" t="s">
        <v>31</v>
      </c>
      <c r="D13" s="7">
        <v>34174907.740000002</v>
      </c>
      <c r="E13" s="3">
        <f t="shared" si="0"/>
        <v>1.5279416311356679E-3</v>
      </c>
      <c r="F13" s="4">
        <v>132.47999999999999</v>
      </c>
      <c r="G13" s="4">
        <v>137.29</v>
      </c>
      <c r="H13" s="60">
        <v>2</v>
      </c>
      <c r="I13" s="5">
        <v>-1.1900000000000001E-2</v>
      </c>
      <c r="J13" s="5">
        <v>0.36709999999999998</v>
      </c>
      <c r="K13" s="7">
        <v>34174907.740000002</v>
      </c>
      <c r="L13" s="3">
        <f t="shared" si="2"/>
        <v>1.5220765192034504E-3</v>
      </c>
      <c r="M13" s="4">
        <v>132.47999999999999</v>
      </c>
      <c r="N13" s="4">
        <v>137.29</v>
      </c>
      <c r="O13" s="60">
        <v>2</v>
      </c>
      <c r="P13" s="5">
        <v>-1.1900000000000001E-2</v>
      </c>
      <c r="Q13" s="5">
        <v>0.36709999999999998</v>
      </c>
      <c r="R13" s="84">
        <f t="shared" si="3"/>
        <v>0</v>
      </c>
      <c r="S13" s="84">
        <f t="shared" si="4"/>
        <v>0</v>
      </c>
      <c r="T13" s="84">
        <f t="shared" si="5"/>
        <v>0</v>
      </c>
      <c r="U13" s="85">
        <f t="shared" si="6"/>
        <v>0</v>
      </c>
      <c r="V13" s="87">
        <f t="shared" si="7"/>
        <v>0</v>
      </c>
    </row>
    <row r="14" spans="1:25" ht="12" customHeight="1" x14ac:dyDescent="0.25">
      <c r="A14" s="122">
        <v>9</v>
      </c>
      <c r="B14" s="62" t="s">
        <v>32</v>
      </c>
      <c r="C14" s="63" t="s">
        <v>33</v>
      </c>
      <c r="D14" s="2">
        <v>526127214.07669997</v>
      </c>
      <c r="E14" s="3">
        <f t="shared" si="0"/>
        <v>2.3522863025034684E-2</v>
      </c>
      <c r="F14" s="4">
        <v>1.6526000000000001</v>
      </c>
      <c r="G14" s="4">
        <v>1.7037</v>
      </c>
      <c r="H14" s="60">
        <v>350</v>
      </c>
      <c r="I14" s="5">
        <v>-2.4204284158302336E-4</v>
      </c>
      <c r="J14" s="5">
        <v>0.33145297767749216</v>
      </c>
      <c r="K14" s="2">
        <v>526281015.20730001</v>
      </c>
      <c r="L14" s="3">
        <f t="shared" si="2"/>
        <v>2.3439418822834408E-2</v>
      </c>
      <c r="M14" s="4">
        <v>1.6523000000000001</v>
      </c>
      <c r="N14" s="4">
        <v>1.7028000000000001</v>
      </c>
      <c r="O14" s="60">
        <v>326</v>
      </c>
      <c r="P14" s="5">
        <v>1E-4</v>
      </c>
      <c r="Q14" s="5">
        <v>0.33145297767749216</v>
      </c>
      <c r="R14" s="84">
        <f t="shared" si="3"/>
        <v>2.9232688689168193E-4</v>
      </c>
      <c r="S14" s="84">
        <f t="shared" si="4"/>
        <v>-5.2826201796085041E-4</v>
      </c>
      <c r="T14" s="84">
        <f t="shared" si="5"/>
        <v>-6.8571428571428575E-2</v>
      </c>
      <c r="U14" s="85">
        <f t="shared" si="6"/>
        <v>3.4204284158302335E-4</v>
      </c>
      <c r="V14" s="87">
        <f t="shared" si="7"/>
        <v>0</v>
      </c>
    </row>
    <row r="15" spans="1:25" x14ac:dyDescent="0.25">
      <c r="A15" s="121">
        <v>10</v>
      </c>
      <c r="B15" s="62" t="s">
        <v>34</v>
      </c>
      <c r="C15" s="63" t="s">
        <v>35</v>
      </c>
      <c r="D15" s="2">
        <v>1252108660.29</v>
      </c>
      <c r="E15" s="3">
        <f t="shared" si="0"/>
        <v>5.5981100616794191E-2</v>
      </c>
      <c r="F15" s="4">
        <v>2.52</v>
      </c>
      <c r="G15" s="4">
        <v>2.57</v>
      </c>
      <c r="H15" s="60">
        <v>3674</v>
      </c>
      <c r="I15" s="5">
        <v>0.18440000000000001</v>
      </c>
      <c r="J15" s="5">
        <v>0.27350000000000002</v>
      </c>
      <c r="K15" s="2">
        <v>1266592678.0799999</v>
      </c>
      <c r="L15" s="3">
        <f t="shared" si="2"/>
        <v>5.6411300049952456E-2</v>
      </c>
      <c r="M15" s="4">
        <v>2.5499999999999998</v>
      </c>
      <c r="N15" s="4">
        <v>2.6</v>
      </c>
      <c r="O15" s="60">
        <v>3674</v>
      </c>
      <c r="P15" s="5">
        <v>0.19869999999999999</v>
      </c>
      <c r="Q15" s="5">
        <v>0.2888</v>
      </c>
      <c r="R15" s="84">
        <f t="shared" si="3"/>
        <v>1.1567700351697375E-2</v>
      </c>
      <c r="S15" s="84">
        <f t="shared" si="4"/>
        <v>1.167315175097286E-2</v>
      </c>
      <c r="T15" s="84">
        <f t="shared" si="5"/>
        <v>0</v>
      </c>
      <c r="U15" s="85">
        <f t="shared" si="6"/>
        <v>1.4299999999999979E-2</v>
      </c>
      <c r="V15" s="87">
        <f t="shared" si="7"/>
        <v>1.529999999999998E-2</v>
      </c>
    </row>
    <row r="16" spans="1:25" x14ac:dyDescent="0.25">
      <c r="A16" s="129">
        <v>11</v>
      </c>
      <c r="B16" s="62" t="s">
        <v>36</v>
      </c>
      <c r="C16" s="63" t="s">
        <v>37</v>
      </c>
      <c r="D16" s="4">
        <v>426580571.62</v>
      </c>
      <c r="E16" s="3">
        <f t="shared" si="0"/>
        <v>1.9072186510951748E-2</v>
      </c>
      <c r="F16" s="4">
        <v>16.137080000000001</v>
      </c>
      <c r="G16" s="4">
        <v>16.248656</v>
      </c>
      <c r="H16" s="60">
        <v>238</v>
      </c>
      <c r="I16" s="5">
        <v>-1.5659758751523256E-2</v>
      </c>
      <c r="J16" s="5">
        <v>0.38573276837985593</v>
      </c>
      <c r="K16" s="4">
        <v>426580571.62</v>
      </c>
      <c r="L16" s="3">
        <f t="shared" si="2"/>
        <v>1.899897657517971E-2</v>
      </c>
      <c r="M16" s="4">
        <v>16.137080000000001</v>
      </c>
      <c r="N16" s="4">
        <v>16.248656</v>
      </c>
      <c r="O16" s="60">
        <v>238</v>
      </c>
      <c r="P16" s="5">
        <v>-1.5659758751523256E-2</v>
      </c>
      <c r="Q16" s="5">
        <v>0.38573276837985593</v>
      </c>
      <c r="R16" s="84">
        <f t="shared" si="3"/>
        <v>0</v>
      </c>
      <c r="S16" s="84">
        <f t="shared" si="4"/>
        <v>0</v>
      </c>
      <c r="T16" s="84">
        <f t="shared" si="5"/>
        <v>0</v>
      </c>
      <c r="U16" s="85">
        <f t="shared" si="6"/>
        <v>0</v>
      </c>
      <c r="V16" s="87">
        <f t="shared" si="7"/>
        <v>0</v>
      </c>
    </row>
    <row r="17" spans="1:22" x14ac:dyDescent="0.25">
      <c r="A17" s="124">
        <v>12</v>
      </c>
      <c r="B17" s="62" t="s">
        <v>38</v>
      </c>
      <c r="C17" s="63" t="s">
        <v>39</v>
      </c>
      <c r="D17" s="4">
        <v>343781262.39999998</v>
      </c>
      <c r="E17" s="3">
        <f t="shared" si="0"/>
        <v>1.5370274202979751E-2</v>
      </c>
      <c r="F17" s="4">
        <v>1.91</v>
      </c>
      <c r="G17" s="4">
        <v>1.93</v>
      </c>
      <c r="H17" s="60">
        <v>17</v>
      </c>
      <c r="I17" s="5">
        <v>8.9999999999999998E-4</v>
      </c>
      <c r="J17" s="5">
        <v>0.34150000000000003</v>
      </c>
      <c r="K17" s="4">
        <v>341918874.24000001</v>
      </c>
      <c r="L17" s="3">
        <f t="shared" si="2"/>
        <v>1.5228327576259948E-2</v>
      </c>
      <c r="M17" s="4">
        <v>1.9</v>
      </c>
      <c r="N17" s="4">
        <v>1.92</v>
      </c>
      <c r="O17" s="60">
        <v>17</v>
      </c>
      <c r="P17" s="5">
        <v>8.9999999999999998E-4</v>
      </c>
      <c r="Q17" s="5">
        <v>0.33450000000000002</v>
      </c>
      <c r="R17" s="84">
        <f t="shared" si="3"/>
        <v>-5.4173637824187788E-3</v>
      </c>
      <c r="S17" s="84">
        <f t="shared" si="4"/>
        <v>-5.1813471502590719E-3</v>
      </c>
      <c r="T17" s="84">
        <f t="shared" si="5"/>
        <v>0</v>
      </c>
      <c r="U17" s="85">
        <f t="shared" si="6"/>
        <v>0</v>
      </c>
      <c r="V17" s="87">
        <f t="shared" si="7"/>
        <v>-7.0000000000000062E-3</v>
      </c>
    </row>
    <row r="18" spans="1:22" x14ac:dyDescent="0.25">
      <c r="A18" s="128">
        <v>13</v>
      </c>
      <c r="B18" s="62" t="s">
        <v>40</v>
      </c>
      <c r="C18" s="63" t="s">
        <v>41</v>
      </c>
      <c r="D18" s="2">
        <v>991628395.82000005</v>
      </c>
      <c r="E18" s="3">
        <f t="shared" si="0"/>
        <v>4.4335168952519217E-2</v>
      </c>
      <c r="F18" s="4">
        <v>23.98</v>
      </c>
      <c r="G18" s="4">
        <v>24.46</v>
      </c>
      <c r="H18" s="60">
        <v>8863</v>
      </c>
      <c r="I18" s="5">
        <v>1.8E-3</v>
      </c>
      <c r="J18" s="5">
        <v>0.39240000000000003</v>
      </c>
      <c r="K18" s="2">
        <v>992169608.86000001</v>
      </c>
      <c r="L18" s="3">
        <f t="shared" si="2"/>
        <v>4.4189089732216427E-2</v>
      </c>
      <c r="M18" s="4">
        <v>23.87</v>
      </c>
      <c r="N18" s="4">
        <v>24.35</v>
      </c>
      <c r="O18" s="60">
        <v>8863</v>
      </c>
      <c r="P18" s="5">
        <v>-5.0000000000000001E-4</v>
      </c>
      <c r="Q18" s="5">
        <v>0.38950000000000001</v>
      </c>
      <c r="R18" s="84">
        <f t="shared" si="3"/>
        <v>5.4578211180854753E-4</v>
      </c>
      <c r="S18" s="84">
        <f t="shared" si="4"/>
        <v>-4.4971381847914733E-3</v>
      </c>
      <c r="T18" s="84">
        <f t="shared" si="5"/>
        <v>0</v>
      </c>
      <c r="U18" s="85">
        <f t="shared" si="6"/>
        <v>-2.3E-3</v>
      </c>
      <c r="V18" s="87">
        <f t="shared" si="7"/>
        <v>-2.9000000000000137E-3</v>
      </c>
    </row>
    <row r="19" spans="1:22" ht="12.75" customHeight="1" x14ac:dyDescent="0.25">
      <c r="A19" s="125">
        <v>14</v>
      </c>
      <c r="B19" s="62" t="s">
        <v>42</v>
      </c>
      <c r="C19" s="63" t="s">
        <v>43</v>
      </c>
      <c r="D19" s="2">
        <v>498996960.24000001</v>
      </c>
      <c r="E19" s="3">
        <f t="shared" si="0"/>
        <v>2.2309884057666388E-2</v>
      </c>
      <c r="F19" s="4">
        <v>4870.01</v>
      </c>
      <c r="G19" s="4">
        <v>4930.41</v>
      </c>
      <c r="H19" s="60">
        <v>1135</v>
      </c>
      <c r="I19" s="5">
        <v>4.5999999999999999E-3</v>
      </c>
      <c r="J19" s="5">
        <v>0.50580000000000003</v>
      </c>
      <c r="K19" s="2">
        <v>498877465.22000003</v>
      </c>
      <c r="L19" s="3">
        <f t="shared" si="2"/>
        <v>2.2218923941156425E-2</v>
      </c>
      <c r="M19" s="4">
        <v>4869.04</v>
      </c>
      <c r="N19" s="4">
        <v>4929.1000000000004</v>
      </c>
      <c r="O19" s="60">
        <v>1135</v>
      </c>
      <c r="P19" s="5">
        <v>-2.9999999999999997E-4</v>
      </c>
      <c r="Q19" s="5">
        <v>0.50539999999999996</v>
      </c>
      <c r="R19" s="84">
        <f t="shared" si="3"/>
        <v>-2.3947043673874891E-4</v>
      </c>
      <c r="S19" s="84">
        <f t="shared" si="4"/>
        <v>-2.6569798454884904E-4</v>
      </c>
      <c r="T19" s="84">
        <f t="shared" si="5"/>
        <v>0</v>
      </c>
      <c r="U19" s="85">
        <f t="shared" si="6"/>
        <v>-4.8999999999999998E-3</v>
      </c>
      <c r="V19" s="87">
        <f t="shared" si="7"/>
        <v>-4.0000000000006697E-4</v>
      </c>
    </row>
    <row r="20" spans="1:22" x14ac:dyDescent="0.25">
      <c r="A20" s="125">
        <v>15</v>
      </c>
      <c r="B20" s="62" t="s">
        <v>44</v>
      </c>
      <c r="C20" s="63" t="s">
        <v>43</v>
      </c>
      <c r="D20" s="4">
        <v>9873272923.2000008</v>
      </c>
      <c r="E20" s="3">
        <f t="shared" si="0"/>
        <v>0.44142868942597568</v>
      </c>
      <c r="F20" s="4">
        <v>16841.77</v>
      </c>
      <c r="G20" s="4">
        <v>17049.560000000001</v>
      </c>
      <c r="H20" s="60">
        <v>29370</v>
      </c>
      <c r="I20" s="5">
        <v>-5.4000000000000003E-3</v>
      </c>
      <c r="J20" s="5">
        <v>0.37809999999999999</v>
      </c>
      <c r="K20" s="4">
        <v>9926171051.3299999</v>
      </c>
      <c r="L20" s="3">
        <f t="shared" si="2"/>
        <v>0.44209020248920267</v>
      </c>
      <c r="M20" s="4">
        <v>16934.27</v>
      </c>
      <c r="N20" s="4">
        <v>17142.55</v>
      </c>
      <c r="O20" s="60">
        <v>29611</v>
      </c>
      <c r="P20" s="5">
        <v>4.1999999999999997E-3</v>
      </c>
      <c r="Q20" s="5">
        <v>0.3856</v>
      </c>
      <c r="R20" s="84">
        <f t="shared" si="3"/>
        <v>5.3577094993191464E-3</v>
      </c>
      <c r="S20" s="84">
        <f t="shared" si="4"/>
        <v>5.4540996952412825E-3</v>
      </c>
      <c r="T20" s="84">
        <f t="shared" si="5"/>
        <v>8.2056520258767442E-3</v>
      </c>
      <c r="U20" s="85">
        <f t="shared" si="6"/>
        <v>9.6000000000000009E-3</v>
      </c>
      <c r="V20" s="87">
        <f t="shared" si="7"/>
        <v>7.5000000000000067E-3</v>
      </c>
    </row>
    <row r="21" spans="1:22" x14ac:dyDescent="0.25">
      <c r="A21" s="124">
        <v>16</v>
      </c>
      <c r="B21" s="63" t="s">
        <v>45</v>
      </c>
      <c r="C21" s="63" t="s">
        <v>46</v>
      </c>
      <c r="D21" s="4">
        <v>2486921306.1500001</v>
      </c>
      <c r="E21" s="3">
        <f t="shared" si="0"/>
        <v>0.11118890578824653</v>
      </c>
      <c r="F21" s="4">
        <v>1.2305999999999999</v>
      </c>
      <c r="G21" s="8">
        <v>1.2424999999999999</v>
      </c>
      <c r="H21" s="60">
        <v>3400</v>
      </c>
      <c r="I21" s="5" t="s">
        <v>239</v>
      </c>
      <c r="J21" s="5" t="s">
        <v>240</v>
      </c>
      <c r="K21" s="4">
        <v>2492207330.0799999</v>
      </c>
      <c r="L21" s="3">
        <f t="shared" si="2"/>
        <v>0.11099752739527047</v>
      </c>
      <c r="M21" s="4">
        <v>1.2283999999999999</v>
      </c>
      <c r="N21" s="8">
        <v>1.2401</v>
      </c>
      <c r="O21" s="60">
        <v>3409</v>
      </c>
      <c r="P21" s="5">
        <v>-1.8E-3</v>
      </c>
      <c r="Q21" s="5">
        <v>0.34670000000000001</v>
      </c>
      <c r="R21" s="84">
        <f t="shared" si="3"/>
        <v>2.1255292304295367E-3</v>
      </c>
      <c r="S21" s="84">
        <f t="shared" si="4"/>
        <v>-1.931589537223306E-3</v>
      </c>
      <c r="T21" s="84">
        <f t="shared" si="5"/>
        <v>2.6470588235294116E-3</v>
      </c>
      <c r="U21" s="85" t="e">
        <f t="shared" si="6"/>
        <v>#VALUE!</v>
      </c>
      <c r="V21" s="87" t="e">
        <f t="shared" si="7"/>
        <v>#VALUE!</v>
      </c>
    </row>
    <row r="22" spans="1:22" x14ac:dyDescent="0.25">
      <c r="A22" s="79"/>
      <c r="B22" s="19"/>
      <c r="C22" s="75" t="s">
        <v>47</v>
      </c>
      <c r="D22" s="58">
        <f>SUM(D6:D21)</f>
        <v>22366631711.316704</v>
      </c>
      <c r="E22" s="120">
        <f>(D22/$D$170)</f>
        <v>1.1558894023510772E-2</v>
      </c>
      <c r="F22" s="30"/>
      <c r="G22" s="31"/>
      <c r="H22" s="69">
        <f>SUM(H6:H21)</f>
        <v>58782</v>
      </c>
      <c r="I22" s="28"/>
      <c r="J22" s="60">
        <v>0</v>
      </c>
      <c r="K22" s="58">
        <f>SUM(K6:K21)</f>
        <v>22452818441.667297</v>
      </c>
      <c r="L22" s="120">
        <f>(K22/$K$170)</f>
        <v>1.144833902162414E-2</v>
      </c>
      <c r="M22" s="30"/>
      <c r="N22" s="31"/>
      <c r="O22" s="69">
        <f>SUM(O6:O21)</f>
        <v>59022</v>
      </c>
      <c r="P22" s="28"/>
      <c r="Q22" s="69"/>
      <c r="R22" s="84">
        <f t="shared" si="3"/>
        <v>3.8533620736011945E-3</v>
      </c>
      <c r="S22" s="84" t="e">
        <f t="shared" si="4"/>
        <v>#DIV/0!</v>
      </c>
      <c r="T22" s="84">
        <f t="shared" si="5"/>
        <v>4.0828825150556296E-3</v>
      </c>
      <c r="U22" s="85">
        <f t="shared" si="6"/>
        <v>0</v>
      </c>
      <c r="V22" s="87">
        <f t="shared" si="7"/>
        <v>0</v>
      </c>
    </row>
    <row r="23" spans="1:22" ht="9" customHeight="1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</row>
    <row r="24" spans="1:22" ht="15" customHeight="1" x14ac:dyDescent="0.25">
      <c r="A24" s="138" t="s">
        <v>48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1:22" x14ac:dyDescent="0.25">
      <c r="A25" s="127">
        <v>17</v>
      </c>
      <c r="B25" s="62" t="s">
        <v>49</v>
      </c>
      <c r="C25" s="63" t="s">
        <v>17</v>
      </c>
      <c r="D25" s="9">
        <v>837031257.07000005</v>
      </c>
      <c r="E25" s="3">
        <f>(D25/$K$54)</f>
        <v>9.6606870891339548E-4</v>
      </c>
      <c r="F25" s="8">
        <v>100</v>
      </c>
      <c r="G25" s="8">
        <v>100</v>
      </c>
      <c r="H25" s="60">
        <v>947</v>
      </c>
      <c r="I25" s="5">
        <v>0.104</v>
      </c>
      <c r="J25" s="5">
        <v>0.104</v>
      </c>
      <c r="K25" s="9">
        <v>837110213.88999999</v>
      </c>
      <c r="L25" s="3">
        <f t="shared" ref="L25:L53" si="8">(K25/$K$54)</f>
        <v>9.661598377840475E-4</v>
      </c>
      <c r="M25" s="8">
        <v>100</v>
      </c>
      <c r="N25" s="8">
        <v>100</v>
      </c>
      <c r="O25" s="60">
        <v>947</v>
      </c>
      <c r="P25" s="5">
        <v>8.0299999999999996E-2</v>
      </c>
      <c r="Q25" s="5">
        <v>8.0299999999999996E-2</v>
      </c>
      <c r="R25" s="84">
        <f t="shared" ref="R25" si="9">((K25-D25)/D25)</f>
        <v>9.432959561906798E-5</v>
      </c>
      <c r="S25" s="84">
        <f t="shared" ref="S25" si="10">((N25-G25)/G25)</f>
        <v>0</v>
      </c>
      <c r="T25" s="84">
        <f t="shared" ref="T25" si="11">((O25-H25)/H25)</f>
        <v>0</v>
      </c>
      <c r="U25" s="85">
        <f t="shared" ref="U25" si="12">P25-I25</f>
        <v>-2.3699999999999999E-2</v>
      </c>
      <c r="V25" s="87">
        <f t="shared" ref="V25" si="13">Q25-J25</f>
        <v>-2.3699999999999999E-2</v>
      </c>
    </row>
    <row r="26" spans="1:22" x14ac:dyDescent="0.25">
      <c r="A26" s="121">
        <v>18</v>
      </c>
      <c r="B26" s="62" t="s">
        <v>50</v>
      </c>
      <c r="C26" s="63" t="s">
        <v>51</v>
      </c>
      <c r="D26" s="9">
        <v>3748227319.7399998</v>
      </c>
      <c r="E26" s="3">
        <f t="shared" ref="E26:E53" si="14">(D26/$K$54)</f>
        <v>4.3260572373013716E-3</v>
      </c>
      <c r="F26" s="8">
        <v>100</v>
      </c>
      <c r="G26" s="8">
        <v>100</v>
      </c>
      <c r="H26" s="60">
        <v>1073</v>
      </c>
      <c r="I26" s="5">
        <v>0.10920000000000001</v>
      </c>
      <c r="J26" s="5">
        <v>0.10920000000000001</v>
      </c>
      <c r="K26" s="9">
        <v>3763806000.3800001</v>
      </c>
      <c r="L26" s="3">
        <f t="shared" si="8"/>
        <v>4.3440375406237847E-3</v>
      </c>
      <c r="M26" s="8">
        <v>100</v>
      </c>
      <c r="N26" s="8">
        <v>100</v>
      </c>
      <c r="O26" s="60">
        <v>1074</v>
      </c>
      <c r="P26" s="5">
        <v>0.1174</v>
      </c>
      <c r="Q26" s="5">
        <v>0.1174</v>
      </c>
      <c r="R26" s="84">
        <f t="shared" ref="R26:R54" si="15">((K26-D26)/D26)</f>
        <v>4.1562795719340137E-3</v>
      </c>
      <c r="S26" s="84">
        <f t="shared" ref="S26:S54" si="16">((N26-G26)/G26)</f>
        <v>0</v>
      </c>
      <c r="T26" s="84">
        <f t="shared" ref="T26:T54" si="17">((O26-H26)/H26)</f>
        <v>9.3196644920782849E-4</v>
      </c>
      <c r="U26" s="85">
        <f t="shared" ref="U26:U54" si="18">P26-I26</f>
        <v>8.199999999999999E-3</v>
      </c>
      <c r="V26" s="87">
        <f t="shared" ref="V26:V54" si="19">Q26-J26</f>
        <v>8.199999999999999E-3</v>
      </c>
    </row>
    <row r="27" spans="1:22" x14ac:dyDescent="0.25">
      <c r="A27" s="126">
        <v>19</v>
      </c>
      <c r="B27" s="62" t="s">
        <v>52</v>
      </c>
      <c r="C27" s="63" t="s">
        <v>19</v>
      </c>
      <c r="D27" s="9">
        <v>380885848.75</v>
      </c>
      <c r="E27" s="3">
        <f t="shared" si="14"/>
        <v>4.3960353575484587E-4</v>
      </c>
      <c r="F27" s="8">
        <v>100</v>
      </c>
      <c r="G27" s="8">
        <v>100</v>
      </c>
      <c r="H27" s="60">
        <v>1300</v>
      </c>
      <c r="I27" s="5">
        <v>8.4199999999999997E-2</v>
      </c>
      <c r="J27" s="5">
        <v>8.4199999999999997E-2</v>
      </c>
      <c r="K27" s="9">
        <v>363542125.58999997</v>
      </c>
      <c r="L27" s="3">
        <f t="shared" si="8"/>
        <v>4.1958608945351692E-4</v>
      </c>
      <c r="M27" s="8">
        <v>100</v>
      </c>
      <c r="N27" s="8">
        <v>100</v>
      </c>
      <c r="O27" s="60">
        <v>1304</v>
      </c>
      <c r="P27" s="5">
        <v>9.3299999999999994E-2</v>
      </c>
      <c r="Q27" s="5">
        <v>9.3299999999999994E-2</v>
      </c>
      <c r="R27" s="84">
        <f t="shared" si="15"/>
        <v>-4.5535225887018534E-2</v>
      </c>
      <c r="S27" s="84">
        <f t="shared" si="16"/>
        <v>0</v>
      </c>
      <c r="T27" s="84">
        <f t="shared" si="17"/>
        <v>3.0769230769230769E-3</v>
      </c>
      <c r="U27" s="85">
        <f t="shared" si="18"/>
        <v>9.099999999999997E-3</v>
      </c>
      <c r="V27" s="87">
        <f t="shared" si="19"/>
        <v>9.099999999999997E-3</v>
      </c>
    </row>
    <row r="28" spans="1:22" x14ac:dyDescent="0.25">
      <c r="A28" s="128">
        <v>20</v>
      </c>
      <c r="B28" s="62" t="s">
        <v>53</v>
      </c>
      <c r="C28" s="63" t="s">
        <v>21</v>
      </c>
      <c r="D28" s="9">
        <v>81413523130.559998</v>
      </c>
      <c r="E28" s="3">
        <f t="shared" si="14"/>
        <v>9.3964301230692812E-2</v>
      </c>
      <c r="F28" s="8">
        <v>1</v>
      </c>
      <c r="G28" s="8">
        <v>1</v>
      </c>
      <c r="H28" s="60">
        <v>53768</v>
      </c>
      <c r="I28" s="5">
        <v>8.72E-2</v>
      </c>
      <c r="J28" s="5">
        <v>8.72E-2</v>
      </c>
      <c r="K28" s="9">
        <v>82034168648.210007</v>
      </c>
      <c r="L28" s="3">
        <f t="shared" si="8"/>
        <v>9.4680625990209988E-2</v>
      </c>
      <c r="M28" s="8">
        <v>1</v>
      </c>
      <c r="N28" s="8">
        <v>1</v>
      </c>
      <c r="O28" s="60">
        <v>53798</v>
      </c>
      <c r="P28" s="5">
        <v>8.7400000000000005E-2</v>
      </c>
      <c r="Q28" s="5">
        <v>8.7400000000000005E-2</v>
      </c>
      <c r="R28" s="84">
        <f t="shared" si="15"/>
        <v>7.6233713243769319E-3</v>
      </c>
      <c r="S28" s="84">
        <f t="shared" si="16"/>
        <v>0</v>
      </c>
      <c r="T28" s="84">
        <f t="shared" si="17"/>
        <v>5.5795268561226012E-4</v>
      </c>
      <c r="U28" s="85">
        <f t="shared" si="18"/>
        <v>2.0000000000000573E-4</v>
      </c>
      <c r="V28" s="87">
        <f t="shared" si="19"/>
        <v>2.0000000000000573E-4</v>
      </c>
    </row>
    <row r="29" spans="1:22" x14ac:dyDescent="0.25">
      <c r="A29" s="126">
        <v>21</v>
      </c>
      <c r="B29" s="62" t="s">
        <v>54</v>
      </c>
      <c r="C29" s="63" t="s">
        <v>23</v>
      </c>
      <c r="D29" s="9">
        <v>41110273361.720001</v>
      </c>
      <c r="E29" s="3">
        <f t="shared" si="14"/>
        <v>4.7447868134167237E-2</v>
      </c>
      <c r="F29" s="8">
        <v>1</v>
      </c>
      <c r="G29" s="8">
        <v>1</v>
      </c>
      <c r="H29" s="60">
        <v>26052</v>
      </c>
      <c r="I29" s="5">
        <v>9.1700000000000004E-2</v>
      </c>
      <c r="J29" s="5">
        <v>9.1700000000000004E-2</v>
      </c>
      <c r="K29" s="9">
        <v>41526515180.32</v>
      </c>
      <c r="L29" s="3">
        <f t="shared" si="8"/>
        <v>4.7928278146211784E-2</v>
      </c>
      <c r="M29" s="8">
        <v>1</v>
      </c>
      <c r="N29" s="8">
        <v>1</v>
      </c>
      <c r="O29" s="60">
        <v>26078</v>
      </c>
      <c r="P29" s="5">
        <v>9.1700000000000004E-2</v>
      </c>
      <c r="Q29" s="5">
        <v>9.1700000000000004E-2</v>
      </c>
      <c r="R29" s="84">
        <f t="shared" si="15"/>
        <v>1.012500731721195E-2</v>
      </c>
      <c r="S29" s="84">
        <f t="shared" si="16"/>
        <v>0</v>
      </c>
      <c r="T29" s="84">
        <f t="shared" si="17"/>
        <v>9.9800399201596798E-4</v>
      </c>
      <c r="U29" s="85">
        <f t="shared" si="18"/>
        <v>0</v>
      </c>
      <c r="V29" s="87">
        <f t="shared" si="19"/>
        <v>0</v>
      </c>
    </row>
    <row r="30" spans="1:22" ht="15" customHeight="1" x14ac:dyDescent="0.25">
      <c r="A30" s="128">
        <v>22</v>
      </c>
      <c r="B30" s="62" t="s">
        <v>55</v>
      </c>
      <c r="C30" s="63" t="s">
        <v>41</v>
      </c>
      <c r="D30" s="9">
        <v>6712230177.5</v>
      </c>
      <c r="E30" s="3">
        <f t="shared" si="14"/>
        <v>7.746993301308301E-3</v>
      </c>
      <c r="F30" s="8">
        <v>100</v>
      </c>
      <c r="G30" s="8">
        <v>100</v>
      </c>
      <c r="H30" s="60">
        <v>2705</v>
      </c>
      <c r="I30" s="5">
        <v>9.3399999999999997E-2</v>
      </c>
      <c r="J30" s="5">
        <v>9.3399999999999997E-2</v>
      </c>
      <c r="K30" s="9">
        <v>6814682054.79</v>
      </c>
      <c r="L30" s="3">
        <f t="shared" si="8"/>
        <v>7.8652392473029156E-3</v>
      </c>
      <c r="M30" s="8">
        <v>100</v>
      </c>
      <c r="N30" s="8">
        <v>100</v>
      </c>
      <c r="O30" s="60">
        <v>2705</v>
      </c>
      <c r="P30" s="5">
        <v>9.2999999999999999E-2</v>
      </c>
      <c r="Q30" s="5">
        <v>9.2999999999999999E-2</v>
      </c>
      <c r="R30" s="84">
        <f t="shared" si="15"/>
        <v>1.5263463048902566E-2</v>
      </c>
      <c r="S30" s="84">
        <f t="shared" si="16"/>
        <v>0</v>
      </c>
      <c r="T30" s="84">
        <f t="shared" si="17"/>
        <v>0</v>
      </c>
      <c r="U30" s="85">
        <f t="shared" si="18"/>
        <v>-3.9999999999999758E-4</v>
      </c>
      <c r="V30" s="87">
        <f t="shared" si="19"/>
        <v>-3.9999999999999758E-4</v>
      </c>
    </row>
    <row r="31" spans="1:22" x14ac:dyDescent="0.25">
      <c r="A31" s="124">
        <v>23</v>
      </c>
      <c r="B31" s="62" t="s">
        <v>56</v>
      </c>
      <c r="C31" s="63" t="s">
        <v>57</v>
      </c>
      <c r="D31" s="9">
        <v>13076335197.360001</v>
      </c>
      <c r="E31" s="3">
        <f t="shared" si="14"/>
        <v>1.5092194174029409E-2</v>
      </c>
      <c r="F31" s="8">
        <v>100</v>
      </c>
      <c r="G31" s="8">
        <v>100</v>
      </c>
      <c r="H31" s="60">
        <v>1710</v>
      </c>
      <c r="I31" s="5">
        <v>0.1085</v>
      </c>
      <c r="J31" s="5">
        <v>0.1023</v>
      </c>
      <c r="K31" s="9">
        <v>13071620507.719999</v>
      </c>
      <c r="L31" s="3">
        <f t="shared" si="8"/>
        <v>1.508675266381701E-2</v>
      </c>
      <c r="M31" s="8">
        <v>100</v>
      </c>
      <c r="N31" s="8">
        <v>100</v>
      </c>
      <c r="O31" s="60">
        <v>1710</v>
      </c>
      <c r="P31" s="5">
        <v>0.104391425697709</v>
      </c>
      <c r="Q31" s="5">
        <v>0.104391425697709</v>
      </c>
      <c r="R31" s="84">
        <f t="shared" si="15"/>
        <v>-3.6055129888022084E-4</v>
      </c>
      <c r="S31" s="84">
        <f t="shared" si="16"/>
        <v>0</v>
      </c>
      <c r="T31" s="84">
        <f t="shared" si="17"/>
        <v>0</v>
      </c>
      <c r="U31" s="85">
        <f t="shared" si="18"/>
        <v>-4.1085743022910015E-3</v>
      </c>
      <c r="V31" s="87">
        <f t="shared" si="19"/>
        <v>2.0914256977089957E-3</v>
      </c>
    </row>
    <row r="32" spans="1:22" x14ac:dyDescent="0.25">
      <c r="A32" s="126">
        <v>24</v>
      </c>
      <c r="B32" s="62" t="s">
        <v>58</v>
      </c>
      <c r="C32" s="63" t="s">
        <v>59</v>
      </c>
      <c r="D32" s="9">
        <v>6654874232.1000004</v>
      </c>
      <c r="E32" s="3">
        <f t="shared" si="14"/>
        <v>7.6807953144911239E-3</v>
      </c>
      <c r="F32" s="8">
        <v>100</v>
      </c>
      <c r="G32" s="8">
        <v>100</v>
      </c>
      <c r="H32" s="60">
        <v>5629</v>
      </c>
      <c r="I32" s="5">
        <v>9.1800000000000007E-2</v>
      </c>
      <c r="J32" s="5">
        <v>9.1800000000000007E-2</v>
      </c>
      <c r="K32" s="9">
        <v>6374094793.0500002</v>
      </c>
      <c r="L32" s="3">
        <f t="shared" si="8"/>
        <v>7.3567306778585919E-3</v>
      </c>
      <c r="M32" s="8">
        <v>100</v>
      </c>
      <c r="N32" s="8">
        <v>100</v>
      </c>
      <c r="O32" s="60">
        <v>5638</v>
      </c>
      <c r="P32" s="5">
        <v>9.5600000000000004E-2</v>
      </c>
      <c r="Q32" s="5">
        <v>9.5600000000000004E-2</v>
      </c>
      <c r="R32" s="84">
        <f t="shared" si="15"/>
        <v>-4.2191547016118131E-2</v>
      </c>
      <c r="S32" s="84">
        <f t="shared" si="16"/>
        <v>0</v>
      </c>
      <c r="T32" s="84">
        <f t="shared" si="17"/>
        <v>1.5988630307337006E-3</v>
      </c>
      <c r="U32" s="85">
        <f t="shared" si="18"/>
        <v>3.7999999999999978E-3</v>
      </c>
      <c r="V32" s="87">
        <f t="shared" si="19"/>
        <v>3.7999999999999978E-3</v>
      </c>
    </row>
    <row r="33" spans="1:22" x14ac:dyDescent="0.25">
      <c r="A33" s="128">
        <v>25</v>
      </c>
      <c r="B33" s="62" t="s">
        <v>60</v>
      </c>
      <c r="C33" s="63" t="s">
        <v>61</v>
      </c>
      <c r="D33" s="9">
        <v>44514190.369999997</v>
      </c>
      <c r="E33" s="3">
        <f t="shared" si="14"/>
        <v>5.1376535888999236E-5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5.1376535888999236E-5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4">
        <f t="shared" si="15"/>
        <v>0</v>
      </c>
      <c r="S33" s="84">
        <f t="shared" si="16"/>
        <v>0</v>
      </c>
      <c r="T33" s="84" t="e">
        <f t="shared" si="17"/>
        <v>#DIV/0!</v>
      </c>
      <c r="U33" s="85">
        <f t="shared" si="18"/>
        <v>0</v>
      </c>
      <c r="V33" s="87">
        <f t="shared" si="19"/>
        <v>0</v>
      </c>
    </row>
    <row r="34" spans="1:22" x14ac:dyDescent="0.25">
      <c r="A34" s="129">
        <v>26</v>
      </c>
      <c r="B34" s="62" t="s">
        <v>62</v>
      </c>
      <c r="C34" s="63" t="s">
        <v>63</v>
      </c>
      <c r="D34" s="9">
        <v>5032120181.8100004</v>
      </c>
      <c r="E34" s="3">
        <f t="shared" si="14"/>
        <v>5.8078761170225653E-3</v>
      </c>
      <c r="F34" s="8">
        <v>1</v>
      </c>
      <c r="G34" s="8">
        <v>1</v>
      </c>
      <c r="H34" s="60">
        <v>0</v>
      </c>
      <c r="I34" s="5">
        <v>0.1043</v>
      </c>
      <c r="J34" s="5">
        <v>0.1043</v>
      </c>
      <c r="K34" s="9">
        <v>5032120181.8100004</v>
      </c>
      <c r="L34" s="3">
        <f t="shared" si="8"/>
        <v>5.8078761170225653E-3</v>
      </c>
      <c r="M34" s="8">
        <v>1</v>
      </c>
      <c r="N34" s="8">
        <v>1</v>
      </c>
      <c r="O34" s="60">
        <v>0</v>
      </c>
      <c r="P34" s="5">
        <v>0.1043</v>
      </c>
      <c r="Q34" s="5">
        <v>0.1043</v>
      </c>
      <c r="R34" s="84">
        <f t="shared" si="15"/>
        <v>0</v>
      </c>
      <c r="S34" s="84">
        <f t="shared" si="16"/>
        <v>0</v>
      </c>
      <c r="T34" s="84" t="e">
        <f t="shared" si="17"/>
        <v>#DIV/0!</v>
      </c>
      <c r="U34" s="85">
        <f t="shared" si="18"/>
        <v>0</v>
      </c>
      <c r="V34" s="87">
        <f t="shared" si="19"/>
        <v>0</v>
      </c>
    </row>
    <row r="35" spans="1:22" x14ac:dyDescent="0.25">
      <c r="A35" s="111">
        <v>27</v>
      </c>
      <c r="B35" s="62" t="s">
        <v>64</v>
      </c>
      <c r="C35" s="63" t="s">
        <v>65</v>
      </c>
      <c r="D35" s="9">
        <v>13986727426.440001</v>
      </c>
      <c r="E35" s="3">
        <f t="shared" si="14"/>
        <v>1.6142933244910427E-2</v>
      </c>
      <c r="F35" s="11">
        <v>100</v>
      </c>
      <c r="G35" s="11">
        <v>100</v>
      </c>
      <c r="H35" s="60">
        <v>2566</v>
      </c>
      <c r="I35" s="5">
        <v>8.1500000000000003E-2</v>
      </c>
      <c r="J35" s="5">
        <v>8.1500000000000003E-2</v>
      </c>
      <c r="K35" s="9">
        <v>13960640925.370001</v>
      </c>
      <c r="L35" s="3">
        <f t="shared" si="8"/>
        <v>1.6112825226606571E-2</v>
      </c>
      <c r="M35" s="11">
        <v>100</v>
      </c>
      <c r="N35" s="11">
        <v>100</v>
      </c>
      <c r="O35" s="60">
        <v>2541</v>
      </c>
      <c r="P35" s="5">
        <v>9.4899999999999998E-2</v>
      </c>
      <c r="Q35" s="5">
        <v>9.4899999999999998E-2</v>
      </c>
      <c r="R35" s="84">
        <f t="shared" si="15"/>
        <v>-1.8650896864327764E-3</v>
      </c>
      <c r="S35" s="84">
        <f t="shared" si="16"/>
        <v>0</v>
      </c>
      <c r="T35" s="84">
        <f t="shared" si="17"/>
        <v>-9.7427903351519872E-3</v>
      </c>
      <c r="U35" s="85">
        <f t="shared" si="18"/>
        <v>1.3399999999999995E-2</v>
      </c>
      <c r="V35" s="87">
        <f t="shared" si="19"/>
        <v>1.3399999999999995E-2</v>
      </c>
    </row>
    <row r="36" spans="1:22" x14ac:dyDescent="0.25">
      <c r="A36" s="111">
        <v>28</v>
      </c>
      <c r="B36" s="62" t="s">
        <v>66</v>
      </c>
      <c r="C36" s="63" t="s">
        <v>65</v>
      </c>
      <c r="D36" s="9">
        <v>1348805527.6400001</v>
      </c>
      <c r="E36" s="3">
        <f t="shared" si="14"/>
        <v>1.5567385371290314E-3</v>
      </c>
      <c r="F36" s="11">
        <v>1000000</v>
      </c>
      <c r="G36" s="11">
        <v>1000000</v>
      </c>
      <c r="H36" s="60">
        <v>9</v>
      </c>
      <c r="I36" s="5">
        <v>7.2999999999999995E-2</v>
      </c>
      <c r="J36" s="5">
        <v>7.2999999999999995E-2</v>
      </c>
      <c r="K36" s="9">
        <v>1351004192.6400001</v>
      </c>
      <c r="L36" s="3">
        <f t="shared" si="8"/>
        <v>1.5592761501989642E-3</v>
      </c>
      <c r="M36" s="11">
        <v>1000000</v>
      </c>
      <c r="N36" s="11">
        <v>1000000</v>
      </c>
      <c r="O36" s="60">
        <v>9</v>
      </c>
      <c r="P36" s="5">
        <v>8.8800000000000004E-2</v>
      </c>
      <c r="Q36" s="5">
        <v>8.8800000000000004E-2</v>
      </c>
      <c r="R36" s="84">
        <f t="shared" si="15"/>
        <v>1.6300830289797195E-3</v>
      </c>
      <c r="S36" s="84">
        <f t="shared" si="16"/>
        <v>0</v>
      </c>
      <c r="T36" s="84">
        <f t="shared" si="17"/>
        <v>0</v>
      </c>
      <c r="U36" s="85">
        <f t="shared" si="18"/>
        <v>1.5800000000000008E-2</v>
      </c>
      <c r="V36" s="87">
        <f t="shared" si="19"/>
        <v>1.5800000000000008E-2</v>
      </c>
    </row>
    <row r="37" spans="1:22" x14ac:dyDescent="0.25">
      <c r="A37" s="127">
        <v>29</v>
      </c>
      <c r="B37" s="62" t="s">
        <v>67</v>
      </c>
      <c r="C37" s="63" t="s">
        <v>68</v>
      </c>
      <c r="D37" s="9">
        <v>2728961698.1799998</v>
      </c>
      <c r="E37" s="3">
        <f t="shared" si="14"/>
        <v>3.1496607589821266E-3</v>
      </c>
      <c r="F37" s="8">
        <v>1</v>
      </c>
      <c r="G37" s="8">
        <v>1</v>
      </c>
      <c r="H37" s="60">
        <v>429</v>
      </c>
      <c r="I37" s="5">
        <v>0.1293</v>
      </c>
      <c r="J37" s="5">
        <v>0.1293</v>
      </c>
      <c r="K37" s="9">
        <v>2759386722.8499999</v>
      </c>
      <c r="L37" s="3">
        <f t="shared" si="8"/>
        <v>3.1847761313811133E-3</v>
      </c>
      <c r="M37" s="8">
        <v>1</v>
      </c>
      <c r="N37" s="8">
        <v>1</v>
      </c>
      <c r="O37" s="60">
        <v>429</v>
      </c>
      <c r="P37" s="5">
        <v>0.12970000000000001</v>
      </c>
      <c r="Q37" s="5">
        <v>0.12970000000000001</v>
      </c>
      <c r="R37" s="84">
        <f t="shared" si="15"/>
        <v>1.1148937960650435E-2</v>
      </c>
      <c r="S37" s="84">
        <f t="shared" si="16"/>
        <v>0</v>
      </c>
      <c r="T37" s="84">
        <f t="shared" si="17"/>
        <v>0</v>
      </c>
      <c r="U37" s="85">
        <f t="shared" si="18"/>
        <v>4.0000000000001146E-4</v>
      </c>
      <c r="V37" s="87">
        <f t="shared" si="19"/>
        <v>4.0000000000001146E-4</v>
      </c>
    </row>
    <row r="38" spans="1:22" x14ac:dyDescent="0.25">
      <c r="A38" s="121">
        <v>30</v>
      </c>
      <c r="B38" s="62" t="s">
        <v>69</v>
      </c>
      <c r="C38" s="63" t="s">
        <v>27</v>
      </c>
      <c r="D38" s="9">
        <v>192423886883.92001</v>
      </c>
      <c r="E38" s="3">
        <f t="shared" si="14"/>
        <v>0.22208811725474153</v>
      </c>
      <c r="F38" s="8">
        <v>100</v>
      </c>
      <c r="G38" s="8">
        <v>100</v>
      </c>
      <c r="H38" s="60">
        <v>14653</v>
      </c>
      <c r="I38" s="5">
        <v>9.9099999999999994E-2</v>
      </c>
      <c r="J38" s="5">
        <v>9.9099999999999994E-2</v>
      </c>
      <c r="K38" s="9">
        <v>192769835383.51999</v>
      </c>
      <c r="L38" s="3">
        <f t="shared" si="8"/>
        <v>0.22248739746983046</v>
      </c>
      <c r="M38" s="8">
        <v>100</v>
      </c>
      <c r="N38" s="8">
        <v>100</v>
      </c>
      <c r="O38" s="60">
        <v>14693</v>
      </c>
      <c r="P38" s="5">
        <v>0.10100000000000001</v>
      </c>
      <c r="Q38" s="5">
        <v>0.10100000000000001</v>
      </c>
      <c r="R38" s="84">
        <f t="shared" si="15"/>
        <v>1.7978459182080109E-3</v>
      </c>
      <c r="S38" s="84">
        <f t="shared" si="16"/>
        <v>0</v>
      </c>
      <c r="T38" s="84">
        <f t="shared" si="17"/>
        <v>2.7298164198457653E-3</v>
      </c>
      <c r="U38" s="85">
        <f t="shared" si="18"/>
        <v>1.9000000000000128E-3</v>
      </c>
      <c r="V38" s="87">
        <f t="shared" si="19"/>
        <v>1.9000000000000128E-3</v>
      </c>
    </row>
    <row r="39" spans="1:22" x14ac:dyDescent="0.25">
      <c r="A39" s="126">
        <v>31</v>
      </c>
      <c r="B39" s="62" t="s">
        <v>70</v>
      </c>
      <c r="C39" s="63" t="s">
        <v>71</v>
      </c>
      <c r="D39" s="9">
        <v>273237865.41000003</v>
      </c>
      <c r="E39" s="3">
        <f t="shared" si="14"/>
        <v>3.1536044757384207E-4</v>
      </c>
      <c r="F39" s="8">
        <v>1</v>
      </c>
      <c r="G39" s="8">
        <v>1</v>
      </c>
      <c r="H39" s="61">
        <v>431</v>
      </c>
      <c r="I39" s="12">
        <v>6.5600000000000006E-2</v>
      </c>
      <c r="J39" s="12">
        <v>6.5600000000000006E-2</v>
      </c>
      <c r="K39" s="9">
        <v>273639555.12</v>
      </c>
      <c r="L39" s="3">
        <f t="shared" si="8"/>
        <v>3.1582406211182461E-4</v>
      </c>
      <c r="M39" s="8">
        <v>1</v>
      </c>
      <c r="N39" s="8">
        <v>1</v>
      </c>
      <c r="O39" s="61">
        <v>433</v>
      </c>
      <c r="P39" s="12">
        <v>6.5600000000000006E-2</v>
      </c>
      <c r="Q39" s="12">
        <v>6.5600000000000006E-2</v>
      </c>
      <c r="R39" s="84">
        <f t="shared" si="15"/>
        <v>1.4701099695579652E-3</v>
      </c>
      <c r="S39" s="84">
        <f t="shared" si="16"/>
        <v>0</v>
      </c>
      <c r="T39" s="84">
        <f t="shared" si="17"/>
        <v>4.6403712296983757E-3</v>
      </c>
      <c r="U39" s="85">
        <f t="shared" si="18"/>
        <v>0</v>
      </c>
      <c r="V39" s="87">
        <f t="shared" si="19"/>
        <v>0</v>
      </c>
    </row>
    <row r="40" spans="1:22" x14ac:dyDescent="0.25">
      <c r="A40" s="121">
        <v>32</v>
      </c>
      <c r="B40" s="62" t="s">
        <v>72</v>
      </c>
      <c r="C40" s="63" t="s">
        <v>73</v>
      </c>
      <c r="D40" s="9">
        <v>604102618.25</v>
      </c>
      <c r="E40" s="3">
        <f t="shared" si="14"/>
        <v>6.9723159264908202E-4</v>
      </c>
      <c r="F40" s="8">
        <v>10</v>
      </c>
      <c r="G40" s="8">
        <v>10</v>
      </c>
      <c r="H40" s="60">
        <v>287</v>
      </c>
      <c r="I40" s="5">
        <v>8.2000000000000003E-2</v>
      </c>
      <c r="J40" s="5">
        <v>8.2000000000000003E-2</v>
      </c>
      <c r="K40" s="9">
        <v>604012724.24000001</v>
      </c>
      <c r="L40" s="3">
        <f t="shared" si="8"/>
        <v>6.9712784050189971E-4</v>
      </c>
      <c r="M40" s="8">
        <v>10</v>
      </c>
      <c r="N40" s="8">
        <v>10</v>
      </c>
      <c r="O40" s="60">
        <v>284</v>
      </c>
      <c r="P40" s="5">
        <v>8.2400000000000001E-2</v>
      </c>
      <c r="Q40" s="5">
        <v>8.2400000000000001E-2</v>
      </c>
      <c r="R40" s="84">
        <f t="shared" si="15"/>
        <v>-1.4880586060096995E-4</v>
      </c>
      <c r="S40" s="84">
        <f t="shared" si="16"/>
        <v>0</v>
      </c>
      <c r="T40" s="84">
        <f t="shared" si="17"/>
        <v>-1.0452961672473868E-2</v>
      </c>
      <c r="U40" s="85">
        <f t="shared" si="18"/>
        <v>3.9999999999999758E-4</v>
      </c>
      <c r="V40" s="87">
        <f t="shared" si="19"/>
        <v>3.9999999999999758E-4</v>
      </c>
    </row>
    <row r="41" spans="1:22" x14ac:dyDescent="0.25">
      <c r="A41" s="126">
        <v>33</v>
      </c>
      <c r="B41" s="62" t="s">
        <v>74</v>
      </c>
      <c r="C41" s="63" t="s">
        <v>75</v>
      </c>
      <c r="D41" s="9">
        <v>3792497309.0757914</v>
      </c>
      <c r="E41" s="3">
        <f t="shared" si="14"/>
        <v>4.3771519259166395E-3</v>
      </c>
      <c r="F41" s="8">
        <v>100</v>
      </c>
      <c r="G41" s="8">
        <v>100</v>
      </c>
      <c r="H41" s="60">
        <v>565</v>
      </c>
      <c r="I41" s="5">
        <v>9.4500000000000001E-2</v>
      </c>
      <c r="J41" s="5">
        <v>9.4500000000000001E-2</v>
      </c>
      <c r="K41" s="9">
        <v>3800489070.384069</v>
      </c>
      <c r="L41" s="3">
        <f t="shared" si="8"/>
        <v>4.386375703958164E-3</v>
      </c>
      <c r="M41" s="8">
        <v>100</v>
      </c>
      <c r="N41" s="8">
        <v>100</v>
      </c>
      <c r="O41" s="60">
        <v>565</v>
      </c>
      <c r="P41" s="5">
        <v>9.7095694543709532E-2</v>
      </c>
      <c r="Q41" s="5">
        <v>9.7095694543709532E-2</v>
      </c>
      <c r="R41" s="84">
        <f t="shared" si="15"/>
        <v>2.1072556305188656E-3</v>
      </c>
      <c r="S41" s="84">
        <f t="shared" si="16"/>
        <v>0</v>
      </c>
      <c r="T41" s="84">
        <f t="shared" si="17"/>
        <v>0</v>
      </c>
      <c r="U41" s="85">
        <f t="shared" si="18"/>
        <v>2.5956945437095313E-3</v>
      </c>
      <c r="V41" s="87">
        <f t="shared" si="19"/>
        <v>2.5956945437095313E-3</v>
      </c>
    </row>
    <row r="42" spans="1:22" ht="15.75" customHeight="1" x14ac:dyDescent="0.25">
      <c r="A42" s="122">
        <v>34</v>
      </c>
      <c r="B42" s="62" t="s">
        <v>76</v>
      </c>
      <c r="C42" s="63" t="s">
        <v>33</v>
      </c>
      <c r="D42" s="9">
        <v>21712155357.074402</v>
      </c>
      <c r="E42" s="3">
        <f t="shared" si="14"/>
        <v>2.5059319728345315E-2</v>
      </c>
      <c r="F42" s="8">
        <v>100</v>
      </c>
      <c r="G42" s="8">
        <v>100</v>
      </c>
      <c r="H42" s="60">
        <v>10656</v>
      </c>
      <c r="I42" s="5">
        <v>9.5399999999999999E-2</v>
      </c>
      <c r="J42" s="5">
        <v>9.5399999999999999E-2</v>
      </c>
      <c r="K42" s="9">
        <v>21339396794.479198</v>
      </c>
      <c r="L42" s="3">
        <f t="shared" si="8"/>
        <v>2.4629096388104336E-2</v>
      </c>
      <c r="M42" s="8">
        <v>100</v>
      </c>
      <c r="N42" s="8">
        <v>100</v>
      </c>
      <c r="O42" s="60">
        <v>10669</v>
      </c>
      <c r="P42" s="5">
        <v>9.4799999999999995E-2</v>
      </c>
      <c r="Q42" s="5">
        <v>9.4799999999999995E-2</v>
      </c>
      <c r="R42" s="84">
        <f t="shared" si="15"/>
        <v>-1.7168197098117607E-2</v>
      </c>
      <c r="S42" s="84">
        <f t="shared" si="16"/>
        <v>0</v>
      </c>
      <c r="T42" s="84">
        <f t="shared" si="17"/>
        <v>1.21996996996997E-3</v>
      </c>
      <c r="U42" s="85">
        <f t="shared" si="18"/>
        <v>-6.0000000000000331E-4</v>
      </c>
      <c r="V42" s="87">
        <f t="shared" si="19"/>
        <v>-6.0000000000000331E-4</v>
      </c>
    </row>
    <row r="43" spans="1:22" x14ac:dyDescent="0.25">
      <c r="A43" s="121">
        <v>35</v>
      </c>
      <c r="B43" s="62" t="s">
        <v>77</v>
      </c>
      <c r="C43" s="63" t="s">
        <v>35</v>
      </c>
      <c r="D43" s="9">
        <v>3030881122.96</v>
      </c>
      <c r="E43" s="3">
        <f t="shared" si="14"/>
        <v>3.4981243395586607E-3</v>
      </c>
      <c r="F43" s="8">
        <v>1</v>
      </c>
      <c r="G43" s="8">
        <v>1</v>
      </c>
      <c r="H43" s="60">
        <v>814</v>
      </c>
      <c r="I43" s="5">
        <v>7.5200000000000003E-2</v>
      </c>
      <c r="J43" s="5">
        <v>7.5200000000000003E-2</v>
      </c>
      <c r="K43" s="9">
        <v>3049719001.3400002</v>
      </c>
      <c r="L43" s="3">
        <f t="shared" si="8"/>
        <v>3.5198662813219089E-3</v>
      </c>
      <c r="M43" s="8">
        <v>1</v>
      </c>
      <c r="N43" s="8">
        <v>1</v>
      </c>
      <c r="O43" s="60">
        <v>821</v>
      </c>
      <c r="P43" s="5">
        <v>7.5399999999999995E-2</v>
      </c>
      <c r="Q43" s="5">
        <v>7.5399999999999995E-2</v>
      </c>
      <c r="R43" s="84">
        <f t="shared" si="15"/>
        <v>6.2153141663315332E-3</v>
      </c>
      <c r="S43" s="84">
        <f t="shared" si="16"/>
        <v>0</v>
      </c>
      <c r="T43" s="84">
        <f t="shared" si="17"/>
        <v>8.5995085995085995E-3</v>
      </c>
      <c r="U43" s="85">
        <f t="shared" si="18"/>
        <v>1.9999999999999185E-4</v>
      </c>
      <c r="V43" s="87">
        <f t="shared" si="19"/>
        <v>1.9999999999999185E-4</v>
      </c>
    </row>
    <row r="44" spans="1:22" x14ac:dyDescent="0.25">
      <c r="A44" s="129">
        <v>36</v>
      </c>
      <c r="B44" s="62" t="s">
        <v>78</v>
      </c>
      <c r="C44" s="63" t="s">
        <v>37</v>
      </c>
      <c r="D44" s="13">
        <v>3217680961.54</v>
      </c>
      <c r="E44" s="3">
        <f t="shared" si="14"/>
        <v>3.7137214004305699E-3</v>
      </c>
      <c r="F44" s="8">
        <v>10</v>
      </c>
      <c r="G44" s="8">
        <v>10</v>
      </c>
      <c r="H44" s="60">
        <v>1864</v>
      </c>
      <c r="I44" s="5">
        <v>0.1128</v>
      </c>
      <c r="J44" s="5">
        <v>0.1128</v>
      </c>
      <c r="K44" s="13">
        <v>3217680961.54</v>
      </c>
      <c r="L44" s="3">
        <f t="shared" si="8"/>
        <v>3.7137214004305699E-3</v>
      </c>
      <c r="M44" s="8">
        <v>10</v>
      </c>
      <c r="N44" s="8">
        <v>10</v>
      </c>
      <c r="O44" s="60">
        <v>1864</v>
      </c>
      <c r="P44" s="5">
        <v>0.1128</v>
      </c>
      <c r="Q44" s="5">
        <v>0.1128</v>
      </c>
      <c r="R44" s="84">
        <f t="shared" si="15"/>
        <v>0</v>
      </c>
      <c r="S44" s="84">
        <f t="shared" si="16"/>
        <v>0</v>
      </c>
      <c r="T44" s="84">
        <f t="shared" si="17"/>
        <v>0</v>
      </c>
      <c r="U44" s="85">
        <f t="shared" si="18"/>
        <v>0</v>
      </c>
      <c r="V44" s="87">
        <f t="shared" si="19"/>
        <v>0</v>
      </c>
    </row>
    <row r="45" spans="1:22" x14ac:dyDescent="0.25">
      <c r="A45" s="121">
        <v>37</v>
      </c>
      <c r="B45" s="62" t="s">
        <v>79</v>
      </c>
      <c r="C45" s="63" t="s">
        <v>80</v>
      </c>
      <c r="D45" s="9">
        <v>5428434846.7199993</v>
      </c>
      <c r="E45" s="3">
        <f t="shared" si="14"/>
        <v>6.2652869883838827E-3</v>
      </c>
      <c r="F45" s="8">
        <v>100</v>
      </c>
      <c r="G45" s="8">
        <v>100</v>
      </c>
      <c r="H45" s="60">
        <v>1815</v>
      </c>
      <c r="I45" s="5">
        <v>0.1135</v>
      </c>
      <c r="J45" s="5">
        <v>0.1135</v>
      </c>
      <c r="K45" s="9">
        <v>5589698296.9499998</v>
      </c>
      <c r="L45" s="3">
        <f t="shared" si="8"/>
        <v>6.451410949517615E-3</v>
      </c>
      <c r="M45" s="8">
        <v>100</v>
      </c>
      <c r="N45" s="8">
        <v>100</v>
      </c>
      <c r="O45" s="60">
        <v>1843</v>
      </c>
      <c r="P45" s="5">
        <v>0.1144</v>
      </c>
      <c r="Q45" s="5">
        <v>0.1144</v>
      </c>
      <c r="R45" s="84">
        <f t="shared" si="15"/>
        <v>2.9707172469324201E-2</v>
      </c>
      <c r="S45" s="84">
        <f t="shared" si="16"/>
        <v>0</v>
      </c>
      <c r="T45" s="84">
        <f t="shared" si="17"/>
        <v>1.5426997245179064E-2</v>
      </c>
      <c r="U45" s="85">
        <f t="shared" si="18"/>
        <v>8.9999999999999802E-4</v>
      </c>
      <c r="V45" s="87">
        <f t="shared" si="19"/>
        <v>8.9999999999999802E-4</v>
      </c>
    </row>
    <row r="46" spans="1:22" x14ac:dyDescent="0.25">
      <c r="A46" s="126">
        <v>38</v>
      </c>
      <c r="B46" s="62" t="s">
        <v>81</v>
      </c>
      <c r="C46" s="63" t="s">
        <v>82</v>
      </c>
      <c r="D46" s="9">
        <v>160591346.99000001</v>
      </c>
      <c r="E46" s="3">
        <f t="shared" si="14"/>
        <v>1.8534824588553928E-4</v>
      </c>
      <c r="F46" s="8">
        <v>1</v>
      </c>
      <c r="G46" s="8">
        <v>1</v>
      </c>
      <c r="H46" s="60">
        <v>60</v>
      </c>
      <c r="I46" s="5">
        <v>7.0199999999999999E-2</v>
      </c>
      <c r="J46" s="5">
        <v>7.0199999999999999E-2</v>
      </c>
      <c r="K46" s="9">
        <v>160476347.78999999</v>
      </c>
      <c r="L46" s="3">
        <f t="shared" si="8"/>
        <v>1.8521551831087382E-4</v>
      </c>
      <c r="M46" s="8">
        <v>1</v>
      </c>
      <c r="N46" s="8">
        <v>1</v>
      </c>
      <c r="O46" s="60">
        <v>59</v>
      </c>
      <c r="P46" s="5">
        <v>7.0300000000000001E-2</v>
      </c>
      <c r="Q46" s="5">
        <v>7.0300000000000001E-2</v>
      </c>
      <c r="R46" s="84">
        <f t="shared" si="15"/>
        <v>-7.1609835869412602E-4</v>
      </c>
      <c r="S46" s="84">
        <f t="shared" si="16"/>
        <v>0</v>
      </c>
      <c r="T46" s="84">
        <f t="shared" si="17"/>
        <v>-1.6666666666666666E-2</v>
      </c>
      <c r="U46" s="85">
        <f t="shared" si="18"/>
        <v>1.0000000000000286E-4</v>
      </c>
      <c r="V46" s="87">
        <f t="shared" si="19"/>
        <v>1.0000000000000286E-4</v>
      </c>
    </row>
    <row r="47" spans="1:22" x14ac:dyDescent="0.25">
      <c r="A47" s="124">
        <v>39</v>
      </c>
      <c r="B47" s="62" t="s">
        <v>83</v>
      </c>
      <c r="C47" s="63" t="s">
        <v>39</v>
      </c>
      <c r="D47" s="13">
        <v>798117009.38</v>
      </c>
      <c r="E47" s="3">
        <f t="shared" si="14"/>
        <v>9.2115540763978434E-4</v>
      </c>
      <c r="F47" s="8">
        <v>10</v>
      </c>
      <c r="G47" s="8">
        <v>10</v>
      </c>
      <c r="H47" s="60">
        <v>597</v>
      </c>
      <c r="I47" s="5">
        <v>9.5100000000000004E-2</v>
      </c>
      <c r="J47" s="5">
        <v>9.5100000000000004E-2</v>
      </c>
      <c r="K47" s="13">
        <v>792848697.70000005</v>
      </c>
      <c r="L47" s="3">
        <f t="shared" si="8"/>
        <v>9.1507492854194666E-4</v>
      </c>
      <c r="M47" s="8">
        <v>10</v>
      </c>
      <c r="N47" s="8">
        <v>10</v>
      </c>
      <c r="O47" s="60">
        <v>597</v>
      </c>
      <c r="P47" s="5">
        <v>0.10829999999999999</v>
      </c>
      <c r="Q47" s="5">
        <v>0.10829999999999999</v>
      </c>
      <c r="R47" s="84">
        <f t="shared" si="15"/>
        <v>-6.6009264532433934E-3</v>
      </c>
      <c r="S47" s="84">
        <f t="shared" si="16"/>
        <v>0</v>
      </c>
      <c r="T47" s="84">
        <f t="shared" si="17"/>
        <v>0</v>
      </c>
      <c r="U47" s="85">
        <f t="shared" si="18"/>
        <v>1.319999999999999E-2</v>
      </c>
      <c r="V47" s="87">
        <f t="shared" si="19"/>
        <v>1.319999999999999E-2</v>
      </c>
    </row>
    <row r="48" spans="1:22" x14ac:dyDescent="0.25">
      <c r="A48" s="125">
        <v>40</v>
      </c>
      <c r="B48" s="62" t="s">
        <v>84</v>
      </c>
      <c r="C48" s="63" t="s">
        <v>43</v>
      </c>
      <c r="D48" s="9">
        <v>373983144760.75</v>
      </c>
      <c r="E48" s="3">
        <f t="shared" si="14"/>
        <v>0.43163670503666107</v>
      </c>
      <c r="F48" s="8">
        <v>100</v>
      </c>
      <c r="G48" s="8">
        <v>100</v>
      </c>
      <c r="H48" s="60">
        <v>128799</v>
      </c>
      <c r="I48" s="5">
        <v>9.7900000000000001E-2</v>
      </c>
      <c r="J48" s="5">
        <v>9.7900000000000001E-2</v>
      </c>
      <c r="K48" s="9">
        <v>379600985355.39001</v>
      </c>
      <c r="L48" s="3">
        <f t="shared" si="8"/>
        <v>0.4381205967244613</v>
      </c>
      <c r="M48" s="8">
        <v>100</v>
      </c>
      <c r="N48" s="8">
        <v>100</v>
      </c>
      <c r="O48" s="60">
        <v>129136</v>
      </c>
      <c r="P48" s="5">
        <v>9.8599999999999993E-2</v>
      </c>
      <c r="Q48" s="5">
        <v>9.8599999999999993E-2</v>
      </c>
      <c r="R48" s="84">
        <f t="shared" si="15"/>
        <v>1.5021641144372809E-2</v>
      </c>
      <c r="S48" s="84">
        <f t="shared" si="16"/>
        <v>0</v>
      </c>
      <c r="T48" s="84">
        <f t="shared" si="17"/>
        <v>2.6164799416144536E-3</v>
      </c>
      <c r="U48" s="85">
        <f t="shared" si="18"/>
        <v>6.999999999999923E-4</v>
      </c>
      <c r="V48" s="87">
        <f t="shared" si="19"/>
        <v>6.999999999999923E-4</v>
      </c>
    </row>
    <row r="49" spans="1:22" x14ac:dyDescent="0.25">
      <c r="A49" s="124">
        <v>41</v>
      </c>
      <c r="B49" s="62" t="s">
        <v>85</v>
      </c>
      <c r="C49" s="63" t="s">
        <v>86</v>
      </c>
      <c r="D49" s="9">
        <v>2654627623.27</v>
      </c>
      <c r="E49" s="3">
        <f t="shared" si="14"/>
        <v>3.0638672797422351E-3</v>
      </c>
      <c r="F49" s="8">
        <v>1</v>
      </c>
      <c r="G49" s="8">
        <v>1</v>
      </c>
      <c r="H49" s="60">
        <v>308</v>
      </c>
      <c r="I49" s="5">
        <v>0.12829310501410687</v>
      </c>
      <c r="J49" s="5">
        <v>0.12829310501410687</v>
      </c>
      <c r="K49" s="9">
        <v>2671634854.8899999</v>
      </c>
      <c r="L49" s="3">
        <f t="shared" si="8"/>
        <v>3.0834963606810252E-3</v>
      </c>
      <c r="M49" s="8">
        <v>1</v>
      </c>
      <c r="N49" s="8">
        <v>1</v>
      </c>
      <c r="O49" s="60">
        <v>313</v>
      </c>
      <c r="P49" s="5">
        <v>0.13066866558126672</v>
      </c>
      <c r="Q49" s="5">
        <v>0.13066866558126672</v>
      </c>
      <c r="R49" s="84">
        <f t="shared" si="15"/>
        <v>6.4066355186382746E-3</v>
      </c>
      <c r="S49" s="84">
        <f t="shared" si="16"/>
        <v>0</v>
      </c>
      <c r="T49" s="84">
        <f t="shared" si="17"/>
        <v>1.6233766233766232E-2</v>
      </c>
      <c r="U49" s="85">
        <f t="shared" si="18"/>
        <v>2.3755605671598456E-3</v>
      </c>
      <c r="V49" s="87">
        <f t="shared" si="19"/>
        <v>2.3755605671598456E-3</v>
      </c>
    </row>
    <row r="50" spans="1:22" x14ac:dyDescent="0.25">
      <c r="A50" s="124">
        <v>42</v>
      </c>
      <c r="B50" s="62" t="s">
        <v>87</v>
      </c>
      <c r="C50" s="63" t="s">
        <v>46</v>
      </c>
      <c r="D50" s="9">
        <v>43043140946.540001</v>
      </c>
      <c r="E50" s="3">
        <f t="shared" si="14"/>
        <v>4.9678708232903775E-2</v>
      </c>
      <c r="F50" s="8">
        <v>1</v>
      </c>
      <c r="G50" s="8">
        <v>1</v>
      </c>
      <c r="H50" s="60">
        <v>18283</v>
      </c>
      <c r="I50" s="5" t="s">
        <v>242</v>
      </c>
      <c r="J50" s="5">
        <v>9.7000000000000003E-2</v>
      </c>
      <c r="K50" s="9">
        <v>45041610775.940002</v>
      </c>
      <c r="L50" s="3">
        <f t="shared" si="8"/>
        <v>5.1985263874145947E-2</v>
      </c>
      <c r="M50" s="8">
        <v>1</v>
      </c>
      <c r="N50" s="8">
        <v>1</v>
      </c>
      <c r="O50" s="60">
        <v>18342</v>
      </c>
      <c r="P50" s="5">
        <v>9.4200000000000006E-2</v>
      </c>
      <c r="Q50" s="5">
        <v>9.4200000000000006E-2</v>
      </c>
      <c r="R50" s="84">
        <f t="shared" si="15"/>
        <v>4.6429460895572663E-2</v>
      </c>
      <c r="S50" s="84">
        <f t="shared" si="16"/>
        <v>0</v>
      </c>
      <c r="T50" s="84">
        <f t="shared" si="17"/>
        <v>3.2270415139747308E-3</v>
      </c>
      <c r="U50" s="85" t="e">
        <f t="shared" si="18"/>
        <v>#VALUE!</v>
      </c>
      <c r="V50" s="87">
        <f t="shared" si="19"/>
        <v>-2.7999999999999969E-3</v>
      </c>
    </row>
    <row r="51" spans="1:22" x14ac:dyDescent="0.25">
      <c r="A51" s="121">
        <v>43</v>
      </c>
      <c r="B51" s="62" t="s">
        <v>88</v>
      </c>
      <c r="C51" s="63" t="s">
        <v>89</v>
      </c>
      <c r="D51" s="9">
        <v>2001625872.9400001</v>
      </c>
      <c r="E51" s="3">
        <f t="shared" si="14"/>
        <v>2.310198223143631E-3</v>
      </c>
      <c r="F51" s="8">
        <v>1</v>
      </c>
      <c r="G51" s="8">
        <v>1</v>
      </c>
      <c r="H51" s="60">
        <v>0</v>
      </c>
      <c r="I51" s="5">
        <v>6.8000000000000005E-2</v>
      </c>
      <c r="J51" s="5">
        <v>6.8000000000000005E-2</v>
      </c>
      <c r="K51" s="9">
        <v>1998619594.05</v>
      </c>
      <c r="L51" s="3">
        <f t="shared" si="8"/>
        <v>2.3067284937382296E-3</v>
      </c>
      <c r="M51" s="8">
        <v>1</v>
      </c>
      <c r="N51" s="8">
        <v>1</v>
      </c>
      <c r="O51" s="60">
        <v>0</v>
      </c>
      <c r="P51" s="5">
        <v>7.1599999999999997E-2</v>
      </c>
      <c r="Q51" s="5">
        <v>7.1599999999999997E-2</v>
      </c>
      <c r="R51" s="84">
        <f t="shared" si="15"/>
        <v>-1.5019184806921307E-3</v>
      </c>
      <c r="S51" s="84">
        <f t="shared" si="16"/>
        <v>0</v>
      </c>
      <c r="T51" s="84" t="e">
        <f t="shared" si="17"/>
        <v>#DIV/0!</v>
      </c>
      <c r="U51" s="85">
        <f t="shared" si="18"/>
        <v>3.5999999999999921E-3</v>
      </c>
      <c r="V51" s="87">
        <f t="shared" si="19"/>
        <v>3.5999999999999921E-3</v>
      </c>
    </row>
    <row r="52" spans="1:22" x14ac:dyDescent="0.25">
      <c r="A52" s="121">
        <v>44</v>
      </c>
      <c r="B52" s="62" t="s">
        <v>90</v>
      </c>
      <c r="C52" s="63" t="s">
        <v>91</v>
      </c>
      <c r="D52" s="9">
        <v>1022113431.2</v>
      </c>
      <c r="E52" s="3">
        <f t="shared" si="14"/>
        <v>1.1796833087200313E-3</v>
      </c>
      <c r="F52" s="8">
        <v>1</v>
      </c>
      <c r="G52" s="8">
        <v>1</v>
      </c>
      <c r="H52" s="60">
        <v>200</v>
      </c>
      <c r="I52" s="5">
        <v>9.5299999999999996E-2</v>
      </c>
      <c r="J52" s="5">
        <v>9.5299999999999996E-2</v>
      </c>
      <c r="K52" s="9">
        <v>943305933.41999996</v>
      </c>
      <c r="L52" s="3">
        <f t="shared" si="8"/>
        <v>1.0887267799285945E-3</v>
      </c>
      <c r="M52" s="8">
        <v>1</v>
      </c>
      <c r="N52" s="8">
        <v>1</v>
      </c>
      <c r="O52" s="60">
        <v>204</v>
      </c>
      <c r="P52" s="5">
        <v>0.1008</v>
      </c>
      <c r="Q52" s="5">
        <v>0.10150000000000001</v>
      </c>
      <c r="R52" s="84">
        <f t="shared" si="15"/>
        <v>-7.7102497016869345E-2</v>
      </c>
      <c r="S52" s="84">
        <f t="shared" si="16"/>
        <v>0</v>
      </c>
      <c r="T52" s="84">
        <f t="shared" si="17"/>
        <v>0.02</v>
      </c>
      <c r="U52" s="85">
        <f t="shared" si="18"/>
        <v>5.5000000000000049E-3</v>
      </c>
      <c r="V52" s="87">
        <f t="shared" si="19"/>
        <v>6.2000000000000111E-3</v>
      </c>
    </row>
    <row r="53" spans="1:22" x14ac:dyDescent="0.25">
      <c r="A53" s="126">
        <v>45</v>
      </c>
      <c r="B53" s="62" t="s">
        <v>92</v>
      </c>
      <c r="C53" s="63" t="s">
        <v>93</v>
      </c>
      <c r="D53" s="9">
        <v>26630491504.689999</v>
      </c>
      <c r="E53" s="3">
        <f t="shared" si="14"/>
        <v>3.073587076750409E-2</v>
      </c>
      <c r="F53" s="8">
        <v>1</v>
      </c>
      <c r="G53" s="8">
        <v>1</v>
      </c>
      <c r="H53" s="60">
        <v>3039</v>
      </c>
      <c r="I53" s="5">
        <v>0.1026</v>
      </c>
      <c r="J53" s="5">
        <v>0.1026</v>
      </c>
      <c r="K53" s="9">
        <v>26643198661.169998</v>
      </c>
      <c r="L53" s="3">
        <f t="shared" si="8"/>
        <v>3.0750536870055103E-2</v>
      </c>
      <c r="M53" s="8">
        <v>1</v>
      </c>
      <c r="N53" s="8">
        <v>1</v>
      </c>
      <c r="O53" s="60">
        <v>3041</v>
      </c>
      <c r="P53" s="5">
        <v>0.1019</v>
      </c>
      <c r="Q53" s="5">
        <v>0.1019</v>
      </c>
      <c r="R53" s="84">
        <f t="shared" si="15"/>
        <v>4.7716567596064216E-4</v>
      </c>
      <c r="S53" s="84">
        <f t="shared" si="16"/>
        <v>0</v>
      </c>
      <c r="T53" s="84">
        <f t="shared" si="17"/>
        <v>6.5811122079631457E-4</v>
      </c>
      <c r="U53" s="85">
        <f t="shared" si="18"/>
        <v>-6.999999999999923E-4</v>
      </c>
      <c r="V53" s="87">
        <f t="shared" si="19"/>
        <v>-6.999999999999923E-4</v>
      </c>
    </row>
    <row r="54" spans="1:22" x14ac:dyDescent="0.25">
      <c r="A54" s="79"/>
      <c r="B54" s="19"/>
      <c r="C54" s="75" t="s">
        <v>47</v>
      </c>
      <c r="D54" s="59">
        <f>SUM(D25:D53)</f>
        <v>857851239009.95007</v>
      </c>
      <c r="E54" s="120">
        <f>(D54/$D$170)</f>
        <v>0.44333056884181543</v>
      </c>
      <c r="F54" s="30"/>
      <c r="G54" s="11"/>
      <c r="H54" s="69">
        <f>SUM(H25:H53)</f>
        <v>278559</v>
      </c>
      <c r="I54" s="32"/>
      <c r="J54" s="32"/>
      <c r="K54" s="59">
        <f>SUM(K25:K53)</f>
        <v>866430357744.91357</v>
      </c>
      <c r="L54" s="120">
        <f>(K54/$K$170)</f>
        <v>0.44177921359231731</v>
      </c>
      <c r="M54" s="30"/>
      <c r="N54" s="11"/>
      <c r="O54" s="69">
        <f>SUM(O25:O53)</f>
        <v>279097</v>
      </c>
      <c r="P54" s="32"/>
      <c r="Q54" s="32"/>
      <c r="R54" s="84">
        <f t="shared" si="15"/>
        <v>1.0000706818194609E-2</v>
      </c>
      <c r="S54" s="84" t="e">
        <f t="shared" si="16"/>
        <v>#DIV/0!</v>
      </c>
      <c r="T54" s="84">
        <f t="shared" si="17"/>
        <v>1.9313682200180213E-3</v>
      </c>
      <c r="U54" s="85">
        <f t="shared" si="18"/>
        <v>0</v>
      </c>
      <c r="V54" s="87">
        <f t="shared" si="19"/>
        <v>0</v>
      </c>
    </row>
    <row r="55" spans="1:22" ht="9" customHeight="1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15" customHeight="1" x14ac:dyDescent="0.25">
      <c r="A56" s="138" t="s">
        <v>94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</row>
    <row r="57" spans="1:22" x14ac:dyDescent="0.25">
      <c r="A57" s="126">
        <v>46</v>
      </c>
      <c r="B57" s="62" t="s">
        <v>95</v>
      </c>
      <c r="C57" s="63" t="s">
        <v>19</v>
      </c>
      <c r="D57" s="2">
        <v>480137070.79000002</v>
      </c>
      <c r="E57" s="3">
        <f>(D57/$D$86)</f>
        <v>1.6078952241192766E-3</v>
      </c>
      <c r="F57" s="14">
        <v>1.2754000000000001</v>
      </c>
      <c r="G57" s="14">
        <v>1.2754000000000001</v>
      </c>
      <c r="H57" s="60">
        <v>389</v>
      </c>
      <c r="I57" s="5">
        <v>-4.372E-3</v>
      </c>
      <c r="J57" s="5">
        <v>3.5900000000000001E-2</v>
      </c>
      <c r="K57" s="2">
        <v>478183571.20999998</v>
      </c>
      <c r="L57" s="3">
        <f t="shared" ref="L57:L85" si="20">(K57/$K$86)</f>
        <v>1.6144250830840213E-3</v>
      </c>
      <c r="M57" s="14">
        <v>1.2707999999999999</v>
      </c>
      <c r="N57" s="14">
        <v>1.2707999999999999</v>
      </c>
      <c r="O57" s="60">
        <v>390</v>
      </c>
      <c r="P57" s="5">
        <v>-2.3599999999999999E-4</v>
      </c>
      <c r="Q57" s="5">
        <v>3.2199999999999999E-2</v>
      </c>
      <c r="R57" s="84">
        <f t="shared" ref="R57" si="21">((K57-D57)/D57)</f>
        <v>-4.0686289371196149E-3</v>
      </c>
      <c r="S57" s="84">
        <f t="shared" ref="S57" si="22">((N57-G57)/G57)</f>
        <v>-3.6067116198840827E-3</v>
      </c>
      <c r="T57" s="84">
        <f t="shared" ref="T57" si="23">((O57-H57)/H57)</f>
        <v>2.5706940874035988E-3</v>
      </c>
      <c r="U57" s="85">
        <f t="shared" ref="U57" si="24">P57-I57</f>
        <v>4.1359999999999999E-3</v>
      </c>
      <c r="V57" s="87">
        <f t="shared" ref="V57" si="25">Q57-J57</f>
        <v>-3.7000000000000019E-3</v>
      </c>
    </row>
    <row r="58" spans="1:22" x14ac:dyDescent="0.25">
      <c r="A58" s="128">
        <v>47</v>
      </c>
      <c r="B58" s="62" t="s">
        <v>96</v>
      </c>
      <c r="C58" s="63" t="s">
        <v>21</v>
      </c>
      <c r="D58" s="2">
        <v>859843735.40999997</v>
      </c>
      <c r="E58" s="3">
        <f>(D58/$D$86)</f>
        <v>2.8794665518741122E-3</v>
      </c>
      <c r="F58" s="14">
        <v>1.1419999999999999</v>
      </c>
      <c r="G58" s="14">
        <v>1.1419999999999999</v>
      </c>
      <c r="H58" s="60">
        <v>526</v>
      </c>
      <c r="I58" s="5">
        <v>6.8599999999999994E-2</v>
      </c>
      <c r="J58" s="5">
        <v>4.0599999999999997E-2</v>
      </c>
      <c r="K58" s="2">
        <v>884797485.21000004</v>
      </c>
      <c r="L58" s="3">
        <f t="shared" si="20"/>
        <v>2.987219426962227E-3</v>
      </c>
      <c r="M58" s="14">
        <v>1.1431</v>
      </c>
      <c r="N58" s="14">
        <v>1.1431</v>
      </c>
      <c r="O58" s="60">
        <v>529</v>
      </c>
      <c r="P58" s="5">
        <v>5.0200000000000002E-2</v>
      </c>
      <c r="Q58" s="5">
        <v>4.0899999999999999E-2</v>
      </c>
      <c r="R58" s="84">
        <f t="shared" ref="R58:R86" si="26">((K58-D58)/D58)</f>
        <v>2.9021261390130795E-2</v>
      </c>
      <c r="S58" s="84">
        <f t="shared" ref="S58:S86" si="27">((N58-G58)/G58)</f>
        <v>9.6322241681269787E-4</v>
      </c>
      <c r="T58" s="84">
        <f t="shared" ref="T58:T86" si="28">((O58-H58)/H58)</f>
        <v>5.7034220532319393E-3</v>
      </c>
      <c r="U58" s="85">
        <f t="shared" ref="U58:U86" si="29">P58-I58</f>
        <v>-1.8399999999999993E-2</v>
      </c>
      <c r="V58" s="87">
        <f t="shared" ref="V58:V86" si="30">Q58-J58</f>
        <v>3.0000000000000165E-4</v>
      </c>
    </row>
    <row r="59" spans="1:22" x14ac:dyDescent="0.25">
      <c r="A59" s="128">
        <v>48</v>
      </c>
      <c r="B59" s="62" t="s">
        <v>97</v>
      </c>
      <c r="C59" s="63" t="s">
        <v>21</v>
      </c>
      <c r="D59" s="2">
        <v>989266127.03999996</v>
      </c>
      <c r="E59" s="3">
        <f>(D59/$D$86)</f>
        <v>3.3128795459042861E-3</v>
      </c>
      <c r="F59" s="14">
        <v>1.0483</v>
      </c>
      <c r="G59" s="14">
        <v>1.0483</v>
      </c>
      <c r="H59" s="60">
        <v>145</v>
      </c>
      <c r="I59" s="5">
        <v>8.4699999999999998E-2</v>
      </c>
      <c r="J59" s="5">
        <v>1.6299999999999999E-2</v>
      </c>
      <c r="K59" s="2">
        <v>990476722.82000005</v>
      </c>
      <c r="L59" s="3">
        <f t="shared" si="20"/>
        <v>3.3440096268577695E-3</v>
      </c>
      <c r="M59" s="14">
        <v>1.0497000000000001</v>
      </c>
      <c r="N59" s="14">
        <v>1.0497000000000001</v>
      </c>
      <c r="O59" s="60">
        <v>144</v>
      </c>
      <c r="P59" s="5">
        <v>6.9599999999999995E-2</v>
      </c>
      <c r="Q59" s="5">
        <v>1.7600000000000001E-2</v>
      </c>
      <c r="R59" s="84">
        <f t="shared" si="26"/>
        <v>1.2237311547523969E-3</v>
      </c>
      <c r="S59" s="84">
        <f t="shared" si="27"/>
        <v>1.3354955642469405E-3</v>
      </c>
      <c r="T59" s="84">
        <f t="shared" si="28"/>
        <v>-6.8965517241379309E-3</v>
      </c>
      <c r="U59" s="85">
        <f t="shared" si="29"/>
        <v>-1.5100000000000002E-2</v>
      </c>
      <c r="V59" s="87">
        <f t="shared" si="30"/>
        <v>1.3000000000000025E-3</v>
      </c>
    </row>
    <row r="60" spans="1:22" x14ac:dyDescent="0.25">
      <c r="A60" s="124">
        <v>49</v>
      </c>
      <c r="B60" s="62" t="s">
        <v>98</v>
      </c>
      <c r="C60" s="63" t="s">
        <v>99</v>
      </c>
      <c r="D60" s="2">
        <v>258352543.11000001</v>
      </c>
      <c r="E60" s="3">
        <f>(D60/$D$86)</f>
        <v>8.6517756173700193E-4</v>
      </c>
      <c r="F60" s="7">
        <v>1131.0899999999999</v>
      </c>
      <c r="G60" s="7">
        <v>1131.0899999999999</v>
      </c>
      <c r="H60" s="60">
        <v>111</v>
      </c>
      <c r="I60" s="5">
        <v>7.0000000000000001E-3</v>
      </c>
      <c r="J60" s="5">
        <v>5.5800000000000002E-2</v>
      </c>
      <c r="K60" s="2">
        <v>259058010.11000001</v>
      </c>
      <c r="L60" s="3">
        <f t="shared" si="20"/>
        <v>8.7462174502801445E-4</v>
      </c>
      <c r="M60" s="7">
        <v>1134.1400000000001</v>
      </c>
      <c r="N60" s="7">
        <v>1134.1400000000001</v>
      </c>
      <c r="O60" s="60">
        <v>111</v>
      </c>
      <c r="P60" s="5">
        <v>2.7000000000000001E-3</v>
      </c>
      <c r="Q60" s="5">
        <v>5.8500000000000003E-2</v>
      </c>
      <c r="R60" s="84">
        <f t="shared" si="26"/>
        <v>2.7306369486737735E-3</v>
      </c>
      <c r="S60" s="84">
        <f t="shared" si="27"/>
        <v>2.6965139820882352E-3</v>
      </c>
      <c r="T60" s="84">
        <f t="shared" si="28"/>
        <v>0</v>
      </c>
      <c r="U60" s="85">
        <f t="shared" si="29"/>
        <v>-4.3E-3</v>
      </c>
      <c r="V60" s="87">
        <f t="shared" si="30"/>
        <v>2.700000000000001E-3</v>
      </c>
    </row>
    <row r="61" spans="1:22" ht="15" customHeight="1" x14ac:dyDescent="0.25">
      <c r="A61" s="129">
        <v>50</v>
      </c>
      <c r="B61" s="62" t="s">
        <v>100</v>
      </c>
      <c r="C61" s="63" t="s">
        <v>101</v>
      </c>
      <c r="D61" s="2">
        <v>1456050367.2</v>
      </c>
      <c r="E61" s="3">
        <f>(D61/$K$86)</f>
        <v>4.9158615572952192E-3</v>
      </c>
      <c r="F61" s="7">
        <v>1.0302</v>
      </c>
      <c r="G61" s="7">
        <v>1.0302</v>
      </c>
      <c r="H61" s="60">
        <v>772</v>
      </c>
      <c r="I61" s="5">
        <v>2.8E-3</v>
      </c>
      <c r="J61" s="5">
        <v>6.2E-2</v>
      </c>
      <c r="K61" s="2">
        <v>1456050367.2</v>
      </c>
      <c r="L61" s="3">
        <f t="shared" si="20"/>
        <v>4.9158615572952192E-3</v>
      </c>
      <c r="M61" s="7">
        <v>1.0302</v>
      </c>
      <c r="N61" s="7">
        <v>1.0302</v>
      </c>
      <c r="O61" s="60">
        <v>772</v>
      </c>
      <c r="P61" s="5">
        <v>2.8E-3</v>
      </c>
      <c r="Q61" s="5">
        <v>6.2E-2</v>
      </c>
      <c r="R61" s="84">
        <f t="shared" si="26"/>
        <v>0</v>
      </c>
      <c r="S61" s="84">
        <f t="shared" si="27"/>
        <v>0</v>
      </c>
      <c r="T61" s="84">
        <f t="shared" si="28"/>
        <v>0</v>
      </c>
      <c r="U61" s="85">
        <f t="shared" si="29"/>
        <v>0</v>
      </c>
      <c r="V61" s="87">
        <f t="shared" si="30"/>
        <v>0</v>
      </c>
    </row>
    <row r="62" spans="1:22" x14ac:dyDescent="0.25">
      <c r="A62" s="129">
        <v>51</v>
      </c>
      <c r="B62" s="62" t="s">
        <v>102</v>
      </c>
      <c r="C62" s="63" t="s">
        <v>103</v>
      </c>
      <c r="D62" s="2">
        <v>436696941.79000002</v>
      </c>
      <c r="E62" s="3">
        <f t="shared" ref="E62:E85" si="31">(D62/$D$86)</f>
        <v>1.4624218162041132E-3</v>
      </c>
      <c r="F62" s="7">
        <v>2.2667999999999999</v>
      </c>
      <c r="G62" s="7">
        <v>2.2667999999999999</v>
      </c>
      <c r="H62" s="60">
        <v>1402</v>
      </c>
      <c r="I62" s="5">
        <v>0.20553232143648301</v>
      </c>
      <c r="J62" s="5">
        <v>0.111959750070334</v>
      </c>
      <c r="K62" s="2">
        <v>436696941.79000002</v>
      </c>
      <c r="L62" s="3">
        <f t="shared" si="20"/>
        <v>1.4743595116575917E-3</v>
      </c>
      <c r="M62" s="7">
        <v>2.2667999999999999</v>
      </c>
      <c r="N62" s="7">
        <v>2.2667999999999999</v>
      </c>
      <c r="O62" s="60">
        <v>1402</v>
      </c>
      <c r="P62" s="5">
        <v>0.20553232143648301</v>
      </c>
      <c r="Q62" s="5">
        <v>0.111959750070334</v>
      </c>
      <c r="R62" s="84">
        <f t="shared" si="26"/>
        <v>0</v>
      </c>
      <c r="S62" s="84">
        <f t="shared" si="27"/>
        <v>0</v>
      </c>
      <c r="T62" s="84">
        <f t="shared" si="28"/>
        <v>0</v>
      </c>
      <c r="U62" s="85">
        <f t="shared" si="29"/>
        <v>0</v>
      </c>
      <c r="V62" s="87">
        <f t="shared" si="30"/>
        <v>0</v>
      </c>
    </row>
    <row r="63" spans="1:22" x14ac:dyDescent="0.25">
      <c r="A63" s="124">
        <v>52</v>
      </c>
      <c r="B63" s="62" t="s">
        <v>104</v>
      </c>
      <c r="C63" s="63" t="s">
        <v>57</v>
      </c>
      <c r="D63" s="2">
        <v>2358112839.0054202</v>
      </c>
      <c r="E63" s="3">
        <f t="shared" si="31"/>
        <v>7.896908200678206E-3</v>
      </c>
      <c r="F63" s="2">
        <v>3927.00838595397</v>
      </c>
      <c r="G63" s="2">
        <v>3927.00838595397</v>
      </c>
      <c r="H63" s="60">
        <v>1028</v>
      </c>
      <c r="I63" s="5">
        <v>6.5489935518520601E-2</v>
      </c>
      <c r="J63" s="5">
        <v>7.573653878288189E-2</v>
      </c>
      <c r="K63" s="2">
        <v>2361227377.737</v>
      </c>
      <c r="L63" s="3">
        <f t="shared" si="20"/>
        <v>7.97188555817035E-3</v>
      </c>
      <c r="M63" s="2">
        <v>3931.8845496500599</v>
      </c>
      <c r="N63" s="2">
        <v>3931.8845496500599</v>
      </c>
      <c r="O63" s="60">
        <v>1026</v>
      </c>
      <c r="P63" s="5">
        <v>6.4745750969063542E-2</v>
      </c>
      <c r="Q63" s="5">
        <v>7.5559273768968288E-2</v>
      </c>
      <c r="R63" s="84">
        <f t="shared" si="26"/>
        <v>1.3207759527289616E-3</v>
      </c>
      <c r="S63" s="84">
        <f t="shared" si="27"/>
        <v>1.2416993336532734E-3</v>
      </c>
      <c r="T63" s="84">
        <f t="shared" si="28"/>
        <v>-1.9455252918287938E-3</v>
      </c>
      <c r="U63" s="85">
        <f t="shared" si="29"/>
        <v>-7.4418454945705814E-4</v>
      </c>
      <c r="V63" s="87">
        <f t="shared" si="30"/>
        <v>-1.7726501391360228E-4</v>
      </c>
    </row>
    <row r="64" spans="1:22" x14ac:dyDescent="0.25">
      <c r="A64" s="126">
        <v>53</v>
      </c>
      <c r="B64" s="62" t="s">
        <v>105</v>
      </c>
      <c r="C64" s="63" t="s">
        <v>59</v>
      </c>
      <c r="D64" s="2">
        <v>338441639.31</v>
      </c>
      <c r="E64" s="3">
        <f t="shared" si="31"/>
        <v>1.1333819623514511E-3</v>
      </c>
      <c r="F64" s="14">
        <v>108.87</v>
      </c>
      <c r="G64" s="14">
        <v>108.87</v>
      </c>
      <c r="H64" s="60">
        <v>120</v>
      </c>
      <c r="I64" s="5">
        <v>1.8E-3</v>
      </c>
      <c r="J64" s="5">
        <v>9.9599999999999994E-2</v>
      </c>
      <c r="K64" s="2">
        <v>338854965.87</v>
      </c>
      <c r="L64" s="3">
        <f t="shared" si="20"/>
        <v>1.1440291749125397E-3</v>
      </c>
      <c r="M64" s="14">
        <v>109.07</v>
      </c>
      <c r="N64" s="14">
        <v>109.07</v>
      </c>
      <c r="O64" s="60">
        <v>120</v>
      </c>
      <c r="P64" s="5">
        <v>1.8E-3</v>
      </c>
      <c r="Q64" s="5">
        <v>9.9699999999999997E-2</v>
      </c>
      <c r="R64" s="84">
        <f t="shared" si="26"/>
        <v>1.2212639107961848E-3</v>
      </c>
      <c r="S64" s="84">
        <f t="shared" si="27"/>
        <v>1.8370533664001894E-3</v>
      </c>
      <c r="T64" s="84">
        <f t="shared" si="28"/>
        <v>0</v>
      </c>
      <c r="U64" s="85">
        <f t="shared" si="29"/>
        <v>0</v>
      </c>
      <c r="V64" s="87">
        <f t="shared" si="30"/>
        <v>1.0000000000000286E-4</v>
      </c>
    </row>
    <row r="65" spans="1:22" x14ac:dyDescent="0.25">
      <c r="A65" s="129">
        <v>54</v>
      </c>
      <c r="B65" s="62" t="s">
        <v>106</v>
      </c>
      <c r="C65" s="63" t="s">
        <v>107</v>
      </c>
      <c r="D65" s="2">
        <v>349546323.04000002</v>
      </c>
      <c r="E65" s="3">
        <f t="shared" si="31"/>
        <v>1.1705696094236587E-3</v>
      </c>
      <c r="F65" s="14">
        <v>1.3913</v>
      </c>
      <c r="G65" s="14">
        <v>1.3913</v>
      </c>
      <c r="H65" s="60">
        <v>0</v>
      </c>
      <c r="I65" s="5">
        <v>1.5E-3</v>
      </c>
      <c r="J65" s="5">
        <v>3.1399999999999997E-2</v>
      </c>
      <c r="K65" s="2">
        <v>349546323.04000002</v>
      </c>
      <c r="L65" s="3">
        <f t="shared" si="20"/>
        <v>1.1801249260563575E-3</v>
      </c>
      <c r="M65" s="14">
        <v>1.3913</v>
      </c>
      <c r="N65" s="14">
        <v>1.3913</v>
      </c>
      <c r="O65" s="60">
        <v>0</v>
      </c>
      <c r="P65" s="5">
        <v>1.5E-3</v>
      </c>
      <c r="Q65" s="5">
        <v>3.1399999999999997E-2</v>
      </c>
      <c r="R65" s="84">
        <f t="shared" si="26"/>
        <v>0</v>
      </c>
      <c r="S65" s="84">
        <f t="shared" si="27"/>
        <v>0</v>
      </c>
      <c r="T65" s="84" t="e">
        <f t="shared" si="28"/>
        <v>#DIV/0!</v>
      </c>
      <c r="U65" s="85">
        <f t="shared" si="29"/>
        <v>0</v>
      </c>
      <c r="V65" s="87">
        <f t="shared" si="30"/>
        <v>0</v>
      </c>
    </row>
    <row r="66" spans="1:22" x14ac:dyDescent="0.25">
      <c r="A66" s="121">
        <v>55</v>
      </c>
      <c r="B66" s="62" t="s">
        <v>108</v>
      </c>
      <c r="C66" s="63" t="s">
        <v>25</v>
      </c>
      <c r="D66" s="2">
        <v>72712055</v>
      </c>
      <c r="E66" s="3">
        <f t="shared" si="31"/>
        <v>2.4349997757522278E-4</v>
      </c>
      <c r="F66" s="7">
        <v>109.3683</v>
      </c>
      <c r="G66" s="7">
        <v>109.3683</v>
      </c>
      <c r="H66" s="60">
        <v>71</v>
      </c>
      <c r="I66" s="5">
        <v>2.7700000000000001E-4</v>
      </c>
      <c r="J66" s="5">
        <v>7.2900000000000006E-2</v>
      </c>
      <c r="K66" s="2">
        <v>65033779.520000003</v>
      </c>
      <c r="L66" s="3">
        <f t="shared" si="20"/>
        <v>2.1956455893951105E-4</v>
      </c>
      <c r="M66" s="7">
        <v>109.5979</v>
      </c>
      <c r="N66" s="7">
        <v>109.5979</v>
      </c>
      <c r="O66" s="60">
        <v>74</v>
      </c>
      <c r="P66" s="5">
        <v>2.7999999999999998E-4</v>
      </c>
      <c r="Q66" s="5">
        <v>7.5200000000000003E-2</v>
      </c>
      <c r="R66" s="84">
        <f t="shared" si="26"/>
        <v>-0.1055983836517892</v>
      </c>
      <c r="S66" s="84">
        <f t="shared" si="27"/>
        <v>2.0993285988717999E-3</v>
      </c>
      <c r="T66" s="84">
        <f t="shared" si="28"/>
        <v>4.2253521126760563E-2</v>
      </c>
      <c r="U66" s="85">
        <f t="shared" si="29"/>
        <v>2.9999999999999645E-6</v>
      </c>
      <c r="V66" s="87">
        <f t="shared" si="30"/>
        <v>2.2999999999999965E-3</v>
      </c>
    </row>
    <row r="67" spans="1:22" x14ac:dyDescent="0.25">
      <c r="A67" s="129">
        <v>56</v>
      </c>
      <c r="B67" s="62" t="s">
        <v>109</v>
      </c>
      <c r="C67" s="63" t="s">
        <v>110</v>
      </c>
      <c r="D67" s="2">
        <v>877199273.69000006</v>
      </c>
      <c r="E67" s="3">
        <f t="shared" si="31"/>
        <v>2.9375872195128681E-3</v>
      </c>
      <c r="F67" s="7">
        <v>1000</v>
      </c>
      <c r="G67" s="7">
        <v>1000</v>
      </c>
      <c r="H67" s="60">
        <v>251</v>
      </c>
      <c r="I67" s="5">
        <v>1.40613815284292E-4</v>
      </c>
      <c r="J67" s="5">
        <v>0.15959999999999999</v>
      </c>
      <c r="K67" s="2">
        <v>877199273.69000006</v>
      </c>
      <c r="L67" s="3">
        <f t="shared" si="20"/>
        <v>2.9615666358522646E-3</v>
      </c>
      <c r="M67" s="7">
        <v>1000</v>
      </c>
      <c r="N67" s="7">
        <v>1000</v>
      </c>
      <c r="O67" s="60">
        <v>251</v>
      </c>
      <c r="P67" s="5">
        <v>1.40613815284292E-4</v>
      </c>
      <c r="Q67" s="5">
        <v>0.15959999999999999</v>
      </c>
      <c r="R67" s="84">
        <f t="shared" si="26"/>
        <v>0</v>
      </c>
      <c r="S67" s="84">
        <f t="shared" si="27"/>
        <v>0</v>
      </c>
      <c r="T67" s="84">
        <f t="shared" si="28"/>
        <v>0</v>
      </c>
      <c r="U67" s="85">
        <f t="shared" si="29"/>
        <v>0</v>
      </c>
      <c r="V67" s="87">
        <f t="shared" si="30"/>
        <v>0</v>
      </c>
    </row>
    <row r="68" spans="1:22" x14ac:dyDescent="0.25">
      <c r="A68" s="111">
        <v>57</v>
      </c>
      <c r="B68" s="62" t="s">
        <v>111</v>
      </c>
      <c r="C68" s="63" t="s">
        <v>65</v>
      </c>
      <c r="D68" s="2">
        <v>239624098.30000001</v>
      </c>
      <c r="E68" s="3">
        <f t="shared" si="31"/>
        <v>8.0245926982166831E-4</v>
      </c>
      <c r="F68" s="7">
        <v>1104.7</v>
      </c>
      <c r="G68" s="7">
        <v>1113.5899999999999</v>
      </c>
      <c r="H68" s="60">
        <v>82</v>
      </c>
      <c r="I68" s="5">
        <v>2.2000000000000001E-3</v>
      </c>
      <c r="J68" s="5">
        <v>6.3100000000000003E-2</v>
      </c>
      <c r="K68" s="2">
        <v>240149246.97</v>
      </c>
      <c r="L68" s="3">
        <f t="shared" si="20"/>
        <v>8.1078270215570209E-4</v>
      </c>
      <c r="M68" s="7">
        <v>1106.8900000000001</v>
      </c>
      <c r="N68" s="7">
        <v>1116.4000000000001</v>
      </c>
      <c r="O68" s="60">
        <v>81</v>
      </c>
      <c r="P68" s="5">
        <v>2.2000000000000001E-3</v>
      </c>
      <c r="Q68" s="5">
        <v>6.5299999999999997E-2</v>
      </c>
      <c r="R68" s="84">
        <f t="shared" si="26"/>
        <v>2.1915519921644993E-3</v>
      </c>
      <c r="S68" s="84">
        <f t="shared" si="27"/>
        <v>2.5233703607253776E-3</v>
      </c>
      <c r="T68" s="84">
        <f t="shared" si="28"/>
        <v>-1.2195121951219513E-2</v>
      </c>
      <c r="U68" s="85">
        <f t="shared" si="29"/>
        <v>0</v>
      </c>
      <c r="V68" s="87">
        <f t="shared" si="30"/>
        <v>2.1999999999999936E-3</v>
      </c>
    </row>
    <row r="69" spans="1:22" x14ac:dyDescent="0.25">
      <c r="A69" s="127">
        <v>58</v>
      </c>
      <c r="B69" s="62" t="s">
        <v>112</v>
      </c>
      <c r="C69" s="63" t="s">
        <v>68</v>
      </c>
      <c r="D69" s="2">
        <v>737009154.03999996</v>
      </c>
      <c r="E69" s="3">
        <f t="shared" si="31"/>
        <v>2.468114984255003E-3</v>
      </c>
      <c r="F69" s="15">
        <v>1.0855999999999999</v>
      </c>
      <c r="G69" s="15">
        <v>1.0855999999999999</v>
      </c>
      <c r="H69" s="60">
        <v>41</v>
      </c>
      <c r="I69" s="5">
        <v>6.3588850174216088E-2</v>
      </c>
      <c r="J69" s="5">
        <v>0.10208590398965868</v>
      </c>
      <c r="K69" s="2">
        <v>738761529.66999996</v>
      </c>
      <c r="L69" s="3">
        <f t="shared" si="20"/>
        <v>2.4941784195948273E-3</v>
      </c>
      <c r="M69" s="15">
        <v>1.0881000000000001</v>
      </c>
      <c r="N69" s="15">
        <v>1.0881000000000001</v>
      </c>
      <c r="O69" s="60">
        <v>41</v>
      </c>
      <c r="P69" s="5">
        <v>0.11327523710214779</v>
      </c>
      <c r="Q69" s="5">
        <v>0.10257611241217805</v>
      </c>
      <c r="R69" s="84">
        <f t="shared" si="26"/>
        <v>2.3776850265619467E-3</v>
      </c>
      <c r="S69" s="84">
        <f t="shared" si="27"/>
        <v>2.3028739867356016E-3</v>
      </c>
      <c r="T69" s="84">
        <f t="shared" si="28"/>
        <v>0</v>
      </c>
      <c r="U69" s="85">
        <f t="shared" si="29"/>
        <v>4.9686386927931703E-2</v>
      </c>
      <c r="V69" s="87">
        <f t="shared" si="30"/>
        <v>4.9020842251937258E-4</v>
      </c>
    </row>
    <row r="70" spans="1:22" x14ac:dyDescent="0.25">
      <c r="A70" s="121">
        <v>59</v>
      </c>
      <c r="B70" s="62" t="s">
        <v>113</v>
      </c>
      <c r="C70" s="63" t="s">
        <v>27</v>
      </c>
      <c r="D70" s="2">
        <v>66948501452.370003</v>
      </c>
      <c r="E70" s="3">
        <f t="shared" si="31"/>
        <v>0.22419884298892206</v>
      </c>
      <c r="F70" s="15">
        <v>1605.25</v>
      </c>
      <c r="G70" s="2">
        <v>1605.25</v>
      </c>
      <c r="H70" s="60">
        <v>2455</v>
      </c>
      <c r="I70" s="5">
        <v>2.3E-3</v>
      </c>
      <c r="J70" s="5">
        <v>0.1177</v>
      </c>
      <c r="K70" s="2">
        <v>64694369790.790001</v>
      </c>
      <c r="L70" s="3">
        <f t="shared" si="20"/>
        <v>0.21841865679382913</v>
      </c>
      <c r="M70" s="15">
        <v>1509.23</v>
      </c>
      <c r="N70" s="2">
        <v>1509.23</v>
      </c>
      <c r="O70" s="60">
        <v>2453</v>
      </c>
      <c r="P70" s="5">
        <v>-5.9799999999999999E-2</v>
      </c>
      <c r="Q70" s="5">
        <v>0.1178</v>
      </c>
      <c r="R70" s="84">
        <f t="shared" si="26"/>
        <v>-3.36696358048236E-2</v>
      </c>
      <c r="S70" s="84">
        <f t="shared" si="27"/>
        <v>-5.9816228001868858E-2</v>
      </c>
      <c r="T70" s="84">
        <f t="shared" si="28"/>
        <v>-8.1466395112016296E-4</v>
      </c>
      <c r="U70" s="85">
        <f t="shared" si="29"/>
        <v>-6.2100000000000002E-2</v>
      </c>
      <c r="V70" s="87">
        <f t="shared" si="30"/>
        <v>1.0000000000000286E-4</v>
      </c>
    </row>
    <row r="71" spans="1:22" x14ac:dyDescent="0.25">
      <c r="A71" s="121">
        <v>60</v>
      </c>
      <c r="B71" s="62" t="s">
        <v>114</v>
      </c>
      <c r="C71" s="63" t="s">
        <v>73</v>
      </c>
      <c r="D71" s="2">
        <v>24778998.800000001</v>
      </c>
      <c r="E71" s="3">
        <f t="shared" si="31"/>
        <v>8.2980540876426514E-5</v>
      </c>
      <c r="F71" s="2">
        <v>0.75470000000000004</v>
      </c>
      <c r="G71" s="2">
        <v>0.75470000000000004</v>
      </c>
      <c r="H71" s="60">
        <v>748</v>
      </c>
      <c r="I71" s="5">
        <v>1.9E-3</v>
      </c>
      <c r="J71" s="5">
        <v>0.1045</v>
      </c>
      <c r="K71" s="2">
        <v>24824140.859999999</v>
      </c>
      <c r="L71" s="3">
        <f t="shared" si="20"/>
        <v>8.3810314873395721E-5</v>
      </c>
      <c r="M71" s="2">
        <v>0.75609999999999999</v>
      </c>
      <c r="N71" s="2">
        <v>0.75609999999999999</v>
      </c>
      <c r="O71" s="60">
        <v>748</v>
      </c>
      <c r="P71" s="5">
        <v>1.9E-3</v>
      </c>
      <c r="Q71" s="5">
        <v>0.1065</v>
      </c>
      <c r="R71" s="84">
        <f t="shared" si="26"/>
        <v>1.8217870852795981E-3</v>
      </c>
      <c r="S71" s="84">
        <f t="shared" si="27"/>
        <v>1.8550417384390575E-3</v>
      </c>
      <c r="T71" s="84">
        <f t="shared" si="28"/>
        <v>0</v>
      </c>
      <c r="U71" s="85">
        <f t="shared" si="29"/>
        <v>0</v>
      </c>
      <c r="V71" s="87">
        <f t="shared" si="30"/>
        <v>2.0000000000000018E-3</v>
      </c>
    </row>
    <row r="72" spans="1:22" x14ac:dyDescent="0.25">
      <c r="A72" s="121">
        <v>61</v>
      </c>
      <c r="B72" s="62" t="s">
        <v>115</v>
      </c>
      <c r="C72" s="63" t="s">
        <v>116</v>
      </c>
      <c r="D72" s="2">
        <v>1067190097.5599999</v>
      </c>
      <c r="E72" s="3">
        <f t="shared" si="31"/>
        <v>3.5738333186204102E-3</v>
      </c>
      <c r="F72" s="2">
        <v>207.596069</v>
      </c>
      <c r="G72" s="2">
        <v>208.981955</v>
      </c>
      <c r="H72" s="60">
        <v>485</v>
      </c>
      <c r="I72" s="5">
        <v>1.6999999999999999E-3</v>
      </c>
      <c r="J72" s="5">
        <v>4.7800000000000002E-2</v>
      </c>
      <c r="K72" s="2">
        <v>1071993673.4299999</v>
      </c>
      <c r="L72" s="3">
        <f t="shared" si="20"/>
        <v>3.6192240375668111E-3</v>
      </c>
      <c r="M72" s="2">
        <v>208.10521</v>
      </c>
      <c r="N72" s="2">
        <v>209.574095</v>
      </c>
      <c r="O72" s="60">
        <v>486</v>
      </c>
      <c r="P72" s="5">
        <v>1.6000000000000001E-3</v>
      </c>
      <c r="Q72" s="5">
        <v>5.0500000000000003E-2</v>
      </c>
      <c r="R72" s="84">
        <f t="shared" si="26"/>
        <v>4.5011435928639099E-3</v>
      </c>
      <c r="S72" s="84">
        <f t="shared" si="27"/>
        <v>2.8334503809192549E-3</v>
      </c>
      <c r="T72" s="84">
        <f t="shared" si="28"/>
        <v>2.0618556701030928E-3</v>
      </c>
      <c r="U72" s="85">
        <f t="shared" si="29"/>
        <v>-9.9999999999999829E-5</v>
      </c>
      <c r="V72" s="87">
        <f t="shared" si="30"/>
        <v>2.700000000000001E-3</v>
      </c>
    </row>
    <row r="73" spans="1:22" x14ac:dyDescent="0.25">
      <c r="A73" s="121">
        <v>62</v>
      </c>
      <c r="B73" s="62" t="s">
        <v>117</v>
      </c>
      <c r="C73" s="63" t="s">
        <v>35</v>
      </c>
      <c r="D73" s="2">
        <v>1243513632.05</v>
      </c>
      <c r="E73" s="3">
        <f t="shared" si="31"/>
        <v>4.1643100517329461E-3</v>
      </c>
      <c r="F73" s="14">
        <v>3.55</v>
      </c>
      <c r="G73" s="14">
        <v>3.55</v>
      </c>
      <c r="H73" s="61">
        <v>785</v>
      </c>
      <c r="I73" s="12">
        <v>2.0999999999999999E-3</v>
      </c>
      <c r="J73" s="12">
        <v>-1.06E-2</v>
      </c>
      <c r="K73" s="2">
        <v>1243940411.5699999</v>
      </c>
      <c r="L73" s="3">
        <f t="shared" si="20"/>
        <v>4.199744038087253E-3</v>
      </c>
      <c r="M73" s="14">
        <v>3.55</v>
      </c>
      <c r="N73" s="14">
        <v>3.55</v>
      </c>
      <c r="O73" s="61">
        <v>785</v>
      </c>
      <c r="P73" s="12">
        <v>2.5000000000000001E-3</v>
      </c>
      <c r="Q73" s="12">
        <v>-9.9000000000000008E-3</v>
      </c>
      <c r="R73" s="84">
        <f t="shared" si="26"/>
        <v>3.4320453672583522E-4</v>
      </c>
      <c r="S73" s="84">
        <f t="shared" si="27"/>
        <v>0</v>
      </c>
      <c r="T73" s="84">
        <f t="shared" si="28"/>
        <v>0</v>
      </c>
      <c r="U73" s="85">
        <f t="shared" si="29"/>
        <v>4.0000000000000018E-4</v>
      </c>
      <c r="V73" s="87">
        <f t="shared" si="30"/>
        <v>6.9999999999999923E-4</v>
      </c>
    </row>
    <row r="74" spans="1:22" x14ac:dyDescent="0.25">
      <c r="A74" s="128">
        <v>63</v>
      </c>
      <c r="B74" s="63" t="s">
        <v>118</v>
      </c>
      <c r="C74" s="130" t="s">
        <v>41</v>
      </c>
      <c r="D74" s="2">
        <v>1909357258</v>
      </c>
      <c r="E74" s="3">
        <f t="shared" si="31"/>
        <v>6.3941041070299676E-3</v>
      </c>
      <c r="F74" s="14">
        <v>100.09</v>
      </c>
      <c r="G74" s="14">
        <v>100</v>
      </c>
      <c r="H74" s="60">
        <v>169</v>
      </c>
      <c r="I74" s="5">
        <v>1.9E-3</v>
      </c>
      <c r="J74" s="5">
        <v>0.10249999999999999</v>
      </c>
      <c r="K74" s="2">
        <v>2066197523</v>
      </c>
      <c r="L74" s="3">
        <f t="shared" si="20"/>
        <v>6.9758170471991236E-3</v>
      </c>
      <c r="M74" s="14">
        <v>100.3</v>
      </c>
      <c r="N74" s="14">
        <v>100.3</v>
      </c>
      <c r="O74" s="60">
        <v>169</v>
      </c>
      <c r="P74" s="5">
        <v>1.9E-3</v>
      </c>
      <c r="Q74" s="5">
        <v>0.10290000000000001</v>
      </c>
      <c r="R74" s="84">
        <f t="shared" si="26"/>
        <v>8.2142964258184945E-2</v>
      </c>
      <c r="S74" s="84">
        <f t="shared" si="27"/>
        <v>2.9999999999999714E-3</v>
      </c>
      <c r="T74" s="84">
        <f t="shared" si="28"/>
        <v>0</v>
      </c>
      <c r="U74" s="85">
        <f t="shared" si="29"/>
        <v>0</v>
      </c>
      <c r="V74" s="87">
        <f t="shared" si="30"/>
        <v>4.0000000000001146E-4</v>
      </c>
    </row>
    <row r="75" spans="1:22" x14ac:dyDescent="0.25">
      <c r="A75" s="127">
        <v>64</v>
      </c>
      <c r="B75" s="62" t="s">
        <v>119</v>
      </c>
      <c r="C75" s="63" t="s">
        <v>17</v>
      </c>
      <c r="D75" s="2">
        <v>1637144209.4100001</v>
      </c>
      <c r="E75" s="3">
        <f t="shared" si="31"/>
        <v>5.482510132312185E-3</v>
      </c>
      <c r="F75" s="14">
        <v>338.52030000000002</v>
      </c>
      <c r="G75" s="14">
        <v>338.52030000000002</v>
      </c>
      <c r="H75" s="60">
        <v>193</v>
      </c>
      <c r="I75" s="5">
        <v>2E-3</v>
      </c>
      <c r="J75" s="5">
        <v>0.12889999999999999</v>
      </c>
      <c r="K75" s="2">
        <v>1643737093.3699999</v>
      </c>
      <c r="L75" s="3">
        <f t="shared" si="20"/>
        <v>5.5495223033640148E-3</v>
      </c>
      <c r="M75" s="14">
        <v>339.8836</v>
      </c>
      <c r="N75" s="14">
        <v>339.8836</v>
      </c>
      <c r="O75" s="60">
        <v>193</v>
      </c>
      <c r="P75" s="5">
        <v>2E-3</v>
      </c>
      <c r="Q75" s="5">
        <v>0.1331</v>
      </c>
      <c r="R75" s="84">
        <f t="shared" si="26"/>
        <v>4.0270636649509129E-3</v>
      </c>
      <c r="S75" s="84">
        <f t="shared" si="27"/>
        <v>4.0272326356793993E-3</v>
      </c>
      <c r="T75" s="84">
        <f t="shared" si="28"/>
        <v>0</v>
      </c>
      <c r="U75" s="85">
        <f t="shared" si="29"/>
        <v>0</v>
      </c>
      <c r="V75" s="87">
        <f t="shared" si="30"/>
        <v>4.2000000000000093E-3</v>
      </c>
    </row>
    <row r="76" spans="1:22" x14ac:dyDescent="0.25">
      <c r="A76" s="124">
        <v>65</v>
      </c>
      <c r="B76" s="62" t="s">
        <v>120</v>
      </c>
      <c r="C76" s="63" t="s">
        <v>39</v>
      </c>
      <c r="D76" s="2">
        <v>54684427.520000003</v>
      </c>
      <c r="E76" s="3">
        <f t="shared" si="31"/>
        <v>1.8312860054407618E-4</v>
      </c>
      <c r="F76" s="14">
        <v>12.07</v>
      </c>
      <c r="G76" s="2">
        <v>12.37</v>
      </c>
      <c r="H76" s="60">
        <v>53</v>
      </c>
      <c r="I76" s="5">
        <v>2.9999999999999997E-4</v>
      </c>
      <c r="J76" s="5">
        <v>9.2100000000000001E-2</v>
      </c>
      <c r="K76" s="2">
        <v>54757315.93</v>
      </c>
      <c r="L76" s="3">
        <f t="shared" si="20"/>
        <v>1.8486955563123194E-4</v>
      </c>
      <c r="M76" s="14">
        <v>12.09</v>
      </c>
      <c r="N76" s="2">
        <v>12.39</v>
      </c>
      <c r="O76" s="60">
        <v>53</v>
      </c>
      <c r="P76" s="5">
        <v>2.9999999999999997E-4</v>
      </c>
      <c r="Q76" s="5">
        <v>9.3899999999999997E-2</v>
      </c>
      <c r="R76" s="84">
        <f t="shared" si="26"/>
        <v>1.3328915251666223E-3</v>
      </c>
      <c r="S76" s="84">
        <f t="shared" si="27"/>
        <v>1.6168148746969564E-3</v>
      </c>
      <c r="T76" s="84">
        <f t="shared" si="28"/>
        <v>0</v>
      </c>
      <c r="U76" s="85">
        <f t="shared" si="29"/>
        <v>0</v>
      </c>
      <c r="V76" s="87">
        <f t="shared" si="30"/>
        <v>1.799999999999996E-3</v>
      </c>
    </row>
    <row r="77" spans="1:22" x14ac:dyDescent="0.25">
      <c r="A77" s="126">
        <v>66</v>
      </c>
      <c r="B77" s="62" t="s">
        <v>121</v>
      </c>
      <c r="C77" s="63" t="s">
        <v>122</v>
      </c>
      <c r="D77" s="2">
        <v>6934610856</v>
      </c>
      <c r="E77" s="3">
        <f t="shared" si="31"/>
        <v>2.3222801060001626E-2</v>
      </c>
      <c r="F77" s="14">
        <v>1.08</v>
      </c>
      <c r="G77" s="14">
        <v>1.08</v>
      </c>
      <c r="H77" s="60">
        <v>3510</v>
      </c>
      <c r="I77" s="5">
        <v>0</v>
      </c>
      <c r="J77" s="5">
        <v>0.1002</v>
      </c>
      <c r="K77" s="2">
        <v>6860109609.3699999</v>
      </c>
      <c r="L77" s="3">
        <f t="shared" si="20"/>
        <v>2.3160839670940677E-2</v>
      </c>
      <c r="M77" s="14">
        <v>1.0900000000000001</v>
      </c>
      <c r="N77" s="14">
        <v>1.0900000000000001</v>
      </c>
      <c r="O77" s="60">
        <v>3522</v>
      </c>
      <c r="P77" s="5">
        <v>0</v>
      </c>
      <c r="Q77" s="5">
        <v>0.10050000000000001</v>
      </c>
      <c r="R77" s="84">
        <f t="shared" si="26"/>
        <v>-1.074339255324468E-2</v>
      </c>
      <c r="S77" s="84">
        <f t="shared" si="27"/>
        <v>9.2592592592592674E-3</v>
      </c>
      <c r="T77" s="84">
        <f t="shared" si="28"/>
        <v>3.4188034188034188E-3</v>
      </c>
      <c r="U77" s="85">
        <f t="shared" si="29"/>
        <v>0</v>
      </c>
      <c r="V77" s="87">
        <f t="shared" si="30"/>
        <v>3.0000000000000859E-4</v>
      </c>
    </row>
    <row r="78" spans="1:22" ht="14.25" customHeight="1" x14ac:dyDescent="0.25">
      <c r="A78" s="125">
        <v>67</v>
      </c>
      <c r="B78" s="62" t="s">
        <v>123</v>
      </c>
      <c r="C78" s="63" t="s">
        <v>43</v>
      </c>
      <c r="D78" s="2">
        <v>22624693141.619999</v>
      </c>
      <c r="E78" s="3">
        <f t="shared" si="31"/>
        <v>7.576614734146582E-2</v>
      </c>
      <c r="F78" s="2">
        <v>4893.49</v>
      </c>
      <c r="G78" s="2">
        <v>4893.49</v>
      </c>
      <c r="H78" s="60">
        <v>1136</v>
      </c>
      <c r="I78" s="5">
        <v>1.6999999999999999E-3</v>
      </c>
      <c r="J78" s="5">
        <v>7.0300000000000001E-2</v>
      </c>
      <c r="K78" s="2">
        <v>22247726706.689999</v>
      </c>
      <c r="L78" s="3">
        <f t="shared" si="20"/>
        <v>7.5111923954211082E-2</v>
      </c>
      <c r="M78" s="2">
        <v>4902.92</v>
      </c>
      <c r="N78" s="2">
        <v>4902.92</v>
      </c>
      <c r="O78" s="60">
        <v>1136</v>
      </c>
      <c r="P78" s="5">
        <v>1.9E-3</v>
      </c>
      <c r="Q78" s="5">
        <v>7.2400000000000006E-2</v>
      </c>
      <c r="R78" s="84">
        <f t="shared" si="26"/>
        <v>-1.6661725866086524E-2</v>
      </c>
      <c r="S78" s="84">
        <f t="shared" si="27"/>
        <v>1.9270500195157836E-3</v>
      </c>
      <c r="T78" s="84">
        <f t="shared" si="28"/>
        <v>0</v>
      </c>
      <c r="U78" s="85">
        <f t="shared" si="29"/>
        <v>2.0000000000000009E-4</v>
      </c>
      <c r="V78" s="87">
        <f t="shared" si="30"/>
        <v>2.1000000000000046E-3</v>
      </c>
    </row>
    <row r="79" spans="1:22" x14ac:dyDescent="0.25">
      <c r="A79" s="125">
        <v>68</v>
      </c>
      <c r="B79" s="62" t="s">
        <v>124</v>
      </c>
      <c r="C79" s="63" t="s">
        <v>43</v>
      </c>
      <c r="D79" s="2">
        <v>38968563198.739998</v>
      </c>
      <c r="E79" s="3">
        <f t="shared" si="31"/>
        <v>0.13049891472647612</v>
      </c>
      <c r="F79" s="14">
        <v>254.17</v>
      </c>
      <c r="G79" s="14">
        <v>254.17</v>
      </c>
      <c r="H79" s="60">
        <v>11731</v>
      </c>
      <c r="I79" s="5">
        <v>5.9999999999999995E-4</v>
      </c>
      <c r="J79" s="5">
        <v>3.7100000000000001E-2</v>
      </c>
      <c r="K79" s="2">
        <v>38979624284.660004</v>
      </c>
      <c r="L79" s="3">
        <f t="shared" si="20"/>
        <v>0.13160151657889108</v>
      </c>
      <c r="M79" s="14">
        <v>254.36</v>
      </c>
      <c r="N79" s="14">
        <v>254.36</v>
      </c>
      <c r="O79" s="60">
        <v>11739</v>
      </c>
      <c r="P79" s="5">
        <v>6.9999999999999999E-4</v>
      </c>
      <c r="Q79" s="5">
        <v>3.7900000000000003E-2</v>
      </c>
      <c r="R79" s="84">
        <f t="shared" si="26"/>
        <v>2.8384638826928693E-4</v>
      </c>
      <c r="S79" s="84">
        <f t="shared" si="27"/>
        <v>7.4753117991905476E-4</v>
      </c>
      <c r="T79" s="84">
        <f t="shared" si="28"/>
        <v>6.8195379763021059E-4</v>
      </c>
      <c r="U79" s="85">
        <f t="shared" si="29"/>
        <v>1.0000000000000005E-4</v>
      </c>
      <c r="V79" s="87">
        <f t="shared" si="30"/>
        <v>8.000000000000021E-4</v>
      </c>
    </row>
    <row r="80" spans="1:22" ht="12.75" customHeight="1" x14ac:dyDescent="0.25">
      <c r="A80" s="125">
        <v>69</v>
      </c>
      <c r="B80" s="62" t="s">
        <v>125</v>
      </c>
      <c r="C80" s="63" t="s">
        <v>43</v>
      </c>
      <c r="D80" s="2">
        <v>267348300.72</v>
      </c>
      <c r="E80" s="3">
        <f t="shared" si="31"/>
        <v>8.9530278342558076E-4</v>
      </c>
      <c r="F80" s="2">
        <v>5086.91</v>
      </c>
      <c r="G80" s="7">
        <v>5112.3599999999997</v>
      </c>
      <c r="H80" s="60">
        <v>1132</v>
      </c>
      <c r="I80" s="5">
        <v>1.6999999999999999E-3</v>
      </c>
      <c r="J80" s="5">
        <v>0.20039999999999999</v>
      </c>
      <c r="K80" s="2">
        <v>267179634.31</v>
      </c>
      <c r="L80" s="3">
        <f t="shared" si="20"/>
        <v>9.0204166200819026E-4</v>
      </c>
      <c r="M80" s="2">
        <v>5083.87</v>
      </c>
      <c r="N80" s="7">
        <v>5109.0200000000004</v>
      </c>
      <c r="O80" s="60">
        <v>1132</v>
      </c>
      <c r="P80" s="5">
        <v>-6.9999999999999999E-4</v>
      </c>
      <c r="Q80" s="5">
        <v>0.1996</v>
      </c>
      <c r="R80" s="84">
        <f t="shared" si="26"/>
        <v>-6.3088641126858938E-4</v>
      </c>
      <c r="S80" s="84">
        <f t="shared" si="27"/>
        <v>-6.5331862388392766E-4</v>
      </c>
      <c r="T80" s="84">
        <f t="shared" si="28"/>
        <v>0</v>
      </c>
      <c r="U80" s="85">
        <f t="shared" si="29"/>
        <v>-2.3999999999999998E-3</v>
      </c>
      <c r="V80" s="87">
        <f t="shared" si="30"/>
        <v>-7.9999999999999516E-4</v>
      </c>
    </row>
    <row r="81" spans="1:29" ht="12.75" customHeight="1" x14ac:dyDescent="0.25">
      <c r="A81" s="125">
        <v>70</v>
      </c>
      <c r="B81" s="62" t="s">
        <v>126</v>
      </c>
      <c r="C81" s="63" t="s">
        <v>43</v>
      </c>
      <c r="D81" s="2">
        <v>19669045339.02</v>
      </c>
      <c r="E81" s="3">
        <f t="shared" si="31"/>
        <v>6.5868198869876673E-2</v>
      </c>
      <c r="F81" s="14">
        <v>123.28</v>
      </c>
      <c r="G81" s="14">
        <v>123.28</v>
      </c>
      <c r="H81" s="60">
        <v>5963</v>
      </c>
      <c r="I81" s="5">
        <v>1.5E-3</v>
      </c>
      <c r="J81" s="5">
        <v>7.1999999999999995E-2</v>
      </c>
      <c r="K81" s="2">
        <v>19791682374.669998</v>
      </c>
      <c r="L81" s="3">
        <f t="shared" si="20"/>
        <v>6.6819921021642525E-2</v>
      </c>
      <c r="M81" s="14">
        <v>123.5</v>
      </c>
      <c r="N81" s="14">
        <v>123.5</v>
      </c>
      <c r="O81" s="60">
        <v>5644</v>
      </c>
      <c r="P81" s="5">
        <v>1.8E-3</v>
      </c>
      <c r="Q81" s="5">
        <v>7.3899999999999993E-2</v>
      </c>
      <c r="R81" s="84">
        <f t="shared" si="26"/>
        <v>6.2350273506516828E-3</v>
      </c>
      <c r="S81" s="84">
        <f t="shared" si="27"/>
        <v>1.7845554834522944E-3</v>
      </c>
      <c r="T81" s="84">
        <f t="shared" si="28"/>
        <v>-5.349656213315445E-2</v>
      </c>
      <c r="U81" s="85">
        <f t="shared" si="29"/>
        <v>2.9999999999999992E-4</v>
      </c>
      <c r="V81" s="87">
        <f t="shared" si="30"/>
        <v>1.8999999999999989E-3</v>
      </c>
    </row>
    <row r="82" spans="1:29" ht="12.75" customHeight="1" x14ac:dyDescent="0.25">
      <c r="A82" s="125">
        <v>71</v>
      </c>
      <c r="B82" s="62" t="s">
        <v>127</v>
      </c>
      <c r="C82" s="63" t="s">
        <v>43</v>
      </c>
      <c r="D82" s="2">
        <v>13736547395.209999</v>
      </c>
      <c r="E82" s="3">
        <f t="shared" si="31"/>
        <v>4.6001298996357888E-2</v>
      </c>
      <c r="F82" s="14">
        <v>347.04</v>
      </c>
      <c r="G82" s="14">
        <v>347.16</v>
      </c>
      <c r="H82" s="60">
        <v>17711</v>
      </c>
      <c r="I82" s="5">
        <v>1.4E-3</v>
      </c>
      <c r="J82" s="5">
        <v>4.3999999999999997E-2</v>
      </c>
      <c r="K82" s="2">
        <v>13624780820.530001</v>
      </c>
      <c r="L82" s="3">
        <f t="shared" si="20"/>
        <v>4.5999463872266409E-2</v>
      </c>
      <c r="M82" s="14">
        <v>346.56</v>
      </c>
      <c r="N82" s="14">
        <v>346.68</v>
      </c>
      <c r="O82" s="60">
        <v>17496</v>
      </c>
      <c r="P82" s="5">
        <v>-1.4E-3</v>
      </c>
      <c r="Q82" s="5">
        <v>4.2599999999999999E-2</v>
      </c>
      <c r="R82" s="84">
        <f t="shared" si="26"/>
        <v>-8.136438616225497E-3</v>
      </c>
      <c r="S82" s="84">
        <f t="shared" si="27"/>
        <v>-1.3826477704805224E-3</v>
      </c>
      <c r="T82" s="84">
        <f t="shared" si="28"/>
        <v>-1.2139348427530913E-2</v>
      </c>
      <c r="U82" s="85">
        <f t="shared" si="29"/>
        <v>-2.8E-3</v>
      </c>
      <c r="V82" s="87">
        <f t="shared" si="30"/>
        <v>-1.3999999999999985E-3</v>
      </c>
    </row>
    <row r="83" spans="1:29" x14ac:dyDescent="0.25">
      <c r="A83" s="124">
        <v>72</v>
      </c>
      <c r="B83" s="62" t="s">
        <v>128</v>
      </c>
      <c r="C83" s="63" t="s">
        <v>46</v>
      </c>
      <c r="D83" s="2">
        <v>102106921136.2</v>
      </c>
      <c r="E83" s="3">
        <f t="shared" si="31"/>
        <v>0.34193825228759855</v>
      </c>
      <c r="F83" s="2">
        <v>1.9145000000000001</v>
      </c>
      <c r="G83" s="2">
        <v>1.9145000000000001</v>
      </c>
      <c r="H83" s="60">
        <v>6078</v>
      </c>
      <c r="I83" s="5">
        <v>5.8799999999999998E-2</v>
      </c>
      <c r="J83" s="5">
        <v>6.6299999999999998E-2</v>
      </c>
      <c r="K83" s="2">
        <v>102184024129.7</v>
      </c>
      <c r="L83" s="3">
        <f t="shared" si="20"/>
        <v>0.34498979383171385</v>
      </c>
      <c r="M83" s="2">
        <v>1.9166000000000001</v>
      </c>
      <c r="N83" s="2">
        <v>1.9166000000000001</v>
      </c>
      <c r="O83" s="60">
        <v>6079</v>
      </c>
      <c r="P83" s="5" t="s">
        <v>253</v>
      </c>
      <c r="Q83" s="5">
        <v>6.6000000000000003E-2</v>
      </c>
      <c r="R83" s="84">
        <f t="shared" si="26"/>
        <v>7.5512014897748841E-4</v>
      </c>
      <c r="S83" s="84">
        <f t="shared" si="27"/>
        <v>1.0968921389396661E-3</v>
      </c>
      <c r="T83" s="84">
        <f t="shared" si="28"/>
        <v>1.6452780519907864E-4</v>
      </c>
      <c r="U83" s="85" t="e">
        <f t="shared" si="29"/>
        <v>#VALUE!</v>
      </c>
      <c r="V83" s="87">
        <f t="shared" si="30"/>
        <v>-2.9999999999999472E-4</v>
      </c>
    </row>
    <row r="84" spans="1:29" ht="15.75" customHeight="1" x14ac:dyDescent="0.25">
      <c r="A84" s="122">
        <v>73</v>
      </c>
      <c r="B84" s="62" t="s">
        <v>129</v>
      </c>
      <c r="C84" s="63" t="s">
        <v>33</v>
      </c>
      <c r="D84" s="2">
        <v>9386747947.3500004</v>
      </c>
      <c r="E84" s="3">
        <f t="shared" si="31"/>
        <v>3.1434580066317663E-2</v>
      </c>
      <c r="F84" s="14">
        <v>1</v>
      </c>
      <c r="G84" s="14">
        <v>1</v>
      </c>
      <c r="H84" s="60">
        <v>5516</v>
      </c>
      <c r="I84" s="5">
        <v>0.06</v>
      </c>
      <c r="J84" s="5">
        <v>0.06</v>
      </c>
      <c r="K84" s="2">
        <v>9377690477.9829998</v>
      </c>
      <c r="L84" s="3">
        <f t="shared" si="20"/>
        <v>3.16605999046446E-2</v>
      </c>
      <c r="M84" s="14">
        <v>1</v>
      </c>
      <c r="N84" s="14">
        <v>1</v>
      </c>
      <c r="O84" s="60">
        <v>5500</v>
      </c>
      <c r="P84" s="5">
        <v>0.06</v>
      </c>
      <c r="Q84" s="5">
        <v>0.06</v>
      </c>
      <c r="R84" s="84">
        <f t="shared" si="26"/>
        <v>-9.6492090954222547E-4</v>
      </c>
      <c r="S84" s="84">
        <f t="shared" si="27"/>
        <v>0</v>
      </c>
      <c r="T84" s="84">
        <f t="shared" si="28"/>
        <v>-2.9006526468455403E-3</v>
      </c>
      <c r="U84" s="85">
        <f t="shared" si="29"/>
        <v>0</v>
      </c>
      <c r="V84" s="87">
        <f t="shared" si="30"/>
        <v>0</v>
      </c>
    </row>
    <row r="85" spans="1:29" x14ac:dyDescent="0.25">
      <c r="A85" s="126">
        <v>74</v>
      </c>
      <c r="B85" s="62" t="s">
        <v>130</v>
      </c>
      <c r="C85" s="63" t="s">
        <v>93</v>
      </c>
      <c r="D85" s="2">
        <v>2579523465.5700002</v>
      </c>
      <c r="E85" s="3">
        <f t="shared" si="31"/>
        <v>8.6383737335034207E-3</v>
      </c>
      <c r="F85" s="14">
        <v>24.933499999999999</v>
      </c>
      <c r="G85" s="14">
        <v>24.933499999999999</v>
      </c>
      <c r="H85" s="60">
        <v>1319</v>
      </c>
      <c r="I85" s="5">
        <v>1.6000000000000001E-3</v>
      </c>
      <c r="J85" s="5">
        <v>5.8400000000000001E-2</v>
      </c>
      <c r="K85" s="2">
        <v>2585665951.5599999</v>
      </c>
      <c r="L85" s="3">
        <f t="shared" si="20"/>
        <v>8.7296264865644162E-3</v>
      </c>
      <c r="M85" s="14">
        <v>24.757999999999999</v>
      </c>
      <c r="N85" s="14">
        <v>24.757999999999999</v>
      </c>
      <c r="O85" s="60">
        <v>1319</v>
      </c>
      <c r="P85" s="5">
        <v>1.6000000000000001E-3</v>
      </c>
      <c r="Q85" s="5">
        <v>5.0999999999999997E-2</v>
      </c>
      <c r="R85" s="84">
        <f t="shared" si="26"/>
        <v>2.3812483476061187E-3</v>
      </c>
      <c r="S85" s="84">
        <f t="shared" si="27"/>
        <v>-7.0387230031884636E-3</v>
      </c>
      <c r="T85" s="84">
        <f t="shared" si="28"/>
        <v>0</v>
      </c>
      <c r="U85" s="85">
        <f t="shared" si="29"/>
        <v>0</v>
      </c>
      <c r="V85" s="87">
        <f t="shared" si="30"/>
        <v>-7.4000000000000038E-3</v>
      </c>
    </row>
    <row r="86" spans="1:29" x14ac:dyDescent="0.25">
      <c r="A86" s="79"/>
      <c r="B86" s="19"/>
      <c r="C86" s="75" t="s">
        <v>47</v>
      </c>
      <c r="D86" s="59">
        <f>SUM(D57:D85)</f>
        <v>298612163023.86542</v>
      </c>
      <c r="E86" s="120">
        <f>(D86/$D$170)</f>
        <v>0.15432034608848968</v>
      </c>
      <c r="F86" s="30"/>
      <c r="G86" s="11"/>
      <c r="H86" s="69">
        <f>SUM(H57:H85)</f>
        <v>63922</v>
      </c>
      <c r="I86" s="12"/>
      <c r="J86" s="12"/>
      <c r="K86" s="59">
        <f>SUM(K57:K85)</f>
        <v>296194339533.25995</v>
      </c>
      <c r="L86" s="120">
        <f>(K86/$K$170)</f>
        <v>0.15102483566027564</v>
      </c>
      <c r="M86" s="30"/>
      <c r="N86" s="11"/>
      <c r="O86" s="69">
        <f>SUM(O57:O85)</f>
        <v>63395</v>
      </c>
      <c r="P86" s="12"/>
      <c r="Q86" s="12"/>
      <c r="R86" s="84">
        <f t="shared" si="26"/>
        <v>-8.0968687481501999E-3</v>
      </c>
      <c r="S86" s="84" t="e">
        <f t="shared" si="27"/>
        <v>#DIV/0!</v>
      </c>
      <c r="T86" s="84">
        <f t="shared" si="28"/>
        <v>-8.2444228903976718E-3</v>
      </c>
      <c r="U86" s="85">
        <f t="shared" si="29"/>
        <v>0</v>
      </c>
      <c r="V86" s="87">
        <f t="shared" si="30"/>
        <v>0</v>
      </c>
    </row>
    <row r="87" spans="1:29" ht="8.25" customHeight="1" x14ac:dyDescent="0.2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9" ht="15" customHeight="1" x14ac:dyDescent="0.25">
      <c r="A88" s="138" t="s">
        <v>131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</row>
    <row r="89" spans="1:29" x14ac:dyDescent="0.25">
      <c r="A89" s="142" t="s">
        <v>234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Z89" s="103"/>
      <c r="AA89" s="103"/>
      <c r="AB89" s="149"/>
      <c r="AC89" s="103"/>
    </row>
    <row r="90" spans="1:29" ht="15.75" x14ac:dyDescent="0.25">
      <c r="A90" s="127">
        <v>75</v>
      </c>
      <c r="B90" s="62" t="s">
        <v>132</v>
      </c>
      <c r="C90" s="63" t="s">
        <v>17</v>
      </c>
      <c r="D90" s="2">
        <v>1319624931.73</v>
      </c>
      <c r="E90" s="3">
        <f t="shared" ref="E90:E100" si="32">(D90/$D$112)</f>
        <v>2.2979083911229617E-3</v>
      </c>
      <c r="F90" s="2">
        <f>108.7426*759.21</f>
        <v>82558.469345999998</v>
      </c>
      <c r="G90" s="2">
        <f>108.7426*759.21</f>
        <v>82558.469345999998</v>
      </c>
      <c r="H90" s="60">
        <v>262</v>
      </c>
      <c r="I90" s="5">
        <v>1.1000000000000001E-3</v>
      </c>
      <c r="J90" s="5">
        <v>5.0900000000000001E-2</v>
      </c>
      <c r="K90" s="2">
        <v>1386491136.1700001</v>
      </c>
      <c r="L90" s="3">
        <f t="shared" ref="L90:L100" si="33">(K90/$K$112)</f>
        <v>2.3307997462487249E-3</v>
      </c>
      <c r="M90" s="2">
        <f>108.9877*765.926</f>
        <v>83476.513110200001</v>
      </c>
      <c r="N90" s="2">
        <f>108.9877*765.926</f>
        <v>83476.513110200001</v>
      </c>
      <c r="O90" s="60">
        <v>262</v>
      </c>
      <c r="P90" s="5">
        <v>1.1000000000000001E-3</v>
      </c>
      <c r="Q90" s="5">
        <v>5.3199999999999997E-2</v>
      </c>
      <c r="R90" s="85">
        <f t="shared" ref="R90" si="34">((K90-D90)/D90)</f>
        <v>5.067061316607583E-2</v>
      </c>
      <c r="S90" s="85">
        <f t="shared" ref="S90" si="35">((N90-G90)/G90)</f>
        <v>1.1119922298371476E-2</v>
      </c>
      <c r="T90" s="85">
        <f t="shared" ref="T90" si="36">((O90-H90)/H90)</f>
        <v>0</v>
      </c>
      <c r="U90" s="85">
        <f t="shared" ref="U90" si="37">P90-I90</f>
        <v>0</v>
      </c>
      <c r="V90" s="87">
        <f t="shared" ref="V90" si="38">Q90-J90</f>
        <v>2.2999999999999965E-3</v>
      </c>
      <c r="Z90" s="103"/>
      <c r="AA90" s="150"/>
      <c r="AB90" s="103"/>
      <c r="AC90" s="103"/>
    </row>
    <row r="91" spans="1:29" x14ac:dyDescent="0.25">
      <c r="A91" s="128">
        <v>76</v>
      </c>
      <c r="B91" s="62" t="s">
        <v>133</v>
      </c>
      <c r="C91" s="63" t="s">
        <v>21</v>
      </c>
      <c r="D91" s="2">
        <f>10325277.07*759.208</f>
        <v>7839032953.76056</v>
      </c>
      <c r="E91" s="3">
        <f t="shared" si="32"/>
        <v>1.3650378353431572E-2</v>
      </c>
      <c r="F91" s="2">
        <f>1.1592*759.208</f>
        <v>880.07391359999997</v>
      </c>
      <c r="G91" s="2">
        <f>1.1592*759.208</f>
        <v>880.07391359999997</v>
      </c>
      <c r="H91" s="60">
        <v>269</v>
      </c>
      <c r="I91" s="5">
        <v>0.2213</v>
      </c>
      <c r="J91" s="5">
        <v>3.9399999999999998E-2</v>
      </c>
      <c r="K91" s="2">
        <f>10343224.75*765.426</f>
        <v>7916973147.4935007</v>
      </c>
      <c r="L91" s="3">
        <f t="shared" si="33"/>
        <v>1.3309049385060966E-2</v>
      </c>
      <c r="M91" s="2">
        <f>1.1605*765.426</f>
        <v>888.27687300000014</v>
      </c>
      <c r="N91" s="2">
        <f>1.1605*765.426</f>
        <v>888.27687300000014</v>
      </c>
      <c r="O91" s="60">
        <v>269</v>
      </c>
      <c r="P91" s="5">
        <v>5.8500000000000003E-2</v>
      </c>
      <c r="Q91" s="5">
        <v>3.9899999999999998E-2</v>
      </c>
      <c r="R91" s="85">
        <f t="shared" ref="R91:R100" si="39">((K91-D91)/D91)</f>
        <v>9.9425776358742068E-3</v>
      </c>
      <c r="S91" s="85">
        <f t="shared" ref="S91:S100" si="40">((N91-G91)/G91)</f>
        <v>9.3207618965155167E-3</v>
      </c>
      <c r="T91" s="85">
        <f t="shared" ref="T91:T100" si="41">((O91-H91)/H91)</f>
        <v>0</v>
      </c>
      <c r="U91" s="85">
        <f t="shared" ref="U91:U100" si="42">P91-I91</f>
        <v>-0.1628</v>
      </c>
      <c r="V91" s="87">
        <f t="shared" ref="V91:V100" si="43">Q91-J91</f>
        <v>5.0000000000000044E-4</v>
      </c>
      <c r="Z91" s="103"/>
      <c r="AA91" s="103"/>
      <c r="AB91" s="103"/>
      <c r="AC91" s="103"/>
    </row>
    <row r="92" spans="1:29" x14ac:dyDescent="0.25">
      <c r="A92" s="127">
        <v>77</v>
      </c>
      <c r="B92" s="62" t="s">
        <v>134</v>
      </c>
      <c r="C92" s="63" t="s">
        <v>68</v>
      </c>
      <c r="D92" s="2">
        <v>1917018032.3981998</v>
      </c>
      <c r="E92" s="3">
        <f t="shared" si="32"/>
        <v>3.3381695939973034E-3</v>
      </c>
      <c r="F92" s="2">
        <v>80444.416528799993</v>
      </c>
      <c r="G92" s="2">
        <v>80444.416528799993</v>
      </c>
      <c r="H92" s="60">
        <v>39</v>
      </c>
      <c r="I92" s="5">
        <v>5.9790887367196038E-2</v>
      </c>
      <c r="J92" s="5">
        <v>5.6052598714994788E-2</v>
      </c>
      <c r="K92" s="2">
        <v>1935202070.84443</v>
      </c>
      <c r="L92" s="3">
        <f>(K92/$K$112)</f>
        <v>3.2532256269045168E-3</v>
      </c>
      <c r="M92" s="2">
        <v>81128.784669300003</v>
      </c>
      <c r="N92" s="2">
        <v>81128.784669300003</v>
      </c>
      <c r="O92" s="60">
        <v>39</v>
      </c>
      <c r="P92" s="5">
        <v>6.1297246005058405E-2</v>
      </c>
      <c r="Q92" s="5">
        <v>5.6245244828651078E-2</v>
      </c>
      <c r="R92" s="85">
        <f t="shared" si="39"/>
        <v>9.4855854973267227E-3</v>
      </c>
      <c r="S92" s="85">
        <f t="shared" si="40"/>
        <v>8.5073417153196506E-3</v>
      </c>
      <c r="T92" s="85">
        <f t="shared" si="41"/>
        <v>0</v>
      </c>
      <c r="U92" s="85">
        <f t="shared" si="42"/>
        <v>1.5063586378623664E-3</v>
      </c>
      <c r="V92" s="87">
        <f t="shared" si="43"/>
        <v>1.9264611365629042E-4</v>
      </c>
      <c r="X92" s="67">
        <v>765.92600000000004</v>
      </c>
    </row>
    <row r="93" spans="1:29" x14ac:dyDescent="0.25">
      <c r="A93" s="121">
        <v>78</v>
      </c>
      <c r="B93" s="62" t="s">
        <v>135</v>
      </c>
      <c r="C93" s="63" t="s">
        <v>27</v>
      </c>
      <c r="D93" s="2">
        <v>21160254558.779999</v>
      </c>
      <c r="E93" s="3">
        <f t="shared" si="32"/>
        <v>3.684708081801169E-2</v>
      </c>
      <c r="F93" s="2">
        <v>93806.93</v>
      </c>
      <c r="G93" s="2">
        <v>93806.93</v>
      </c>
      <c r="H93" s="60">
        <v>1929</v>
      </c>
      <c r="I93" s="5">
        <v>1.5E-3</v>
      </c>
      <c r="J93" s="5">
        <v>7.3400000000000007E-2</v>
      </c>
      <c r="K93" s="2">
        <v>21816583274.02</v>
      </c>
      <c r="L93" s="3">
        <f t="shared" si="33"/>
        <v>3.6675378177726176E-2</v>
      </c>
      <c r="M93" s="2">
        <v>93267.03</v>
      </c>
      <c r="N93" s="2">
        <v>93267.03</v>
      </c>
      <c r="O93" s="60">
        <v>1932</v>
      </c>
      <c r="P93" s="5">
        <v>-3.5700000000000003E-2</v>
      </c>
      <c r="Q93" s="5">
        <v>7.5200000000000003E-2</v>
      </c>
      <c r="R93" s="85">
        <f t="shared" si="39"/>
        <v>3.1017051964891035E-2</v>
      </c>
      <c r="S93" s="85">
        <f t="shared" si="40"/>
        <v>-5.7554383242260912E-3</v>
      </c>
      <c r="T93" s="85">
        <f t="shared" si="41"/>
        <v>1.5552099533437014E-3</v>
      </c>
      <c r="U93" s="85">
        <f t="shared" si="42"/>
        <v>-3.7200000000000004E-2</v>
      </c>
      <c r="V93" s="87">
        <f t="shared" si="43"/>
        <v>1.799999999999996E-3</v>
      </c>
    </row>
    <row r="94" spans="1:29" x14ac:dyDescent="0.25">
      <c r="A94" s="121">
        <v>79</v>
      </c>
      <c r="B94" s="123" t="s">
        <v>136</v>
      </c>
      <c r="C94" s="123" t="s">
        <v>27</v>
      </c>
      <c r="D94" s="2">
        <v>17754336242.41</v>
      </c>
      <c r="E94" s="3">
        <f t="shared" si="32"/>
        <v>3.0916237825824769E-2</v>
      </c>
      <c r="F94" s="2">
        <v>83242.990000000005</v>
      </c>
      <c r="G94" s="2">
        <v>83242.990000000005</v>
      </c>
      <c r="H94" s="60">
        <v>144</v>
      </c>
      <c r="I94" s="5">
        <v>1.8E-3</v>
      </c>
      <c r="J94" s="5">
        <v>9.5699999999999993E-2</v>
      </c>
      <c r="K94" s="2">
        <v>18903215861.860001</v>
      </c>
      <c r="L94" s="3">
        <f t="shared" si="33"/>
        <v>3.1777780315146519E-2</v>
      </c>
      <c r="M94" s="2">
        <v>83759.820000000007</v>
      </c>
      <c r="N94" s="2">
        <v>83759.820000000007</v>
      </c>
      <c r="O94" s="60">
        <v>150</v>
      </c>
      <c r="P94" s="5">
        <v>-2.41E-2</v>
      </c>
      <c r="Q94" s="5">
        <v>9.5200000000000007E-2</v>
      </c>
      <c r="R94" s="85">
        <f t="shared" si="39"/>
        <v>6.4709804059340612E-2</v>
      </c>
      <c r="S94" s="85">
        <f t="shared" si="40"/>
        <v>6.2086909660501351E-3</v>
      </c>
      <c r="T94" s="85">
        <f t="shared" si="41"/>
        <v>4.1666666666666664E-2</v>
      </c>
      <c r="U94" s="85">
        <f t="shared" si="42"/>
        <v>-2.5899999999999999E-2</v>
      </c>
      <c r="V94" s="87">
        <f t="shared" si="43"/>
        <v>-4.9999999999998657E-4</v>
      </c>
    </row>
    <row r="95" spans="1:29" x14ac:dyDescent="0.25">
      <c r="A95" s="126">
        <v>80</v>
      </c>
      <c r="B95" s="62" t="s">
        <v>137</v>
      </c>
      <c r="C95" s="63" t="s">
        <v>31</v>
      </c>
      <c r="D95" s="2">
        <f>89494.27*759.708</f>
        <v>67989512.873160005</v>
      </c>
      <c r="E95" s="3">
        <f t="shared" si="32"/>
        <v>1.1839248288131236E-4</v>
      </c>
      <c r="F95" s="2">
        <f>107.86*759.708</f>
        <v>81942.104879999999</v>
      </c>
      <c r="G95" s="2">
        <f>107.86*759.708</f>
        <v>81942.104879999999</v>
      </c>
      <c r="H95" s="60">
        <v>2</v>
      </c>
      <c r="I95" s="5">
        <v>5.0000000000000001E-3</v>
      </c>
      <c r="J95" s="5">
        <v>9.8000000000000004E-2</v>
      </c>
      <c r="K95" s="2">
        <f>89584.44*765.926</f>
        <v>68615051.79144001</v>
      </c>
      <c r="L95" s="3">
        <f t="shared" si="33"/>
        <v>1.1534725403734744E-4</v>
      </c>
      <c r="M95" s="2">
        <f>107.96*765.926</f>
        <v>82689.37096</v>
      </c>
      <c r="N95" s="2">
        <f>107.96*765.926</f>
        <v>82689.37096</v>
      </c>
      <c r="O95" s="60">
        <v>2</v>
      </c>
      <c r="P95" s="5">
        <v>1E-3</v>
      </c>
      <c r="Q95" s="5">
        <v>9.9000000000000005E-2</v>
      </c>
      <c r="R95" s="85">
        <f t="shared" si="39"/>
        <v>9.2005206662827462E-3</v>
      </c>
      <c r="S95" s="85">
        <f t="shared" si="40"/>
        <v>9.1194396469841E-3</v>
      </c>
      <c r="T95" s="85">
        <f t="shared" si="41"/>
        <v>0</v>
      </c>
      <c r="U95" s="85">
        <f t="shared" si="42"/>
        <v>-4.0000000000000001E-3</v>
      </c>
      <c r="V95" s="87">
        <f t="shared" si="43"/>
        <v>1.0000000000000009E-3</v>
      </c>
    </row>
    <row r="96" spans="1:29" x14ac:dyDescent="0.25">
      <c r="A96" s="121">
        <v>81</v>
      </c>
      <c r="B96" s="62" t="s">
        <v>138</v>
      </c>
      <c r="C96" s="63" t="s">
        <v>35</v>
      </c>
      <c r="D96" s="2">
        <f>13097637.49*759.708</f>
        <v>9950379982.2529202</v>
      </c>
      <c r="E96" s="3">
        <f t="shared" si="32"/>
        <v>1.7326939728325174E-2</v>
      </c>
      <c r="F96" s="2">
        <f>1.31*759.708</f>
        <v>995.21748000000002</v>
      </c>
      <c r="G96" s="2">
        <f>1.31*759.708</f>
        <v>995.21748000000002</v>
      </c>
      <c r="H96" s="61">
        <v>118</v>
      </c>
      <c r="I96" s="12">
        <v>2.3800000000000002E-2</v>
      </c>
      <c r="J96" s="12">
        <v>5.3199999999999997E-2</v>
      </c>
      <c r="K96" s="2">
        <f>13156833.36*765.926</f>
        <v>10077160748.09136</v>
      </c>
      <c r="L96" s="3">
        <f t="shared" si="33"/>
        <v>1.6940493236358538E-2</v>
      </c>
      <c r="M96" s="2">
        <f>1.31*765.926</f>
        <v>1003.3630600000001</v>
      </c>
      <c r="N96" s="2">
        <f>1.31*765.926</f>
        <v>1003.3630600000001</v>
      </c>
      <c r="O96" s="61">
        <v>118</v>
      </c>
      <c r="P96" s="12">
        <v>2.47E-2</v>
      </c>
      <c r="Q96" s="12">
        <v>5.3100000000000001E-2</v>
      </c>
      <c r="R96" s="85">
        <f t="shared" si="39"/>
        <v>1.274129893175545E-2</v>
      </c>
      <c r="S96" s="85">
        <f t="shared" si="40"/>
        <v>8.1847236043323009E-3</v>
      </c>
      <c r="T96" s="85">
        <f t="shared" si="41"/>
        <v>0</v>
      </c>
      <c r="U96" s="85">
        <f t="shared" si="42"/>
        <v>8.9999999999999802E-4</v>
      </c>
      <c r="V96" s="87">
        <f t="shared" si="43"/>
        <v>-9.9999999999995925E-5</v>
      </c>
    </row>
    <row r="97" spans="1:22" x14ac:dyDescent="0.25">
      <c r="A97" s="121">
        <v>82</v>
      </c>
      <c r="B97" s="62" t="s">
        <v>139</v>
      </c>
      <c r="C97" s="63" t="s">
        <v>80</v>
      </c>
      <c r="D97" s="2">
        <f>4848726.59*759.708</f>
        <v>3683616380.2357197</v>
      </c>
      <c r="E97" s="3">
        <f t="shared" si="32"/>
        <v>6.414408205159268E-3</v>
      </c>
      <c r="F97" s="2">
        <f>101.97*759.708</f>
        <v>77467.424759999994</v>
      </c>
      <c r="G97" s="2">
        <f>101.97*759.708</f>
        <v>77467.424759999994</v>
      </c>
      <c r="H97" s="60">
        <v>180</v>
      </c>
      <c r="I97" s="5">
        <v>1.5800000000000002E-2</v>
      </c>
      <c r="J97" s="5">
        <v>7.6200000000000004E-2</v>
      </c>
      <c r="K97" s="2">
        <f>4876186.53*765.926</f>
        <v>3734798044.1767802</v>
      </c>
      <c r="L97" s="3">
        <f t="shared" si="33"/>
        <v>6.2784868266118725E-3</v>
      </c>
      <c r="M97" s="2">
        <f>101.18*765.926</f>
        <v>77496.392680000004</v>
      </c>
      <c r="N97" s="2">
        <f>101.18*765.926</f>
        <v>77496.392680000004</v>
      </c>
      <c r="O97" s="60">
        <v>183</v>
      </c>
      <c r="P97" s="5">
        <v>2E-3</v>
      </c>
      <c r="Q97" s="5">
        <v>7.8299999999999995E-2</v>
      </c>
      <c r="R97" s="85">
        <f t="shared" si="39"/>
        <v>1.3894406653112276E-2</v>
      </c>
      <c r="S97" s="85">
        <f t="shared" si="40"/>
        <v>3.7393678813714133E-4</v>
      </c>
      <c r="T97" s="85">
        <f t="shared" si="41"/>
        <v>1.6666666666666666E-2</v>
      </c>
      <c r="U97" s="85">
        <f t="shared" si="42"/>
        <v>-1.3800000000000002E-2</v>
      </c>
      <c r="V97" s="87">
        <f t="shared" si="43"/>
        <v>2.0999999999999908E-3</v>
      </c>
    </row>
    <row r="98" spans="1:22" x14ac:dyDescent="0.25">
      <c r="A98" s="124">
        <v>83</v>
      </c>
      <c r="B98" s="62" t="s">
        <v>140</v>
      </c>
      <c r="C98" s="63" t="s">
        <v>39</v>
      </c>
      <c r="D98" s="2">
        <f>1797330.93*759.708</f>
        <v>1365446686.1684399</v>
      </c>
      <c r="E98" s="3">
        <f t="shared" si="32"/>
        <v>2.3776993919507714E-3</v>
      </c>
      <c r="F98" s="2">
        <f>129.02*759.708</f>
        <v>98017.526160000009</v>
      </c>
      <c r="G98" s="2">
        <f>131.76*759.708</f>
        <v>100099.12607999999</v>
      </c>
      <c r="H98" s="60">
        <v>43</v>
      </c>
      <c r="I98" s="5">
        <v>4.0000000000000002E-4</v>
      </c>
      <c r="J98" s="5">
        <v>0.15670000000000001</v>
      </c>
      <c r="K98" s="2">
        <f>1802098.48*765.926</f>
        <v>1380274080.3924801</v>
      </c>
      <c r="L98" s="3">
        <f t="shared" si="33"/>
        <v>2.3203483905561914E-3</v>
      </c>
      <c r="M98" s="2">
        <f>129.06*765.926</f>
        <v>98850.409560000015</v>
      </c>
      <c r="N98" s="2">
        <f>131.83*765.926</f>
        <v>100972.02458000001</v>
      </c>
      <c r="O98" s="60">
        <v>43</v>
      </c>
      <c r="P98" s="5">
        <v>4.0000000000000002E-4</v>
      </c>
      <c r="Q98" s="5">
        <v>0.15709999999999999</v>
      </c>
      <c r="R98" s="85">
        <f t="shared" si="39"/>
        <v>1.0859006341468525E-2</v>
      </c>
      <c r="S98" s="85">
        <f t="shared" si="40"/>
        <v>8.7203408679352272E-3</v>
      </c>
      <c r="T98" s="85">
        <f t="shared" si="41"/>
        <v>0</v>
      </c>
      <c r="U98" s="85">
        <f t="shared" si="42"/>
        <v>0</v>
      </c>
      <c r="V98" s="87">
        <f t="shared" si="43"/>
        <v>3.999999999999837E-4</v>
      </c>
    </row>
    <row r="99" spans="1:22" ht="16.5" customHeight="1" x14ac:dyDescent="0.25">
      <c r="A99" s="124">
        <v>84</v>
      </c>
      <c r="B99" s="62" t="s">
        <v>141</v>
      </c>
      <c r="C99" s="63" t="s">
        <v>46</v>
      </c>
      <c r="D99" s="2">
        <v>109877796945</v>
      </c>
      <c r="E99" s="3">
        <f t="shared" si="32"/>
        <v>0.19133399614314092</v>
      </c>
      <c r="F99" s="2">
        <v>91083.08</v>
      </c>
      <c r="G99" s="2">
        <v>91083.08</v>
      </c>
      <c r="H99" s="60">
        <v>2911</v>
      </c>
      <c r="I99" s="5">
        <v>5.5E-2</v>
      </c>
      <c r="J99" s="5">
        <v>5.6300000000000003E-2</v>
      </c>
      <c r="K99" s="2">
        <v>113400656035.07001</v>
      </c>
      <c r="L99" s="3">
        <f t="shared" si="33"/>
        <v>0.19063534804925869</v>
      </c>
      <c r="M99" s="2">
        <v>94004.6</v>
      </c>
      <c r="N99" s="2">
        <v>94004.6</v>
      </c>
      <c r="O99" s="60">
        <v>2919</v>
      </c>
      <c r="P99" s="5">
        <v>5.4899999999999997E-2</v>
      </c>
      <c r="Q99" s="5">
        <v>5.62E-2</v>
      </c>
      <c r="R99" s="85">
        <f t="shared" si="39"/>
        <v>3.2061610152535149E-2</v>
      </c>
      <c r="S99" s="85">
        <f t="shared" si="40"/>
        <v>3.2075331664234499E-2</v>
      </c>
      <c r="T99" s="85">
        <f t="shared" si="41"/>
        <v>2.7481964960494676E-3</v>
      </c>
      <c r="U99" s="85">
        <f t="shared" si="42"/>
        <v>-1.0000000000000286E-4</v>
      </c>
      <c r="V99" s="87">
        <f t="shared" si="43"/>
        <v>-1.0000000000000286E-4</v>
      </c>
    </row>
    <row r="100" spans="1:22" x14ac:dyDescent="0.25">
      <c r="A100" s="111">
        <v>85</v>
      </c>
      <c r="B100" s="62" t="s">
        <v>142</v>
      </c>
      <c r="C100" s="63" t="s">
        <v>65</v>
      </c>
      <c r="D100" s="2">
        <f>266562.9*759.708</f>
        <v>202509967.63320002</v>
      </c>
      <c r="E100" s="3">
        <f t="shared" si="32"/>
        <v>3.5263758869749959E-4</v>
      </c>
      <c r="F100" s="2">
        <f>100.73*759.708</f>
        <v>76525.386840000006</v>
      </c>
      <c r="G100" s="2">
        <f>101.14*759.708</f>
        <v>76836.867119999995</v>
      </c>
      <c r="H100" s="60">
        <v>28</v>
      </c>
      <c r="I100" s="5">
        <v>2.0000000000000001E-4</v>
      </c>
      <c r="J100" s="5">
        <v>9.4000000000000004E-3</v>
      </c>
      <c r="K100" s="2">
        <f>266533.51*765.926</f>
        <v>204144945.18026003</v>
      </c>
      <c r="L100" s="3">
        <f t="shared" si="33"/>
        <v>3.4318357615938534E-4</v>
      </c>
      <c r="M100" s="2">
        <f>100.72*765.926</f>
        <v>77144.066720000003</v>
      </c>
      <c r="N100" s="2">
        <f>101.19*765.926</f>
        <v>77504.051940000005</v>
      </c>
      <c r="O100" s="60">
        <v>28</v>
      </c>
      <c r="P100" s="5">
        <v>2.0000000000000001E-4</v>
      </c>
      <c r="Q100" s="5">
        <v>9.5999999999999992E-3</v>
      </c>
      <c r="R100" s="85">
        <f t="shared" si="39"/>
        <v>8.0735657911979748E-3</v>
      </c>
      <c r="S100" s="85">
        <f t="shared" si="40"/>
        <v>8.6831340866362159E-3</v>
      </c>
      <c r="T100" s="85">
        <f t="shared" si="41"/>
        <v>0</v>
      </c>
      <c r="U100" s="85">
        <f t="shared" si="42"/>
        <v>0</v>
      </c>
      <c r="V100" s="87">
        <f t="shared" si="43"/>
        <v>1.9999999999999879E-4</v>
      </c>
    </row>
    <row r="101" spans="1:22" ht="6" customHeight="1" x14ac:dyDescent="0.2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x14ac:dyDescent="0.25">
      <c r="A102" s="142" t="s">
        <v>235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1:22" x14ac:dyDescent="0.25">
      <c r="A103" s="124">
        <v>86</v>
      </c>
      <c r="B103" s="62" t="s">
        <v>143</v>
      </c>
      <c r="C103" s="63" t="s">
        <v>99</v>
      </c>
      <c r="D103" s="4">
        <v>660908820.75</v>
      </c>
      <c r="E103" s="3">
        <f>(D103/$D$112)</f>
        <v>1.1508633161224173E-3</v>
      </c>
      <c r="F103" s="2">
        <v>72861.2</v>
      </c>
      <c r="G103" s="2">
        <v>72861.2</v>
      </c>
      <c r="H103" s="60">
        <v>28</v>
      </c>
      <c r="I103" s="5">
        <v>-2.0400000000000001E-2</v>
      </c>
      <c r="J103" s="5">
        <v>4.82E-2</v>
      </c>
      <c r="K103" s="4">
        <v>670637662.33000004</v>
      </c>
      <c r="L103" s="3">
        <f t="shared" ref="L103:L111" si="44">(K103/$K$112)</f>
        <v>1.1273942201329335E-3</v>
      </c>
      <c r="M103" s="2">
        <v>73934.94</v>
      </c>
      <c r="N103" s="2">
        <v>73934.94</v>
      </c>
      <c r="O103" s="60">
        <v>28</v>
      </c>
      <c r="P103" s="5">
        <v>1.47E-2</v>
      </c>
      <c r="Q103" s="5">
        <v>6.2899999999999998E-2</v>
      </c>
      <c r="R103" s="85">
        <f t="shared" ref="R103" si="45">((K103-D103)/D103)</f>
        <v>1.4720399054380518E-2</v>
      </c>
      <c r="S103" s="85">
        <f t="shared" ref="S103" si="46">((N103-G103)/G103)</f>
        <v>1.4736787206359561E-2</v>
      </c>
      <c r="T103" s="85">
        <f t="shared" ref="T103" si="47">((O103-H103)/H103)</f>
        <v>0</v>
      </c>
      <c r="U103" s="85">
        <f t="shared" ref="U103" si="48">P103-I103</f>
        <v>3.5099999999999999E-2</v>
      </c>
      <c r="V103" s="87">
        <f t="shared" ref="V103" si="49">Q103-J103</f>
        <v>1.4699999999999998E-2</v>
      </c>
    </row>
    <row r="104" spans="1:22" x14ac:dyDescent="0.25">
      <c r="A104" s="124">
        <v>87</v>
      </c>
      <c r="B104" s="63" t="s">
        <v>144</v>
      </c>
      <c r="C104" s="63" t="s">
        <v>23</v>
      </c>
      <c r="D104" s="2">
        <f>6313993.95*759.708</f>
        <v>4796791715.7665997</v>
      </c>
      <c r="E104" s="3">
        <f>(D104/$K$112)</f>
        <v>8.0637810240901039E-3</v>
      </c>
      <c r="F104" s="4">
        <f>128.11*759.708</f>
        <v>97326.191880000013</v>
      </c>
      <c r="G104" s="4">
        <f>129.01*759.708</f>
        <v>98009.929079999987</v>
      </c>
      <c r="H104" s="60">
        <v>300</v>
      </c>
      <c r="I104" s="5">
        <v>8.9999999999999998E-4</v>
      </c>
      <c r="J104" s="5">
        <v>3.4000000000000002E-2</v>
      </c>
      <c r="K104" s="2">
        <f>6375324.64*765.926</f>
        <v>4883026900.2166405</v>
      </c>
      <c r="L104" s="3">
        <f t="shared" si="44"/>
        <v>8.2087490954973943E-3</v>
      </c>
      <c r="M104" s="4">
        <f>127.47*765.926</f>
        <v>97632.587220000001</v>
      </c>
      <c r="N104" s="4">
        <f>128.37*765.926</f>
        <v>98321.920620000004</v>
      </c>
      <c r="O104" s="60">
        <v>302</v>
      </c>
      <c r="P104" s="5">
        <v>8.9999999999999998E-4</v>
      </c>
      <c r="Q104" s="5">
        <v>3.4000000000000002E-2</v>
      </c>
      <c r="R104" s="85">
        <f t="shared" ref="R104:R112" si="50">((K104-D104)/D104)</f>
        <v>1.7977679574160774E-2</v>
      </c>
      <c r="S104" s="85">
        <f t="shared" ref="S104:S112" si="51">((N104-G104)/G104)</f>
        <v>3.1832646235807E-3</v>
      </c>
      <c r="T104" s="85">
        <f t="shared" ref="T104:T112" si="52">((O104-H104)/H104)</f>
        <v>6.6666666666666671E-3</v>
      </c>
      <c r="U104" s="85">
        <f t="shared" ref="U104:U112" si="53">P104-I104</f>
        <v>0</v>
      </c>
      <c r="V104" s="87">
        <f t="shared" ref="V104:V112" si="54">Q104-J104</f>
        <v>0</v>
      </c>
    </row>
    <row r="105" spans="1:22" x14ac:dyDescent="0.25">
      <c r="A105" s="126">
        <v>88</v>
      </c>
      <c r="B105" s="62" t="s">
        <v>145</v>
      </c>
      <c r="C105" s="63" t="s">
        <v>59</v>
      </c>
      <c r="D105" s="4">
        <v>8399006442.5200005</v>
      </c>
      <c r="E105" s="3">
        <f t="shared" ref="E105:E111" si="55">(D105/$D$112)</f>
        <v>1.4625479495950751E-2</v>
      </c>
      <c r="F105" s="4">
        <v>88129.49</v>
      </c>
      <c r="G105" s="4">
        <v>88129.49</v>
      </c>
      <c r="H105" s="60">
        <v>544</v>
      </c>
      <c r="I105" s="5">
        <v>1.1000000000000001E-3</v>
      </c>
      <c r="J105" s="5">
        <v>7.17E-2</v>
      </c>
      <c r="K105" s="4">
        <f>10867562.75*765.926</f>
        <v>8323748866.8565006</v>
      </c>
      <c r="L105" s="3">
        <f t="shared" si="44"/>
        <v>1.3992871097827526E-2</v>
      </c>
      <c r="M105" s="4">
        <f>113.8*765.926</f>
        <v>87162.378800000006</v>
      </c>
      <c r="N105" s="4">
        <f>113.8*765.926</f>
        <v>87162.378800000006</v>
      </c>
      <c r="O105" s="60">
        <v>547</v>
      </c>
      <c r="P105" s="5">
        <v>1.1000000000000001E-3</v>
      </c>
      <c r="Q105" s="5">
        <v>7.1599999999999997E-2</v>
      </c>
      <c r="R105" s="85">
        <f t="shared" si="50"/>
        <v>-8.9602950275770813E-3</v>
      </c>
      <c r="S105" s="85">
        <f t="shared" si="51"/>
        <v>-1.09737523727869E-2</v>
      </c>
      <c r="T105" s="85">
        <f t="shared" si="52"/>
        <v>5.5147058823529415E-3</v>
      </c>
      <c r="U105" s="85">
        <f t="shared" si="53"/>
        <v>0</v>
      </c>
      <c r="V105" s="87">
        <f t="shared" si="54"/>
        <v>-1.0000000000000286E-4</v>
      </c>
    </row>
    <row r="106" spans="1:22" x14ac:dyDescent="0.25">
      <c r="A106" s="124">
        <v>89</v>
      </c>
      <c r="B106" s="62" t="s">
        <v>146</v>
      </c>
      <c r="C106" s="63" t="s">
        <v>57</v>
      </c>
      <c r="D106" s="4">
        <v>2799192565.3042574</v>
      </c>
      <c r="E106" s="3">
        <f t="shared" si="55"/>
        <v>4.8743305234079434E-3</v>
      </c>
      <c r="F106" s="4">
        <v>911.87399378754219</v>
      </c>
      <c r="G106" s="4">
        <v>911.87399378754219</v>
      </c>
      <c r="H106" s="60">
        <v>150</v>
      </c>
      <c r="I106" s="5">
        <v>5.1666321796127339E-2</v>
      </c>
      <c r="J106" s="5">
        <v>5.9131529810973138E-2</v>
      </c>
      <c r="K106" s="4">
        <v>2865661476.0738153</v>
      </c>
      <c r="L106" s="3">
        <f t="shared" si="44"/>
        <v>4.8174004629544468E-3</v>
      </c>
      <c r="M106" s="4">
        <v>925.22394315739257</v>
      </c>
      <c r="N106" s="4">
        <v>925.22394315739257</v>
      </c>
      <c r="O106" s="60">
        <v>153</v>
      </c>
      <c r="P106" s="5">
        <v>5.0175351751171549E-2</v>
      </c>
      <c r="Q106" s="5">
        <v>5.8967830311437174E-2</v>
      </c>
      <c r="R106" s="85">
        <f t="shared" si="50"/>
        <v>2.3745744252622769E-2</v>
      </c>
      <c r="S106" s="85">
        <f t="shared" si="51"/>
        <v>1.4640125127815398E-2</v>
      </c>
      <c r="T106" s="85">
        <f t="shared" si="52"/>
        <v>0.02</v>
      </c>
      <c r="U106" s="85">
        <f t="shared" si="53"/>
        <v>-1.4909700449557903E-3</v>
      </c>
      <c r="V106" s="87">
        <f t="shared" si="54"/>
        <v>-1.6369949953596447E-4</v>
      </c>
    </row>
    <row r="107" spans="1:22" x14ac:dyDescent="0.25">
      <c r="A107" s="128">
        <v>90</v>
      </c>
      <c r="B107" s="63" t="s">
        <v>147</v>
      </c>
      <c r="C107" s="130" t="s">
        <v>41</v>
      </c>
      <c r="D107" s="2">
        <v>8288861945.2399998</v>
      </c>
      <c r="E107" s="3">
        <f t="shared" si="55"/>
        <v>1.4433681085319085E-2</v>
      </c>
      <c r="F107" s="4">
        <f>1.0162*759.708</f>
        <v>772.01526960000001</v>
      </c>
      <c r="G107" s="4">
        <f>1.0162*759.708</f>
        <v>772.01526960000001</v>
      </c>
      <c r="H107" s="60">
        <v>370</v>
      </c>
      <c r="I107" s="5">
        <v>1.5E-3</v>
      </c>
      <c r="J107" s="5">
        <v>8.9899999999999994E-2</v>
      </c>
      <c r="K107" s="2">
        <v>8217768960.3299999</v>
      </c>
      <c r="L107" s="3">
        <f t="shared" si="44"/>
        <v>1.3814710608520839E-2</v>
      </c>
      <c r="M107" s="4">
        <f>1.018*765.926</f>
        <v>779.71266800000001</v>
      </c>
      <c r="N107" s="4">
        <f>1.018*765.926</f>
        <v>779.71266800000001</v>
      </c>
      <c r="O107" s="60">
        <v>376</v>
      </c>
      <c r="P107" s="5">
        <v>1.5E-3</v>
      </c>
      <c r="Q107" s="5">
        <v>9.1600000000000001E-2</v>
      </c>
      <c r="R107" s="85">
        <f t="shared" si="50"/>
        <v>-8.576929544691721E-3</v>
      </c>
      <c r="S107" s="85">
        <f t="shared" si="51"/>
        <v>9.9705261062882963E-3</v>
      </c>
      <c r="T107" s="85">
        <f t="shared" si="52"/>
        <v>1.6216216216216217E-2</v>
      </c>
      <c r="U107" s="85">
        <f t="shared" si="53"/>
        <v>0</v>
      </c>
      <c r="V107" s="87">
        <f t="shared" si="54"/>
        <v>1.7000000000000071E-3</v>
      </c>
    </row>
    <row r="108" spans="1:22" x14ac:dyDescent="0.25">
      <c r="A108" s="126">
        <v>91</v>
      </c>
      <c r="B108" s="62" t="s">
        <v>148</v>
      </c>
      <c r="C108" s="63" t="s">
        <v>82</v>
      </c>
      <c r="D108" s="4">
        <v>171935310.36000001</v>
      </c>
      <c r="E108" s="3">
        <f t="shared" si="55"/>
        <v>2.9939688384685042E-4</v>
      </c>
      <c r="F108" s="4">
        <f>0.91*759.708</f>
        <v>691.33428000000004</v>
      </c>
      <c r="G108" s="4">
        <f>0.91*759.708</f>
        <v>691.33428000000004</v>
      </c>
      <c r="H108" s="60">
        <v>3</v>
      </c>
      <c r="I108" s="5">
        <v>-2.2619E-2</v>
      </c>
      <c r="J108" s="5">
        <v>5.2718000000000001E-2</v>
      </c>
      <c r="K108" s="4">
        <v>181344366.09999999</v>
      </c>
      <c r="L108" s="3">
        <f t="shared" si="44"/>
        <v>3.0485402427966955E-4</v>
      </c>
      <c r="M108" s="4">
        <f>0.93*764.86</f>
        <v>711.3198000000001</v>
      </c>
      <c r="N108" s="4">
        <f>0.93*764.86</f>
        <v>711.3198000000001</v>
      </c>
      <c r="O108" s="60">
        <v>3</v>
      </c>
      <c r="P108" s="5">
        <v>2.2994000000000001E-2</v>
      </c>
      <c r="Q108" s="5">
        <v>7.6924999999999993E-2</v>
      </c>
      <c r="R108" s="85">
        <f t="shared" si="50"/>
        <v>5.4724394426596823E-2</v>
      </c>
      <c r="S108" s="85">
        <f t="shared" si="51"/>
        <v>2.8908620009411457E-2</v>
      </c>
      <c r="T108" s="85">
        <f t="shared" si="52"/>
        <v>0</v>
      </c>
      <c r="U108" s="85">
        <f t="shared" si="53"/>
        <v>4.5613000000000001E-2</v>
      </c>
      <c r="V108" s="87">
        <f t="shared" si="54"/>
        <v>2.4206999999999992E-2</v>
      </c>
    </row>
    <row r="109" spans="1:22" x14ac:dyDescent="0.25">
      <c r="A109" s="125">
        <v>92</v>
      </c>
      <c r="B109" s="62" t="s">
        <v>149</v>
      </c>
      <c r="C109" s="63" t="s">
        <v>43</v>
      </c>
      <c r="D109" s="2">
        <v>343219462194.08002</v>
      </c>
      <c r="E109" s="3">
        <f t="shared" si="55"/>
        <v>0.59765988290213268</v>
      </c>
      <c r="F109" s="4">
        <v>1068.19</v>
      </c>
      <c r="G109" s="4">
        <v>1087.51</v>
      </c>
      <c r="H109" s="60">
        <v>10731</v>
      </c>
      <c r="I109" s="5">
        <v>1.1000000000000001E-3</v>
      </c>
      <c r="J109" s="5">
        <v>5.5E-2</v>
      </c>
      <c r="K109" s="2">
        <v>356458602829.26001</v>
      </c>
      <c r="L109" s="3">
        <f t="shared" si="44"/>
        <v>0.599234715136862</v>
      </c>
      <c r="M109" s="4">
        <v>1102.93</v>
      </c>
      <c r="N109" s="4">
        <v>1102.93</v>
      </c>
      <c r="O109" s="60">
        <v>9260</v>
      </c>
      <c r="P109" s="5">
        <v>1.5E-3</v>
      </c>
      <c r="Q109" s="5">
        <v>5.6599999999999998E-2</v>
      </c>
      <c r="R109" s="85">
        <f t="shared" si="50"/>
        <v>3.8573397180179915E-2</v>
      </c>
      <c r="S109" s="85">
        <f t="shared" si="51"/>
        <v>1.417917996156364E-2</v>
      </c>
      <c r="T109" s="85">
        <f t="shared" si="52"/>
        <v>-0.13707948932997857</v>
      </c>
      <c r="U109" s="85">
        <f t="shared" si="53"/>
        <v>3.9999999999999996E-4</v>
      </c>
      <c r="V109" s="87">
        <f t="shared" si="54"/>
        <v>1.5999999999999973E-3</v>
      </c>
    </row>
    <row r="110" spans="1:22" ht="16.5" customHeight="1" x14ac:dyDescent="0.25">
      <c r="A110" s="124">
        <v>93</v>
      </c>
      <c r="B110" s="62" t="s">
        <v>150</v>
      </c>
      <c r="C110" s="63" t="s">
        <v>46</v>
      </c>
      <c r="D110" s="2">
        <v>12786865692</v>
      </c>
      <c r="E110" s="3">
        <f t="shared" si="55"/>
        <v>2.2266210089929548E-2</v>
      </c>
      <c r="F110" s="2">
        <v>788.74</v>
      </c>
      <c r="G110" s="2">
        <v>788.74</v>
      </c>
      <c r="H110" s="60">
        <v>103</v>
      </c>
      <c r="I110" s="5">
        <v>8.1699999999999995E-2</v>
      </c>
      <c r="J110" s="5">
        <v>1.7021276595744681E-3</v>
      </c>
      <c r="K110" s="2">
        <v>13603451023.219999</v>
      </c>
      <c r="L110" s="3">
        <f t="shared" si="44"/>
        <v>2.2868462239588733E-2</v>
      </c>
      <c r="M110" s="2">
        <v>814.27</v>
      </c>
      <c r="N110" s="2">
        <v>814.27</v>
      </c>
      <c r="O110" s="60">
        <v>110</v>
      </c>
      <c r="P110" s="5">
        <v>7.0999999999999994E-2</v>
      </c>
      <c r="Q110" s="5">
        <v>8.4400000000000003E-2</v>
      </c>
      <c r="R110" s="85">
        <f t="shared" si="50"/>
        <v>6.3861258176105606E-2</v>
      </c>
      <c r="S110" s="85">
        <f t="shared" si="51"/>
        <v>3.2368080736364296E-2</v>
      </c>
      <c r="T110" s="85">
        <f t="shared" si="52"/>
        <v>6.7961165048543687E-2</v>
      </c>
      <c r="U110" s="85">
        <f t="shared" si="53"/>
        <v>-1.0700000000000001E-2</v>
      </c>
      <c r="V110" s="87">
        <f t="shared" si="54"/>
        <v>8.2697872340425541E-2</v>
      </c>
    </row>
    <row r="111" spans="1:22" x14ac:dyDescent="0.25">
      <c r="A111" s="122">
        <v>94</v>
      </c>
      <c r="B111" s="62" t="s">
        <v>151</v>
      </c>
      <c r="C111" s="63" t="s">
        <v>33</v>
      </c>
      <c r="D111" s="4">
        <v>18011179809.30759</v>
      </c>
      <c r="E111" s="3">
        <f t="shared" si="55"/>
        <v>3.1363488384213496E-2</v>
      </c>
      <c r="F111" s="4">
        <f>1.1084*759.708</f>
        <v>842.06034720000002</v>
      </c>
      <c r="G111" s="4">
        <f>1.1084*759.708</f>
        <v>842.06034720000002</v>
      </c>
      <c r="H111" s="60">
        <v>898</v>
      </c>
      <c r="I111" s="5">
        <v>1E-3</v>
      </c>
      <c r="J111" s="5">
        <v>5.5100000000000003E-2</v>
      </c>
      <c r="K111" s="4">
        <v>18828039228.249409</v>
      </c>
      <c r="L111" s="3">
        <f t="shared" si="44"/>
        <v>3.165140253026761E-2</v>
      </c>
      <c r="M111" s="4">
        <f>1.111*755.27</f>
        <v>839.10496999999998</v>
      </c>
      <c r="N111" s="4">
        <f>1.111*755.27</f>
        <v>839.10496999999998</v>
      </c>
      <c r="O111" s="60">
        <v>886</v>
      </c>
      <c r="P111" s="5">
        <v>1.4E-3</v>
      </c>
      <c r="Q111" s="5">
        <v>5.6500000000000002E-2</v>
      </c>
      <c r="R111" s="85">
        <f t="shared" si="50"/>
        <v>4.5352910114177636E-2</v>
      </c>
      <c r="S111" s="85">
        <f t="shared" si="51"/>
        <v>-3.5096976241990219E-3</v>
      </c>
      <c r="T111" s="85">
        <f t="shared" si="52"/>
        <v>-1.3363028953229399E-2</v>
      </c>
      <c r="U111" s="85">
        <f t="shared" si="53"/>
        <v>3.9999999999999996E-4</v>
      </c>
      <c r="V111" s="87">
        <f t="shared" si="54"/>
        <v>1.3999999999999985E-3</v>
      </c>
    </row>
    <row r="112" spans="1:22" x14ac:dyDescent="0.25">
      <c r="A112" s="79"/>
      <c r="B112" s="19"/>
      <c r="C112" s="70" t="s">
        <v>47</v>
      </c>
      <c r="D112" s="59">
        <f>SUM(D90:D111)</f>
        <v>574272210688.57068</v>
      </c>
      <c r="E112" s="120">
        <f>(D112/$D$170)</f>
        <v>0.29677922494864861</v>
      </c>
      <c r="F112" s="30"/>
      <c r="G112" s="11"/>
      <c r="H112" s="69">
        <f>SUM(H90:H111)</f>
        <v>19052</v>
      </c>
      <c r="I112" s="33"/>
      <c r="J112" s="33"/>
      <c r="K112" s="59">
        <f>SUM(K90:K111)</f>
        <v>594856395707.72656</v>
      </c>
      <c r="L112" s="120">
        <f>(K112/$K$170)</f>
        <v>0.30330792122762795</v>
      </c>
      <c r="M112" s="30"/>
      <c r="N112" s="11"/>
      <c r="O112" s="69">
        <f>SUM(O90:O111)</f>
        <v>17610</v>
      </c>
      <c r="P112" s="33"/>
      <c r="Q112" s="33"/>
      <c r="R112" s="85">
        <f t="shared" si="50"/>
        <v>3.5843951067168638E-2</v>
      </c>
      <c r="S112" s="85" t="e">
        <f t="shared" si="51"/>
        <v>#DIV/0!</v>
      </c>
      <c r="T112" s="85">
        <f t="shared" si="52"/>
        <v>-7.5687591853873609E-2</v>
      </c>
      <c r="U112" s="85">
        <f t="shared" si="53"/>
        <v>0</v>
      </c>
      <c r="V112" s="87">
        <f t="shared" si="54"/>
        <v>0</v>
      </c>
    </row>
    <row r="113" spans="1:22" ht="8.25" customHeight="1" x14ac:dyDescent="0.25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15.75" x14ac:dyDescent="0.25">
      <c r="A114" s="138" t="s">
        <v>152</v>
      </c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</row>
    <row r="115" spans="1:22" x14ac:dyDescent="0.25">
      <c r="A115" s="128">
        <v>95</v>
      </c>
      <c r="B115" s="62" t="s">
        <v>153</v>
      </c>
      <c r="C115" s="63" t="s">
        <v>41</v>
      </c>
      <c r="D115" s="2">
        <v>54330953714</v>
      </c>
      <c r="E115" s="3">
        <f>(D115/$D$119)</f>
        <v>0.58404183503231311</v>
      </c>
      <c r="F115" s="14">
        <v>101.48</v>
      </c>
      <c r="G115" s="14">
        <v>101.48</v>
      </c>
      <c r="H115" s="60">
        <v>0</v>
      </c>
      <c r="I115" s="5">
        <v>0</v>
      </c>
      <c r="J115" s="5">
        <v>7.6999999999999999E-2</v>
      </c>
      <c r="K115" s="2">
        <v>54330953714</v>
      </c>
      <c r="L115" s="3">
        <f>(K115/$K$119)</f>
        <v>0.58380411137008792</v>
      </c>
      <c r="M115" s="14">
        <v>101.48</v>
      </c>
      <c r="N115" s="14">
        <v>101.48</v>
      </c>
      <c r="O115" s="60">
        <v>0</v>
      </c>
      <c r="P115" s="5">
        <v>0</v>
      </c>
      <c r="Q115" s="5">
        <v>7.6999999999999999E-2</v>
      </c>
      <c r="R115" s="85">
        <f t="shared" ref="R115" si="56">((K115-D115)/D115)</f>
        <v>0</v>
      </c>
      <c r="S115" s="85">
        <f t="shared" ref="S115" si="57">((N115-G115)/G115)</f>
        <v>0</v>
      </c>
      <c r="T115" s="85" t="e">
        <f t="shared" ref="T115" si="58">((O115-H115)/H115)</f>
        <v>#DIV/0!</v>
      </c>
      <c r="U115" s="85">
        <f t="shared" ref="U115" si="59">P115-I115</f>
        <v>0</v>
      </c>
      <c r="V115" s="87">
        <f t="shared" ref="V115" si="60">Q115-J115</f>
        <v>0</v>
      </c>
    </row>
    <row r="116" spans="1:22" ht="17.25" customHeight="1" x14ac:dyDescent="0.25">
      <c r="A116" s="126">
        <v>96</v>
      </c>
      <c r="B116" s="62" t="s">
        <v>154</v>
      </c>
      <c r="C116" s="63" t="s">
        <v>122</v>
      </c>
      <c r="D116" s="2">
        <v>2318056765.9699998</v>
      </c>
      <c r="E116" s="3">
        <f>(D116/$D$119)</f>
        <v>2.4918431110796602E-2</v>
      </c>
      <c r="F116" s="14">
        <v>92.15</v>
      </c>
      <c r="G116" s="14">
        <v>92.15</v>
      </c>
      <c r="H116" s="60">
        <v>2743</v>
      </c>
      <c r="I116" s="5">
        <v>4.7100000000000003E-2</v>
      </c>
      <c r="J116" s="5">
        <v>0.1217</v>
      </c>
      <c r="K116" s="2">
        <v>2324426103.1100001</v>
      </c>
      <c r="L116" s="3">
        <f>(K116/$K$119)</f>
        <v>2.4976729153603938E-2</v>
      </c>
      <c r="M116" s="14">
        <v>92.15</v>
      </c>
      <c r="N116" s="14">
        <v>92.15</v>
      </c>
      <c r="O116" s="60">
        <v>2743</v>
      </c>
      <c r="P116" s="5">
        <v>0.13439999999999999</v>
      </c>
      <c r="Q116" s="5">
        <v>0.1226</v>
      </c>
      <c r="R116" s="85">
        <f t="shared" ref="R116:R119" si="61">((K116-D116)/D116)</f>
        <v>2.7477054201194549E-3</v>
      </c>
      <c r="S116" s="85">
        <f t="shared" ref="S116:S119" si="62">((N116-G116)/G116)</f>
        <v>0</v>
      </c>
      <c r="T116" s="85">
        <f t="shared" ref="T116:T119" si="63">((O116-H116)/H116)</f>
        <v>0</v>
      </c>
      <c r="U116" s="85">
        <f t="shared" ref="U116:U119" si="64">P116-I116</f>
        <v>8.7299999999999989E-2</v>
      </c>
      <c r="V116" s="87">
        <f t="shared" ref="V116:V119" si="65">Q116-J116</f>
        <v>8.9999999999999802E-4</v>
      </c>
    </row>
    <row r="117" spans="1:22" x14ac:dyDescent="0.25">
      <c r="A117" s="122">
        <v>97</v>
      </c>
      <c r="B117" s="62" t="s">
        <v>155</v>
      </c>
      <c r="C117" s="63" t="s">
        <v>122</v>
      </c>
      <c r="D117" s="2">
        <v>10048408467.299999</v>
      </c>
      <c r="E117" s="3">
        <f>(D117/$D$119)</f>
        <v>0.10801744713131881</v>
      </c>
      <c r="F117" s="14">
        <v>36.6</v>
      </c>
      <c r="G117" s="14">
        <v>36.6</v>
      </c>
      <c r="H117" s="60">
        <v>5264</v>
      </c>
      <c r="I117" s="5">
        <v>0.17910000000000001</v>
      </c>
      <c r="J117" s="5">
        <v>16.79</v>
      </c>
      <c r="K117" s="2">
        <v>10075971122.959999</v>
      </c>
      <c r="L117" s="3">
        <f>(K117/$K$119)</f>
        <v>0.10826965045737001</v>
      </c>
      <c r="M117" s="14">
        <v>36.6</v>
      </c>
      <c r="N117" s="14">
        <v>36.6</v>
      </c>
      <c r="O117" s="60">
        <v>5264</v>
      </c>
      <c r="P117" s="5">
        <v>0.1409</v>
      </c>
      <c r="Q117" s="5">
        <v>0.1736</v>
      </c>
      <c r="R117" s="85">
        <f t="shared" si="61"/>
        <v>2.7429871854528537E-3</v>
      </c>
      <c r="S117" s="85">
        <f t="shared" si="62"/>
        <v>0</v>
      </c>
      <c r="T117" s="85">
        <f t="shared" si="63"/>
        <v>0</v>
      </c>
      <c r="U117" s="85">
        <f t="shared" si="64"/>
        <v>-3.8200000000000012E-2</v>
      </c>
      <c r="V117" s="87">
        <f t="shared" si="65"/>
        <v>-16.616399999999999</v>
      </c>
    </row>
    <row r="118" spans="1:22" x14ac:dyDescent="0.25">
      <c r="A118" s="125">
        <v>98</v>
      </c>
      <c r="B118" s="62" t="s">
        <v>156</v>
      </c>
      <c r="C118" s="63" t="s">
        <v>43</v>
      </c>
      <c r="D118" s="2">
        <v>26328372109.279999</v>
      </c>
      <c r="E118" s="3">
        <f>(D118/$D$119)</f>
        <v>0.2830222867255715</v>
      </c>
      <c r="F118" s="14">
        <v>3.5</v>
      </c>
      <c r="G118" s="14">
        <v>3.5</v>
      </c>
      <c r="H118" s="60">
        <v>208853</v>
      </c>
      <c r="I118" s="5">
        <v>-0.1026</v>
      </c>
      <c r="J118" s="5">
        <v>0.16669999999999999</v>
      </c>
      <c r="K118" s="2">
        <v>26332319999.990002</v>
      </c>
      <c r="L118" s="3">
        <f>(K118/$K$119)</f>
        <v>0.28294950901893817</v>
      </c>
      <c r="M118" s="14">
        <v>3.55</v>
      </c>
      <c r="N118" s="14">
        <v>3.55</v>
      </c>
      <c r="O118" s="60">
        <v>208853</v>
      </c>
      <c r="P118" s="5">
        <v>1.43E-2</v>
      </c>
      <c r="Q118" s="5">
        <v>0.18329999999999999</v>
      </c>
      <c r="R118" s="85">
        <f t="shared" si="61"/>
        <v>1.4994815074842325E-4</v>
      </c>
      <c r="S118" s="85">
        <f t="shared" si="62"/>
        <v>1.4285714285714235E-2</v>
      </c>
      <c r="T118" s="85">
        <f t="shared" si="63"/>
        <v>0</v>
      </c>
      <c r="U118" s="85">
        <f t="shared" si="64"/>
        <v>0.1169</v>
      </c>
      <c r="V118" s="87">
        <f t="shared" si="65"/>
        <v>1.6600000000000004E-2</v>
      </c>
    </row>
    <row r="119" spans="1:22" x14ac:dyDescent="0.25">
      <c r="A119" s="79"/>
      <c r="B119" s="19"/>
      <c r="C119" s="75" t="s">
        <v>47</v>
      </c>
      <c r="D119" s="58">
        <f>SUM(D115:D118)</f>
        <v>93025791056.550003</v>
      </c>
      <c r="E119" s="120">
        <f>(D119/$D$170)</f>
        <v>4.8074974996430389E-2</v>
      </c>
      <c r="F119" s="30"/>
      <c r="G119" s="34"/>
      <c r="H119" s="69">
        <f>SUM(H115:H118)</f>
        <v>216860</v>
      </c>
      <c r="I119" s="35"/>
      <c r="J119" s="35"/>
      <c r="K119" s="58">
        <f>SUM(K115:K118)</f>
        <v>93063670940.059998</v>
      </c>
      <c r="L119" s="120">
        <f>(K119/$K$170)</f>
        <v>4.7451702256741772E-2</v>
      </c>
      <c r="M119" s="30"/>
      <c r="N119" s="34"/>
      <c r="O119" s="69">
        <f>SUM(O115:O118)</f>
        <v>216860</v>
      </c>
      <c r="P119" s="35"/>
      <c r="Q119" s="35"/>
      <c r="R119" s="85">
        <f t="shared" si="61"/>
        <v>4.0719765002554482E-4</v>
      </c>
      <c r="S119" s="85" t="e">
        <f t="shared" si="62"/>
        <v>#DIV/0!</v>
      </c>
      <c r="T119" s="85">
        <f t="shared" si="63"/>
        <v>0</v>
      </c>
      <c r="U119" s="85">
        <f t="shared" si="64"/>
        <v>0</v>
      </c>
      <c r="V119" s="87">
        <f t="shared" si="65"/>
        <v>0</v>
      </c>
    </row>
    <row r="120" spans="1:22" ht="7.5" customHeight="1" x14ac:dyDescent="0.2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15" customHeight="1" x14ac:dyDescent="0.25">
      <c r="A121" s="138" t="s">
        <v>157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</row>
    <row r="122" spans="1:22" x14ac:dyDescent="0.25">
      <c r="A122" s="121">
        <v>99</v>
      </c>
      <c r="B122" s="62" t="s">
        <v>158</v>
      </c>
      <c r="C122" s="63" t="s">
        <v>51</v>
      </c>
      <c r="D122" s="4">
        <v>204004838.71000001</v>
      </c>
      <c r="E122" s="3">
        <f t="shared" ref="E122:E145" si="66">(D122/$D$146)</f>
        <v>5.1443323061795354E-3</v>
      </c>
      <c r="F122" s="4">
        <v>4.58</v>
      </c>
      <c r="G122" s="4">
        <v>4.68</v>
      </c>
      <c r="H122" s="64">
        <v>11814</v>
      </c>
      <c r="I122" s="6">
        <v>1.0861000000000001E-2</v>
      </c>
      <c r="J122" s="6">
        <v>0.21984799999999999</v>
      </c>
      <c r="K122" s="4">
        <v>206612453.94</v>
      </c>
      <c r="L122" s="16">
        <f t="shared" ref="L122:L137" si="67">(K122/$K$146)</f>
        <v>5.2902235464949831E-3</v>
      </c>
      <c r="M122" s="4">
        <v>4.62</v>
      </c>
      <c r="N122" s="4">
        <v>4.71</v>
      </c>
      <c r="O122" s="64">
        <v>11815</v>
      </c>
      <c r="P122" s="6">
        <v>9.7160000000000007E-3</v>
      </c>
      <c r="Q122" s="6">
        <v>0.22956299999999999</v>
      </c>
      <c r="R122" s="85">
        <f t="shared" ref="R122" si="68">((K122-D122)/D122)</f>
        <v>1.2782124416699769E-2</v>
      </c>
      <c r="S122" s="85">
        <f t="shared" ref="S122" si="69">((N122-G122)/G122)</f>
        <v>6.4102564102564638E-3</v>
      </c>
      <c r="T122" s="85">
        <f t="shared" ref="T122" si="70">((O122-H122)/H122)</f>
        <v>8.4645336041984089E-5</v>
      </c>
      <c r="U122" s="85">
        <f t="shared" ref="U122" si="71">P122-I122</f>
        <v>-1.1450000000000002E-3</v>
      </c>
      <c r="V122" s="87">
        <f t="shared" ref="V122" si="72">Q122-J122</f>
        <v>9.7150000000000014E-3</v>
      </c>
    </row>
    <row r="123" spans="1:22" x14ac:dyDescent="0.25">
      <c r="A123" s="128">
        <v>100</v>
      </c>
      <c r="B123" s="62" t="s">
        <v>159</v>
      </c>
      <c r="C123" s="63" t="s">
        <v>21</v>
      </c>
      <c r="D123" s="4">
        <v>5934862384.5500002</v>
      </c>
      <c r="E123" s="3">
        <f t="shared" si="66"/>
        <v>0.14965774581930885</v>
      </c>
      <c r="F123" s="4">
        <v>634.4325</v>
      </c>
      <c r="G123" s="4">
        <v>653.56110000000001</v>
      </c>
      <c r="H123" s="64">
        <v>21191</v>
      </c>
      <c r="I123" s="6">
        <v>-0.2233</v>
      </c>
      <c r="J123" s="6">
        <v>0.26840000000000003</v>
      </c>
      <c r="K123" s="4">
        <v>5974392655.3100004</v>
      </c>
      <c r="L123" s="16">
        <f t="shared" si="67"/>
        <v>0.1529717696025524</v>
      </c>
      <c r="M123" s="4">
        <v>638.60910000000001</v>
      </c>
      <c r="N123" s="4">
        <v>657.86369999999999</v>
      </c>
      <c r="O123" s="64">
        <v>21189</v>
      </c>
      <c r="P123" s="6">
        <v>0.34329999999999999</v>
      </c>
      <c r="Q123" s="6">
        <v>0.27189999999999998</v>
      </c>
      <c r="R123" s="85">
        <f t="shared" ref="R123:R146" si="73">((K123-D123)/D123)</f>
        <v>6.6606886897508976E-3</v>
      </c>
      <c r="S123" s="85">
        <f t="shared" ref="S123:S146" si="74">((N123-G123)/G123)</f>
        <v>6.5833171527497339E-3</v>
      </c>
      <c r="T123" s="85">
        <f t="shared" ref="T123:T146" si="75">((O123-H123)/H123)</f>
        <v>-9.4379689490821573E-5</v>
      </c>
      <c r="U123" s="85">
        <f t="shared" ref="U123:U146" si="76">P123-I123</f>
        <v>0.56659999999999999</v>
      </c>
      <c r="V123" s="87">
        <f t="shared" ref="V123:V146" si="77">Q123-J123</f>
        <v>3.4999999999999476E-3</v>
      </c>
    </row>
    <row r="124" spans="1:22" x14ac:dyDescent="0.25">
      <c r="A124" s="126">
        <v>101</v>
      </c>
      <c r="B124" s="62" t="s">
        <v>160</v>
      </c>
      <c r="C124" s="63" t="s">
        <v>93</v>
      </c>
      <c r="D124" s="4">
        <v>3218175937.2199998</v>
      </c>
      <c r="E124" s="3">
        <f t="shared" si="66"/>
        <v>8.1151832208962854E-2</v>
      </c>
      <c r="F124" s="4">
        <v>17.975999999999999</v>
      </c>
      <c r="G124" s="4">
        <v>18.180099999999999</v>
      </c>
      <c r="H124" s="60">
        <v>6279</v>
      </c>
      <c r="I124" s="5">
        <v>6.0000000000000001E-3</v>
      </c>
      <c r="J124" s="5">
        <v>0.2974</v>
      </c>
      <c r="K124" s="4">
        <v>3225026685.1700001</v>
      </c>
      <c r="L124" s="16">
        <f t="shared" si="67"/>
        <v>8.2575429421672342E-2</v>
      </c>
      <c r="M124" s="4">
        <v>17.869900000000001</v>
      </c>
      <c r="N124" s="4">
        <v>18.071300000000001</v>
      </c>
      <c r="O124" s="60">
        <v>6278</v>
      </c>
      <c r="P124" s="5">
        <v>6.0000000000000001E-3</v>
      </c>
      <c r="Q124" s="5">
        <v>0.28970000000000001</v>
      </c>
      <c r="R124" s="85">
        <f t="shared" si="73"/>
        <v>2.1287673774350135E-3</v>
      </c>
      <c r="S124" s="85">
        <f t="shared" si="74"/>
        <v>-5.9845655414435938E-3</v>
      </c>
      <c r="T124" s="85">
        <f t="shared" si="75"/>
        <v>-1.5926102882624622E-4</v>
      </c>
      <c r="U124" s="85">
        <f t="shared" si="76"/>
        <v>0</v>
      </c>
      <c r="V124" s="87">
        <f t="shared" si="77"/>
        <v>-7.6999999999999846E-3</v>
      </c>
    </row>
    <row r="125" spans="1:22" x14ac:dyDescent="0.25">
      <c r="A125" s="129">
        <v>102</v>
      </c>
      <c r="B125" s="62" t="s">
        <v>161</v>
      </c>
      <c r="C125" s="63" t="s">
        <v>103</v>
      </c>
      <c r="D125" s="2">
        <v>1194637510.55</v>
      </c>
      <c r="E125" s="3">
        <f t="shared" si="66"/>
        <v>3.0124836148776171E-2</v>
      </c>
      <c r="F125" s="4">
        <v>2.794</v>
      </c>
      <c r="G125" s="4">
        <v>2.8618000000000001</v>
      </c>
      <c r="H125" s="60">
        <v>3441</v>
      </c>
      <c r="I125" s="5">
        <v>-0.73116771256305702</v>
      </c>
      <c r="J125" s="5">
        <v>0.28227919165950599</v>
      </c>
      <c r="K125" s="2">
        <v>1194637510.55</v>
      </c>
      <c r="L125" s="16">
        <f t="shared" si="67"/>
        <v>3.0588182693348433E-2</v>
      </c>
      <c r="M125" s="4">
        <v>2.794</v>
      </c>
      <c r="N125" s="4">
        <v>2.8618000000000001</v>
      </c>
      <c r="O125" s="60">
        <v>3441</v>
      </c>
      <c r="P125" s="5">
        <v>-0.73116771256305702</v>
      </c>
      <c r="Q125" s="5">
        <v>0.28227919165950599</v>
      </c>
      <c r="R125" s="85">
        <f t="shared" si="73"/>
        <v>0</v>
      </c>
      <c r="S125" s="85">
        <f t="shared" si="74"/>
        <v>0</v>
      </c>
      <c r="T125" s="85">
        <f t="shared" si="75"/>
        <v>0</v>
      </c>
      <c r="U125" s="85">
        <f t="shared" si="76"/>
        <v>0</v>
      </c>
      <c r="V125" s="87">
        <f t="shared" si="77"/>
        <v>0</v>
      </c>
    </row>
    <row r="126" spans="1:22" x14ac:dyDescent="0.25">
      <c r="A126" s="124">
        <v>103</v>
      </c>
      <c r="B126" s="62" t="s">
        <v>162</v>
      </c>
      <c r="C126" s="63" t="s">
        <v>57</v>
      </c>
      <c r="D126" s="2">
        <v>2867754483.4654698</v>
      </c>
      <c r="E126" s="3">
        <f t="shared" si="66"/>
        <v>7.2315353541462193E-2</v>
      </c>
      <c r="F126" s="4">
        <v>5294.78408969886</v>
      </c>
      <c r="G126" s="4">
        <v>5335.5697965326299</v>
      </c>
      <c r="H126" s="60">
        <v>839</v>
      </c>
      <c r="I126" s="5">
        <v>0.39501191112278655</v>
      </c>
      <c r="J126" s="5">
        <v>0.33789946590635661</v>
      </c>
      <c r="K126" s="2">
        <v>2860839189.5680699</v>
      </c>
      <c r="L126" s="16">
        <f t="shared" si="67"/>
        <v>7.3250564304239194E-2</v>
      </c>
      <c r="M126" s="4">
        <v>5283.0216952823403</v>
      </c>
      <c r="N126" s="4">
        <v>5321.8493886932501</v>
      </c>
      <c r="O126" s="60">
        <v>840</v>
      </c>
      <c r="P126" s="5">
        <v>-0.11583566795703169</v>
      </c>
      <c r="Q126" s="5">
        <v>0.32606178730106539</v>
      </c>
      <c r="R126" s="85">
        <f t="shared" si="73"/>
        <v>-2.4113967695879178E-3</v>
      </c>
      <c r="S126" s="85">
        <f t="shared" si="74"/>
        <v>-2.5714981459517348E-3</v>
      </c>
      <c r="T126" s="85">
        <f t="shared" si="75"/>
        <v>1.1918951132300357E-3</v>
      </c>
      <c r="U126" s="85">
        <f t="shared" si="76"/>
        <v>-0.51084757907981826</v>
      </c>
      <c r="V126" s="87">
        <f t="shared" si="77"/>
        <v>-1.1837678605291224E-2</v>
      </c>
    </row>
    <row r="127" spans="1:22" x14ac:dyDescent="0.25">
      <c r="A127" s="126">
        <v>104</v>
      </c>
      <c r="B127" s="62" t="s">
        <v>163</v>
      </c>
      <c r="C127" s="63" t="s">
        <v>59</v>
      </c>
      <c r="D127" s="4">
        <v>417841050.75</v>
      </c>
      <c r="E127" s="3">
        <f t="shared" si="66"/>
        <v>1.0536579572393555E-2</v>
      </c>
      <c r="F127" s="4">
        <v>156.78</v>
      </c>
      <c r="G127" s="4">
        <v>157.77000000000001</v>
      </c>
      <c r="H127" s="60">
        <v>612</v>
      </c>
      <c r="I127" s="5">
        <v>1.0999999999999999E-2</v>
      </c>
      <c r="J127" s="5">
        <v>0.2228</v>
      </c>
      <c r="K127" s="4">
        <v>419791856.44999999</v>
      </c>
      <c r="L127" s="16">
        <f t="shared" si="67"/>
        <v>1.0748591003442354E-2</v>
      </c>
      <c r="M127" s="4">
        <v>156.02000000000001</v>
      </c>
      <c r="N127" s="4">
        <v>157</v>
      </c>
      <c r="O127" s="60">
        <v>617</v>
      </c>
      <c r="P127" s="5">
        <v>-4.8999999999999998E-3</v>
      </c>
      <c r="Q127" s="5">
        <v>0.21729999999999999</v>
      </c>
      <c r="R127" s="85">
        <f t="shared" si="73"/>
        <v>4.6687746369065627E-3</v>
      </c>
      <c r="S127" s="85">
        <f t="shared" si="74"/>
        <v>-4.8805222792673523E-3</v>
      </c>
      <c r="T127" s="85">
        <f t="shared" si="75"/>
        <v>8.1699346405228763E-3</v>
      </c>
      <c r="U127" s="85">
        <f t="shared" si="76"/>
        <v>-1.5899999999999997E-2</v>
      </c>
      <c r="V127" s="87">
        <f t="shared" si="77"/>
        <v>-5.5000000000000049E-3</v>
      </c>
    </row>
    <row r="128" spans="1:22" x14ac:dyDescent="0.25">
      <c r="A128" s="128">
        <v>105</v>
      </c>
      <c r="B128" s="62" t="s">
        <v>164</v>
      </c>
      <c r="C128" s="63" t="s">
        <v>61</v>
      </c>
      <c r="D128" s="4">
        <v>3734808.11</v>
      </c>
      <c r="E128" s="3">
        <f t="shared" si="66"/>
        <v>9.4179599558255657E-5</v>
      </c>
      <c r="F128" s="4">
        <v>102.747</v>
      </c>
      <c r="G128" s="4">
        <v>102.99</v>
      </c>
      <c r="H128" s="60">
        <v>0</v>
      </c>
      <c r="I128" s="5">
        <v>0</v>
      </c>
      <c r="J128" s="5">
        <v>0</v>
      </c>
      <c r="K128" s="4">
        <v>3734808.11</v>
      </c>
      <c r="L128" s="16">
        <f t="shared" si="67"/>
        <v>9.5628164848669356E-5</v>
      </c>
      <c r="M128" s="4">
        <v>102.747</v>
      </c>
      <c r="N128" s="4">
        <v>102.99</v>
      </c>
      <c r="O128" s="60">
        <v>0</v>
      </c>
      <c r="P128" s="5">
        <v>0</v>
      </c>
      <c r="Q128" s="5">
        <v>0</v>
      </c>
      <c r="R128" s="85">
        <f t="shared" si="73"/>
        <v>0</v>
      </c>
      <c r="S128" s="85">
        <f t="shared" si="74"/>
        <v>0</v>
      </c>
      <c r="T128" s="85" t="e">
        <f t="shared" si="75"/>
        <v>#DIV/0!</v>
      </c>
      <c r="U128" s="85">
        <f t="shared" si="76"/>
        <v>0</v>
      </c>
      <c r="V128" s="87">
        <f t="shared" si="77"/>
        <v>0</v>
      </c>
    </row>
    <row r="129" spans="1:22" x14ac:dyDescent="0.25">
      <c r="A129" s="129">
        <v>106</v>
      </c>
      <c r="B129" s="62" t="s">
        <v>165</v>
      </c>
      <c r="C129" s="63" t="s">
        <v>107</v>
      </c>
      <c r="D129" s="4">
        <v>163498921.61000001</v>
      </c>
      <c r="E129" s="3">
        <f t="shared" si="66"/>
        <v>4.1229060535151385E-3</v>
      </c>
      <c r="F129" s="4">
        <v>1.4339999999999999</v>
      </c>
      <c r="G129" s="4">
        <v>1.4470000000000001</v>
      </c>
      <c r="H129" s="60">
        <v>0</v>
      </c>
      <c r="I129" s="5">
        <v>-3.5000000000000001E-3</v>
      </c>
      <c r="J129" s="5">
        <v>0.1938</v>
      </c>
      <c r="K129" s="4">
        <v>163498921.61000001</v>
      </c>
      <c r="L129" s="16">
        <f t="shared" si="67"/>
        <v>4.186319984268415E-3</v>
      </c>
      <c r="M129" s="4">
        <v>1.4339999999999999</v>
      </c>
      <c r="N129" s="4">
        <v>1.4470000000000001</v>
      </c>
      <c r="O129" s="60">
        <v>0</v>
      </c>
      <c r="P129" s="5">
        <v>-3.5000000000000001E-3</v>
      </c>
      <c r="Q129" s="5">
        <v>0.1938</v>
      </c>
      <c r="R129" s="85">
        <f t="shared" si="73"/>
        <v>0</v>
      </c>
      <c r="S129" s="85">
        <f t="shared" si="74"/>
        <v>0</v>
      </c>
      <c r="T129" s="85" t="e">
        <f t="shared" si="75"/>
        <v>#DIV/0!</v>
      </c>
      <c r="U129" s="85">
        <f t="shared" si="76"/>
        <v>0</v>
      </c>
      <c r="V129" s="87">
        <f t="shared" si="77"/>
        <v>0</v>
      </c>
    </row>
    <row r="130" spans="1:22" x14ac:dyDescent="0.25">
      <c r="A130" s="121">
        <v>107</v>
      </c>
      <c r="B130" s="62" t="s">
        <v>166</v>
      </c>
      <c r="C130" s="63" t="s">
        <v>25</v>
      </c>
      <c r="D130" s="9">
        <v>113978672.69</v>
      </c>
      <c r="E130" s="3">
        <f t="shared" si="66"/>
        <v>2.8741679454384844E-3</v>
      </c>
      <c r="F130" s="4">
        <v>121.786</v>
      </c>
      <c r="G130" s="4">
        <v>122.28579999999999</v>
      </c>
      <c r="H130" s="60">
        <v>68</v>
      </c>
      <c r="I130" s="5">
        <v>1.098E-3</v>
      </c>
      <c r="J130" s="5">
        <v>0.1757</v>
      </c>
      <c r="K130" s="9">
        <v>113311989.48</v>
      </c>
      <c r="L130" s="16">
        <f t="shared" si="67"/>
        <v>2.9013050443772673E-3</v>
      </c>
      <c r="M130" s="4">
        <v>121.6793</v>
      </c>
      <c r="N130" s="4">
        <v>122.1776</v>
      </c>
      <c r="O130" s="60">
        <v>69</v>
      </c>
      <c r="P130" s="5">
        <v>-5.3000000000000001E-5</v>
      </c>
      <c r="Q130" s="5">
        <v>0.17469999999999999</v>
      </c>
      <c r="R130" s="85">
        <f t="shared" si="73"/>
        <v>-5.8491926100354159E-3</v>
      </c>
      <c r="S130" s="85">
        <f t="shared" si="74"/>
        <v>-8.8481246391646884E-4</v>
      </c>
      <c r="T130" s="85">
        <f t="shared" si="75"/>
        <v>1.4705882352941176E-2</v>
      </c>
      <c r="U130" s="85">
        <f t="shared" si="76"/>
        <v>-1.1510000000000001E-3</v>
      </c>
      <c r="V130" s="87">
        <f t="shared" si="77"/>
        <v>-1.0000000000000009E-3</v>
      </c>
    </row>
    <row r="131" spans="1:22" x14ac:dyDescent="0.25">
      <c r="A131" s="111">
        <v>108</v>
      </c>
      <c r="B131" s="62" t="s">
        <v>167</v>
      </c>
      <c r="C131" s="63" t="s">
        <v>65</v>
      </c>
      <c r="D131" s="9">
        <v>180309059.84</v>
      </c>
      <c r="E131" s="3">
        <f t="shared" si="66"/>
        <v>4.5468025537881672E-3</v>
      </c>
      <c r="F131" s="4">
        <v>113.35</v>
      </c>
      <c r="G131" s="4">
        <v>115.35</v>
      </c>
      <c r="H131" s="60">
        <v>29</v>
      </c>
      <c r="I131" s="5">
        <v>1E-3</v>
      </c>
      <c r="J131" s="5">
        <v>9.98E-2</v>
      </c>
      <c r="K131" s="9">
        <v>179609575.30000001</v>
      </c>
      <c r="L131" s="16">
        <f t="shared" si="67"/>
        <v>4.5988263839311129E-3</v>
      </c>
      <c r="M131" s="4">
        <v>113.59</v>
      </c>
      <c r="N131" s="4">
        <v>115.68</v>
      </c>
      <c r="O131" s="60">
        <v>28</v>
      </c>
      <c r="P131" s="5">
        <v>2.7000000000000001E-3</v>
      </c>
      <c r="Q131" s="5">
        <v>0.10249999999999999</v>
      </c>
      <c r="R131" s="85">
        <f t="shared" si="73"/>
        <v>-3.8793643570694115E-3</v>
      </c>
      <c r="S131" s="85">
        <f t="shared" si="74"/>
        <v>2.8608582574773519E-3</v>
      </c>
      <c r="T131" s="85">
        <f t="shared" si="75"/>
        <v>-3.4482758620689655E-2</v>
      </c>
      <c r="U131" s="85">
        <f t="shared" si="76"/>
        <v>1.7000000000000001E-3</v>
      </c>
      <c r="V131" s="87">
        <f t="shared" si="77"/>
        <v>2.6999999999999941E-3</v>
      </c>
    </row>
    <row r="132" spans="1:22" ht="15.75" customHeight="1" x14ac:dyDescent="0.25">
      <c r="A132" s="127">
        <v>109</v>
      </c>
      <c r="B132" s="62" t="s">
        <v>168</v>
      </c>
      <c r="C132" s="63" t="s">
        <v>68</v>
      </c>
      <c r="D132" s="2">
        <v>520105978.44</v>
      </c>
      <c r="E132" s="3">
        <f t="shared" si="66"/>
        <v>1.3115365323905209E-2</v>
      </c>
      <c r="F132" s="4">
        <v>1.2498</v>
      </c>
      <c r="G132" s="4">
        <v>1.2498</v>
      </c>
      <c r="H132" s="60">
        <v>108</v>
      </c>
      <c r="I132" s="5">
        <v>-0.10035797849972261</v>
      </c>
      <c r="J132" s="5">
        <v>0.29478298457726498</v>
      </c>
      <c r="K132" s="2">
        <v>512757935.19</v>
      </c>
      <c r="L132" s="16">
        <f t="shared" si="67"/>
        <v>1.312894770216525E-2</v>
      </c>
      <c r="M132" s="4">
        <v>1.2496</v>
      </c>
      <c r="N132" s="4">
        <v>1.2496</v>
      </c>
      <c r="O132" s="60">
        <v>107</v>
      </c>
      <c r="P132" s="5">
        <v>-7.9016301171164413E-3</v>
      </c>
      <c r="Q132" s="5">
        <v>0.28733104236771517</v>
      </c>
      <c r="R132" s="85">
        <f t="shared" si="73"/>
        <v>-1.4127973056644413E-2</v>
      </c>
      <c r="S132" s="85">
        <f t="shared" si="74"/>
        <v>-1.6002560409663784E-4</v>
      </c>
      <c r="T132" s="85">
        <f t="shared" si="75"/>
        <v>-9.2592592592592587E-3</v>
      </c>
      <c r="U132" s="85">
        <f t="shared" si="76"/>
        <v>9.2456348382606163E-2</v>
      </c>
      <c r="V132" s="87">
        <f t="shared" si="77"/>
        <v>-7.4519422095498111E-3</v>
      </c>
    </row>
    <row r="133" spans="1:22" x14ac:dyDescent="0.25">
      <c r="A133" s="121">
        <v>110</v>
      </c>
      <c r="B133" s="62" t="s">
        <v>169</v>
      </c>
      <c r="C133" s="63" t="s">
        <v>27</v>
      </c>
      <c r="D133" s="4">
        <v>6577029008.3699999</v>
      </c>
      <c r="E133" s="3">
        <f t="shared" si="66"/>
        <v>0.16585107990764159</v>
      </c>
      <c r="F133" s="4">
        <v>269.36</v>
      </c>
      <c r="G133" s="4">
        <v>271.77999999999997</v>
      </c>
      <c r="H133" s="60">
        <v>5461</v>
      </c>
      <c r="I133" s="5">
        <v>3.3E-3</v>
      </c>
      <c r="J133" s="5">
        <v>0.34889999999999999</v>
      </c>
      <c r="K133" s="4">
        <v>6592384160.9200001</v>
      </c>
      <c r="L133" s="16">
        <f t="shared" si="67"/>
        <v>0.16879517788297149</v>
      </c>
      <c r="M133" s="4">
        <v>249.62</v>
      </c>
      <c r="N133" s="4">
        <v>251.86</v>
      </c>
      <c r="O133" s="60">
        <v>5460</v>
      </c>
      <c r="P133" s="5">
        <v>-7.3300000000000004E-2</v>
      </c>
      <c r="Q133" s="5">
        <v>0.3478</v>
      </c>
      <c r="R133" s="85">
        <f t="shared" si="73"/>
        <v>2.3346639539614396E-3</v>
      </c>
      <c r="S133" s="85">
        <f t="shared" si="74"/>
        <v>-7.3294576495694902E-2</v>
      </c>
      <c r="T133" s="85">
        <f t="shared" si="75"/>
        <v>-1.8311664530305805E-4</v>
      </c>
      <c r="U133" s="85">
        <f t="shared" si="76"/>
        <v>-7.6600000000000001E-2</v>
      </c>
      <c r="V133" s="87">
        <f t="shared" si="77"/>
        <v>-1.0999999999999899E-3</v>
      </c>
    </row>
    <row r="134" spans="1:22" x14ac:dyDescent="0.25">
      <c r="A134" s="121">
        <v>111</v>
      </c>
      <c r="B134" s="62" t="s">
        <v>170</v>
      </c>
      <c r="C134" s="63" t="s">
        <v>73</v>
      </c>
      <c r="D134" s="4">
        <v>2317462363.21</v>
      </c>
      <c r="E134" s="3">
        <f t="shared" si="66"/>
        <v>5.8438792818848902E-2</v>
      </c>
      <c r="F134" s="4">
        <v>1.6142000000000001</v>
      </c>
      <c r="G134" s="4">
        <v>1.6392</v>
      </c>
      <c r="H134" s="60">
        <v>10316</v>
      </c>
      <c r="I134" s="5">
        <v>2E-3</v>
      </c>
      <c r="J134" s="5">
        <v>0.25330000000000003</v>
      </c>
      <c r="K134" s="4">
        <v>2329768233.9699998</v>
      </c>
      <c r="L134" s="16">
        <f t="shared" si="67"/>
        <v>5.9652719544211447E-2</v>
      </c>
      <c r="M134" s="4">
        <v>1.6226</v>
      </c>
      <c r="N134" s="4">
        <v>1.6476999999999999</v>
      </c>
      <c r="O134" s="60">
        <v>10316</v>
      </c>
      <c r="P134" s="5">
        <v>5.1999999999999998E-3</v>
      </c>
      <c r="Q134" s="5">
        <v>0.25979999999999998</v>
      </c>
      <c r="R134" s="85">
        <f t="shared" si="73"/>
        <v>5.3100628322414051E-3</v>
      </c>
      <c r="S134" s="85">
        <f t="shared" si="74"/>
        <v>5.1854563201561444E-3</v>
      </c>
      <c r="T134" s="85">
        <f t="shared" si="75"/>
        <v>0</v>
      </c>
      <c r="U134" s="85">
        <f t="shared" si="76"/>
        <v>3.1999999999999997E-3</v>
      </c>
      <c r="V134" s="87">
        <f t="shared" si="77"/>
        <v>6.4999999999999503E-3</v>
      </c>
    </row>
    <row r="135" spans="1:22" x14ac:dyDescent="0.25">
      <c r="A135" s="126">
        <v>112</v>
      </c>
      <c r="B135" s="62" t="s">
        <v>171</v>
      </c>
      <c r="C135" s="63" t="s">
        <v>75</v>
      </c>
      <c r="D135" s="4">
        <v>158178086.0637821</v>
      </c>
      <c r="E135" s="3">
        <f t="shared" si="66"/>
        <v>3.9887320487740664E-3</v>
      </c>
      <c r="F135" s="4">
        <v>103.32828432908191</v>
      </c>
      <c r="G135" s="4">
        <v>108.42103250487104</v>
      </c>
      <c r="H135" s="60">
        <v>39</v>
      </c>
      <c r="I135" s="5">
        <v>5.7006716041361205E-3</v>
      </c>
      <c r="J135" s="5">
        <v>-7.8275876421322194E-2</v>
      </c>
      <c r="K135" s="4">
        <v>158178086.0637821</v>
      </c>
      <c r="L135" s="16">
        <f t="shared" si="67"/>
        <v>4.0500822650174559E-3</v>
      </c>
      <c r="M135" s="4">
        <v>103.24750094450032</v>
      </c>
      <c r="N135" s="4">
        <v>108.38068816973268</v>
      </c>
      <c r="O135" s="60">
        <v>39</v>
      </c>
      <c r="P135" s="5">
        <v>-3.7210801452702835E-4</v>
      </c>
      <c r="Q135" s="5">
        <v>-7.8675876421322205E-2</v>
      </c>
      <c r="R135" s="85">
        <f t="shared" si="73"/>
        <v>0</v>
      </c>
      <c r="S135" s="85">
        <f t="shared" si="74"/>
        <v>-3.7210801452702152E-4</v>
      </c>
      <c r="T135" s="85">
        <f t="shared" si="75"/>
        <v>0</v>
      </c>
      <c r="U135" s="85">
        <f t="shared" si="76"/>
        <v>-6.0727796186631489E-3</v>
      </c>
      <c r="V135" s="87">
        <f t="shared" si="77"/>
        <v>-4.0000000000001146E-4</v>
      </c>
    </row>
    <row r="136" spans="1:22" ht="13.5" customHeight="1" x14ac:dyDescent="0.25">
      <c r="A136" s="122">
        <v>113</v>
      </c>
      <c r="B136" s="62" t="s">
        <v>172</v>
      </c>
      <c r="C136" s="63" t="s">
        <v>33</v>
      </c>
      <c r="D136" s="2">
        <v>2621636497.9835</v>
      </c>
      <c r="E136" s="3">
        <f t="shared" si="66"/>
        <v>6.6109065926654456E-2</v>
      </c>
      <c r="F136" s="4">
        <v>3.6292</v>
      </c>
      <c r="G136" s="4">
        <v>3.6987999999999999</v>
      </c>
      <c r="H136" s="60">
        <v>2257</v>
      </c>
      <c r="I136" s="5">
        <v>-2.8931996032183216E-3</v>
      </c>
      <c r="J136" s="5">
        <v>0.17277028778843673</v>
      </c>
      <c r="K136" s="2">
        <v>2639010872.4537001</v>
      </c>
      <c r="L136" s="16">
        <f t="shared" si="67"/>
        <v>6.7570745086668771E-2</v>
      </c>
      <c r="M136" s="4">
        <v>3.6352000000000002</v>
      </c>
      <c r="N136" s="4">
        <v>3.7040000000000002</v>
      </c>
      <c r="O136" s="60">
        <v>2244</v>
      </c>
      <c r="P136" s="5">
        <v>4.5999999999999999E-3</v>
      </c>
      <c r="Q136" s="5">
        <v>0.17810000000000001</v>
      </c>
      <c r="R136" s="85">
        <f t="shared" si="73"/>
        <v>6.6273011088928673E-3</v>
      </c>
      <c r="S136" s="85">
        <f t="shared" si="74"/>
        <v>1.4058613604413096E-3</v>
      </c>
      <c r="T136" s="85">
        <f t="shared" si="75"/>
        <v>-5.7598582188746125E-3</v>
      </c>
      <c r="U136" s="85">
        <f t="shared" si="76"/>
        <v>7.4931996032183215E-3</v>
      </c>
      <c r="V136" s="87">
        <f t="shared" si="77"/>
        <v>5.3297122115632811E-3</v>
      </c>
    </row>
    <row r="137" spans="1:22" x14ac:dyDescent="0.25">
      <c r="A137" s="121">
        <v>114</v>
      </c>
      <c r="B137" s="62" t="s">
        <v>173</v>
      </c>
      <c r="C137" s="63" t="s">
        <v>116</v>
      </c>
      <c r="D137" s="2">
        <v>176311105.05000001</v>
      </c>
      <c r="E137" s="3">
        <f t="shared" si="66"/>
        <v>4.4459872588427434E-3</v>
      </c>
      <c r="F137" s="4">
        <v>168.03627</v>
      </c>
      <c r="G137" s="4">
        <v>172.49496400000001</v>
      </c>
      <c r="H137" s="60">
        <v>138</v>
      </c>
      <c r="I137" s="5">
        <v>-4.5999999999999999E-3</v>
      </c>
      <c r="J137" s="5">
        <v>0.11550000000000001</v>
      </c>
      <c r="K137" s="2">
        <v>176549540.43000001</v>
      </c>
      <c r="L137" s="16">
        <f t="shared" si="67"/>
        <v>4.5204754993950292E-3</v>
      </c>
      <c r="M137" s="4">
        <v>168.26351500000001</v>
      </c>
      <c r="N137" s="4">
        <v>172.82102</v>
      </c>
      <c r="O137" s="60">
        <v>138</v>
      </c>
      <c r="P137" s="5">
        <v>1.1000000000000001E-3</v>
      </c>
      <c r="Q137" s="5">
        <v>0.1477</v>
      </c>
      <c r="R137" s="85">
        <f t="shared" si="73"/>
        <v>1.3523559955703154E-3</v>
      </c>
      <c r="S137" s="85">
        <f t="shared" si="74"/>
        <v>1.890234894045916E-3</v>
      </c>
      <c r="T137" s="85">
        <f t="shared" si="75"/>
        <v>0</v>
      </c>
      <c r="U137" s="85">
        <f t="shared" si="76"/>
        <v>5.7000000000000002E-3</v>
      </c>
      <c r="V137" s="87">
        <f t="shared" si="77"/>
        <v>3.2199999999999993E-2</v>
      </c>
    </row>
    <row r="138" spans="1:22" x14ac:dyDescent="0.25">
      <c r="A138" s="126">
        <v>115</v>
      </c>
      <c r="B138" s="62" t="s">
        <v>174</v>
      </c>
      <c r="C138" s="63" t="s">
        <v>29</v>
      </c>
      <c r="D138" s="2">
        <v>1505721417.29</v>
      </c>
      <c r="E138" s="3">
        <f t="shared" si="66"/>
        <v>3.7969351021533836E-2</v>
      </c>
      <c r="F138" s="4">
        <v>552.20000000000005</v>
      </c>
      <c r="G138" s="4">
        <v>552.20000000000005</v>
      </c>
      <c r="H138" s="60">
        <v>0</v>
      </c>
      <c r="I138" s="5">
        <v>-5.7500000000000002E-2</v>
      </c>
      <c r="J138" s="5">
        <v>0.30828</v>
      </c>
      <c r="K138" s="2">
        <v>1507370830.48</v>
      </c>
      <c r="L138" s="16">
        <f t="shared" ref="L138:L145" si="78">(K138/$K$146)</f>
        <v>3.8595585641806124E-2</v>
      </c>
      <c r="M138" s="4">
        <v>552.20000000000005</v>
      </c>
      <c r="N138" s="4">
        <v>552.20000000000005</v>
      </c>
      <c r="O138" s="60">
        <v>0</v>
      </c>
      <c r="P138" s="5">
        <v>1.0950000000000001E-3</v>
      </c>
      <c r="Q138" s="5">
        <v>0.30969999999999998</v>
      </c>
      <c r="R138" s="85">
        <f t="shared" si="73"/>
        <v>1.0954305166015863E-3</v>
      </c>
      <c r="S138" s="85">
        <f t="shared" si="74"/>
        <v>0</v>
      </c>
      <c r="T138" s="85" t="e">
        <f t="shared" si="75"/>
        <v>#DIV/0!</v>
      </c>
      <c r="U138" s="85">
        <f t="shared" si="76"/>
        <v>5.8595000000000001E-2</v>
      </c>
      <c r="V138" s="87">
        <f t="shared" si="77"/>
        <v>1.4199999999999768E-3</v>
      </c>
    </row>
    <row r="139" spans="1:22" x14ac:dyDescent="0.25">
      <c r="A139" s="126">
        <v>116</v>
      </c>
      <c r="B139" s="62" t="s">
        <v>175</v>
      </c>
      <c r="C139" s="63" t="s">
        <v>82</v>
      </c>
      <c r="D139" s="2">
        <v>24358195.620000001</v>
      </c>
      <c r="E139" s="3">
        <f t="shared" si="66"/>
        <v>6.142337281829606E-4</v>
      </c>
      <c r="F139" s="4">
        <v>1.54</v>
      </c>
      <c r="G139" s="4">
        <v>1.54</v>
      </c>
      <c r="H139" s="60">
        <v>7</v>
      </c>
      <c r="I139" s="5">
        <v>2.4380000000000001E-3</v>
      </c>
      <c r="J139" s="5">
        <v>0.26999099999999998</v>
      </c>
      <c r="K139" s="2">
        <v>24690759.379999999</v>
      </c>
      <c r="L139" s="16">
        <f t="shared" si="78"/>
        <v>6.3219633745238625E-4</v>
      </c>
      <c r="M139" s="4">
        <v>1.55</v>
      </c>
      <c r="N139" s="4">
        <v>1.55</v>
      </c>
      <c r="O139" s="60">
        <v>8</v>
      </c>
      <c r="P139" s="5">
        <v>9.5119999999999996E-3</v>
      </c>
      <c r="Q139" s="5">
        <v>0.28207199999999999</v>
      </c>
      <c r="R139" s="85">
        <f t="shared" si="73"/>
        <v>1.3653053994152868E-2</v>
      </c>
      <c r="S139" s="85">
        <f t="shared" si="74"/>
        <v>6.4935064935064991E-3</v>
      </c>
      <c r="T139" s="85">
        <f t="shared" si="75"/>
        <v>0.14285714285714285</v>
      </c>
      <c r="U139" s="85">
        <f t="shared" si="76"/>
        <v>7.0739999999999996E-3</v>
      </c>
      <c r="V139" s="87">
        <f t="shared" si="77"/>
        <v>1.2081000000000008E-2</v>
      </c>
    </row>
    <row r="140" spans="1:22" x14ac:dyDescent="0.25">
      <c r="A140" s="124">
        <v>117</v>
      </c>
      <c r="B140" s="62" t="s">
        <v>176</v>
      </c>
      <c r="C140" s="63" t="s">
        <v>39</v>
      </c>
      <c r="D140" s="4">
        <v>199921958.11000001</v>
      </c>
      <c r="E140" s="3">
        <f t="shared" si="66"/>
        <v>5.0413754611082721E-3</v>
      </c>
      <c r="F140" s="4">
        <v>2.031291</v>
      </c>
      <c r="G140" s="4">
        <v>2.076797</v>
      </c>
      <c r="H140" s="60">
        <v>112</v>
      </c>
      <c r="I140" s="5">
        <v>7.5144912552769897E-4</v>
      </c>
      <c r="J140" s="5">
        <v>0.29189999999999999</v>
      </c>
      <c r="K140" s="4">
        <v>200581733.56</v>
      </c>
      <c r="L140" s="16">
        <f t="shared" si="78"/>
        <v>5.1358095295845211E-3</v>
      </c>
      <c r="M140" s="4">
        <v>2.04</v>
      </c>
      <c r="N140" s="4">
        <v>2.08</v>
      </c>
      <c r="O140" s="60">
        <v>112</v>
      </c>
      <c r="P140" s="5">
        <v>7.5144912552769897E-4</v>
      </c>
      <c r="Q140" s="5">
        <v>0.29620000000000002</v>
      </c>
      <c r="R140" s="85">
        <f t="shared" si="73"/>
        <v>3.3001650055716736E-3</v>
      </c>
      <c r="S140" s="85">
        <f t="shared" si="74"/>
        <v>1.5422788072209594E-3</v>
      </c>
      <c r="T140" s="85">
        <f t="shared" si="75"/>
        <v>0</v>
      </c>
      <c r="U140" s="85">
        <f t="shared" si="76"/>
        <v>0</v>
      </c>
      <c r="V140" s="87">
        <f t="shared" si="77"/>
        <v>4.300000000000026E-3</v>
      </c>
    </row>
    <row r="141" spans="1:22" x14ac:dyDescent="0.25">
      <c r="A141" s="125">
        <v>118</v>
      </c>
      <c r="B141" s="62" t="s">
        <v>177</v>
      </c>
      <c r="C141" s="63" t="s">
        <v>43</v>
      </c>
      <c r="D141" s="2">
        <v>2061302777.21</v>
      </c>
      <c r="E141" s="3">
        <f t="shared" si="66"/>
        <v>5.1979289004477951E-2</v>
      </c>
      <c r="F141" s="4">
        <v>4628.59</v>
      </c>
      <c r="G141" s="4">
        <v>4665.24</v>
      </c>
      <c r="H141" s="60">
        <v>3985</v>
      </c>
      <c r="I141" s="5">
        <v>1E-3</v>
      </c>
      <c r="J141" s="5">
        <v>0.26869999999999999</v>
      </c>
      <c r="K141" s="2">
        <v>2036455779.9300001</v>
      </c>
      <c r="L141" s="3">
        <f t="shared" si="78"/>
        <v>5.2142579563524499E-2</v>
      </c>
      <c r="M141" s="4">
        <v>4560.6899999999996</v>
      </c>
      <c r="N141" s="4">
        <v>4596.91</v>
      </c>
      <c r="O141" s="60">
        <v>3468</v>
      </c>
      <c r="P141" s="5">
        <v>-1.46E-2</v>
      </c>
      <c r="Q141" s="5">
        <v>0.25009999999999999</v>
      </c>
      <c r="R141" s="85">
        <f t="shared" si="73"/>
        <v>-1.2054026004675889E-2</v>
      </c>
      <c r="S141" s="85">
        <f t="shared" si="74"/>
        <v>-1.464662053827883E-2</v>
      </c>
      <c r="T141" s="85">
        <f t="shared" si="75"/>
        <v>-0.12973651191969887</v>
      </c>
      <c r="U141" s="85">
        <f t="shared" si="76"/>
        <v>-1.5599999999999999E-2</v>
      </c>
      <c r="V141" s="87">
        <f t="shared" si="77"/>
        <v>-1.8600000000000005E-2</v>
      </c>
    </row>
    <row r="142" spans="1:22" x14ac:dyDescent="0.25">
      <c r="A142" s="124">
        <v>119</v>
      </c>
      <c r="B142" s="62" t="s">
        <v>178</v>
      </c>
      <c r="C142" s="63" t="s">
        <v>46</v>
      </c>
      <c r="D142" s="4">
        <v>1531719083.55</v>
      </c>
      <c r="E142" s="3">
        <f t="shared" si="66"/>
        <v>3.8624926817050674E-2</v>
      </c>
      <c r="F142" s="4">
        <v>1.7144999999999999</v>
      </c>
      <c r="G142" s="4">
        <v>1.7249000000000001</v>
      </c>
      <c r="H142" s="60">
        <v>1851</v>
      </c>
      <c r="I142" s="5" t="s">
        <v>243</v>
      </c>
      <c r="J142" s="5" t="s">
        <v>244</v>
      </c>
      <c r="K142" s="4">
        <v>1527507029.9100001</v>
      </c>
      <c r="L142" s="16">
        <f t="shared" si="78"/>
        <v>3.9111164419029495E-2</v>
      </c>
      <c r="M142" s="4">
        <v>1.7093</v>
      </c>
      <c r="N142" s="4">
        <v>1.7196</v>
      </c>
      <c r="O142" s="60">
        <v>1858</v>
      </c>
      <c r="P142" s="5">
        <v>-3.0000000000000001E-3</v>
      </c>
      <c r="Q142" s="5">
        <v>0.31979999999999997</v>
      </c>
      <c r="R142" s="85">
        <f t="shared" si="73"/>
        <v>-2.7498865067593003E-3</v>
      </c>
      <c r="S142" s="85">
        <f t="shared" si="74"/>
        <v>-3.0726418922836581E-3</v>
      </c>
      <c r="T142" s="85">
        <f t="shared" si="75"/>
        <v>3.7817396002160996E-3</v>
      </c>
      <c r="U142" s="85" t="e">
        <f t="shared" si="76"/>
        <v>#VALUE!</v>
      </c>
      <c r="V142" s="87" t="e">
        <f t="shared" si="77"/>
        <v>#VALUE!</v>
      </c>
    </row>
    <row r="143" spans="1:22" x14ac:dyDescent="0.25">
      <c r="A143" s="124">
        <v>120</v>
      </c>
      <c r="B143" s="62" t="s">
        <v>179</v>
      </c>
      <c r="C143" s="63" t="s">
        <v>46</v>
      </c>
      <c r="D143" s="4">
        <v>810818589.29999995</v>
      </c>
      <c r="E143" s="3">
        <f t="shared" si="66"/>
        <v>2.0446182991356882E-2</v>
      </c>
      <c r="F143" s="4">
        <v>1.3178000000000001</v>
      </c>
      <c r="G143" s="4">
        <v>1.3289</v>
      </c>
      <c r="H143" s="60">
        <v>442</v>
      </c>
      <c r="I143" s="5" t="s">
        <v>245</v>
      </c>
      <c r="J143" s="5">
        <v>0.22869999999999999</v>
      </c>
      <c r="K143" s="4">
        <v>810343715.69000006</v>
      </c>
      <c r="L143" s="16">
        <f t="shared" si="78"/>
        <v>2.0748504379810448E-2</v>
      </c>
      <c r="M143" s="4">
        <v>1.3231999999999999</v>
      </c>
      <c r="N143" s="4">
        <v>1.3323</v>
      </c>
      <c r="O143" s="60">
        <v>445</v>
      </c>
      <c r="P143" s="5">
        <v>-4.1000000000000003E-3</v>
      </c>
      <c r="Q143" s="5">
        <v>0.2334</v>
      </c>
      <c r="R143" s="85">
        <f t="shared" si="73"/>
        <v>-5.8567183370803746E-4</v>
      </c>
      <c r="S143" s="85">
        <f t="shared" si="74"/>
        <v>2.558507035894401E-3</v>
      </c>
      <c r="T143" s="85">
        <f t="shared" si="75"/>
        <v>6.7873303167420816E-3</v>
      </c>
      <c r="U143" s="85" t="e">
        <f t="shared" si="76"/>
        <v>#VALUE!</v>
      </c>
      <c r="V143" s="87">
        <f t="shared" si="77"/>
        <v>4.7000000000000097E-3</v>
      </c>
    </row>
    <row r="144" spans="1:22" x14ac:dyDescent="0.25">
      <c r="A144" s="121">
        <v>121</v>
      </c>
      <c r="B144" s="62" t="s">
        <v>180</v>
      </c>
      <c r="C144" s="63" t="s">
        <v>89</v>
      </c>
      <c r="D144" s="4">
        <v>6595797580.8000002</v>
      </c>
      <c r="E144" s="3">
        <f t="shared" si="66"/>
        <v>0.16632436168910841</v>
      </c>
      <c r="F144" s="4">
        <v>293.51</v>
      </c>
      <c r="G144" s="4">
        <v>296.79000000000002</v>
      </c>
      <c r="H144" s="60">
        <v>0</v>
      </c>
      <c r="I144" s="5" t="s">
        <v>246</v>
      </c>
      <c r="J144" s="5" t="s">
        <v>247</v>
      </c>
      <c r="K144" s="4">
        <v>5938491014.3100004</v>
      </c>
      <c r="L144" s="16">
        <f t="shared" si="78"/>
        <v>0.15205252343440434</v>
      </c>
      <c r="M144" s="4">
        <v>291.77</v>
      </c>
      <c r="N144" s="4">
        <v>295.08</v>
      </c>
      <c r="O144" s="60">
        <v>0</v>
      </c>
      <c r="P144" s="5" t="s">
        <v>252</v>
      </c>
      <c r="Q144" s="5">
        <v>0.54830000000000001</v>
      </c>
      <c r="R144" s="85">
        <f t="shared" si="73"/>
        <v>-9.9655357587592225E-2</v>
      </c>
      <c r="S144" s="85">
        <f t="shared" si="74"/>
        <v>-5.7616496512686959E-3</v>
      </c>
      <c r="T144" s="85" t="e">
        <f t="shared" si="75"/>
        <v>#DIV/0!</v>
      </c>
      <c r="U144" s="85" t="e">
        <f t="shared" si="76"/>
        <v>#VALUE!</v>
      </c>
      <c r="V144" s="87" t="e">
        <f t="shared" si="77"/>
        <v>#VALUE!</v>
      </c>
    </row>
    <row r="145" spans="1:24" x14ac:dyDescent="0.25">
      <c r="A145" s="128">
        <v>122</v>
      </c>
      <c r="B145" s="62" t="s">
        <v>181</v>
      </c>
      <c r="C145" s="63" t="s">
        <v>41</v>
      </c>
      <c r="D145" s="2">
        <v>257072331.25</v>
      </c>
      <c r="E145" s="3">
        <f t="shared" si="66"/>
        <v>6.482520253130823E-3</v>
      </c>
      <c r="F145" s="4">
        <v>186.31</v>
      </c>
      <c r="G145" s="4">
        <v>189.14</v>
      </c>
      <c r="H145" s="60">
        <v>734</v>
      </c>
      <c r="I145" s="5">
        <v>1.43E-2</v>
      </c>
      <c r="J145" s="5">
        <v>0.34370000000000001</v>
      </c>
      <c r="K145" s="2">
        <v>259978899.36000001</v>
      </c>
      <c r="L145" s="16">
        <f t="shared" si="78"/>
        <v>6.6566485647836142E-3</v>
      </c>
      <c r="M145" s="4">
        <v>187.44</v>
      </c>
      <c r="N145" s="4">
        <v>190.3</v>
      </c>
      <c r="O145" s="60">
        <v>734</v>
      </c>
      <c r="P145" s="5">
        <v>5.3E-3</v>
      </c>
      <c r="Q145" s="5">
        <v>0.35089999999999999</v>
      </c>
      <c r="R145" s="85">
        <f t="shared" si="73"/>
        <v>1.1306421410141603E-2</v>
      </c>
      <c r="S145" s="85">
        <f t="shared" si="74"/>
        <v>6.1330231574496406E-3</v>
      </c>
      <c r="T145" s="85">
        <f t="shared" si="75"/>
        <v>0</v>
      </c>
      <c r="U145" s="85">
        <f t="shared" si="76"/>
        <v>-9.0000000000000011E-3</v>
      </c>
      <c r="V145" s="87">
        <f t="shared" si="77"/>
        <v>7.1999999999999842E-3</v>
      </c>
    </row>
    <row r="146" spans="1:24" x14ac:dyDescent="0.25">
      <c r="A146" s="88"/>
      <c r="B146" s="19"/>
      <c r="C146" s="75" t="s">
        <v>47</v>
      </c>
      <c r="D146" s="76">
        <f>SUM(D122:D145)</f>
        <v>39656232639.742752</v>
      </c>
      <c r="E146" s="120">
        <f>(D146/$D$170)</f>
        <v>2.049401967943839E-2</v>
      </c>
      <c r="F146" s="30"/>
      <c r="G146" s="36"/>
      <c r="H146" s="69">
        <f>SUM(H122:H145)</f>
        <v>69723</v>
      </c>
      <c r="I146" s="37"/>
      <c r="J146" s="37"/>
      <c r="K146" s="76">
        <f>SUM(K122:K145)</f>
        <v>39055524237.135551</v>
      </c>
      <c r="L146" s="120">
        <f>(K146/$K$170)</f>
        <v>1.9913797606105083E-2</v>
      </c>
      <c r="M146" s="30"/>
      <c r="N146" s="36"/>
      <c r="O146" s="69">
        <f>SUM(O122:O145)</f>
        <v>69206</v>
      </c>
      <c r="P146" s="37"/>
      <c r="Q146" s="37"/>
      <c r="R146" s="85">
        <f t="shared" si="73"/>
        <v>-1.5147893852256194E-2</v>
      </c>
      <c r="S146" s="85" t="e">
        <f t="shared" si="74"/>
        <v>#DIV/0!</v>
      </c>
      <c r="T146" s="85">
        <f t="shared" si="75"/>
        <v>-7.4150567244668187E-3</v>
      </c>
      <c r="U146" s="85">
        <f t="shared" si="76"/>
        <v>0</v>
      </c>
      <c r="V146" s="87">
        <f t="shared" si="77"/>
        <v>0</v>
      </c>
    </row>
    <row r="147" spans="1:24" ht="8.25" customHeigh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4" ht="15" customHeight="1" x14ac:dyDescent="0.25">
      <c r="A148" s="138" t="s">
        <v>182</v>
      </c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</row>
    <row r="149" spans="1:24" x14ac:dyDescent="0.25">
      <c r="A149" s="128">
        <v>123</v>
      </c>
      <c r="B149" s="62" t="s">
        <v>183</v>
      </c>
      <c r="C149" s="63" t="s">
        <v>21</v>
      </c>
      <c r="D149" s="17">
        <v>697414469.25</v>
      </c>
      <c r="E149" s="3">
        <f>(D149/$D$152)</f>
        <v>0.18012506745853463</v>
      </c>
      <c r="F149" s="17">
        <v>51.695999999999998</v>
      </c>
      <c r="G149" s="17">
        <v>53.2547</v>
      </c>
      <c r="H149" s="64">
        <v>1388</v>
      </c>
      <c r="I149" s="6">
        <v>-8.43E-2</v>
      </c>
      <c r="J149" s="6">
        <v>0.17599999999999999</v>
      </c>
      <c r="K149" s="17">
        <v>702030465.40999997</v>
      </c>
      <c r="L149" s="16">
        <f>(K149/$K$152)</f>
        <v>0.18245676624416371</v>
      </c>
      <c r="M149" s="17">
        <v>51.955300000000001</v>
      </c>
      <c r="N149" s="17">
        <v>53.521799999999999</v>
      </c>
      <c r="O149" s="64">
        <v>1390</v>
      </c>
      <c r="P149" s="6">
        <v>0.26150000000000001</v>
      </c>
      <c r="Q149" s="6">
        <v>0.17899999999999999</v>
      </c>
      <c r="R149" s="85">
        <f t="shared" ref="R149" si="79">((K149-D149)/D149)</f>
        <v>6.6187272612281932E-3</v>
      </c>
      <c r="S149" s="85">
        <f t="shared" ref="S149" si="80">((N149-G149)/G149)</f>
        <v>5.0155197569416261E-3</v>
      </c>
      <c r="T149" s="85">
        <f t="shared" ref="T149" si="81">((O149-H149)/H149)</f>
        <v>1.440922190201729E-3</v>
      </c>
      <c r="U149" s="85">
        <f t="shared" ref="U149" si="82">P149-I149</f>
        <v>0.3458</v>
      </c>
      <c r="V149" s="87">
        <f t="shared" ref="V149" si="83">Q149-J149</f>
        <v>3.0000000000000027E-3</v>
      </c>
    </row>
    <row r="150" spans="1:24" x14ac:dyDescent="0.25">
      <c r="A150" s="126">
        <v>124</v>
      </c>
      <c r="B150" s="62" t="s">
        <v>184</v>
      </c>
      <c r="C150" s="63" t="s">
        <v>185</v>
      </c>
      <c r="D150" s="110">
        <v>774046518.29999995</v>
      </c>
      <c r="E150" s="3">
        <f>(D150/$D$152)</f>
        <v>0.1999172478809757</v>
      </c>
      <c r="F150" s="17">
        <v>21.2546</v>
      </c>
      <c r="G150" s="17">
        <v>21.4801</v>
      </c>
      <c r="H150" s="60">
        <v>1508</v>
      </c>
      <c r="I150" s="5">
        <v>5.3E-3</v>
      </c>
      <c r="J150" s="5">
        <v>0.34499999999999997</v>
      </c>
      <c r="K150" s="110">
        <v>771249452.75</v>
      </c>
      <c r="L150" s="16">
        <f>(K150/$K$152)</f>
        <v>0.20044668721629169</v>
      </c>
      <c r="M150" s="17">
        <v>20.98</v>
      </c>
      <c r="N150" s="17">
        <v>21.1995</v>
      </c>
      <c r="O150" s="60">
        <v>1508</v>
      </c>
      <c r="P150" s="5">
        <v>5.3E-3</v>
      </c>
      <c r="Q150" s="5">
        <v>0.3276</v>
      </c>
      <c r="R150" s="85">
        <f t="shared" ref="R150:R152" si="84">((K150-D150)/D150)</f>
        <v>-3.6135626010475558E-3</v>
      </c>
      <c r="S150" s="85">
        <f t="shared" ref="S150:S152" si="85">((N150-G150)/G150)</f>
        <v>-1.3063253895466023E-2</v>
      </c>
      <c r="T150" s="85">
        <f t="shared" ref="T150:T152" si="86">((O150-H150)/H150)</f>
        <v>0</v>
      </c>
      <c r="U150" s="85">
        <f t="shared" ref="U150:U152" si="87">P150-I150</f>
        <v>0</v>
      </c>
      <c r="V150" s="87">
        <f t="shared" ref="V150:V152" si="88">Q150-J150</f>
        <v>-1.7399999999999971E-2</v>
      </c>
    </row>
    <row r="151" spans="1:24" x14ac:dyDescent="0.25">
      <c r="A151" s="125">
        <v>125</v>
      </c>
      <c r="B151" s="62" t="s">
        <v>186</v>
      </c>
      <c r="C151" s="63" t="s">
        <v>43</v>
      </c>
      <c r="D151" s="9">
        <v>2400373616.54</v>
      </c>
      <c r="E151" s="3">
        <f>(D151/$D$152)</f>
        <v>0.61995768466048962</v>
      </c>
      <c r="F151" s="17">
        <v>1.91</v>
      </c>
      <c r="G151" s="17">
        <v>1.93</v>
      </c>
      <c r="H151" s="60">
        <v>17915</v>
      </c>
      <c r="I151" s="5">
        <v>0</v>
      </c>
      <c r="J151" s="5">
        <v>0.34029999999999999</v>
      </c>
      <c r="K151" s="9">
        <v>2374373856.8200002</v>
      </c>
      <c r="L151" s="16">
        <f>(K151/$K$152)</f>
        <v>0.6170965465395446</v>
      </c>
      <c r="M151" s="17">
        <v>1.89</v>
      </c>
      <c r="N151" s="17">
        <v>1.91</v>
      </c>
      <c r="O151" s="60">
        <v>17748</v>
      </c>
      <c r="P151" s="5">
        <v>-1.04E-2</v>
      </c>
      <c r="Q151" s="5">
        <v>0.32640000000000002</v>
      </c>
      <c r="R151" s="85">
        <f t="shared" si="84"/>
        <v>-1.0831547031197979E-2</v>
      </c>
      <c r="S151" s="85">
        <f t="shared" si="85"/>
        <v>-1.0362694300518144E-2</v>
      </c>
      <c r="T151" s="85">
        <f t="shared" si="86"/>
        <v>-9.3217973765001398E-3</v>
      </c>
      <c r="U151" s="85">
        <f t="shared" si="87"/>
        <v>-1.04E-2</v>
      </c>
      <c r="V151" s="87">
        <f t="shared" si="88"/>
        <v>-1.3899999999999968E-2</v>
      </c>
    </row>
    <row r="152" spans="1:24" x14ac:dyDescent="0.25">
      <c r="A152" s="79"/>
      <c r="B152" s="19"/>
      <c r="C152" s="70" t="s">
        <v>47</v>
      </c>
      <c r="D152" s="76">
        <f>SUM(D149:D151)</f>
        <v>3871834604.0900002</v>
      </c>
      <c r="E152" s="120">
        <f>(D152/$D$170)</f>
        <v>2.0009327485190419E-3</v>
      </c>
      <c r="F152" s="30"/>
      <c r="G152" s="36"/>
      <c r="H152" s="69">
        <f>SUM(H149:H151)</f>
        <v>20811</v>
      </c>
      <c r="I152" s="37"/>
      <c r="J152" s="37"/>
      <c r="K152" s="76">
        <f>SUM(K149:K151)</f>
        <v>3847653774.98</v>
      </c>
      <c r="L152" s="120">
        <f>(K152/$K$170)</f>
        <v>1.9618581501580057E-3</v>
      </c>
      <c r="M152" s="30"/>
      <c r="N152" s="36"/>
      <c r="O152" s="69">
        <f>SUM(O149:O151)</f>
        <v>20646</v>
      </c>
      <c r="P152" s="37"/>
      <c r="Q152" s="37"/>
      <c r="R152" s="85">
        <f t="shared" si="84"/>
        <v>-6.2453156145814677E-3</v>
      </c>
      <c r="S152" s="85" t="e">
        <f t="shared" si="85"/>
        <v>#DIV/0!</v>
      </c>
      <c r="T152" s="85">
        <f t="shared" si="86"/>
        <v>-7.9284993513045986E-3</v>
      </c>
      <c r="U152" s="85">
        <f t="shared" si="87"/>
        <v>0</v>
      </c>
      <c r="V152" s="87">
        <f t="shared" si="88"/>
        <v>0</v>
      </c>
    </row>
    <row r="153" spans="1:24" ht="6" customHeight="1" x14ac:dyDescent="0.25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4" ht="15" customHeight="1" x14ac:dyDescent="0.25">
      <c r="A154" s="138" t="s">
        <v>187</v>
      </c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</row>
    <row r="155" spans="1:24" x14ac:dyDescent="0.25">
      <c r="A155" s="142" t="s">
        <v>236</v>
      </c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</row>
    <row r="156" spans="1:24" x14ac:dyDescent="0.25">
      <c r="A156" s="126">
        <v>126</v>
      </c>
      <c r="B156" s="62" t="s">
        <v>188</v>
      </c>
      <c r="C156" s="63" t="s">
        <v>189</v>
      </c>
      <c r="D156" s="13">
        <v>3696884388.0300002</v>
      </c>
      <c r="E156" s="3">
        <f>(D156/$D$169)</f>
        <v>8.1503209869816365E-2</v>
      </c>
      <c r="F156" s="18">
        <v>1.81</v>
      </c>
      <c r="G156" s="18">
        <v>1.85</v>
      </c>
      <c r="H156" s="61">
        <v>14979</v>
      </c>
      <c r="I156" s="12">
        <v>7.9000000000000008E-3</v>
      </c>
      <c r="J156" s="12">
        <v>0.13639999999999999</v>
      </c>
      <c r="K156" s="13">
        <v>3708723659.52</v>
      </c>
      <c r="L156" s="3">
        <f>(K156/$K$169)</f>
        <v>8.1818651162496994E-2</v>
      </c>
      <c r="M156" s="18">
        <v>1.82</v>
      </c>
      <c r="N156" s="18">
        <v>1.85</v>
      </c>
      <c r="O156" s="61">
        <v>14978</v>
      </c>
      <c r="P156" s="12">
        <v>2.8E-3</v>
      </c>
      <c r="Q156" s="12">
        <v>0.1396</v>
      </c>
      <c r="R156" s="85">
        <f t="shared" ref="R156" si="89">((K156-D156)/D156)</f>
        <v>3.2024997937002554E-3</v>
      </c>
      <c r="S156" s="85">
        <f t="shared" ref="S156" si="90">((N156-G156)/G156)</f>
        <v>0</v>
      </c>
      <c r="T156" s="85">
        <f t="shared" ref="T156" si="91">((O156-H156)/H156)</f>
        <v>-6.6760130849856467E-5</v>
      </c>
      <c r="U156" s="85">
        <f t="shared" ref="U156" si="92">P156-I156</f>
        <v>-5.1000000000000004E-3</v>
      </c>
      <c r="V156" s="87">
        <f t="shared" ref="V156" si="93">Q156-J156</f>
        <v>3.2000000000000084E-3</v>
      </c>
    </row>
    <row r="157" spans="1:24" x14ac:dyDescent="0.25">
      <c r="A157" s="125">
        <v>127</v>
      </c>
      <c r="B157" s="62" t="s">
        <v>190</v>
      </c>
      <c r="C157" s="63" t="s">
        <v>43</v>
      </c>
      <c r="D157" s="13">
        <v>510811677.39999998</v>
      </c>
      <c r="E157" s="3">
        <f>(D157/$D$169)</f>
        <v>1.1261588672311838E-2</v>
      </c>
      <c r="F157" s="18">
        <v>366.63</v>
      </c>
      <c r="G157" s="18">
        <v>371.15</v>
      </c>
      <c r="H157" s="61">
        <v>1424</v>
      </c>
      <c r="I157" s="12">
        <v>-9.7999999999999997E-3</v>
      </c>
      <c r="J157" s="12">
        <v>0.39800000000000002</v>
      </c>
      <c r="K157" s="13">
        <v>509977686</v>
      </c>
      <c r="L157" s="3">
        <f>(K157/$K$169)</f>
        <v>1.1250686279735319E-2</v>
      </c>
      <c r="M157" s="18">
        <v>364.17</v>
      </c>
      <c r="N157" s="18">
        <v>368.75</v>
      </c>
      <c r="O157" s="61">
        <v>1277</v>
      </c>
      <c r="P157" s="12">
        <v>-6.4999999999999997E-3</v>
      </c>
      <c r="Q157" s="12">
        <v>0.38890000000000002</v>
      </c>
      <c r="R157" s="85">
        <f t="shared" ref="R157" si="94">((K157-D157)/D157)</f>
        <v>-1.6326788068842535E-3</v>
      </c>
      <c r="S157" s="85">
        <f t="shared" ref="S157" si="95">((N157-G157)/G157)</f>
        <v>-6.4663882527279471E-3</v>
      </c>
      <c r="T157" s="85">
        <f t="shared" ref="T157" si="96">((O157-H157)/H157)</f>
        <v>-0.10323033707865169</v>
      </c>
      <c r="U157" s="85">
        <f t="shared" ref="U157" si="97">P157-I157</f>
        <v>3.3E-3</v>
      </c>
      <c r="V157" s="87">
        <f t="shared" ref="V157" si="98">Q157-J157</f>
        <v>-9.099999999999997E-3</v>
      </c>
    </row>
    <row r="158" spans="1:24" ht="6" customHeight="1" x14ac:dyDescent="0.25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4" ht="15" customHeight="1" x14ac:dyDescent="0.25">
      <c r="A159" s="142" t="s">
        <v>235</v>
      </c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</row>
    <row r="160" spans="1:24" x14ac:dyDescent="0.25">
      <c r="A160" s="126">
        <v>128</v>
      </c>
      <c r="B160" s="62" t="s">
        <v>191</v>
      </c>
      <c r="C160" s="63" t="s">
        <v>192</v>
      </c>
      <c r="D160" s="2">
        <v>430516770.83999997</v>
      </c>
      <c r="E160" s="3">
        <f t="shared" ref="E160:E168" si="99">(D160/$D$169)</f>
        <v>9.4913703116764631E-3</v>
      </c>
      <c r="F160" s="2">
        <v>1039.95</v>
      </c>
      <c r="G160" s="2">
        <v>1039.95</v>
      </c>
      <c r="H160" s="60">
        <v>21</v>
      </c>
      <c r="I160" s="5">
        <v>0.04</v>
      </c>
      <c r="J160" s="5">
        <v>4.1000000000000002E-2</v>
      </c>
      <c r="K160" s="2">
        <v>421442043.81999999</v>
      </c>
      <c r="L160" s="3">
        <f t="shared" ref="L160:L168" si="100">(K160/$K$169)</f>
        <v>9.2974895770425621E-3</v>
      </c>
      <c r="M160" s="2">
        <v>1042.21</v>
      </c>
      <c r="N160" s="2">
        <v>1042.21</v>
      </c>
      <c r="O160" s="60">
        <v>21</v>
      </c>
      <c r="P160" s="5">
        <v>2.2000000000000001E-3</v>
      </c>
      <c r="Q160" s="5">
        <v>4.2200000000000001E-2</v>
      </c>
      <c r="R160" s="85">
        <f t="shared" ref="R160" si="101">((K160-D160)/D160)</f>
        <v>-2.1078684117912264E-2</v>
      </c>
      <c r="S160" s="85">
        <f t="shared" ref="S160" si="102">((N160-G160)/G160)</f>
        <v>2.173181402952056E-3</v>
      </c>
      <c r="T160" s="85">
        <f t="shared" ref="T160" si="103">((O160-H160)/H160)</f>
        <v>0</v>
      </c>
      <c r="U160" s="85">
        <f t="shared" ref="U160" si="104">P160-I160</f>
        <v>-3.78E-2</v>
      </c>
      <c r="V160" s="87">
        <f t="shared" ref="V160" si="105">Q160-J160</f>
        <v>1.1999999999999997E-3</v>
      </c>
      <c r="X160" s="74"/>
    </row>
    <row r="161" spans="1:22" x14ac:dyDescent="0.25">
      <c r="A161" s="126">
        <v>129</v>
      </c>
      <c r="B161" s="62" t="s">
        <v>193</v>
      </c>
      <c r="C161" s="63" t="s">
        <v>59</v>
      </c>
      <c r="D161" s="2">
        <v>46076496.130000003</v>
      </c>
      <c r="E161" s="3">
        <f t="shared" si="99"/>
        <v>1.0158235800688223E-3</v>
      </c>
      <c r="F161" s="17">
        <v>109.96</v>
      </c>
      <c r="G161" s="17">
        <v>109.96</v>
      </c>
      <c r="H161" s="60">
        <v>54</v>
      </c>
      <c r="I161" s="5">
        <v>1.5E-3</v>
      </c>
      <c r="J161" s="5">
        <v>0.1173</v>
      </c>
      <c r="K161" s="2">
        <v>50725240.939999998</v>
      </c>
      <c r="L161" s="3">
        <f t="shared" si="100"/>
        <v>1.1190563586343388E-3</v>
      </c>
      <c r="M161" s="17">
        <v>110.13</v>
      </c>
      <c r="N161" s="17">
        <v>110.13</v>
      </c>
      <c r="O161" s="60">
        <v>57</v>
      </c>
      <c r="P161" s="5">
        <v>1.5E-3</v>
      </c>
      <c r="Q161" s="5">
        <v>0.1166</v>
      </c>
      <c r="R161" s="85">
        <f t="shared" ref="R161:R169" si="106">((K161-D161)/D161)</f>
        <v>0.10089189066989922</v>
      </c>
      <c r="S161" s="85">
        <f t="shared" ref="S161:S169" si="107">((N161-G161)/G161)</f>
        <v>1.5460167333576002E-3</v>
      </c>
      <c r="T161" s="85">
        <f t="shared" ref="T161:T169" si="108">((O161-H161)/H161)</f>
        <v>5.5555555555555552E-2</v>
      </c>
      <c r="U161" s="85">
        <f t="shared" ref="U161:U169" si="109">P161-I161</f>
        <v>0</v>
      </c>
      <c r="V161" s="87">
        <f t="shared" ref="V161:V169" si="110">Q161-J161</f>
        <v>-7.0000000000000617E-4</v>
      </c>
    </row>
    <row r="162" spans="1:22" x14ac:dyDescent="0.25">
      <c r="A162" s="111">
        <v>130</v>
      </c>
      <c r="B162" s="68" t="s">
        <v>194</v>
      </c>
      <c r="C162" s="63" t="s">
        <v>65</v>
      </c>
      <c r="D162" s="9">
        <v>53520318.140000001</v>
      </c>
      <c r="E162" s="3">
        <f t="shared" si="99"/>
        <v>1.1799334963753705E-3</v>
      </c>
      <c r="F162" s="17">
        <v>102.7</v>
      </c>
      <c r="G162" s="17">
        <v>108.96</v>
      </c>
      <c r="H162" s="60">
        <v>8</v>
      </c>
      <c r="I162" s="5">
        <v>1.9E-3</v>
      </c>
      <c r="J162" s="5">
        <v>6.7599999999999993E-2</v>
      </c>
      <c r="K162" s="9">
        <v>54079470.969999999</v>
      </c>
      <c r="L162" s="3">
        <f t="shared" si="100"/>
        <v>1.1930544781865681E-3</v>
      </c>
      <c r="M162" s="17">
        <v>102.85</v>
      </c>
      <c r="N162" s="17">
        <v>109.2</v>
      </c>
      <c r="O162" s="60">
        <v>10</v>
      </c>
      <c r="P162" s="5">
        <v>1.9E-3</v>
      </c>
      <c r="Q162" s="5">
        <v>6.9500000000000006E-2</v>
      </c>
      <c r="R162" s="85">
        <f t="shared" si="106"/>
        <v>1.0447487037303291E-2</v>
      </c>
      <c r="S162" s="85">
        <f t="shared" si="107"/>
        <v>2.2026431718062509E-3</v>
      </c>
      <c r="T162" s="85">
        <f t="shared" si="108"/>
        <v>0.25</v>
      </c>
      <c r="U162" s="85">
        <f t="shared" si="109"/>
        <v>0</v>
      </c>
      <c r="V162" s="87">
        <f t="shared" si="110"/>
        <v>1.9000000000000128E-3</v>
      </c>
    </row>
    <row r="163" spans="1:22" x14ac:dyDescent="0.25">
      <c r="A163" s="121">
        <v>131</v>
      </c>
      <c r="B163" s="62" t="s">
        <v>195</v>
      </c>
      <c r="C163" s="63" t="s">
        <v>27</v>
      </c>
      <c r="D163" s="2">
        <v>9109443785.2199993</v>
      </c>
      <c r="E163" s="3">
        <f t="shared" si="99"/>
        <v>0.20083097838494132</v>
      </c>
      <c r="F163" s="17">
        <v>134.76</v>
      </c>
      <c r="G163" s="17">
        <v>134.76</v>
      </c>
      <c r="H163" s="60">
        <v>576</v>
      </c>
      <c r="I163" s="5">
        <v>2.5000000000000001E-3</v>
      </c>
      <c r="J163" s="5">
        <v>0.1313</v>
      </c>
      <c r="K163" s="2">
        <v>9048002437.5900002</v>
      </c>
      <c r="L163" s="3">
        <f t="shared" si="100"/>
        <v>0.19960919796715484</v>
      </c>
      <c r="M163" s="17">
        <v>130.12</v>
      </c>
      <c r="N163" s="17">
        <v>130.12</v>
      </c>
      <c r="O163" s="60">
        <v>583</v>
      </c>
      <c r="P163" s="5">
        <v>-3.44E-2</v>
      </c>
      <c r="Q163" s="5">
        <v>0.1308</v>
      </c>
      <c r="R163" s="85">
        <f t="shared" si="106"/>
        <v>-6.7447968370678421E-3</v>
      </c>
      <c r="S163" s="85">
        <f t="shared" si="107"/>
        <v>-3.4431582071831307E-2</v>
      </c>
      <c r="T163" s="85">
        <f t="shared" si="108"/>
        <v>1.2152777777777778E-2</v>
      </c>
      <c r="U163" s="85">
        <f t="shared" si="109"/>
        <v>-3.6900000000000002E-2</v>
      </c>
      <c r="V163" s="87">
        <f t="shared" si="110"/>
        <v>-5.0000000000000044E-4</v>
      </c>
    </row>
    <row r="164" spans="1:22" x14ac:dyDescent="0.25">
      <c r="A164" s="126">
        <v>132</v>
      </c>
      <c r="B164" s="62" t="s">
        <v>196</v>
      </c>
      <c r="C164" s="63" t="s">
        <v>189</v>
      </c>
      <c r="D164" s="2">
        <v>18153303429.98</v>
      </c>
      <c r="E164" s="3">
        <f t="shared" si="99"/>
        <v>0.40021605871005955</v>
      </c>
      <c r="F164" s="14">
        <v>1211.5</v>
      </c>
      <c r="G164" s="14">
        <v>1211.5</v>
      </c>
      <c r="H164" s="60">
        <v>7136</v>
      </c>
      <c r="I164" s="5">
        <v>3.0999999999999999E-3</v>
      </c>
      <c r="J164" s="5">
        <v>8.2699999999999996E-2</v>
      </c>
      <c r="K164" s="2">
        <v>18075974424.689999</v>
      </c>
      <c r="L164" s="3">
        <f t="shared" si="100"/>
        <v>0.3987765014736474</v>
      </c>
      <c r="M164" s="17">
        <v>1213.67</v>
      </c>
      <c r="N164" s="17">
        <v>1213.67</v>
      </c>
      <c r="O164" s="60">
        <v>7143</v>
      </c>
      <c r="P164" s="5">
        <v>1.8E-3</v>
      </c>
      <c r="Q164" s="5">
        <v>8.4599999999999995E-2</v>
      </c>
      <c r="R164" s="85">
        <f t="shared" si="106"/>
        <v>-4.2597759459191784E-3</v>
      </c>
      <c r="S164" s="85">
        <f t="shared" si="107"/>
        <v>1.7911679735865232E-3</v>
      </c>
      <c r="T164" s="85">
        <f t="shared" si="108"/>
        <v>9.8094170403587445E-4</v>
      </c>
      <c r="U164" s="85">
        <f t="shared" si="109"/>
        <v>-1.2999999999999999E-3</v>
      </c>
      <c r="V164" s="87">
        <f t="shared" si="110"/>
        <v>1.8999999999999989E-3</v>
      </c>
    </row>
    <row r="165" spans="1:22" x14ac:dyDescent="0.25">
      <c r="A165" s="121">
        <v>133</v>
      </c>
      <c r="B165" s="62" t="s">
        <v>197</v>
      </c>
      <c r="C165" s="63" t="s">
        <v>80</v>
      </c>
      <c r="D165" s="2">
        <v>704514490.82000005</v>
      </c>
      <c r="E165" s="3">
        <f t="shared" si="99"/>
        <v>1.5532049795105281E-2</v>
      </c>
      <c r="F165" s="14">
        <v>101.97</v>
      </c>
      <c r="G165" s="14">
        <v>101.97</v>
      </c>
      <c r="H165" s="60">
        <v>507</v>
      </c>
      <c r="I165" s="5">
        <v>1.6000000000000001E-3</v>
      </c>
      <c r="J165" s="5">
        <v>7.85E-2</v>
      </c>
      <c r="K165" s="2">
        <v>747809442.88999999</v>
      </c>
      <c r="L165" s="3">
        <f t="shared" si="100"/>
        <v>1.6497524636752508E-2</v>
      </c>
      <c r="M165" s="14">
        <v>102.18</v>
      </c>
      <c r="N165" s="14">
        <v>102.18</v>
      </c>
      <c r="O165" s="60">
        <v>510</v>
      </c>
      <c r="P165" s="5">
        <v>2.0999999999999999E-3</v>
      </c>
      <c r="Q165" s="5">
        <v>8.0600000000000005E-2</v>
      </c>
      <c r="R165" s="85">
        <f t="shared" si="106"/>
        <v>6.1453600506652432E-2</v>
      </c>
      <c r="S165" s="85">
        <f t="shared" si="107"/>
        <v>2.0594292438953412E-3</v>
      </c>
      <c r="T165" s="85">
        <f t="shared" si="108"/>
        <v>5.9171597633136093E-3</v>
      </c>
      <c r="U165" s="85">
        <f t="shared" si="109"/>
        <v>4.9999999999999979E-4</v>
      </c>
      <c r="V165" s="87">
        <f t="shared" si="110"/>
        <v>2.1000000000000046E-3</v>
      </c>
    </row>
    <row r="166" spans="1:22" ht="15.75" customHeight="1" x14ac:dyDescent="0.25">
      <c r="A166" s="125">
        <v>134</v>
      </c>
      <c r="B166" s="62" t="s">
        <v>198</v>
      </c>
      <c r="C166" s="63" t="s">
        <v>43</v>
      </c>
      <c r="D166" s="2">
        <v>8521512406.29</v>
      </c>
      <c r="E166" s="3">
        <f t="shared" si="99"/>
        <v>0.18786917337931683</v>
      </c>
      <c r="F166" s="14">
        <v>126.34</v>
      </c>
      <c r="G166" s="14">
        <v>126.34</v>
      </c>
      <c r="H166" s="60">
        <v>1988</v>
      </c>
      <c r="I166" s="5">
        <v>1.1000000000000001E-3</v>
      </c>
      <c r="J166" s="5">
        <v>4.3999999999999997E-2</v>
      </c>
      <c r="K166" s="2">
        <v>8504022090.7600002</v>
      </c>
      <c r="L166" s="3"/>
      <c r="M166" s="14">
        <v>126.49</v>
      </c>
      <c r="N166" s="14">
        <v>126.49</v>
      </c>
      <c r="O166" s="60">
        <v>1912</v>
      </c>
      <c r="P166" s="5">
        <v>1.1999999999999999E-3</v>
      </c>
      <c r="Q166" s="5">
        <v>4.5199999999999997E-2</v>
      </c>
      <c r="R166" s="85">
        <f t="shared" si="106"/>
        <v>-2.0524895929377013E-3</v>
      </c>
      <c r="S166" s="85">
        <f t="shared" si="107"/>
        <v>1.187272439449038E-3</v>
      </c>
      <c r="T166" s="85">
        <f t="shared" si="108"/>
        <v>-3.8229376257545272E-2</v>
      </c>
      <c r="U166" s="85">
        <f t="shared" si="109"/>
        <v>9.9999999999999829E-5</v>
      </c>
      <c r="V166" s="87">
        <f t="shared" si="110"/>
        <v>1.1999999999999997E-3</v>
      </c>
    </row>
    <row r="167" spans="1:22" x14ac:dyDescent="0.25">
      <c r="A167" s="124">
        <v>135</v>
      </c>
      <c r="B167" s="62" t="s">
        <v>199</v>
      </c>
      <c r="C167" s="63" t="s">
        <v>46</v>
      </c>
      <c r="D167" s="2">
        <v>3815843287.7399998</v>
      </c>
      <c r="E167" s="3">
        <f t="shared" si="99"/>
        <v>8.4125832367922967E-2</v>
      </c>
      <c r="F167" s="14">
        <v>1.1476999999999999</v>
      </c>
      <c r="G167" s="14">
        <v>1.1476999999999999</v>
      </c>
      <c r="H167" s="60">
        <v>532</v>
      </c>
      <c r="I167" s="5" t="s">
        <v>248</v>
      </c>
      <c r="J167" s="5">
        <v>0.112</v>
      </c>
      <c r="K167" s="2">
        <v>3891497068.6100001</v>
      </c>
      <c r="L167" s="3">
        <f t="shared" si="100"/>
        <v>8.5850839908004795E-2</v>
      </c>
      <c r="M167" s="14">
        <v>1.1497999999999999</v>
      </c>
      <c r="N167" s="14">
        <v>1.1497999999999999</v>
      </c>
      <c r="O167" s="60">
        <v>542</v>
      </c>
      <c r="P167" s="5">
        <v>0.1</v>
      </c>
      <c r="Q167" s="5">
        <v>0.1116</v>
      </c>
      <c r="R167" s="85">
        <f t="shared" si="106"/>
        <v>1.9826228480889121E-2</v>
      </c>
      <c r="S167" s="85">
        <f t="shared" si="107"/>
        <v>1.8297464494205723E-3</v>
      </c>
      <c r="T167" s="85">
        <f t="shared" si="108"/>
        <v>1.8796992481203006E-2</v>
      </c>
      <c r="U167" s="85" t="e">
        <f t="shared" si="109"/>
        <v>#VALUE!</v>
      </c>
      <c r="V167" s="87">
        <f t="shared" si="110"/>
        <v>-3.9999999999999758E-4</v>
      </c>
    </row>
    <row r="168" spans="1:22" x14ac:dyDescent="0.25">
      <c r="A168" s="129">
        <v>136</v>
      </c>
      <c r="B168" s="62" t="s">
        <v>200</v>
      </c>
      <c r="C168" s="63" t="s">
        <v>201</v>
      </c>
      <c r="D168" s="13">
        <v>316331137.39999998</v>
      </c>
      <c r="E168" s="3">
        <f t="shared" si="99"/>
        <v>6.9739814324052086E-3</v>
      </c>
      <c r="F168" s="14">
        <v>98.944199999999995</v>
      </c>
      <c r="G168" s="18">
        <v>98.977900000000005</v>
      </c>
      <c r="H168" s="61">
        <v>110</v>
      </c>
      <c r="I168" s="12">
        <v>1.0177999999999999E-3</v>
      </c>
      <c r="J168" s="12">
        <v>-1.06E-2</v>
      </c>
      <c r="K168" s="13">
        <v>316331137.39999998</v>
      </c>
      <c r="L168" s="3">
        <f t="shared" si="100"/>
        <v>6.9786237419792669E-3</v>
      </c>
      <c r="M168" s="14">
        <v>98.944199999999995</v>
      </c>
      <c r="N168" s="18">
        <v>98.977900000000005</v>
      </c>
      <c r="O168" s="61">
        <v>110</v>
      </c>
      <c r="P168" s="12">
        <v>1.0177999999999999E-3</v>
      </c>
      <c r="Q168" s="12">
        <v>-1.06E-2</v>
      </c>
      <c r="R168" s="85">
        <f t="shared" si="106"/>
        <v>0</v>
      </c>
      <c r="S168" s="85">
        <f t="shared" si="107"/>
        <v>0</v>
      </c>
      <c r="T168" s="85">
        <f t="shared" si="108"/>
        <v>0</v>
      </c>
      <c r="U168" s="85">
        <f t="shared" si="109"/>
        <v>0</v>
      </c>
      <c r="V168" s="87">
        <f t="shared" si="110"/>
        <v>0</v>
      </c>
    </row>
    <row r="169" spans="1:22" x14ac:dyDescent="0.25">
      <c r="A169" s="89"/>
      <c r="B169" s="19"/>
      <c r="C169" s="70" t="s">
        <v>47</v>
      </c>
      <c r="D169" s="59">
        <f>SUM(D156:D168)</f>
        <v>45358758187.989998</v>
      </c>
      <c r="E169" s="120">
        <f>(D169/$D$170)</f>
        <v>2.3441038673147757E-2</v>
      </c>
      <c r="F169" s="30"/>
      <c r="G169" s="34"/>
      <c r="H169" s="72">
        <f>SUM(H156:H168)</f>
        <v>27335</v>
      </c>
      <c r="I169" s="35"/>
      <c r="J169" s="35"/>
      <c r="K169" s="59">
        <f>SUM(K156:K168)</f>
        <v>45328584703.190002</v>
      </c>
      <c r="L169" s="120">
        <f>(K169/$K$170)</f>
        <v>2.3112332485150138E-2</v>
      </c>
      <c r="M169" s="30"/>
      <c r="N169" s="34"/>
      <c r="O169" s="72">
        <f>SUM(O156:O168)</f>
        <v>27143</v>
      </c>
      <c r="P169" s="35"/>
      <c r="Q169" s="35"/>
      <c r="R169" s="85">
        <f t="shared" si="106"/>
        <v>-6.6521849374581634E-4</v>
      </c>
      <c r="S169" s="85" t="e">
        <f t="shared" si="107"/>
        <v>#DIV/0!</v>
      </c>
      <c r="T169" s="85">
        <f t="shared" si="108"/>
        <v>-7.023961953539418E-3</v>
      </c>
      <c r="U169" s="85">
        <f t="shared" si="109"/>
        <v>0</v>
      </c>
      <c r="V169" s="87">
        <f t="shared" si="110"/>
        <v>0</v>
      </c>
    </row>
    <row r="170" spans="1:22" x14ac:dyDescent="0.25">
      <c r="A170" s="90"/>
      <c r="B170" s="38"/>
      <c r="C170" s="71" t="s">
        <v>202</v>
      </c>
      <c r="D170" s="73">
        <f>SUM(D22,D54,D86,D112,D119,D146,D152,D169)</f>
        <v>1935014860922.0754</v>
      </c>
      <c r="E170" s="39"/>
      <c r="F170" s="39"/>
      <c r="G170" s="40"/>
      <c r="H170" s="73">
        <f>SUM(H22,H54,H86,H112,H119,H146,H152,H169)</f>
        <v>755044</v>
      </c>
      <c r="I170" s="41"/>
      <c r="J170" s="41"/>
      <c r="K170" s="73">
        <f>SUM(K22,K54,K86,K112,K119,K146,K152,K169)</f>
        <v>1961229345082.9329</v>
      </c>
      <c r="L170" s="39"/>
      <c r="M170" s="39"/>
      <c r="N170" s="40"/>
      <c r="O170" s="73">
        <f>SUM(O22,O54,O86,O112,O119,O146,O152,O169)</f>
        <v>752979</v>
      </c>
      <c r="P170" s="42"/>
      <c r="Q170" s="73"/>
      <c r="R170" s="25"/>
      <c r="S170" s="25"/>
      <c r="T170" s="25"/>
      <c r="U170" s="25"/>
      <c r="V170" s="25"/>
    </row>
    <row r="171" spans="1:22" ht="6.75" customHeight="1" x14ac:dyDescent="0.25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9"/>
    </row>
    <row r="172" spans="1:22" ht="15.75" x14ac:dyDescent="0.25">
      <c r="A172" s="138" t="s">
        <v>203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</row>
    <row r="173" spans="1:22" x14ac:dyDescent="0.25">
      <c r="A173" s="128">
        <v>1</v>
      </c>
      <c r="B173" s="62" t="s">
        <v>204</v>
      </c>
      <c r="C173" s="63" t="s">
        <v>205</v>
      </c>
      <c r="D173" s="2">
        <v>92548651821</v>
      </c>
      <c r="E173" s="3">
        <f>(D173/$D$175)</f>
        <v>0.97884880278814412</v>
      </c>
      <c r="F173" s="14">
        <v>108.39</v>
      </c>
      <c r="G173" s="14">
        <v>108.39</v>
      </c>
      <c r="H173" s="66"/>
      <c r="I173" s="20">
        <v>0</v>
      </c>
      <c r="J173" s="20">
        <v>0.13800000000000001</v>
      </c>
      <c r="K173" s="2">
        <v>92548651821</v>
      </c>
      <c r="L173" s="3">
        <f>(K173/$K$175)</f>
        <v>0.97877795976086401</v>
      </c>
      <c r="M173" s="14">
        <v>108.4</v>
      </c>
      <c r="N173" s="14">
        <v>108.4</v>
      </c>
      <c r="O173" s="66">
        <v>0</v>
      </c>
      <c r="P173" s="20">
        <v>0</v>
      </c>
      <c r="Q173" s="20">
        <v>0.13800000000000001</v>
      </c>
      <c r="R173" s="85">
        <f t="shared" ref="R173:R174" si="111">((K173-D173)/D173)</f>
        <v>0</v>
      </c>
      <c r="S173" s="85">
        <f t="shared" ref="S173:S174" si="112">((N173-G173)/G173)</f>
        <v>9.2259433527125344E-5</v>
      </c>
      <c r="T173" s="85" t="e">
        <f t="shared" ref="T173:T174" si="113">((O173-H173)/H173)</f>
        <v>#DIV/0!</v>
      </c>
      <c r="U173" s="85">
        <f t="shared" ref="U173:U174" si="114">P173-I173</f>
        <v>0</v>
      </c>
      <c r="V173" s="87">
        <f t="shared" ref="V173:V174" si="115">Q173-J173</f>
        <v>0</v>
      </c>
    </row>
    <row r="174" spans="1:22" x14ac:dyDescent="0.25">
      <c r="A174" s="124">
        <v>2</v>
      </c>
      <c r="B174" s="62" t="s">
        <v>206</v>
      </c>
      <c r="C174" s="63" t="s">
        <v>46</v>
      </c>
      <c r="D174" s="2">
        <v>1999813230.3800001</v>
      </c>
      <c r="E174" s="3">
        <f>(D174/$D$175)</f>
        <v>2.1151197211855863E-2</v>
      </c>
      <c r="F174" s="21">
        <v>1000000</v>
      </c>
      <c r="G174" s="21">
        <v>1000000</v>
      </c>
      <c r="H174" s="66">
        <v>0</v>
      </c>
      <c r="I174" s="20">
        <v>0.1661</v>
      </c>
      <c r="J174" s="20">
        <v>0.1661</v>
      </c>
      <c r="K174" s="2">
        <v>2006656559.27</v>
      </c>
      <c r="L174" s="3">
        <f>(K174/$K$175)</f>
        <v>2.1222040239135962E-2</v>
      </c>
      <c r="M174" s="21">
        <v>1000000</v>
      </c>
      <c r="N174" s="21">
        <v>1000000</v>
      </c>
      <c r="O174" s="66">
        <v>0</v>
      </c>
      <c r="P174" s="20">
        <v>0.16650000000000001</v>
      </c>
      <c r="Q174" s="20">
        <v>0.16650000000000001</v>
      </c>
      <c r="R174" s="85">
        <f t="shared" si="111"/>
        <v>3.4219840063261868E-3</v>
      </c>
      <c r="S174" s="85">
        <f t="shared" si="112"/>
        <v>0</v>
      </c>
      <c r="T174" s="85" t="e">
        <f t="shared" si="113"/>
        <v>#DIV/0!</v>
      </c>
      <c r="U174" s="85">
        <f t="shared" si="114"/>
        <v>4.0000000000001146E-4</v>
      </c>
      <c r="V174" s="87">
        <f t="shared" si="115"/>
        <v>4.0000000000001146E-4</v>
      </c>
    </row>
    <row r="175" spans="1:22" x14ac:dyDescent="0.25">
      <c r="A175" s="38"/>
      <c r="B175" s="38"/>
      <c r="C175" s="71" t="s">
        <v>207</v>
      </c>
      <c r="D175" s="77">
        <f>SUM(D173:D174)</f>
        <v>94548465051.380005</v>
      </c>
      <c r="E175" s="24"/>
      <c r="F175" s="22"/>
      <c r="G175" s="22"/>
      <c r="H175" s="77">
        <f>SUM(H173:H174)</f>
        <v>0</v>
      </c>
      <c r="I175" s="23"/>
      <c r="J175" s="23"/>
      <c r="K175" s="77">
        <f>SUM(K173:K174)</f>
        <v>94555308380.270004</v>
      </c>
      <c r="L175" s="24"/>
      <c r="M175" s="22"/>
      <c r="N175" s="22"/>
      <c r="O175" s="23"/>
      <c r="P175" s="23"/>
      <c r="Q175" s="77"/>
      <c r="R175" s="25">
        <f>((K175-D175)/D175)</f>
        <v>7.2379058573616748E-5</v>
      </c>
      <c r="S175" s="26"/>
      <c r="T175" s="26"/>
      <c r="U175" s="25">
        <f t="shared" ref="U175:V175" si="116">O175-H175</f>
        <v>0</v>
      </c>
      <c r="V175" s="91">
        <f t="shared" si="116"/>
        <v>0</v>
      </c>
    </row>
    <row r="176" spans="1:22" ht="8.25" customHeight="1" x14ac:dyDescent="0.25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</row>
    <row r="177" spans="1:22" ht="15.75" x14ac:dyDescent="0.25">
      <c r="A177" s="138" t="s">
        <v>208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</row>
    <row r="178" spans="1:22" x14ac:dyDescent="0.25">
      <c r="A178" s="126">
        <v>1</v>
      </c>
      <c r="B178" s="62" t="s">
        <v>209</v>
      </c>
      <c r="C178" s="63" t="s">
        <v>75</v>
      </c>
      <c r="D178" s="27">
        <v>674026155.22362685</v>
      </c>
      <c r="E178" s="10">
        <f t="shared" ref="E178:E189" si="117">(D178/$D$190)</f>
        <v>7.2020365281334833E-2</v>
      </c>
      <c r="F178" s="21">
        <v>155.18042021955264</v>
      </c>
      <c r="G178" s="21">
        <v>158.15525142626913</v>
      </c>
      <c r="H178" s="65">
        <v>103</v>
      </c>
      <c r="I178" s="28">
        <v>1.0200000000000001E-2</v>
      </c>
      <c r="J178" s="28">
        <v>0.24645329145556</v>
      </c>
      <c r="K178" s="27">
        <v>683128883.21719611</v>
      </c>
      <c r="L178" s="10">
        <f t="shared" ref="L178:L189" si="118">(K178/$K$190)</f>
        <v>7.240815914310321E-2</v>
      </c>
      <c r="M178" s="21">
        <v>157.27613289218283</v>
      </c>
      <c r="N178" s="21">
        <v>160.25134024634499</v>
      </c>
      <c r="O178" s="65">
        <v>103</v>
      </c>
      <c r="P178" s="28">
        <v>1.3253362131026902E-2</v>
      </c>
      <c r="Q178" s="28">
        <v>0.24645329145556</v>
      </c>
      <c r="R178" s="85">
        <f t="shared" ref="R178" si="119">((K178-D178)/D178)</f>
        <v>1.3505007072832616E-2</v>
      </c>
      <c r="S178" s="85">
        <f t="shared" ref="S178" si="120">((N178-G178)/G178)</f>
        <v>1.325336213102633E-2</v>
      </c>
      <c r="T178" s="85">
        <f t="shared" ref="T178" si="121">((O178-H178)/H178)</f>
        <v>0</v>
      </c>
      <c r="U178" s="85">
        <f t="shared" ref="U178" si="122">P178-I178</f>
        <v>3.0533621310269016E-3</v>
      </c>
      <c r="V178" s="87">
        <f t="shared" ref="V178" si="123">Q178-J178</f>
        <v>0</v>
      </c>
    </row>
    <row r="179" spans="1:22" x14ac:dyDescent="0.25">
      <c r="A179" s="126">
        <v>2</v>
      </c>
      <c r="B179" s="62" t="s">
        <v>210</v>
      </c>
      <c r="C179" s="63" t="s">
        <v>189</v>
      </c>
      <c r="D179" s="27">
        <v>717604621.08000004</v>
      </c>
      <c r="E179" s="10">
        <f t="shared" si="117"/>
        <v>7.6676767714760993E-2</v>
      </c>
      <c r="F179" s="21">
        <v>20.41</v>
      </c>
      <c r="G179" s="21">
        <v>22.56</v>
      </c>
      <c r="H179" s="65">
        <v>139</v>
      </c>
      <c r="I179" s="28">
        <v>-5.5999999999999999E-3</v>
      </c>
      <c r="J179" s="28">
        <v>0.38400000000000001</v>
      </c>
      <c r="K179" s="27">
        <v>708706289.79999995</v>
      </c>
      <c r="L179" s="10">
        <f t="shared" si="118"/>
        <v>7.5119233102666244E-2</v>
      </c>
      <c r="M179" s="21">
        <v>20.16</v>
      </c>
      <c r="N179" s="21">
        <v>22.28</v>
      </c>
      <c r="O179" s="65">
        <v>138</v>
      </c>
      <c r="P179" s="28">
        <v>-1.24E-2</v>
      </c>
      <c r="Q179" s="28">
        <v>0.3669</v>
      </c>
      <c r="R179" s="85">
        <f t="shared" ref="R179:R190" si="124">((K179-D179)/D179)</f>
        <v>-1.2400047350040804E-2</v>
      </c>
      <c r="S179" s="85">
        <f t="shared" ref="S179:S190" si="125">((N179-G179)/G179)</f>
        <v>-1.2411347517730389E-2</v>
      </c>
      <c r="T179" s="85">
        <f t="shared" ref="T179:T190" si="126">((O179-H179)/H179)</f>
        <v>-7.1942446043165471E-3</v>
      </c>
      <c r="U179" s="85">
        <f t="shared" ref="U179:U190" si="127">P179-I179</f>
        <v>-6.7999999999999996E-3</v>
      </c>
      <c r="V179" s="87">
        <f t="shared" ref="V179:V190" si="128">Q179-J179</f>
        <v>-1.7100000000000004E-2</v>
      </c>
    </row>
    <row r="180" spans="1:22" x14ac:dyDescent="0.25">
      <c r="A180" s="129">
        <v>3</v>
      </c>
      <c r="B180" s="62" t="s">
        <v>211</v>
      </c>
      <c r="C180" s="63" t="s">
        <v>37</v>
      </c>
      <c r="D180" s="27">
        <v>297496545.39999998</v>
      </c>
      <c r="E180" s="10">
        <f t="shared" si="117"/>
        <v>3.1787801858422844E-2</v>
      </c>
      <c r="F180" s="21">
        <v>22.06</v>
      </c>
      <c r="G180" s="21">
        <v>22.459999999999997</v>
      </c>
      <c r="H180" s="65">
        <v>60</v>
      </c>
      <c r="I180" s="28">
        <v>-2.9103237026883999E-4</v>
      </c>
      <c r="J180" s="28">
        <v>0.56779020293333482</v>
      </c>
      <c r="K180" s="27">
        <v>297496545.39999998</v>
      </c>
      <c r="L180" s="10">
        <f t="shared" si="118"/>
        <v>3.1533108514455475E-2</v>
      </c>
      <c r="M180" s="21">
        <v>22.06</v>
      </c>
      <c r="N180" s="21">
        <v>22.459999999999997</v>
      </c>
      <c r="O180" s="65">
        <v>60</v>
      </c>
      <c r="P180" s="28">
        <v>-2.9103237026883999E-4</v>
      </c>
      <c r="Q180" s="28">
        <v>0.56779020293333482</v>
      </c>
      <c r="R180" s="85">
        <f t="shared" si="124"/>
        <v>0</v>
      </c>
      <c r="S180" s="85">
        <f t="shared" si="125"/>
        <v>0</v>
      </c>
      <c r="T180" s="85">
        <f t="shared" si="126"/>
        <v>0</v>
      </c>
      <c r="U180" s="85">
        <f t="shared" si="127"/>
        <v>0</v>
      </c>
      <c r="V180" s="87">
        <f t="shared" si="128"/>
        <v>0</v>
      </c>
    </row>
    <row r="181" spans="1:22" x14ac:dyDescent="0.25">
      <c r="A181" s="129">
        <v>4</v>
      </c>
      <c r="B181" s="62" t="s">
        <v>212</v>
      </c>
      <c r="C181" s="63" t="s">
        <v>37</v>
      </c>
      <c r="D181" s="27">
        <v>388485979.48000002</v>
      </c>
      <c r="E181" s="10">
        <f t="shared" si="117"/>
        <v>4.1510113416213017E-2</v>
      </c>
      <c r="F181" s="21">
        <v>29.18</v>
      </c>
      <c r="G181" s="21">
        <v>29.63</v>
      </c>
      <c r="H181" s="65">
        <v>53</v>
      </c>
      <c r="I181" s="28">
        <v>-1.207683691288064E-2</v>
      </c>
      <c r="J181" s="28">
        <v>0.67172109145118686</v>
      </c>
      <c r="K181" s="27">
        <v>388485979.48000002</v>
      </c>
      <c r="L181" s="10">
        <f t="shared" si="118"/>
        <v>4.11775220139661E-2</v>
      </c>
      <c r="M181" s="21">
        <v>29.18</v>
      </c>
      <c r="N181" s="21">
        <v>29.63</v>
      </c>
      <c r="O181" s="65">
        <v>53</v>
      </c>
      <c r="P181" s="28">
        <v>-1.207683691288064E-2</v>
      </c>
      <c r="Q181" s="28">
        <v>0.67172109145118686</v>
      </c>
      <c r="R181" s="85">
        <f t="shared" si="124"/>
        <v>0</v>
      </c>
      <c r="S181" s="85">
        <f t="shared" si="125"/>
        <v>0</v>
      </c>
      <c r="T181" s="85">
        <f t="shared" si="126"/>
        <v>0</v>
      </c>
      <c r="U181" s="85">
        <f t="shared" si="127"/>
        <v>0</v>
      </c>
      <c r="V181" s="87">
        <f t="shared" si="128"/>
        <v>0</v>
      </c>
    </row>
    <row r="182" spans="1:22" x14ac:dyDescent="0.25">
      <c r="A182" s="126">
        <v>5</v>
      </c>
      <c r="B182" s="62" t="s">
        <v>213</v>
      </c>
      <c r="C182" s="63" t="s">
        <v>214</v>
      </c>
      <c r="D182" s="27">
        <v>625896907</v>
      </c>
      <c r="E182" s="10">
        <f t="shared" si="117"/>
        <v>6.6877707224346522E-2</v>
      </c>
      <c r="F182" s="21">
        <v>14099</v>
      </c>
      <c r="G182" s="21">
        <v>14099</v>
      </c>
      <c r="H182" s="65">
        <v>0</v>
      </c>
      <c r="I182" s="28">
        <v>0</v>
      </c>
      <c r="J182" s="28">
        <v>0</v>
      </c>
      <c r="K182" s="27">
        <v>630380156.07000005</v>
      </c>
      <c r="L182" s="10">
        <f t="shared" si="118"/>
        <v>6.6817064514103408E-2</v>
      </c>
      <c r="M182" s="21">
        <v>14199.99</v>
      </c>
      <c r="N182" s="21">
        <v>14199.99</v>
      </c>
      <c r="O182" s="65">
        <v>0</v>
      </c>
      <c r="P182" s="28">
        <v>0</v>
      </c>
      <c r="Q182" s="28">
        <v>0</v>
      </c>
      <c r="R182" s="85">
        <f t="shared" si="124"/>
        <v>7.1629193559827773E-3</v>
      </c>
      <c r="S182" s="85">
        <f t="shared" si="125"/>
        <v>7.1629193559826785E-3</v>
      </c>
      <c r="T182" s="85" t="e">
        <f t="shared" si="126"/>
        <v>#DIV/0!</v>
      </c>
      <c r="U182" s="85">
        <f t="shared" si="127"/>
        <v>0</v>
      </c>
      <c r="V182" s="87">
        <f t="shared" si="128"/>
        <v>0</v>
      </c>
    </row>
    <row r="183" spans="1:22" x14ac:dyDescent="0.25">
      <c r="A183" s="125">
        <v>6</v>
      </c>
      <c r="B183" s="62" t="s">
        <v>215</v>
      </c>
      <c r="C183" s="63" t="s">
        <v>216</v>
      </c>
      <c r="D183" s="27">
        <v>877861320.61000001</v>
      </c>
      <c r="E183" s="10">
        <f t="shared" si="117"/>
        <v>9.3800355500612456E-2</v>
      </c>
      <c r="F183" s="21">
        <v>210</v>
      </c>
      <c r="G183" s="21">
        <v>210</v>
      </c>
      <c r="H183" s="65">
        <v>46</v>
      </c>
      <c r="I183" s="28">
        <v>0.01</v>
      </c>
      <c r="J183" s="28">
        <v>0.53720000000000001</v>
      </c>
      <c r="K183" s="27">
        <v>890230810.29999995</v>
      </c>
      <c r="L183" s="10">
        <f t="shared" si="118"/>
        <v>9.4359901579218572E-2</v>
      </c>
      <c r="M183" s="21">
        <v>231</v>
      </c>
      <c r="N183" s="21">
        <v>231</v>
      </c>
      <c r="O183" s="65">
        <v>46</v>
      </c>
      <c r="P183" s="28">
        <v>1.41E-2</v>
      </c>
      <c r="Q183" s="28">
        <v>0.55810000000000004</v>
      </c>
      <c r="R183" s="85">
        <f t="shared" si="124"/>
        <v>1.409048263045095E-2</v>
      </c>
      <c r="S183" s="85">
        <f t="shared" si="125"/>
        <v>0.1</v>
      </c>
      <c r="T183" s="85">
        <f t="shared" si="126"/>
        <v>0</v>
      </c>
      <c r="U183" s="85">
        <f t="shared" si="127"/>
        <v>4.0999999999999995E-3</v>
      </c>
      <c r="V183" s="87">
        <f t="shared" si="128"/>
        <v>2.090000000000003E-2</v>
      </c>
    </row>
    <row r="184" spans="1:22" x14ac:dyDescent="0.25">
      <c r="A184" s="125">
        <v>7</v>
      </c>
      <c r="B184" s="62" t="s">
        <v>217</v>
      </c>
      <c r="C184" s="63" t="s">
        <v>216</v>
      </c>
      <c r="D184" s="27">
        <v>580052528.50999999</v>
      </c>
      <c r="E184" s="10">
        <f t="shared" si="117"/>
        <v>6.1979189771637092E-2</v>
      </c>
      <c r="F184" s="21">
        <v>334</v>
      </c>
      <c r="G184" s="21">
        <v>334</v>
      </c>
      <c r="H184" s="65">
        <v>377</v>
      </c>
      <c r="I184" s="28">
        <v>1.6000000000000001E-3</v>
      </c>
      <c r="J184" s="28">
        <v>0.3553</v>
      </c>
      <c r="K184" s="27">
        <v>586423593.72000003</v>
      </c>
      <c r="L184" s="10">
        <f t="shared" si="118"/>
        <v>6.2157894275197571E-2</v>
      </c>
      <c r="M184" s="21">
        <v>381.16</v>
      </c>
      <c r="N184" s="21">
        <v>381.16</v>
      </c>
      <c r="O184" s="65">
        <v>377</v>
      </c>
      <c r="P184" s="28">
        <v>1.0800000000000001E-2</v>
      </c>
      <c r="Q184" s="28">
        <v>0.34089999999999998</v>
      </c>
      <c r="R184" s="85">
        <f t="shared" si="124"/>
        <v>1.0983600444541813E-2</v>
      </c>
      <c r="S184" s="85">
        <f t="shared" si="125"/>
        <v>0.14119760479041923</v>
      </c>
      <c r="T184" s="85">
        <f t="shared" si="126"/>
        <v>0</v>
      </c>
      <c r="U184" s="85">
        <f t="shared" si="127"/>
        <v>9.1999999999999998E-3</v>
      </c>
      <c r="V184" s="87">
        <f t="shared" si="128"/>
        <v>-1.4400000000000024E-2</v>
      </c>
    </row>
    <row r="185" spans="1:22" x14ac:dyDescent="0.25">
      <c r="A185" s="121">
        <v>8</v>
      </c>
      <c r="B185" s="62" t="s">
        <v>218</v>
      </c>
      <c r="C185" s="63" t="s">
        <v>219</v>
      </c>
      <c r="D185" s="27">
        <v>255897925.87</v>
      </c>
      <c r="E185" s="10">
        <f t="shared" si="117"/>
        <v>2.7342947974739535E-2</v>
      </c>
      <c r="F185" s="21">
        <v>11.29</v>
      </c>
      <c r="G185" s="21">
        <v>11.39</v>
      </c>
      <c r="H185" s="65">
        <v>50</v>
      </c>
      <c r="I185" s="28">
        <v>0.01</v>
      </c>
      <c r="J185" s="28">
        <v>0.92689999999999995</v>
      </c>
      <c r="K185" s="27">
        <v>259423745.19</v>
      </c>
      <c r="L185" s="10">
        <f t="shared" si="118"/>
        <v>2.7497586895685405E-2</v>
      </c>
      <c r="M185" s="21">
        <v>11.45</v>
      </c>
      <c r="N185" s="21">
        <v>11.55</v>
      </c>
      <c r="O185" s="65">
        <v>50</v>
      </c>
      <c r="P185" s="28">
        <v>1.4999999999999999E-2</v>
      </c>
      <c r="Q185" s="28">
        <v>0.95579999999999998</v>
      </c>
      <c r="R185" s="85">
        <f t="shared" si="124"/>
        <v>1.377822547022582E-2</v>
      </c>
      <c r="S185" s="85">
        <f t="shared" si="125"/>
        <v>1.4047410008779643E-2</v>
      </c>
      <c r="T185" s="85">
        <f t="shared" si="126"/>
        <v>0</v>
      </c>
      <c r="U185" s="85">
        <f t="shared" si="127"/>
        <v>4.9999999999999992E-3</v>
      </c>
      <c r="V185" s="87">
        <f t="shared" si="128"/>
        <v>2.8900000000000037E-2</v>
      </c>
    </row>
    <row r="186" spans="1:22" x14ac:dyDescent="0.25">
      <c r="A186" s="121">
        <v>9</v>
      </c>
      <c r="B186" s="62" t="s">
        <v>220</v>
      </c>
      <c r="C186" s="63" t="s">
        <v>219</v>
      </c>
      <c r="D186" s="29">
        <v>572695361.34000003</v>
      </c>
      <c r="E186" s="10">
        <f t="shared" si="117"/>
        <v>6.119306913979982E-2</v>
      </c>
      <c r="F186" s="21">
        <v>6.71</v>
      </c>
      <c r="G186" s="21">
        <v>6.81</v>
      </c>
      <c r="H186" s="65">
        <v>75</v>
      </c>
      <c r="I186" s="28">
        <v>-2.8899999999999999E-2</v>
      </c>
      <c r="J186" s="28">
        <v>0.58630000000000004</v>
      </c>
      <c r="K186" s="29">
        <v>568423067.05999994</v>
      </c>
      <c r="L186" s="10">
        <f t="shared" si="118"/>
        <v>6.0249930739943926E-2</v>
      </c>
      <c r="M186" s="21">
        <v>6.65</v>
      </c>
      <c r="N186" s="21">
        <v>6.75</v>
      </c>
      <c r="O186" s="65">
        <v>76</v>
      </c>
      <c r="P186" s="28">
        <v>0</v>
      </c>
      <c r="Q186" s="28">
        <v>0.58630000000000004</v>
      </c>
      <c r="R186" s="85">
        <f t="shared" si="124"/>
        <v>-7.459977098476441E-3</v>
      </c>
      <c r="S186" s="85">
        <f t="shared" si="125"/>
        <v>-8.8105726872246132E-3</v>
      </c>
      <c r="T186" s="85">
        <f t="shared" si="126"/>
        <v>1.3333333333333334E-2</v>
      </c>
      <c r="U186" s="85">
        <f t="shared" si="127"/>
        <v>2.8899999999999999E-2</v>
      </c>
      <c r="V186" s="87">
        <f t="shared" si="128"/>
        <v>0</v>
      </c>
    </row>
    <row r="187" spans="1:22" ht="17.25" customHeight="1" x14ac:dyDescent="0.25">
      <c r="A187" s="121">
        <v>10</v>
      </c>
      <c r="B187" s="62" t="s">
        <v>221</v>
      </c>
      <c r="C187" s="63" t="s">
        <v>219</v>
      </c>
      <c r="D187" s="27">
        <v>497287237.83999997</v>
      </c>
      <c r="E187" s="10">
        <f t="shared" si="117"/>
        <v>5.3135636119491944E-2</v>
      </c>
      <c r="F187" s="21">
        <v>140.26</v>
      </c>
      <c r="G187" s="21">
        <v>142.26</v>
      </c>
      <c r="H187" s="65">
        <v>50</v>
      </c>
      <c r="I187" s="28">
        <v>-2.5700000000000001E-2</v>
      </c>
      <c r="J187" s="28">
        <v>-0.12609999999999999</v>
      </c>
      <c r="K187" s="27">
        <v>496895116.06999999</v>
      </c>
      <c r="L187" s="10">
        <f t="shared" si="118"/>
        <v>5.266833466678051E-2</v>
      </c>
      <c r="M187" s="21">
        <v>140.15</v>
      </c>
      <c r="N187" s="21">
        <v>142.15</v>
      </c>
      <c r="O187" s="65">
        <v>50</v>
      </c>
      <c r="P187" s="28">
        <v>0</v>
      </c>
      <c r="Q187" s="28">
        <v>0.12609999999999999</v>
      </c>
      <c r="R187" s="85">
        <f t="shared" si="124"/>
        <v>-7.8852168357102382E-4</v>
      </c>
      <c r="S187" s="85">
        <f t="shared" si="125"/>
        <v>-7.7323211022061876E-4</v>
      </c>
      <c r="T187" s="85">
        <f t="shared" si="126"/>
        <v>0</v>
      </c>
      <c r="U187" s="85">
        <f t="shared" si="127"/>
        <v>2.5700000000000001E-2</v>
      </c>
      <c r="V187" s="87">
        <f t="shared" si="128"/>
        <v>0.25219999999999998</v>
      </c>
    </row>
    <row r="188" spans="1:22" x14ac:dyDescent="0.25">
      <c r="A188" s="121">
        <v>11</v>
      </c>
      <c r="B188" s="62" t="s">
        <v>222</v>
      </c>
      <c r="C188" s="63" t="s">
        <v>219</v>
      </c>
      <c r="D188" s="27">
        <v>3594134931.6999998</v>
      </c>
      <c r="E188" s="10">
        <f t="shared" si="117"/>
        <v>0.38403689329467999</v>
      </c>
      <c r="F188" s="21">
        <v>24.68</v>
      </c>
      <c r="G188" s="21">
        <v>24.88</v>
      </c>
      <c r="H188" s="65">
        <v>198</v>
      </c>
      <c r="I188" s="28">
        <v>-3.9600000000000003E-2</v>
      </c>
      <c r="J188" s="28">
        <v>0.25269999999999998</v>
      </c>
      <c r="K188" s="27">
        <v>3633202490.21</v>
      </c>
      <c r="L188" s="10">
        <f t="shared" si="118"/>
        <v>0.38510083612816903</v>
      </c>
      <c r="M188" s="21">
        <v>24.95</v>
      </c>
      <c r="N188" s="21">
        <v>25.15</v>
      </c>
      <c r="O188" s="65">
        <v>204</v>
      </c>
      <c r="P188" s="28">
        <v>0</v>
      </c>
      <c r="Q188" s="28">
        <v>0.25269999999999998</v>
      </c>
      <c r="R188" s="85">
        <f t="shared" si="124"/>
        <v>1.0869808522052776E-2</v>
      </c>
      <c r="S188" s="85">
        <f t="shared" si="125"/>
        <v>1.0852090032154324E-2</v>
      </c>
      <c r="T188" s="85">
        <f t="shared" si="126"/>
        <v>3.0303030303030304E-2</v>
      </c>
      <c r="U188" s="85">
        <f t="shared" si="127"/>
        <v>3.9600000000000003E-2</v>
      </c>
      <c r="V188" s="87">
        <f t="shared" si="128"/>
        <v>0</v>
      </c>
    </row>
    <row r="189" spans="1:22" x14ac:dyDescent="0.25">
      <c r="A189" s="121">
        <v>12</v>
      </c>
      <c r="B189" s="62" t="s">
        <v>223</v>
      </c>
      <c r="C189" s="63" t="s">
        <v>219</v>
      </c>
      <c r="D189" s="29">
        <v>277387709.19999999</v>
      </c>
      <c r="E189" s="10">
        <f t="shared" si="117"/>
        <v>2.9639152703960829E-2</v>
      </c>
      <c r="F189" s="21">
        <v>26.16</v>
      </c>
      <c r="G189" s="21">
        <v>26.36</v>
      </c>
      <c r="H189" s="65">
        <v>44</v>
      </c>
      <c r="I189" s="28">
        <v>-2.81E-2</v>
      </c>
      <c r="J189" s="28">
        <v>9.5000000000000001E-2</v>
      </c>
      <c r="K189" s="29">
        <v>291621920.80000001</v>
      </c>
      <c r="L189" s="10">
        <f t="shared" si="118"/>
        <v>3.0910428426710539E-2</v>
      </c>
      <c r="M189" s="21">
        <v>27.48</v>
      </c>
      <c r="N189" s="21">
        <v>27.68</v>
      </c>
      <c r="O189" s="65">
        <v>44</v>
      </c>
      <c r="P189" s="28">
        <v>5.0200000000000002E-2</v>
      </c>
      <c r="Q189" s="28">
        <v>0.15010000000000001</v>
      </c>
      <c r="R189" s="85">
        <f t="shared" si="124"/>
        <v>5.1315220998984425E-2</v>
      </c>
      <c r="S189" s="85">
        <f t="shared" si="125"/>
        <v>5.0075872534142654E-2</v>
      </c>
      <c r="T189" s="85">
        <f t="shared" si="126"/>
        <v>0</v>
      </c>
      <c r="U189" s="85">
        <f t="shared" si="127"/>
        <v>7.8300000000000008E-2</v>
      </c>
      <c r="V189" s="87">
        <f t="shared" si="128"/>
        <v>5.510000000000001E-2</v>
      </c>
    </row>
    <row r="190" spans="1:22" x14ac:dyDescent="0.25">
      <c r="A190" s="43"/>
      <c r="B190" s="43"/>
      <c r="C190" s="78" t="s">
        <v>224</v>
      </c>
      <c r="D190" s="77">
        <f>SUM(D178:D189)</f>
        <v>9358827223.2536278</v>
      </c>
      <c r="E190" s="24"/>
      <c r="F190" s="24"/>
      <c r="G190" s="22"/>
      <c r="H190" s="77">
        <f>SUM(H178:H189)</f>
        <v>1195</v>
      </c>
      <c r="I190" s="23"/>
      <c r="J190" s="23"/>
      <c r="K190" s="77">
        <f>SUM(K178:K189)</f>
        <v>9434418597.3171959</v>
      </c>
      <c r="L190" s="24"/>
      <c r="M190" s="24"/>
      <c r="N190" s="22"/>
      <c r="O190" s="77">
        <f>SUM(O178:O189)</f>
        <v>1201</v>
      </c>
      <c r="P190" s="23"/>
      <c r="Q190" s="23"/>
      <c r="R190" s="85">
        <f t="shared" si="124"/>
        <v>8.0770135253430304E-3</v>
      </c>
      <c r="S190" s="85" t="e">
        <f t="shared" si="125"/>
        <v>#DIV/0!</v>
      </c>
      <c r="T190" s="85">
        <f t="shared" si="126"/>
        <v>5.0209205020920501E-3</v>
      </c>
      <c r="U190" s="85">
        <f t="shared" si="127"/>
        <v>0</v>
      </c>
      <c r="V190" s="87">
        <f t="shared" si="128"/>
        <v>0</v>
      </c>
    </row>
    <row r="191" spans="1:22" x14ac:dyDescent="0.25">
      <c r="A191" s="92"/>
      <c r="B191" s="92"/>
      <c r="C191" s="93" t="s">
        <v>225</v>
      </c>
      <c r="D191" s="94">
        <f>SUM(D170,D175,D190)</f>
        <v>2038922153196.7092</v>
      </c>
      <c r="E191" s="95"/>
      <c r="F191" s="95"/>
      <c r="G191" s="96"/>
      <c r="H191" s="94">
        <f>SUM(H170,H175,H190)</f>
        <v>756239</v>
      </c>
      <c r="I191" s="97"/>
      <c r="J191" s="97"/>
      <c r="K191" s="94">
        <f>SUM(K170,K175,K190)</f>
        <v>2065219072060.52</v>
      </c>
      <c r="L191" s="95"/>
      <c r="M191" s="95"/>
      <c r="N191" s="96"/>
      <c r="O191" s="94">
        <f>SUM(O170,O175,O190)</f>
        <v>754180</v>
      </c>
      <c r="P191" s="98"/>
      <c r="Q191" s="94"/>
      <c r="R191" s="99"/>
      <c r="S191" s="100"/>
      <c r="T191" s="100"/>
      <c r="U191" s="101"/>
      <c r="V191" s="101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O52:Q52 H52:J52" name="Yield_1_1_1_1_1_2"/>
    <protectedRange password="CADF" sqref="O47:Q47 H47:J47" name="Yield_1_1_2_1_1_1_1_1_2"/>
    <protectedRange password="CADF" sqref="K77 D77" name="Yield_2_1_2_1_1_2"/>
    <protectedRange password="CADF" sqref="O77:Q77 H77:J77" name="Yield_1_1_2_1_2_1_2"/>
    <protectedRange password="CADF" sqref="M77:N77 F77:G77" name="Fund Name_2_2_1_1_2"/>
    <protectedRange password="CADF" sqref="N76 G76" name="BidOffer Prices_2_1_1_1_1_1_1_1_1_1_2"/>
    <protectedRange password="CADF" sqref="K93:K94 D93:D94" name="Yield_2_1_2_6_3_2"/>
    <protectedRange password="CADF" sqref="K136 K144:K145 D136 D144:D145" name="Fund Name_1_1_1_2_2"/>
    <protectedRange password="CADF" sqref="O136:Q136 O144:Q145 H136:J136 H144:J145" name="Yield_1_1_2_2_2"/>
    <protectedRange password="CADF" sqref="M136:N136 M144:N145 F136:G136 F144:G145" name="Fund Name_1_1_1_1_2_2"/>
  </protectedRanges>
  <mergeCells count="31">
    <mergeCell ref="A176:V176"/>
    <mergeCell ref="A177:V177"/>
    <mergeCell ref="A155:V155"/>
    <mergeCell ref="A158:V158"/>
    <mergeCell ref="A159:V159"/>
    <mergeCell ref="A171:U171"/>
    <mergeCell ref="A172:V172"/>
    <mergeCell ref="A154:V154"/>
    <mergeCell ref="A88:V88"/>
    <mergeCell ref="A89:V89"/>
    <mergeCell ref="A101:V101"/>
    <mergeCell ref="A102:V102"/>
    <mergeCell ref="A113:V113"/>
    <mergeCell ref="A114:V114"/>
    <mergeCell ref="A120:V120"/>
    <mergeCell ref="A121:V121"/>
    <mergeCell ref="A147:V147"/>
    <mergeCell ref="A148:V148"/>
    <mergeCell ref="A153:V153"/>
    <mergeCell ref="A87:V87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N1" sqref="N1"/>
    </sheetView>
  </sheetViews>
  <sheetFormatPr defaultRowHeight="15" x14ac:dyDescent="0.25"/>
  <cols>
    <col min="1" max="1" width="34" customWidth="1"/>
    <col min="2" max="2" width="17.5703125" customWidth="1"/>
    <col min="3" max="3" width="17.42578125" customWidth="1"/>
  </cols>
  <sheetData>
    <row r="1" spans="1:3" x14ac:dyDescent="0.25">
      <c r="A1" s="117"/>
      <c r="B1" s="117"/>
      <c r="C1" s="117"/>
    </row>
    <row r="2" spans="1:3" x14ac:dyDescent="0.25">
      <c r="A2" s="117"/>
      <c r="B2" s="117"/>
      <c r="C2" s="117"/>
    </row>
    <row r="3" spans="1:3" x14ac:dyDescent="0.25">
      <c r="A3" s="117"/>
      <c r="B3" s="117"/>
      <c r="C3" s="117"/>
    </row>
    <row r="4" spans="1:3" ht="33" customHeight="1" x14ac:dyDescent="0.3">
      <c r="A4" s="104" t="s">
        <v>226</v>
      </c>
      <c r="B4" s="118" t="s">
        <v>254</v>
      </c>
      <c r="C4" s="118" t="s">
        <v>255</v>
      </c>
    </row>
    <row r="5" spans="1:3" ht="19.5" customHeight="1" x14ac:dyDescent="0.3">
      <c r="A5" s="119" t="s">
        <v>15</v>
      </c>
      <c r="B5" s="107">
        <f>22419529839.4467/1000000000</f>
        <v>22.4195298394467</v>
      </c>
      <c r="C5" s="107">
        <f>22452818441.6673/1000000000</f>
        <v>22.452818441667301</v>
      </c>
    </row>
    <row r="6" spans="1:3" ht="16.5" x14ac:dyDescent="0.3">
      <c r="A6" s="106" t="s">
        <v>48</v>
      </c>
      <c r="B6" s="109">
        <f>857851239009.95/1000000000</f>
        <v>857.85123900994995</v>
      </c>
      <c r="C6" s="109">
        <f>866430357744.914/1000000000</f>
        <v>866.43035774491398</v>
      </c>
    </row>
    <row r="7" spans="1:3" ht="16.5" x14ac:dyDescent="0.3">
      <c r="A7" s="106" t="s">
        <v>227</v>
      </c>
      <c r="B7" s="107">
        <f>298612163023.865/1000000000</f>
        <v>298.61216302386498</v>
      </c>
      <c r="C7" s="107">
        <f>296194339533.26/1000000000</f>
        <v>296.19433953326001</v>
      </c>
    </row>
    <row r="8" spans="1:3" ht="16.5" x14ac:dyDescent="0.3">
      <c r="A8" s="106" t="s">
        <v>131</v>
      </c>
      <c r="B8" s="109">
        <f>574272210688.571/1000000000</f>
        <v>574.27221068857102</v>
      </c>
      <c r="C8" s="109">
        <f>594856395707.727/1000000000</f>
        <v>594.85639570772707</v>
      </c>
    </row>
    <row r="9" spans="1:3" ht="16.5" x14ac:dyDescent="0.3">
      <c r="A9" s="106" t="s">
        <v>228</v>
      </c>
      <c r="B9" s="107">
        <f>93025791056.55/1000000000</f>
        <v>93.025791056550005</v>
      </c>
      <c r="C9" s="107">
        <f>93063670940.06/1000000000</f>
        <v>93.063670940059993</v>
      </c>
    </row>
    <row r="10" spans="1:3" ht="16.5" x14ac:dyDescent="0.3">
      <c r="A10" s="106" t="s">
        <v>157</v>
      </c>
      <c r="B10" s="108">
        <f>39656232639.7428/1000000000</f>
        <v>39.656232639742797</v>
      </c>
      <c r="C10" s="108">
        <f>39055524237.1356/1000000000</f>
        <v>39.0555242371356</v>
      </c>
    </row>
    <row r="11" spans="1:3" ht="16.5" x14ac:dyDescent="0.3">
      <c r="A11" s="106" t="s">
        <v>182</v>
      </c>
      <c r="B11" s="107">
        <f>3871834604.09/1000000000</f>
        <v>3.87183460409</v>
      </c>
      <c r="C11" s="107">
        <f>3847653774.98/1000000000</f>
        <v>3.8476537749799999</v>
      </c>
    </row>
    <row r="12" spans="1:3" ht="16.5" x14ac:dyDescent="0.3">
      <c r="A12" s="106" t="s">
        <v>229</v>
      </c>
      <c r="B12" s="107">
        <f>45358758187.99/1000000000</f>
        <v>45.358758187989999</v>
      </c>
      <c r="C12" s="107">
        <f>45328584703.19/1000000000</f>
        <v>45.328584703190003</v>
      </c>
    </row>
    <row r="13" spans="1:3" x14ac:dyDescent="0.25">
      <c r="A13" s="117"/>
      <c r="B13" s="117"/>
      <c r="C13" s="117"/>
    </row>
    <row r="17" spans="1:3" ht="16.5" x14ac:dyDescent="0.3">
      <c r="B17" s="45"/>
      <c r="C17" s="45"/>
    </row>
    <row r="18" spans="1:3" ht="16.5" x14ac:dyDescent="0.3">
      <c r="A18" s="112"/>
      <c r="B18" s="47"/>
      <c r="C18" s="47"/>
    </row>
    <row r="19" spans="1:3" ht="16.5" x14ac:dyDescent="0.3">
      <c r="A19" s="113"/>
      <c r="B19" s="48"/>
      <c r="C19" s="48"/>
    </row>
    <row r="20" spans="1:3" ht="16.5" x14ac:dyDescent="0.3">
      <c r="A20" s="113"/>
      <c r="B20" s="47"/>
      <c r="C20" s="47"/>
    </row>
    <row r="21" spans="1:3" ht="16.5" x14ac:dyDescent="0.3">
      <c r="A21" s="113"/>
      <c r="B21" s="48"/>
      <c r="C21" s="48"/>
    </row>
    <row r="22" spans="1:3" ht="16.5" x14ac:dyDescent="0.3">
      <c r="A22" s="113"/>
      <c r="B22" s="147"/>
      <c r="C22" s="147"/>
    </row>
    <row r="23" spans="1:3" ht="16.5" x14ac:dyDescent="0.3">
      <c r="A23" s="113"/>
      <c r="B23" s="115"/>
      <c r="C23" s="115"/>
    </row>
    <row r="24" spans="1:3" ht="16.5" x14ac:dyDescent="0.3">
      <c r="A24" s="113"/>
      <c r="B24" s="114"/>
      <c r="C24" s="114"/>
    </row>
    <row r="25" spans="1:3" ht="16.5" x14ac:dyDescent="0.3">
      <c r="A25" s="113"/>
      <c r="B25" s="114"/>
      <c r="C25" s="114"/>
    </row>
    <row r="26" spans="1:3" ht="16.5" x14ac:dyDescent="0.3">
      <c r="A26" s="113"/>
      <c r="B26" s="114"/>
      <c r="C26" s="114"/>
    </row>
  </sheetData>
  <sheetProtection algorithmName="SHA-512" hashValue="W1HBMp+4+hGdfKdTcvKuDo4WJ/x+noS1RIYJd9BrJQDWsPCVRMlWH/qbysL0xhRXJ5Emv/mL/0GYRNv3eLotzQ==" saltValue="TNl/NPcDr00xSZZCYS486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A16" sqref="A16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04" t="s">
        <v>226</v>
      </c>
      <c r="B1" s="105">
        <v>45212</v>
      </c>
    </row>
    <row r="2" spans="1:2" ht="16.5" x14ac:dyDescent="0.3">
      <c r="A2" s="106" t="s">
        <v>182</v>
      </c>
      <c r="B2" s="107">
        <v>3847653774.98</v>
      </c>
    </row>
    <row r="3" spans="1:2" ht="16.5" x14ac:dyDescent="0.3">
      <c r="A3" s="106" t="s">
        <v>15</v>
      </c>
      <c r="B3" s="107">
        <v>22452818441.667297</v>
      </c>
    </row>
    <row r="4" spans="1:2" ht="16.5" x14ac:dyDescent="0.3">
      <c r="A4" s="106" t="s">
        <v>157</v>
      </c>
      <c r="B4" s="108">
        <v>39055524237.135551</v>
      </c>
    </row>
    <row r="5" spans="1:2" ht="16.5" x14ac:dyDescent="0.3">
      <c r="A5" s="106" t="s">
        <v>229</v>
      </c>
      <c r="B5" s="107">
        <v>45328584703.190002</v>
      </c>
    </row>
    <row r="6" spans="1:2" ht="16.5" x14ac:dyDescent="0.3">
      <c r="A6" s="106" t="s">
        <v>228</v>
      </c>
      <c r="B6" s="107">
        <v>93063670940.059998</v>
      </c>
    </row>
    <row r="7" spans="1:2" ht="16.5" x14ac:dyDescent="0.3">
      <c r="A7" s="106" t="s">
        <v>227</v>
      </c>
      <c r="B7" s="107">
        <v>296194339533.25995</v>
      </c>
    </row>
    <row r="8" spans="1:2" ht="16.5" x14ac:dyDescent="0.3">
      <c r="A8" s="106" t="s">
        <v>131</v>
      </c>
      <c r="B8" s="109">
        <v>594856395707.72656</v>
      </c>
    </row>
    <row r="9" spans="1:2" ht="16.5" x14ac:dyDescent="0.3">
      <c r="A9" s="106" t="s">
        <v>48</v>
      </c>
      <c r="B9" s="109">
        <v>866430357744.91357</v>
      </c>
    </row>
    <row r="14" spans="1:2" ht="16.5" x14ac:dyDescent="0.3">
      <c r="A14" s="116"/>
      <c r="B14" s="45"/>
    </row>
    <row r="15" spans="1:2" ht="16.5" x14ac:dyDescent="0.3">
      <c r="A15" s="116"/>
      <c r="B15" s="47"/>
    </row>
    <row r="16" spans="1:2" ht="16.5" x14ac:dyDescent="0.3">
      <c r="A16" s="116"/>
      <c r="B16" s="47"/>
    </row>
    <row r="17" spans="1:2" ht="16.5" x14ac:dyDescent="0.3">
      <c r="A17" s="116"/>
      <c r="B17" s="49"/>
    </row>
    <row r="18" spans="1:2" ht="16.5" x14ac:dyDescent="0.3">
      <c r="A18" s="116"/>
      <c r="B18" s="47"/>
    </row>
    <row r="19" spans="1:2" ht="16.5" x14ac:dyDescent="0.3">
      <c r="A19" s="116"/>
      <c r="B19" s="47"/>
    </row>
    <row r="20" spans="1:2" ht="16.5" x14ac:dyDescent="0.3">
      <c r="A20" s="116"/>
      <c r="B20" s="47"/>
    </row>
    <row r="21" spans="1:2" ht="16.5" x14ac:dyDescent="0.3">
      <c r="A21" s="116"/>
      <c r="B21" s="48"/>
    </row>
    <row r="22" spans="1:2" ht="16.5" x14ac:dyDescent="0.3">
      <c r="A22" s="103"/>
      <c r="B22" s="48"/>
    </row>
  </sheetData>
  <sheetProtection algorithmName="SHA-512" hashValue="NsBbE+YFGluQtUzskTwZ8aDhnctZ5xw0+LHFpRbih8Mg2RRkWM0HERuysGHXwpFsdKdfTRLwIuCvbO6PditjDA==" saltValue="NyItqGXKagP0X9BkKUfWig==" spinCount="100000" sheet="1" objects="1" scenarios="1"/>
  <sortState ref="B15:B22">
    <sortCondition ref="B1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zoomScale="110" zoomScaleNormal="110" workbookViewId="0">
      <selection activeCell="A36" sqref="A36"/>
    </sheetView>
  </sheetViews>
  <sheetFormatPr defaultRowHeight="15" x14ac:dyDescent="0.25"/>
  <cols>
    <col min="1" max="1" width="11.28515625" customWidth="1"/>
    <col min="2" max="2" width="16.5703125" customWidth="1"/>
    <col min="3" max="3" width="16.7109375" customWidth="1"/>
    <col min="4" max="4" width="16.5703125" customWidth="1"/>
    <col min="5" max="5" width="16.85546875" customWidth="1"/>
    <col min="6" max="6" width="17.140625" customWidth="1"/>
    <col min="7" max="7" width="16.85546875" customWidth="1"/>
    <col min="8" max="8" width="18.140625" customWidth="1"/>
    <col min="9" max="9" width="17" customWidth="1"/>
  </cols>
  <sheetData>
    <row r="2" spans="1:11" x14ac:dyDescent="0.25">
      <c r="A2" s="102" t="s">
        <v>237</v>
      </c>
      <c r="B2" s="145">
        <v>45163</v>
      </c>
      <c r="C2" s="145">
        <v>45170</v>
      </c>
      <c r="D2" s="145">
        <v>45177</v>
      </c>
      <c r="E2" s="145">
        <v>45184</v>
      </c>
      <c r="F2" s="145">
        <v>45191</v>
      </c>
      <c r="G2" s="145">
        <v>45198</v>
      </c>
      <c r="H2" s="145">
        <v>45205</v>
      </c>
      <c r="I2" s="145">
        <v>45212</v>
      </c>
      <c r="J2" s="144"/>
      <c r="K2" s="144"/>
    </row>
    <row r="3" spans="1:11" x14ac:dyDescent="0.25">
      <c r="A3" s="102" t="s">
        <v>238</v>
      </c>
      <c r="B3" s="146">
        <v>1943407345708.8286</v>
      </c>
      <c r="C3" s="146">
        <v>1922810043593.2705</v>
      </c>
      <c r="D3" s="146">
        <v>1905565030169.3159</v>
      </c>
      <c r="E3" s="146">
        <v>1930034404358.7712</v>
      </c>
      <c r="F3" s="146">
        <v>1927585637735.8486</v>
      </c>
      <c r="G3" s="146">
        <v>1938057005087.2852</v>
      </c>
      <c r="H3" s="146">
        <v>1935067759050.2058</v>
      </c>
      <c r="I3" s="146">
        <v>1961229345082.9329</v>
      </c>
      <c r="J3" s="144"/>
      <c r="K3" s="144"/>
    </row>
    <row r="4" spans="1:11" x14ac:dyDescent="0.25">
      <c r="A4" s="103"/>
      <c r="B4" s="103"/>
      <c r="C4" s="103"/>
      <c r="D4" s="103"/>
      <c r="E4" s="103"/>
      <c r="F4" s="103"/>
      <c r="G4" s="103"/>
      <c r="H4" s="103"/>
      <c r="I4" s="103"/>
    </row>
    <row r="5" spans="1:11" x14ac:dyDescent="0.25">
      <c r="A5" s="103"/>
      <c r="B5" s="103"/>
      <c r="C5" s="103"/>
      <c r="D5" s="103"/>
      <c r="E5" s="103"/>
      <c r="F5" s="103"/>
      <c r="G5" s="103"/>
      <c r="H5" s="103"/>
      <c r="I5" s="103"/>
    </row>
    <row r="6" spans="1:11" x14ac:dyDescent="0.25">
      <c r="A6" s="103"/>
      <c r="B6" s="103"/>
      <c r="C6" s="103"/>
      <c r="D6" s="103"/>
      <c r="E6" s="103"/>
      <c r="F6" s="103"/>
      <c r="G6" s="103"/>
      <c r="H6" s="103"/>
      <c r="I6" s="103"/>
    </row>
    <row r="7" spans="1:11" x14ac:dyDescent="0.25">
      <c r="A7" s="103"/>
      <c r="B7" s="103"/>
      <c r="C7" s="103"/>
      <c r="D7" s="103"/>
      <c r="E7" s="103"/>
      <c r="F7" s="103"/>
      <c r="G7" s="103"/>
      <c r="H7" s="103"/>
      <c r="I7" s="103"/>
    </row>
    <row r="8" spans="1:11" x14ac:dyDescent="0.25">
      <c r="A8" s="103"/>
      <c r="B8" s="103"/>
      <c r="C8" s="103"/>
      <c r="D8" s="103"/>
      <c r="E8" s="103"/>
      <c r="F8" s="103"/>
      <c r="G8" s="103"/>
      <c r="H8" s="103"/>
      <c r="I8" s="103"/>
    </row>
    <row r="9" spans="1:11" x14ac:dyDescent="0.25">
      <c r="A9" s="103"/>
      <c r="B9" s="103"/>
      <c r="C9" s="103"/>
      <c r="D9" s="103"/>
      <c r="E9" s="103"/>
      <c r="F9" s="103"/>
      <c r="G9" s="103"/>
      <c r="H9" s="103"/>
      <c r="I9" s="103"/>
    </row>
    <row r="10" spans="1:11" x14ac:dyDescent="0.25">
      <c r="A10" s="103"/>
      <c r="B10" s="103"/>
      <c r="C10" s="103"/>
      <c r="D10" s="103"/>
      <c r="E10" s="103"/>
      <c r="F10" s="103"/>
      <c r="G10" s="103"/>
      <c r="H10" s="103"/>
      <c r="I10" s="103"/>
    </row>
    <row r="11" spans="1:11" x14ac:dyDescent="0.25">
      <c r="A11" s="103"/>
      <c r="B11" s="103"/>
      <c r="C11" s="103"/>
      <c r="D11" s="103"/>
      <c r="E11" s="103"/>
      <c r="F11" s="103"/>
      <c r="G11" s="103"/>
      <c r="H11" s="103"/>
      <c r="I11" s="103"/>
    </row>
    <row r="12" spans="1:11" x14ac:dyDescent="0.25">
      <c r="A12" s="103"/>
      <c r="B12" s="103"/>
      <c r="C12" s="103"/>
      <c r="D12" s="103"/>
      <c r="E12" s="103"/>
      <c r="F12" s="103"/>
      <c r="G12" s="103"/>
      <c r="H12" s="103"/>
      <c r="I12" s="103"/>
    </row>
    <row r="13" spans="1:11" x14ac:dyDescent="0.25">
      <c r="A13" s="103"/>
      <c r="B13" s="103"/>
      <c r="C13" s="103"/>
      <c r="D13" s="103"/>
      <c r="E13" s="103"/>
      <c r="F13" s="103"/>
      <c r="G13" s="103"/>
      <c r="H13" s="103"/>
      <c r="I13" s="103"/>
    </row>
    <row r="14" spans="1:11" x14ac:dyDescent="0.25">
      <c r="A14" s="103"/>
      <c r="B14" s="103"/>
      <c r="C14" s="103"/>
      <c r="D14" s="103"/>
      <c r="E14" s="103"/>
      <c r="F14" s="103"/>
      <c r="G14" s="103"/>
      <c r="H14" s="103"/>
      <c r="I14" s="103"/>
    </row>
    <row r="15" spans="1:11" x14ac:dyDescent="0.25">
      <c r="A15" s="103"/>
      <c r="B15" s="103"/>
      <c r="C15" s="103"/>
      <c r="D15" s="103"/>
      <c r="E15" s="103"/>
      <c r="F15" s="103"/>
      <c r="G15" s="103"/>
      <c r="H15" s="103"/>
      <c r="I15" s="103"/>
    </row>
    <row r="16" spans="1:11" x14ac:dyDescent="0.25">
      <c r="A16" s="103"/>
      <c r="B16" s="103"/>
      <c r="C16" s="103"/>
      <c r="D16" s="103"/>
      <c r="E16" s="103"/>
      <c r="F16" s="103"/>
      <c r="G16" s="103"/>
      <c r="H16" s="103"/>
      <c r="I16" s="103"/>
    </row>
    <row r="17" spans="1:9" x14ac:dyDescent="0.25">
      <c r="A17" s="103"/>
      <c r="B17" s="103"/>
      <c r="C17" s="103"/>
      <c r="D17" s="103"/>
      <c r="E17" s="103"/>
      <c r="F17" s="103"/>
      <c r="G17" s="103"/>
      <c r="H17" s="103"/>
      <c r="I17" s="103"/>
    </row>
    <row r="18" spans="1:9" x14ac:dyDescent="0.25">
      <c r="A18" s="103"/>
      <c r="B18" s="103"/>
      <c r="C18" s="103"/>
      <c r="D18" s="103"/>
      <c r="E18" s="103"/>
      <c r="F18" s="103"/>
      <c r="G18" s="103"/>
      <c r="H18" s="103"/>
      <c r="I18" s="103"/>
    </row>
    <row r="19" spans="1:9" x14ac:dyDescent="0.25">
      <c r="A19" s="103"/>
      <c r="B19" s="103"/>
      <c r="C19" s="103"/>
      <c r="D19" s="103"/>
      <c r="E19" s="103"/>
      <c r="F19" s="103"/>
      <c r="G19" s="103"/>
      <c r="H19" s="103"/>
      <c r="I19" s="103"/>
    </row>
    <row r="20" spans="1:9" x14ac:dyDescent="0.25">
      <c r="A20" s="103"/>
      <c r="B20" s="103"/>
      <c r="C20" s="103"/>
      <c r="D20" s="103"/>
      <c r="E20" s="103"/>
      <c r="F20" s="103"/>
      <c r="G20" s="103"/>
      <c r="H20" s="103"/>
      <c r="I20" s="103"/>
    </row>
    <row r="21" spans="1:9" x14ac:dyDescent="0.25">
      <c r="A21" s="103"/>
      <c r="B21" s="103"/>
      <c r="C21" s="103"/>
      <c r="D21" s="103"/>
      <c r="E21" s="103"/>
      <c r="F21" s="103"/>
      <c r="G21" s="103"/>
      <c r="H21" s="103"/>
      <c r="I21" s="103"/>
    </row>
    <row r="22" spans="1:9" x14ac:dyDescent="0.25">
      <c r="A22" s="103"/>
      <c r="B22" s="103"/>
      <c r="C22" s="103"/>
      <c r="D22" s="103"/>
      <c r="E22" s="103"/>
      <c r="F22" s="103"/>
      <c r="G22" s="103"/>
      <c r="H22" s="103"/>
      <c r="I22" s="103"/>
    </row>
    <row r="23" spans="1:9" x14ac:dyDescent="0.25">
      <c r="A23" s="103"/>
      <c r="B23" s="103"/>
      <c r="C23" s="103"/>
      <c r="D23" s="103"/>
      <c r="E23" s="103"/>
      <c r="F23" s="103"/>
      <c r="G23" s="103"/>
      <c r="H23" s="103"/>
      <c r="I23" s="103"/>
    </row>
    <row r="24" spans="1:9" x14ac:dyDescent="0.25">
      <c r="A24" s="103"/>
      <c r="B24" s="103"/>
      <c r="C24" s="103"/>
      <c r="D24" s="103"/>
      <c r="E24" s="103"/>
      <c r="F24" s="103"/>
      <c r="G24" s="103"/>
      <c r="H24" s="103"/>
      <c r="I24" s="103"/>
    </row>
    <row r="25" spans="1:9" x14ac:dyDescent="0.25">
      <c r="A25" s="103"/>
      <c r="B25" s="103"/>
      <c r="C25" s="103"/>
      <c r="D25" s="103"/>
      <c r="E25" s="103"/>
      <c r="F25" s="103"/>
      <c r="G25" s="103"/>
      <c r="H25" s="103"/>
      <c r="I25" s="103"/>
    </row>
    <row r="26" spans="1:9" x14ac:dyDescent="0.25">
      <c r="A26" s="103"/>
      <c r="B26" s="103"/>
      <c r="C26" s="103"/>
      <c r="D26" s="103"/>
      <c r="E26" s="103"/>
      <c r="F26" s="103"/>
      <c r="G26" s="103"/>
      <c r="H26" s="103"/>
      <c r="I26" s="103"/>
    </row>
    <row r="27" spans="1:9" x14ac:dyDescent="0.25">
      <c r="A27" s="103"/>
      <c r="B27" s="103"/>
      <c r="C27" s="103"/>
      <c r="D27" s="103"/>
      <c r="E27" s="103"/>
      <c r="F27" s="103"/>
      <c r="G27" s="103"/>
      <c r="H27" s="103"/>
      <c r="I27" s="103"/>
    </row>
    <row r="28" spans="1:9" x14ac:dyDescent="0.25">
      <c r="A28" s="103"/>
      <c r="B28" s="103"/>
      <c r="C28" s="103"/>
      <c r="D28" s="103"/>
      <c r="E28" s="103"/>
      <c r="F28" s="103"/>
      <c r="G28" s="103"/>
      <c r="H28" s="103"/>
      <c r="I28" s="103"/>
    </row>
    <row r="29" spans="1:9" x14ac:dyDescent="0.25">
      <c r="A29" s="103"/>
      <c r="B29" s="103"/>
      <c r="C29" s="103"/>
      <c r="D29" s="103"/>
      <c r="E29" s="103"/>
      <c r="F29" s="103"/>
      <c r="G29" s="103"/>
      <c r="H29" s="103"/>
      <c r="I29" s="103"/>
    </row>
  </sheetData>
  <sheetProtection algorithmName="SHA-512" hashValue="MS0O3C7Wh1tevA3jaEVI/YDUojPujVPfLue1zRzgj5fFYjGWWKo9bg0f8HenuMWb/uJhHcSyADrMppra05H4bg==" saltValue="KIFVXmnPDXUbbWB4OR5iV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D1" workbookViewId="0">
      <selection activeCell="L1" sqref="L1"/>
    </sheetView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</cols>
  <sheetData>
    <row r="1" spans="1:10" ht="16.5" x14ac:dyDescent="0.3">
      <c r="A1" s="44" t="s">
        <v>226</v>
      </c>
      <c r="B1" s="45">
        <v>45156</v>
      </c>
      <c r="C1" s="45">
        <v>45163</v>
      </c>
      <c r="D1" s="45">
        <v>45170</v>
      </c>
      <c r="E1" s="45">
        <v>45177</v>
      </c>
      <c r="F1" s="45">
        <v>45184</v>
      </c>
      <c r="G1" s="45">
        <v>45191</v>
      </c>
      <c r="H1" s="45">
        <v>45198</v>
      </c>
      <c r="I1" s="45">
        <v>45205</v>
      </c>
      <c r="J1" s="45">
        <v>45212</v>
      </c>
    </row>
    <row r="2" spans="1:10" ht="16.5" x14ac:dyDescent="0.3">
      <c r="A2" s="46" t="s">
        <v>15</v>
      </c>
      <c r="B2" s="47">
        <v>21756530204.330006</v>
      </c>
      <c r="C2" s="47">
        <v>21948547893.360001</v>
      </c>
      <c r="D2" s="47">
        <v>22687921199.809998</v>
      </c>
      <c r="E2" s="47">
        <v>23086923138.879997</v>
      </c>
      <c r="F2" s="47">
        <v>22684841502.700001</v>
      </c>
      <c r="G2" s="47">
        <v>22617340342.240005</v>
      </c>
      <c r="H2" s="47">
        <v>22347298706.340004</v>
      </c>
      <c r="I2" s="47">
        <v>22419529839.446701</v>
      </c>
      <c r="J2" s="47">
        <v>22452818441.667297</v>
      </c>
    </row>
    <row r="3" spans="1:10" ht="16.5" x14ac:dyDescent="0.3">
      <c r="A3" s="46" t="s">
        <v>48</v>
      </c>
      <c r="B3" s="48">
        <v>855610980289.1698</v>
      </c>
      <c r="C3" s="48">
        <v>852824801464.56006</v>
      </c>
      <c r="D3" s="48">
        <v>854338532735.88501</v>
      </c>
      <c r="E3" s="48">
        <v>842459027080.45435</v>
      </c>
      <c r="F3" s="48">
        <v>842959336565.12207</v>
      </c>
      <c r="G3" s="48">
        <v>849677574373.34802</v>
      </c>
      <c r="H3" s="48">
        <v>852624898169.64954</v>
      </c>
      <c r="I3" s="48">
        <v>857851239009.95007</v>
      </c>
      <c r="J3" s="48">
        <v>866430357744.91357</v>
      </c>
    </row>
    <row r="4" spans="1:10" ht="16.5" x14ac:dyDescent="0.3">
      <c r="A4" s="46" t="s">
        <v>227</v>
      </c>
      <c r="B4" s="47">
        <v>320687160580.93243</v>
      </c>
      <c r="C4" s="47">
        <v>319581951019.79437</v>
      </c>
      <c r="D4" s="47">
        <v>319127187068.50275</v>
      </c>
      <c r="E4" s="47">
        <v>320114444673.33032</v>
      </c>
      <c r="F4" s="47">
        <v>320326205967.90063</v>
      </c>
      <c r="G4" s="47">
        <v>299618437754.16949</v>
      </c>
      <c r="H4" s="47">
        <v>300146733726.06244</v>
      </c>
      <c r="I4" s="47">
        <v>298612163023.86542</v>
      </c>
      <c r="J4" s="47">
        <v>296194339533.25995</v>
      </c>
    </row>
    <row r="5" spans="1:10" ht="16.5" x14ac:dyDescent="0.3">
      <c r="A5" s="46" t="s">
        <v>131</v>
      </c>
      <c r="B5" s="48">
        <v>555450233256.58521</v>
      </c>
      <c r="C5" s="48">
        <v>584920699343.90466</v>
      </c>
      <c r="D5" s="48">
        <v>561324750435.97546</v>
      </c>
      <c r="E5" s="48">
        <v>554560757841.43372</v>
      </c>
      <c r="F5" s="48">
        <v>579242821265.46704</v>
      </c>
      <c r="G5" s="48">
        <v>573412197469.83374</v>
      </c>
      <c r="H5" s="48">
        <v>580580020013.89868</v>
      </c>
      <c r="I5" s="48">
        <v>574272210688.57068</v>
      </c>
      <c r="J5" s="48">
        <v>594856395707.72656</v>
      </c>
    </row>
    <row r="6" spans="1:10" ht="16.5" x14ac:dyDescent="0.3">
      <c r="A6" s="46" t="s">
        <v>228</v>
      </c>
      <c r="B6" s="47">
        <v>93626727218.01001</v>
      </c>
      <c r="C6" s="47">
        <v>93509583223.449997</v>
      </c>
      <c r="D6" s="47">
        <v>93504922541.330002</v>
      </c>
      <c r="E6" s="47">
        <v>92863739575.880005</v>
      </c>
      <c r="F6" s="47">
        <v>92900265036.520004</v>
      </c>
      <c r="G6" s="47">
        <v>92930445555.669998</v>
      </c>
      <c r="H6" s="47">
        <v>92953013524.979996</v>
      </c>
      <c r="I6" s="47">
        <v>93025791056.550003</v>
      </c>
      <c r="J6" s="47">
        <v>93063670940.059998</v>
      </c>
    </row>
    <row r="7" spans="1:10" ht="16.5" x14ac:dyDescent="0.3">
      <c r="A7" s="46" t="s">
        <v>157</v>
      </c>
      <c r="B7" s="49">
        <v>38811275853.394905</v>
      </c>
      <c r="C7" s="49">
        <v>39079043179.509552</v>
      </c>
      <c r="D7" s="49">
        <v>39909523580.55719</v>
      </c>
      <c r="E7" s="49">
        <v>40429036765.108025</v>
      </c>
      <c r="F7" s="49">
        <v>39999967409.311623</v>
      </c>
      <c r="G7" s="49">
        <v>40017994182.737228</v>
      </c>
      <c r="H7" s="49">
        <v>39835802330.054489</v>
      </c>
      <c r="I7" s="49">
        <v>39656232639.742752</v>
      </c>
      <c r="J7" s="49">
        <v>39055524237.135551</v>
      </c>
    </row>
    <row r="8" spans="1:10" ht="16.5" x14ac:dyDescent="0.3">
      <c r="A8" s="46" t="s">
        <v>182</v>
      </c>
      <c r="B8" s="47">
        <v>3802289133.5500002</v>
      </c>
      <c r="C8" s="47">
        <v>3833193790.9099998</v>
      </c>
      <c r="D8" s="47">
        <v>3950705160.4500003</v>
      </c>
      <c r="E8" s="47">
        <v>3988679154.2799997</v>
      </c>
      <c r="F8" s="47">
        <v>3887178325.5900002</v>
      </c>
      <c r="G8" s="47">
        <v>3868880759.98</v>
      </c>
      <c r="H8" s="47">
        <v>3871825099.96</v>
      </c>
      <c r="I8" s="47">
        <v>3871834604.0900002</v>
      </c>
      <c r="J8" s="47">
        <v>3847653774.98</v>
      </c>
    </row>
    <row r="9" spans="1:10" ht="16.5" x14ac:dyDescent="0.3">
      <c r="A9" s="46" t="s">
        <v>229</v>
      </c>
      <c r="B9" s="47">
        <v>27801303893.869999</v>
      </c>
      <c r="C9" s="47">
        <v>27709525793.34</v>
      </c>
      <c r="D9" s="47">
        <v>27966500870.759998</v>
      </c>
      <c r="E9" s="47">
        <v>28062421939.949997</v>
      </c>
      <c r="F9" s="47">
        <v>28033788286.160004</v>
      </c>
      <c r="G9" s="47">
        <v>45442767297.869995</v>
      </c>
      <c r="H9" s="47">
        <v>45697413516.340004</v>
      </c>
      <c r="I9" s="47">
        <v>45358758187.989998</v>
      </c>
      <c r="J9" s="47">
        <v>45328584703.190002</v>
      </c>
    </row>
    <row r="10" spans="1:10" ht="15.75" x14ac:dyDescent="0.25">
      <c r="A10" s="50" t="s">
        <v>230</v>
      </c>
      <c r="B10" s="51">
        <f t="shared" ref="B10:H10" si="0">SUM(B2:B9)</f>
        <v>1917546500429.8425</v>
      </c>
      <c r="C10" s="51">
        <f t="shared" si="0"/>
        <v>1943407345708.8286</v>
      </c>
      <c r="D10" s="51">
        <f t="shared" si="0"/>
        <v>1922810043593.2705</v>
      </c>
      <c r="E10" s="51">
        <f t="shared" si="0"/>
        <v>1905565030169.3159</v>
      </c>
      <c r="F10" s="51">
        <f t="shared" si="0"/>
        <v>1930034404358.7712</v>
      </c>
      <c r="G10" s="51">
        <f t="shared" si="0"/>
        <v>1927585637735.8486</v>
      </c>
      <c r="H10" s="51">
        <f t="shared" si="0"/>
        <v>1938057005087.2852</v>
      </c>
      <c r="I10" s="51">
        <f>SUM(I2:I9)</f>
        <v>1935067759050.2058</v>
      </c>
      <c r="J10" s="51">
        <f>SUM(J2:J9)</f>
        <v>1961229345082.9329</v>
      </c>
    </row>
    <row r="11" spans="1:10" ht="16.5" x14ac:dyDescent="0.3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 x14ac:dyDescent="0.25">
      <c r="A12" s="54" t="s">
        <v>231</v>
      </c>
      <c r="B12" s="55" t="s">
        <v>232</v>
      </c>
      <c r="C12" s="56">
        <f>(B10+C10)/2</f>
        <v>1930476923069.3354</v>
      </c>
      <c r="D12" s="57">
        <f t="shared" ref="D12:J12" si="1">(C10+D10)/2</f>
        <v>1933108694651.0496</v>
      </c>
      <c r="E12" s="57">
        <f t="shared" si="1"/>
        <v>1914187536881.2932</v>
      </c>
      <c r="F12" s="57">
        <f t="shared" si="1"/>
        <v>1917799717264.0435</v>
      </c>
      <c r="G12" s="57">
        <f>(F10+G10)/2</f>
        <v>1928810021047.3101</v>
      </c>
      <c r="H12" s="57">
        <f t="shared" si="1"/>
        <v>1932821321411.5669</v>
      </c>
      <c r="I12" s="57">
        <f t="shared" si="1"/>
        <v>1936562382068.7456</v>
      </c>
      <c r="J12" s="57">
        <f t="shared" si="1"/>
        <v>1948148552066.5693</v>
      </c>
    </row>
    <row r="15" spans="1:10" ht="16.5" x14ac:dyDescent="0.3">
      <c r="A15" s="44" t="s">
        <v>226</v>
      </c>
      <c r="B15" s="45">
        <v>45205</v>
      </c>
      <c r="C15" s="45">
        <v>45212</v>
      </c>
    </row>
    <row r="16" spans="1:10" ht="16.5" x14ac:dyDescent="0.3">
      <c r="A16" s="46" t="s">
        <v>15</v>
      </c>
      <c r="B16" s="47">
        <v>22419529839.446701</v>
      </c>
      <c r="C16" s="47">
        <v>22452818441.667297</v>
      </c>
    </row>
    <row r="17" spans="1:3" ht="16.5" x14ac:dyDescent="0.3">
      <c r="A17" s="46" t="s">
        <v>48</v>
      </c>
      <c r="B17" s="48">
        <v>857851239009.95007</v>
      </c>
      <c r="C17" s="48">
        <v>866430357744.91357</v>
      </c>
    </row>
    <row r="18" spans="1:3" ht="16.5" x14ac:dyDescent="0.3">
      <c r="A18" s="46" t="s">
        <v>227</v>
      </c>
      <c r="B18" s="47">
        <v>298612163023.86542</v>
      </c>
      <c r="C18" s="47">
        <v>296194339533.25995</v>
      </c>
    </row>
    <row r="19" spans="1:3" ht="16.5" x14ac:dyDescent="0.3">
      <c r="A19" s="46" t="s">
        <v>131</v>
      </c>
      <c r="B19" s="48">
        <v>574272210688.57068</v>
      </c>
      <c r="C19" s="48">
        <v>594856395707.72656</v>
      </c>
    </row>
    <row r="20" spans="1:3" ht="16.5" x14ac:dyDescent="0.3">
      <c r="A20" s="46" t="s">
        <v>228</v>
      </c>
      <c r="B20" s="47">
        <v>93025791056.550003</v>
      </c>
      <c r="C20" s="47">
        <v>93063670940.059998</v>
      </c>
    </row>
    <row r="21" spans="1:3" ht="16.5" x14ac:dyDescent="0.3">
      <c r="A21" s="46" t="s">
        <v>157</v>
      </c>
      <c r="B21" s="49">
        <v>39656232639.742752</v>
      </c>
      <c r="C21" s="49">
        <v>39055524237.135551</v>
      </c>
    </row>
    <row r="22" spans="1:3" ht="16.5" x14ac:dyDescent="0.3">
      <c r="A22" s="46" t="s">
        <v>182</v>
      </c>
      <c r="B22" s="47">
        <v>3871834604.0900002</v>
      </c>
      <c r="C22" s="47">
        <v>3847653774.98</v>
      </c>
    </row>
    <row r="23" spans="1:3" ht="16.5" x14ac:dyDescent="0.3">
      <c r="A23" s="46" t="s">
        <v>229</v>
      </c>
      <c r="B23" s="47">
        <v>45358758187.989998</v>
      </c>
      <c r="C23" s="47">
        <v>45328584703.190002</v>
      </c>
    </row>
  </sheetData>
  <sheetProtection algorithmName="SHA-512" hashValue="1y2mG+MOvkS61goWlLzGb3gVHjaUm+NbzeAHfXr1fSBzZ4gBCFGPsJV2j5/XoSCDDYkvF/oielBrLuSWjWwD3g==" saltValue="THMSWkdroumUuObXKTgXT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2023-11-01T15:03:41Z</dcterms:modified>
</cp:coreProperties>
</file>