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10155" windowHeight="6150" tabRatio="599"/>
  </bookViews>
  <sheets>
    <sheet name="Data" sheetId="9" r:id="rId1"/>
    <sheet name="NAV COMPARISON" sheetId="13" r:id="rId2"/>
    <sheet name="Market Share" sheetId="12" r:id="rId3"/>
    <sheet name="Total NAV" sheetId="8" r:id="rId4"/>
    <sheet name="Sector Trend" sheetId="4" r:id="rId5"/>
    <sheet name="NAV Trend" sheetId="1" state="hidden" r:id="rId6"/>
    <sheet name="Volatility Measure" sheetId="11" r:id="rId7"/>
  </sheets>
  <definedNames>
    <definedName name="_GoBack" localSheetId="0">Data!#REF!</definedName>
    <definedName name="OLE_LINK6" localSheetId="0">Data!$K$65</definedName>
    <definedName name="_xlnm.Print_Area" localSheetId="0">Data!$A$1:$AQ$195</definedName>
    <definedName name="_xlnm.Print_Area" localSheetId="5">'NAV Trend'!$B$1:$J$10</definedName>
  </definedNames>
  <calcPr calcId="162913"/>
</workbook>
</file>

<file path=xl/calcChain.xml><?xml version="1.0" encoding="utf-8"?>
<calcChain xmlns="http://schemas.openxmlformats.org/spreadsheetml/2006/main">
  <c r="AJ178" i="11" l="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K185" i="11"/>
  <c r="AL185" i="11"/>
  <c r="AM185" i="11"/>
  <c r="AN185" i="11"/>
  <c r="AO185" i="11"/>
  <c r="AJ186" i="11"/>
  <c r="AK186" i="11"/>
  <c r="AL186" i="11"/>
  <c r="AM186" i="11"/>
  <c r="AN186" i="11"/>
  <c r="AO186" i="11"/>
  <c r="AJ187" i="11"/>
  <c r="AK187" i="11"/>
  <c r="AL187" i="11"/>
  <c r="AM187" i="11"/>
  <c r="AN187" i="11"/>
  <c r="AO187" i="11"/>
  <c r="AJ188" i="11"/>
  <c r="AK188" i="11"/>
  <c r="AL188" i="11"/>
  <c r="AM188" i="11"/>
  <c r="AN188" i="11"/>
  <c r="AO188" i="11"/>
  <c r="AJ189" i="11"/>
  <c r="AL189" i="11"/>
  <c r="AN189" i="11"/>
  <c r="AJ190" i="11"/>
  <c r="AL190" i="11"/>
  <c r="AN190" i="11"/>
  <c r="AO177" i="11"/>
  <c r="AN177" i="11"/>
  <c r="AM177" i="11"/>
  <c r="AL177" i="11"/>
  <c r="AK177" i="11"/>
  <c r="AJ177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L85" i="11"/>
  <c r="AN85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L99" i="11"/>
  <c r="AN99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L118" i="11"/>
  <c r="AN118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L145" i="11"/>
  <c r="AN145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L151" i="11"/>
  <c r="AN151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L168" i="11"/>
  <c r="AN168" i="11"/>
  <c r="AJ169" i="11"/>
  <c r="AL169" i="11"/>
  <c r="AN169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O5" i="11"/>
  <c r="AN5" i="11"/>
  <c r="AM5" i="11"/>
  <c r="AL5" i="11"/>
  <c r="AK5" i="11"/>
  <c r="AJ5" i="11"/>
  <c r="AF190" i="11"/>
  <c r="AF189" i="11"/>
  <c r="AF174" i="11"/>
  <c r="AF168" i="11"/>
  <c r="AH168" i="11" s="1"/>
  <c r="AF151" i="11"/>
  <c r="AF145" i="11"/>
  <c r="AF118" i="11"/>
  <c r="AG110" i="11"/>
  <c r="AG106" i="11"/>
  <c r="AG103" i="11"/>
  <c r="AF103" i="11"/>
  <c r="AH103" i="11" s="1"/>
  <c r="AG99" i="11"/>
  <c r="AI99" i="11" s="1"/>
  <c r="AG97" i="11"/>
  <c r="AG96" i="11"/>
  <c r="AI96" i="11" s="1"/>
  <c r="AG94" i="11"/>
  <c r="AI94" i="11" s="1"/>
  <c r="AG90" i="11"/>
  <c r="AG89" i="11"/>
  <c r="AF99" i="11"/>
  <c r="AF97" i="11"/>
  <c r="AF96" i="11"/>
  <c r="AF94" i="11"/>
  <c r="AF90" i="11"/>
  <c r="AF85" i="11"/>
  <c r="AF53" i="11"/>
  <c r="AH53" i="11" s="1"/>
  <c r="AH190" i="11"/>
  <c r="AH189" i="11"/>
  <c r="AI188" i="11"/>
  <c r="AH188" i="11"/>
  <c r="AI187" i="11"/>
  <c r="AH187" i="11"/>
  <c r="AI186" i="11"/>
  <c r="AH186" i="11"/>
  <c r="AI185" i="1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3" i="11"/>
  <c r="AH173" i="11"/>
  <c r="AI172" i="11"/>
  <c r="AH172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9" i="11"/>
  <c r="AH159" i="11"/>
  <c r="AI156" i="11"/>
  <c r="AH156" i="11"/>
  <c r="AI155" i="11"/>
  <c r="AH155" i="11"/>
  <c r="AH151" i="11"/>
  <c r="AI150" i="11"/>
  <c r="AH150" i="11"/>
  <c r="AI149" i="11"/>
  <c r="AH149" i="11"/>
  <c r="AI148" i="11"/>
  <c r="AH148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H118" i="11"/>
  <c r="AI117" i="11"/>
  <c r="AH117" i="11"/>
  <c r="AI116" i="11"/>
  <c r="AH116" i="11"/>
  <c r="AI115" i="11"/>
  <c r="AH115" i="11"/>
  <c r="AI114" i="11"/>
  <c r="AH114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I102" i="11"/>
  <c r="AH102" i="11"/>
  <c r="AI98" i="11"/>
  <c r="AH98" i="11"/>
  <c r="AI97" i="11"/>
  <c r="AH97" i="11"/>
  <c r="AH96" i="11"/>
  <c r="AI95" i="11"/>
  <c r="AH95" i="11"/>
  <c r="AH94" i="11"/>
  <c r="AI93" i="11"/>
  <c r="AH93" i="11"/>
  <c r="AI92" i="11"/>
  <c r="AH92" i="11"/>
  <c r="AI91" i="11"/>
  <c r="AH91" i="11"/>
  <c r="AI90" i="11"/>
  <c r="AH90" i="11"/>
  <c r="AI89" i="11"/>
  <c r="AH89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H21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21" i="11"/>
  <c r="AE163" i="11"/>
  <c r="AD163" i="11"/>
  <c r="AA163" i="11"/>
  <c r="Z163" i="11"/>
  <c r="W163" i="11"/>
  <c r="V163" i="11"/>
  <c r="S163" i="11"/>
  <c r="R163" i="11"/>
  <c r="O163" i="11"/>
  <c r="N163" i="11"/>
  <c r="K163" i="11"/>
  <c r="J163" i="11"/>
  <c r="G163" i="11"/>
  <c r="F163" i="11"/>
  <c r="AF169" i="11" l="1"/>
  <c r="AH169" i="11" s="1"/>
  <c r="AF111" i="11"/>
  <c r="AH99" i="11" s="1"/>
  <c r="K161" i="9"/>
  <c r="K162" i="9"/>
  <c r="K163" i="9"/>
  <c r="K164" i="9"/>
  <c r="K165" i="9"/>
  <c r="K166" i="9"/>
  <c r="K167" i="9"/>
  <c r="K168" i="9"/>
  <c r="S164" i="9"/>
  <c r="R164" i="9"/>
  <c r="Q164" i="9"/>
  <c r="P164" i="9"/>
  <c r="M90" i="9" l="1"/>
  <c r="L90" i="9"/>
  <c r="M100" i="9" l="1"/>
  <c r="L100" i="9"/>
  <c r="J100" i="9"/>
  <c r="M111" i="9"/>
  <c r="L111" i="9"/>
  <c r="M97" i="9" l="1"/>
  <c r="L97" i="9"/>
  <c r="J97" i="9"/>
  <c r="M91" i="9" l="1"/>
  <c r="L91" i="9"/>
  <c r="J91" i="9"/>
  <c r="M104" i="9" l="1"/>
  <c r="L104" i="9"/>
  <c r="J104" i="9"/>
  <c r="M98" i="9"/>
  <c r="L98" i="9"/>
  <c r="J98" i="9"/>
  <c r="M107" i="9" l="1"/>
  <c r="L107" i="9"/>
  <c r="M95" i="9"/>
  <c r="L95" i="9"/>
  <c r="J95" i="9"/>
  <c r="D194" i="9"/>
  <c r="E187" i="9" s="1"/>
  <c r="D177" i="9"/>
  <c r="D169" i="9"/>
  <c r="D152" i="9"/>
  <c r="D146" i="9"/>
  <c r="D119" i="9"/>
  <c r="G107" i="9"/>
  <c r="F107" i="9"/>
  <c r="G104" i="9"/>
  <c r="F104" i="9"/>
  <c r="D104" i="9"/>
  <c r="G100" i="9"/>
  <c r="F100" i="9"/>
  <c r="G98" i="9"/>
  <c r="F98" i="9"/>
  <c r="G97" i="9"/>
  <c r="F97" i="9"/>
  <c r="G95" i="9"/>
  <c r="F95" i="9"/>
  <c r="G91" i="9"/>
  <c r="F91" i="9"/>
  <c r="G90" i="9"/>
  <c r="F90" i="9"/>
  <c r="D100" i="9"/>
  <c r="D98" i="9"/>
  <c r="D97" i="9"/>
  <c r="D95" i="9"/>
  <c r="D91" i="9"/>
  <c r="D112" i="9" s="1"/>
  <c r="D86" i="9"/>
  <c r="E164" i="9" s="1"/>
  <c r="D54" i="9"/>
  <c r="D22" i="9"/>
  <c r="D170" i="9" l="1"/>
  <c r="D195" i="9" s="1"/>
  <c r="E186" i="9"/>
  <c r="E192" i="9"/>
  <c r="E184" i="9"/>
  <c r="E191" i="9"/>
  <c r="E183" i="9"/>
  <c r="E193" i="9"/>
  <c r="E185" i="9"/>
  <c r="E190" i="9"/>
  <c r="E182" i="9"/>
  <c r="E189" i="9"/>
  <c r="E188" i="9"/>
  <c r="AB189" i="11" l="1"/>
  <c r="AB174" i="11"/>
  <c r="AB168" i="11"/>
  <c r="AB151" i="11"/>
  <c r="AB145" i="11"/>
  <c r="AB118" i="11"/>
  <c r="AC106" i="11"/>
  <c r="AC103" i="11"/>
  <c r="AB103" i="11"/>
  <c r="AC99" i="11"/>
  <c r="AC97" i="11"/>
  <c r="AC96" i="11"/>
  <c r="AC94" i="11"/>
  <c r="AC90" i="11"/>
  <c r="AC89" i="11"/>
  <c r="AB99" i="11"/>
  <c r="AB97" i="11"/>
  <c r="AB96" i="11"/>
  <c r="AB94" i="11"/>
  <c r="AB90" i="11"/>
  <c r="AB85" i="11"/>
  <c r="AB53" i="11"/>
  <c r="AB21" i="11"/>
  <c r="AE188" i="11"/>
  <c r="AD188" i="11"/>
  <c r="AE187" i="11"/>
  <c r="AD187" i="11"/>
  <c r="AE186" i="11"/>
  <c r="AD186" i="11"/>
  <c r="AE185" i="11"/>
  <c r="AD185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3" i="11"/>
  <c r="AD173" i="11"/>
  <c r="AE172" i="11"/>
  <c r="AD172" i="11"/>
  <c r="AE167" i="11"/>
  <c r="AD167" i="11"/>
  <c r="AE166" i="11"/>
  <c r="AD166" i="11"/>
  <c r="AE165" i="11"/>
  <c r="AD165" i="11"/>
  <c r="AE164" i="11"/>
  <c r="AD164" i="11"/>
  <c r="AE162" i="11"/>
  <c r="AD162" i="11"/>
  <c r="AE161" i="11"/>
  <c r="AD161" i="11"/>
  <c r="AE160" i="11"/>
  <c r="AD160" i="11"/>
  <c r="AE159" i="11"/>
  <c r="AD159" i="11"/>
  <c r="AE156" i="11"/>
  <c r="AD156" i="11"/>
  <c r="AE155" i="11"/>
  <c r="AD155" i="11"/>
  <c r="AE150" i="11"/>
  <c r="AD150" i="11"/>
  <c r="AE149" i="11"/>
  <c r="AD149" i="11"/>
  <c r="AE148" i="11"/>
  <c r="AD148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17" i="11"/>
  <c r="AD117" i="11"/>
  <c r="AE116" i="11"/>
  <c r="AD116" i="11"/>
  <c r="AE115" i="11"/>
  <c r="AD115" i="11"/>
  <c r="AE114" i="11"/>
  <c r="AD114" i="11"/>
  <c r="AE110" i="11"/>
  <c r="AD110" i="11"/>
  <c r="AE109" i="11"/>
  <c r="AD109" i="11"/>
  <c r="AE108" i="11"/>
  <c r="AD108" i="11"/>
  <c r="AE107" i="11"/>
  <c r="AD107" i="11"/>
  <c r="AD106" i="11"/>
  <c r="AE105" i="11"/>
  <c r="AD105" i="11"/>
  <c r="AE104" i="11"/>
  <c r="AD104" i="11"/>
  <c r="AE102" i="11"/>
  <c r="AD102" i="11"/>
  <c r="AE98" i="11"/>
  <c r="AD98" i="11"/>
  <c r="AE95" i="11"/>
  <c r="AD95" i="11"/>
  <c r="AE93" i="11"/>
  <c r="AD93" i="11"/>
  <c r="AE92" i="11"/>
  <c r="AD92" i="11"/>
  <c r="AE91" i="11"/>
  <c r="AD91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A129" i="11"/>
  <c r="Z129" i="11"/>
  <c r="W129" i="11"/>
  <c r="V129" i="11"/>
  <c r="S129" i="11"/>
  <c r="R129" i="11"/>
  <c r="O129" i="11"/>
  <c r="N129" i="11"/>
  <c r="K129" i="11"/>
  <c r="J129" i="11"/>
  <c r="G129" i="11"/>
  <c r="F129" i="11"/>
  <c r="AA65" i="11"/>
  <c r="Z65" i="11"/>
  <c r="W65" i="11"/>
  <c r="V65" i="11"/>
  <c r="S65" i="11"/>
  <c r="R65" i="11"/>
  <c r="O65" i="11"/>
  <c r="N65" i="11"/>
  <c r="K65" i="11"/>
  <c r="J65" i="11"/>
  <c r="G65" i="11"/>
  <c r="F65" i="11"/>
  <c r="AA9" i="11"/>
  <c r="Z9" i="11"/>
  <c r="W9" i="11"/>
  <c r="V9" i="11"/>
  <c r="S9" i="11"/>
  <c r="R9" i="11"/>
  <c r="O9" i="11"/>
  <c r="N9" i="11"/>
  <c r="K9" i="11"/>
  <c r="J9" i="11"/>
  <c r="G9" i="11"/>
  <c r="F9" i="11"/>
  <c r="AE89" i="11" l="1"/>
  <c r="AD89" i="11"/>
  <c r="AB111" i="11"/>
  <c r="AB169" i="11" l="1"/>
  <c r="AB190" i="11" s="1"/>
  <c r="P57" i="9"/>
  <c r="P68" i="9"/>
  <c r="P69" i="9"/>
  <c r="P70" i="9"/>
  <c r="S10" i="9" l="1"/>
  <c r="R10" i="9"/>
  <c r="Q10" i="9"/>
  <c r="P10" i="9"/>
  <c r="S66" i="9"/>
  <c r="R66" i="9"/>
  <c r="Q66" i="9"/>
  <c r="P66" i="9"/>
  <c r="S130" i="9"/>
  <c r="R130" i="9"/>
  <c r="Q130" i="9"/>
  <c r="P130" i="9"/>
  <c r="E130" i="9" l="1"/>
  <c r="E66" i="9"/>
  <c r="E10" i="9"/>
  <c r="AA167" i="11" l="1"/>
  <c r="Z167" i="11"/>
  <c r="W167" i="11"/>
  <c r="V167" i="11"/>
  <c r="S167" i="11"/>
  <c r="R167" i="11"/>
  <c r="O167" i="11"/>
  <c r="N167" i="11"/>
  <c r="K167" i="11"/>
  <c r="J167" i="11"/>
  <c r="G167" i="11"/>
  <c r="F167" i="11"/>
  <c r="AA166" i="11"/>
  <c r="Z166" i="11"/>
  <c r="W166" i="11"/>
  <c r="V166" i="11"/>
  <c r="S166" i="11"/>
  <c r="R166" i="11"/>
  <c r="O166" i="11"/>
  <c r="N166" i="11"/>
  <c r="K166" i="11"/>
  <c r="J166" i="11"/>
  <c r="G166" i="11"/>
  <c r="F166" i="11"/>
  <c r="S168" i="9"/>
  <c r="R168" i="9"/>
  <c r="Q168" i="9"/>
  <c r="P168" i="9"/>
  <c r="S167" i="9"/>
  <c r="R167" i="9"/>
  <c r="Q167" i="9"/>
  <c r="P167" i="9"/>
  <c r="X189" i="11" l="1"/>
  <c r="AD189" i="11" s="1"/>
  <c r="X174" i="11"/>
  <c r="X168" i="11"/>
  <c r="AD168" i="11" s="1"/>
  <c r="X151" i="11"/>
  <c r="AD151" i="11" s="1"/>
  <c r="X145" i="11"/>
  <c r="AD145" i="11" s="1"/>
  <c r="X118" i="11"/>
  <c r="AD118" i="11" s="1"/>
  <c r="Y106" i="11"/>
  <c r="AE106" i="11" s="1"/>
  <c r="Y103" i="11"/>
  <c r="AE103" i="11" s="1"/>
  <c r="X103" i="11"/>
  <c r="AD103" i="11" s="1"/>
  <c r="Y99" i="11"/>
  <c r="AE99" i="11" s="1"/>
  <c r="Y97" i="11"/>
  <c r="AE97" i="11" s="1"/>
  <c r="Y96" i="11"/>
  <c r="AE96" i="11" s="1"/>
  <c r="Y94" i="11"/>
  <c r="AE94" i="11" s="1"/>
  <c r="Y90" i="11"/>
  <c r="AE90" i="11" s="1"/>
  <c r="X99" i="11"/>
  <c r="AD99" i="11" s="1"/>
  <c r="X97" i="11"/>
  <c r="AD97" i="11" s="1"/>
  <c r="X96" i="11"/>
  <c r="AD96" i="11" s="1"/>
  <c r="X94" i="11"/>
  <c r="AD94" i="11" s="1"/>
  <c r="X90" i="11"/>
  <c r="AD90" i="11" s="1"/>
  <c r="X85" i="11"/>
  <c r="AD85" i="11" s="1"/>
  <c r="X53" i="11"/>
  <c r="AD53" i="11" s="1"/>
  <c r="X21" i="11"/>
  <c r="AD21" i="11" s="1"/>
  <c r="X111" i="11" l="1"/>
  <c r="AA156" i="11"/>
  <c r="Z156" i="11"/>
  <c r="W156" i="11"/>
  <c r="V156" i="11"/>
  <c r="S156" i="11"/>
  <c r="R156" i="11"/>
  <c r="O156" i="11"/>
  <c r="N156" i="11"/>
  <c r="K156" i="11"/>
  <c r="J156" i="11"/>
  <c r="G156" i="11"/>
  <c r="F156" i="11"/>
  <c r="X169" i="11" l="1"/>
  <c r="AA188" i="11"/>
  <c r="Z188" i="11"/>
  <c r="AA187" i="11"/>
  <c r="Z187" i="11"/>
  <c r="AA186" i="11"/>
  <c r="Z186" i="1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3" i="11"/>
  <c r="Z173" i="11"/>
  <c r="AA172" i="11"/>
  <c r="Z172" i="11"/>
  <c r="AA165" i="11"/>
  <c r="Z165" i="11"/>
  <c r="AA164" i="11"/>
  <c r="Z164" i="11"/>
  <c r="AA162" i="11"/>
  <c r="Z162" i="11"/>
  <c r="AA161" i="11"/>
  <c r="Z161" i="11"/>
  <c r="AA160" i="11"/>
  <c r="Z160" i="11"/>
  <c r="AA159" i="11"/>
  <c r="Z159" i="11"/>
  <c r="AA155" i="11"/>
  <c r="Z155" i="11"/>
  <c r="AA150" i="11"/>
  <c r="Z150" i="11"/>
  <c r="AA149" i="11"/>
  <c r="Z149" i="11"/>
  <c r="AA148" i="11"/>
  <c r="Z148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17" i="11"/>
  <c r="Z117" i="11"/>
  <c r="AA116" i="11"/>
  <c r="Z116" i="11"/>
  <c r="AA115" i="11"/>
  <c r="Z115" i="11"/>
  <c r="AA114" i="11"/>
  <c r="Z114" i="11"/>
  <c r="AA110" i="11"/>
  <c r="Z110" i="11"/>
  <c r="AA109" i="11"/>
  <c r="Z109" i="11"/>
  <c r="AA108" i="11"/>
  <c r="Z108" i="11"/>
  <c r="AA107" i="11"/>
  <c r="Z107" i="11"/>
  <c r="Z106" i="11"/>
  <c r="AA105" i="11"/>
  <c r="Z105" i="11"/>
  <c r="AA104" i="11"/>
  <c r="Z104" i="11"/>
  <c r="AA102" i="11"/>
  <c r="Z102" i="11"/>
  <c r="AA98" i="11"/>
  <c r="Z98" i="11"/>
  <c r="AA95" i="11"/>
  <c r="Z95" i="11"/>
  <c r="AA93" i="11"/>
  <c r="Z93" i="11"/>
  <c r="AA92" i="11"/>
  <c r="Z92" i="11"/>
  <c r="AA91" i="11"/>
  <c r="Z91" i="11"/>
  <c r="Z89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8" i="11"/>
  <c r="Z8" i="11"/>
  <c r="AA7" i="11"/>
  <c r="Z7" i="11"/>
  <c r="AA6" i="11"/>
  <c r="Z6" i="11"/>
  <c r="AA5" i="11"/>
  <c r="Z5" i="11"/>
  <c r="X190" i="11" l="1"/>
  <c r="AD190" i="11" s="1"/>
  <c r="AD169" i="11"/>
  <c r="S157" i="9"/>
  <c r="R157" i="9"/>
  <c r="Q157" i="9"/>
  <c r="P157" i="9"/>
  <c r="E168" i="9" l="1"/>
  <c r="E157" i="9" l="1"/>
  <c r="E167" i="9"/>
  <c r="T189" i="11"/>
  <c r="Z189" i="11" s="1"/>
  <c r="T174" i="11"/>
  <c r="T168" i="11"/>
  <c r="Z168" i="11" s="1"/>
  <c r="T151" i="11"/>
  <c r="Z151" i="11" s="1"/>
  <c r="T145" i="11"/>
  <c r="Z145" i="11" s="1"/>
  <c r="T118" i="11"/>
  <c r="Z118" i="11" s="1"/>
  <c r="U106" i="11"/>
  <c r="AA106" i="11" s="1"/>
  <c r="U103" i="11"/>
  <c r="AA103" i="11" s="1"/>
  <c r="T103" i="11"/>
  <c r="Z103" i="11" s="1"/>
  <c r="U99" i="11"/>
  <c r="AA99" i="11" s="1"/>
  <c r="U97" i="11"/>
  <c r="AA97" i="11" s="1"/>
  <c r="U96" i="11"/>
  <c r="AA96" i="11" s="1"/>
  <c r="U94" i="11"/>
  <c r="AA94" i="11" s="1"/>
  <c r="U90" i="11"/>
  <c r="AA90" i="11" s="1"/>
  <c r="U89" i="11"/>
  <c r="AA89" i="11" s="1"/>
  <c r="T99" i="11"/>
  <c r="Z99" i="11" s="1"/>
  <c r="T97" i="11"/>
  <c r="Z97" i="11" s="1"/>
  <c r="T96" i="11"/>
  <c r="Z96" i="11" s="1"/>
  <c r="T94" i="11"/>
  <c r="Z94" i="11" s="1"/>
  <c r="T90" i="11"/>
  <c r="Z90" i="11" s="1"/>
  <c r="T85" i="11"/>
  <c r="Z85" i="11" s="1"/>
  <c r="T53" i="11"/>
  <c r="Z53" i="11" s="1"/>
  <c r="T21" i="11"/>
  <c r="Z21" i="11" s="1"/>
  <c r="W188" i="11"/>
  <c r="V188" i="11"/>
  <c r="W187" i="11"/>
  <c r="V187" i="11"/>
  <c r="W186" i="11"/>
  <c r="V186" i="11"/>
  <c r="W185" i="11"/>
  <c r="V185" i="1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3" i="11"/>
  <c r="V173" i="11"/>
  <c r="W172" i="11"/>
  <c r="V172" i="11"/>
  <c r="W165" i="11"/>
  <c r="V165" i="11"/>
  <c r="W164" i="11"/>
  <c r="V164" i="11"/>
  <c r="W162" i="11"/>
  <c r="V162" i="11"/>
  <c r="W161" i="11"/>
  <c r="V161" i="11"/>
  <c r="W160" i="11"/>
  <c r="V160" i="11"/>
  <c r="W159" i="11"/>
  <c r="V159" i="11"/>
  <c r="W155" i="11"/>
  <c r="V155" i="11"/>
  <c r="W150" i="11"/>
  <c r="V150" i="11"/>
  <c r="W149" i="11"/>
  <c r="V149" i="11"/>
  <c r="W148" i="11"/>
  <c r="V148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17" i="11"/>
  <c r="V117" i="11"/>
  <c r="W116" i="11"/>
  <c r="V116" i="11"/>
  <c r="W115" i="11"/>
  <c r="V115" i="11"/>
  <c r="W114" i="11"/>
  <c r="V114" i="11"/>
  <c r="W110" i="11"/>
  <c r="V110" i="11"/>
  <c r="W109" i="11"/>
  <c r="V109" i="11"/>
  <c r="W108" i="11"/>
  <c r="V108" i="11"/>
  <c r="W107" i="11"/>
  <c r="V107" i="11"/>
  <c r="V106" i="11"/>
  <c r="W105" i="11"/>
  <c r="V105" i="11"/>
  <c r="W104" i="11"/>
  <c r="V104" i="11"/>
  <c r="W102" i="11"/>
  <c r="V102" i="11"/>
  <c r="W98" i="11"/>
  <c r="V98" i="11"/>
  <c r="W95" i="11"/>
  <c r="V95" i="11"/>
  <c r="W93" i="11"/>
  <c r="V93" i="11"/>
  <c r="W92" i="11"/>
  <c r="V92" i="11"/>
  <c r="W91" i="11"/>
  <c r="V91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8" i="11"/>
  <c r="V8" i="11"/>
  <c r="W7" i="11"/>
  <c r="V7" i="11"/>
  <c r="W6" i="11"/>
  <c r="V6" i="11"/>
  <c r="W5" i="11"/>
  <c r="V5" i="11"/>
  <c r="T111" i="11" l="1"/>
  <c r="V89" i="11"/>
  <c r="T169" i="11" l="1"/>
  <c r="Z169" i="11" s="1"/>
  <c r="R8" i="9"/>
  <c r="R6" i="9"/>
  <c r="P189" i="11"/>
  <c r="V189" i="11" s="1"/>
  <c r="P174" i="11"/>
  <c r="P168" i="11"/>
  <c r="V168" i="11" s="1"/>
  <c r="P151" i="11"/>
  <c r="V151" i="11" s="1"/>
  <c r="P145" i="11"/>
  <c r="V145" i="11" s="1"/>
  <c r="P118" i="11"/>
  <c r="Q106" i="11"/>
  <c r="W106" i="11" s="1"/>
  <c r="Q103" i="11"/>
  <c r="W103" i="11" s="1"/>
  <c r="P103" i="11"/>
  <c r="V103" i="11" s="1"/>
  <c r="Q99" i="11"/>
  <c r="W99" i="11" s="1"/>
  <c r="Q97" i="11"/>
  <c r="W97" i="11" s="1"/>
  <c r="Q96" i="11"/>
  <c r="W96" i="11" s="1"/>
  <c r="Q94" i="11"/>
  <c r="Q90" i="11"/>
  <c r="Q89" i="11"/>
  <c r="W89" i="11" s="1"/>
  <c r="P99" i="11"/>
  <c r="V99" i="11" s="1"/>
  <c r="P97" i="11"/>
  <c r="V97" i="11" s="1"/>
  <c r="P96" i="11"/>
  <c r="V96" i="11" s="1"/>
  <c r="P94" i="11"/>
  <c r="V94" i="11" s="1"/>
  <c r="P90" i="11"/>
  <c r="V90" i="11" s="1"/>
  <c r="P85" i="11"/>
  <c r="P53" i="11"/>
  <c r="P21" i="11"/>
  <c r="V21" i="11" s="1"/>
  <c r="T190" i="11" l="1"/>
  <c r="Z190" i="11" s="1"/>
  <c r="V53" i="11"/>
  <c r="W90" i="11"/>
  <c r="V118" i="11"/>
  <c r="V85" i="11"/>
  <c r="W94" i="11"/>
  <c r="P111" i="11"/>
  <c r="S188" i="11"/>
  <c r="R188" i="11"/>
  <c r="S187" i="11"/>
  <c r="R187" i="11"/>
  <c r="S186" i="11"/>
  <c r="R186" i="11"/>
  <c r="S185" i="11"/>
  <c r="R185" i="1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3" i="11"/>
  <c r="R173" i="11"/>
  <c r="S172" i="11"/>
  <c r="R172" i="11"/>
  <c r="S165" i="11"/>
  <c r="R165" i="11"/>
  <c r="S164" i="11"/>
  <c r="R164" i="11"/>
  <c r="S162" i="11"/>
  <c r="R162" i="11"/>
  <c r="S161" i="11"/>
  <c r="R161" i="11"/>
  <c r="S160" i="11"/>
  <c r="R160" i="11"/>
  <c r="S159" i="11"/>
  <c r="R159" i="11"/>
  <c r="S155" i="11"/>
  <c r="R155" i="11"/>
  <c r="S150" i="11"/>
  <c r="R150" i="11"/>
  <c r="S149" i="11"/>
  <c r="R149" i="11"/>
  <c r="S148" i="11"/>
  <c r="R148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17" i="11"/>
  <c r="R117" i="11"/>
  <c r="S116" i="11"/>
  <c r="R116" i="11"/>
  <c r="S115" i="11"/>
  <c r="R115" i="11"/>
  <c r="S114" i="11"/>
  <c r="R114" i="11"/>
  <c r="S110" i="11"/>
  <c r="R110" i="11"/>
  <c r="S109" i="11"/>
  <c r="R109" i="11"/>
  <c r="S108" i="11"/>
  <c r="R108" i="11"/>
  <c r="S107" i="11"/>
  <c r="R107" i="11"/>
  <c r="R106" i="11"/>
  <c r="S105" i="11"/>
  <c r="R105" i="11"/>
  <c r="S104" i="11"/>
  <c r="R104" i="11"/>
  <c r="S102" i="11"/>
  <c r="R102" i="11"/>
  <c r="S98" i="11"/>
  <c r="R98" i="11"/>
  <c r="S95" i="11"/>
  <c r="R95" i="11"/>
  <c r="S93" i="11"/>
  <c r="R93" i="11"/>
  <c r="S92" i="11"/>
  <c r="R92" i="11"/>
  <c r="S91" i="11"/>
  <c r="R91" i="11"/>
  <c r="R89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8" i="11"/>
  <c r="R8" i="11"/>
  <c r="S7" i="11"/>
  <c r="R7" i="11"/>
  <c r="S6" i="11"/>
  <c r="R6" i="11"/>
  <c r="S5" i="11"/>
  <c r="R5" i="11"/>
  <c r="P169" i="11" l="1"/>
  <c r="M106" i="11"/>
  <c r="S106" i="11" s="1"/>
  <c r="M103" i="11"/>
  <c r="S103" i="11" s="1"/>
  <c r="L103" i="11"/>
  <c r="R103" i="11" s="1"/>
  <c r="M99" i="11"/>
  <c r="S99" i="11" s="1"/>
  <c r="M97" i="11"/>
  <c r="S97" i="11" s="1"/>
  <c r="M96" i="11"/>
  <c r="S96" i="11" s="1"/>
  <c r="M94" i="11"/>
  <c r="S94" i="11" s="1"/>
  <c r="M90" i="11"/>
  <c r="S90" i="11" s="1"/>
  <c r="M89" i="11"/>
  <c r="S89" i="11" s="1"/>
  <c r="L99" i="11"/>
  <c r="R99" i="11" s="1"/>
  <c r="L97" i="11"/>
  <c r="R97" i="11" s="1"/>
  <c r="L96" i="11"/>
  <c r="R96" i="11" s="1"/>
  <c r="L94" i="11"/>
  <c r="R94" i="11" s="1"/>
  <c r="L90" i="11"/>
  <c r="R90" i="11" s="1"/>
  <c r="L189" i="11"/>
  <c r="R189" i="11" s="1"/>
  <c r="L174" i="11"/>
  <c r="L168" i="11"/>
  <c r="R168" i="11" s="1"/>
  <c r="L151" i="11"/>
  <c r="R151" i="11" s="1"/>
  <c r="L145" i="11"/>
  <c r="R145" i="11" s="1"/>
  <c r="L118" i="11"/>
  <c r="R118" i="11" s="1"/>
  <c r="L85" i="11"/>
  <c r="R85" i="11" s="1"/>
  <c r="L53" i="11"/>
  <c r="R53" i="11" s="1"/>
  <c r="L21" i="11"/>
  <c r="R21" i="11" s="1"/>
  <c r="V169" i="11" l="1"/>
  <c r="P190" i="11"/>
  <c r="L111" i="11"/>
  <c r="L169" i="11" s="1"/>
  <c r="L190" i="11" s="1"/>
  <c r="O188" i="11"/>
  <c r="N188" i="11"/>
  <c r="O187" i="11"/>
  <c r="N187" i="11"/>
  <c r="O186" i="11"/>
  <c r="N186" i="11"/>
  <c r="O185" i="11"/>
  <c r="N185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3" i="11"/>
  <c r="N173" i="11"/>
  <c r="O172" i="11"/>
  <c r="N172" i="11"/>
  <c r="O165" i="11"/>
  <c r="N165" i="11"/>
  <c r="O164" i="11"/>
  <c r="N164" i="11"/>
  <c r="O162" i="11"/>
  <c r="N162" i="11"/>
  <c r="O161" i="11"/>
  <c r="N161" i="11"/>
  <c r="O160" i="11"/>
  <c r="N160" i="11"/>
  <c r="O159" i="11"/>
  <c r="N159" i="11"/>
  <c r="O155" i="11"/>
  <c r="N155" i="11"/>
  <c r="O150" i="11"/>
  <c r="N150" i="11"/>
  <c r="O149" i="11"/>
  <c r="N149" i="11"/>
  <c r="O148" i="11"/>
  <c r="N148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17" i="11"/>
  <c r="N117" i="11"/>
  <c r="O116" i="11"/>
  <c r="N116" i="11"/>
  <c r="O115" i="11"/>
  <c r="N115" i="11"/>
  <c r="O114" i="11"/>
  <c r="N114" i="11"/>
  <c r="O110" i="11"/>
  <c r="N110" i="11"/>
  <c r="O109" i="11"/>
  <c r="N109" i="11"/>
  <c r="O108" i="11"/>
  <c r="N108" i="11"/>
  <c r="O107" i="11"/>
  <c r="N107" i="11"/>
  <c r="N106" i="11"/>
  <c r="O105" i="11"/>
  <c r="N105" i="11"/>
  <c r="O104" i="11"/>
  <c r="N104" i="11"/>
  <c r="O102" i="11"/>
  <c r="N102" i="11"/>
  <c r="O99" i="11"/>
  <c r="O98" i="11"/>
  <c r="N98" i="11"/>
  <c r="O95" i="11"/>
  <c r="N95" i="11"/>
  <c r="O93" i="11"/>
  <c r="N93" i="11"/>
  <c r="O92" i="11"/>
  <c r="N92" i="11"/>
  <c r="O91" i="11"/>
  <c r="N91" i="11"/>
  <c r="N89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8" i="11"/>
  <c r="N8" i="11"/>
  <c r="O7" i="11"/>
  <c r="N7" i="11"/>
  <c r="O6" i="11"/>
  <c r="N6" i="11"/>
  <c r="O5" i="11"/>
  <c r="N5" i="11"/>
  <c r="R169" i="11" l="1"/>
  <c r="V190" i="11"/>
  <c r="R190" i="11"/>
  <c r="N99" i="11"/>
  <c r="K98" i="11"/>
  <c r="J98" i="11"/>
  <c r="G98" i="11"/>
  <c r="F98" i="11"/>
  <c r="S99" i="9"/>
  <c r="R99" i="9"/>
  <c r="Q99" i="9"/>
  <c r="P99" i="9"/>
  <c r="E99" i="9" l="1"/>
  <c r="H189" i="11" l="1"/>
  <c r="N189" i="11" s="1"/>
  <c r="H174" i="11"/>
  <c r="H168" i="11"/>
  <c r="N168" i="11" s="1"/>
  <c r="H151" i="11"/>
  <c r="N151" i="11" s="1"/>
  <c r="H145" i="11"/>
  <c r="N145" i="11" s="1"/>
  <c r="H118" i="11"/>
  <c r="N118" i="11" s="1"/>
  <c r="I106" i="11"/>
  <c r="O106" i="11" s="1"/>
  <c r="I103" i="11"/>
  <c r="O103" i="11" s="1"/>
  <c r="H103" i="11"/>
  <c r="I97" i="11"/>
  <c r="O97" i="11" s="1"/>
  <c r="I96" i="11"/>
  <c r="O96" i="11" s="1"/>
  <c r="I94" i="11"/>
  <c r="O94" i="11" s="1"/>
  <c r="I90" i="11"/>
  <c r="O90" i="11" s="1"/>
  <c r="I89" i="11"/>
  <c r="O89" i="11" s="1"/>
  <c r="H97" i="11"/>
  <c r="N97" i="11" s="1"/>
  <c r="H96" i="11"/>
  <c r="N96" i="11" s="1"/>
  <c r="H94" i="11"/>
  <c r="N94" i="11" s="1"/>
  <c r="H90" i="11"/>
  <c r="N90" i="11" s="1"/>
  <c r="H85" i="11"/>
  <c r="N85" i="11" s="1"/>
  <c r="H53" i="11"/>
  <c r="N53" i="11" s="1"/>
  <c r="H21" i="11"/>
  <c r="N21" i="11" s="1"/>
  <c r="J152" i="9"/>
  <c r="K188" i="11"/>
  <c r="J188" i="11"/>
  <c r="K187" i="11"/>
  <c r="J187" i="11"/>
  <c r="K186" i="11"/>
  <c r="J186" i="11"/>
  <c r="K185" i="11"/>
  <c r="J185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3" i="11"/>
  <c r="J173" i="11"/>
  <c r="K172" i="11"/>
  <c r="J172" i="11"/>
  <c r="K165" i="11"/>
  <c r="J165" i="11"/>
  <c r="K164" i="11"/>
  <c r="J164" i="11"/>
  <c r="K162" i="11"/>
  <c r="J162" i="11"/>
  <c r="K161" i="11"/>
  <c r="J161" i="11"/>
  <c r="K160" i="11"/>
  <c r="J160" i="11"/>
  <c r="K159" i="11"/>
  <c r="J159" i="11"/>
  <c r="K155" i="11"/>
  <c r="J155" i="11"/>
  <c r="K150" i="11"/>
  <c r="J150" i="11"/>
  <c r="K149" i="11"/>
  <c r="J149" i="11"/>
  <c r="K148" i="11"/>
  <c r="J148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17" i="11"/>
  <c r="J117" i="11"/>
  <c r="K116" i="11"/>
  <c r="J116" i="11"/>
  <c r="K115" i="11"/>
  <c r="J115" i="11"/>
  <c r="K114" i="11"/>
  <c r="J114" i="11"/>
  <c r="K110" i="11"/>
  <c r="J110" i="11"/>
  <c r="K109" i="11"/>
  <c r="J109" i="11"/>
  <c r="K108" i="11"/>
  <c r="J108" i="11"/>
  <c r="K107" i="11"/>
  <c r="J107" i="11"/>
  <c r="J106" i="11"/>
  <c r="K105" i="11"/>
  <c r="J105" i="11"/>
  <c r="K104" i="11"/>
  <c r="J104" i="11"/>
  <c r="K102" i="11"/>
  <c r="J102" i="11"/>
  <c r="K99" i="11"/>
  <c r="K95" i="11"/>
  <c r="J95" i="11"/>
  <c r="K93" i="11"/>
  <c r="J93" i="11"/>
  <c r="K92" i="11"/>
  <c r="J92" i="11"/>
  <c r="K91" i="11"/>
  <c r="J91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8" i="11"/>
  <c r="J8" i="11"/>
  <c r="K7" i="11"/>
  <c r="J7" i="11"/>
  <c r="K6" i="11"/>
  <c r="J6" i="11"/>
  <c r="K5" i="11"/>
  <c r="J5" i="11"/>
  <c r="J89" i="11" l="1"/>
  <c r="N103" i="11"/>
  <c r="H111" i="11"/>
  <c r="J99" i="11" s="1"/>
  <c r="H169" i="11" l="1"/>
  <c r="D118" i="11"/>
  <c r="J118" i="11" s="1"/>
  <c r="D85" i="11"/>
  <c r="J85" i="11" s="1"/>
  <c r="H190" i="11" l="1"/>
  <c r="N190" i="11" s="1"/>
  <c r="N169" i="11"/>
  <c r="D189" i="11"/>
  <c r="J189" i="11" s="1"/>
  <c r="D174" i="11"/>
  <c r="D168" i="11"/>
  <c r="J168" i="11" s="1"/>
  <c r="D151" i="11"/>
  <c r="J151" i="11" s="1"/>
  <c r="D145" i="11"/>
  <c r="J145" i="11" s="1"/>
  <c r="E106" i="11"/>
  <c r="K106" i="11" s="1"/>
  <c r="E103" i="11"/>
  <c r="K103" i="11" s="1"/>
  <c r="D103" i="11"/>
  <c r="J103" i="11" s="1"/>
  <c r="E97" i="11"/>
  <c r="K97" i="11" s="1"/>
  <c r="E96" i="11"/>
  <c r="K96" i="11" s="1"/>
  <c r="E94" i="11"/>
  <c r="K94" i="11" s="1"/>
  <c r="E90" i="11"/>
  <c r="K90" i="11" s="1"/>
  <c r="E89" i="11"/>
  <c r="K89" i="11" s="1"/>
  <c r="D97" i="11"/>
  <c r="J97" i="11" s="1"/>
  <c r="D96" i="11"/>
  <c r="J96" i="11" s="1"/>
  <c r="D94" i="11"/>
  <c r="J94" i="11" s="1"/>
  <c r="D90" i="11"/>
  <c r="J90" i="11" s="1"/>
  <c r="D53" i="11"/>
  <c r="J53" i="11" s="1"/>
  <c r="D21" i="11"/>
  <c r="J21" i="11" s="1"/>
  <c r="G188" i="11"/>
  <c r="F188" i="11"/>
  <c r="G187" i="11"/>
  <c r="F187" i="11"/>
  <c r="G186" i="11"/>
  <c r="F186" i="11"/>
  <c r="G185" i="11"/>
  <c r="F185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3" i="11"/>
  <c r="F173" i="11"/>
  <c r="G172" i="11"/>
  <c r="F172" i="11"/>
  <c r="G165" i="11"/>
  <c r="F165" i="11"/>
  <c r="G164" i="11"/>
  <c r="F164" i="11"/>
  <c r="G162" i="11"/>
  <c r="F162" i="11"/>
  <c r="G161" i="11"/>
  <c r="F161" i="11"/>
  <c r="G160" i="11"/>
  <c r="F160" i="11"/>
  <c r="G159" i="11"/>
  <c r="F159" i="11"/>
  <c r="G155" i="11"/>
  <c r="F155" i="11"/>
  <c r="G150" i="11"/>
  <c r="F150" i="11"/>
  <c r="G149" i="11"/>
  <c r="F149" i="11"/>
  <c r="G148" i="11"/>
  <c r="F148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17" i="11"/>
  <c r="F117" i="11"/>
  <c r="G116" i="11"/>
  <c r="F116" i="11"/>
  <c r="G115" i="11"/>
  <c r="F115" i="11"/>
  <c r="G114" i="11"/>
  <c r="F114" i="11"/>
  <c r="G110" i="11"/>
  <c r="F110" i="11"/>
  <c r="G109" i="11"/>
  <c r="F109" i="11"/>
  <c r="G108" i="11"/>
  <c r="F108" i="11"/>
  <c r="G107" i="11"/>
  <c r="F107" i="11"/>
  <c r="F106" i="11"/>
  <c r="G105" i="11"/>
  <c r="F105" i="11"/>
  <c r="G104" i="11"/>
  <c r="F104" i="11"/>
  <c r="G102" i="11"/>
  <c r="F102" i="11"/>
  <c r="G99" i="11"/>
  <c r="G95" i="11"/>
  <c r="F95" i="11"/>
  <c r="G93" i="11"/>
  <c r="F93" i="11"/>
  <c r="G92" i="11"/>
  <c r="F92" i="11"/>
  <c r="G91" i="11"/>
  <c r="F91" i="11"/>
  <c r="F89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8" i="11"/>
  <c r="F8" i="11"/>
  <c r="G7" i="11"/>
  <c r="F7" i="11"/>
  <c r="G6" i="11"/>
  <c r="F6" i="11"/>
  <c r="G5" i="11"/>
  <c r="F5" i="11"/>
  <c r="D111" i="11" l="1"/>
  <c r="D169" i="11" s="1"/>
  <c r="J169" i="11" s="1"/>
  <c r="D190" i="11" l="1"/>
  <c r="J190" i="11" s="1"/>
  <c r="F99" i="11"/>
  <c r="P131" i="9"/>
  <c r="B189" i="11" l="1"/>
  <c r="B174" i="11"/>
  <c r="B168" i="11"/>
  <c r="B151" i="11"/>
  <c r="B145" i="11"/>
  <c r="B118" i="11"/>
  <c r="C106" i="11"/>
  <c r="C103" i="11"/>
  <c r="B103" i="11"/>
  <c r="C97" i="11"/>
  <c r="C96" i="11"/>
  <c r="C94" i="11"/>
  <c r="C90" i="11"/>
  <c r="C89" i="11"/>
  <c r="B97" i="11"/>
  <c r="B96" i="11"/>
  <c r="B94" i="11"/>
  <c r="B90" i="11"/>
  <c r="B85" i="11"/>
  <c r="B53" i="11"/>
  <c r="B21" i="11"/>
  <c r="F96" i="11" l="1"/>
  <c r="G103" i="11"/>
  <c r="F97" i="11"/>
  <c r="G106" i="11"/>
  <c r="F118" i="11"/>
  <c r="G89" i="11"/>
  <c r="F21" i="11"/>
  <c r="G90" i="11"/>
  <c r="F145" i="11"/>
  <c r="F53" i="11"/>
  <c r="G94" i="11"/>
  <c r="F151" i="11"/>
  <c r="F85" i="11"/>
  <c r="G96" i="11"/>
  <c r="F90" i="11"/>
  <c r="G97" i="11"/>
  <c r="F94" i="11"/>
  <c r="F189" i="11"/>
  <c r="F168" i="11"/>
  <c r="F103" i="11"/>
  <c r="B111" i="11"/>
  <c r="S38" i="9"/>
  <c r="R38" i="9"/>
  <c r="Q38" i="9"/>
  <c r="P38" i="9"/>
  <c r="B169" i="11" l="1"/>
  <c r="F169" i="11" l="1"/>
  <c r="B190" i="11"/>
  <c r="F190" i="11" l="1"/>
  <c r="E122" i="9" l="1"/>
  <c r="E129" i="9" l="1"/>
  <c r="E144" i="9"/>
  <c r="E127" i="9"/>
  <c r="E142" i="9"/>
  <c r="E135" i="9"/>
  <c r="E126" i="9"/>
  <c r="E145" i="9"/>
  <c r="E137" i="9"/>
  <c r="E136" i="9"/>
  <c r="E134" i="9"/>
  <c r="E125" i="9"/>
  <c r="E138" i="9"/>
  <c r="E143" i="9"/>
  <c r="E141" i="9"/>
  <c r="E133" i="9"/>
  <c r="E124" i="9"/>
  <c r="E128" i="9"/>
  <c r="E140" i="9"/>
  <c r="E132" i="9"/>
  <c r="E123" i="9"/>
  <c r="E139" i="9"/>
  <c r="E131" i="9"/>
  <c r="P110" i="9" l="1"/>
  <c r="Q110" i="9"/>
  <c r="R110" i="9"/>
  <c r="S110" i="9"/>
  <c r="S136" i="9" l="1"/>
  <c r="R136" i="9"/>
  <c r="Q136" i="9"/>
  <c r="P136" i="9"/>
  <c r="S42" i="9"/>
  <c r="R42" i="9"/>
  <c r="Q42" i="9"/>
  <c r="P42" i="9"/>
  <c r="S14" i="9"/>
  <c r="R14" i="9"/>
  <c r="Q14" i="9"/>
  <c r="P14" i="9"/>
  <c r="E14" i="9" l="1"/>
  <c r="J10" i="1" l="1"/>
  <c r="I10" i="1"/>
  <c r="H10" i="1"/>
  <c r="G10" i="1"/>
  <c r="F10" i="1"/>
  <c r="E10" i="1"/>
  <c r="D10" i="1"/>
  <c r="C10" i="1"/>
  <c r="Q94" i="9" l="1"/>
  <c r="P94" i="9" l="1"/>
  <c r="S94" i="9"/>
  <c r="R94" i="9"/>
  <c r="P93" i="9"/>
  <c r="E94" i="9" l="1"/>
  <c r="K150" i="9" l="1"/>
  <c r="K149" i="9" l="1"/>
  <c r="K151" i="9"/>
  <c r="P47" i="9" l="1"/>
  <c r="S192" i="9" l="1"/>
  <c r="S190" i="9"/>
  <c r="S189" i="9"/>
  <c r="S193" i="9"/>
  <c r="S191" i="9"/>
  <c r="S186" i="9"/>
  <c r="S183" i="9"/>
  <c r="S188" i="9"/>
  <c r="S187" i="9"/>
  <c r="S182" i="9"/>
  <c r="S185" i="9"/>
  <c r="S184" i="9"/>
  <c r="S194" i="9"/>
  <c r="S181" i="9"/>
  <c r="S176" i="9"/>
  <c r="S177" i="9"/>
  <c r="S175" i="9"/>
  <c r="S163" i="9"/>
  <c r="S165" i="9"/>
  <c r="S160" i="9"/>
  <c r="S161" i="9"/>
  <c r="S162" i="9"/>
  <c r="S169" i="9"/>
  <c r="S166" i="9"/>
  <c r="S156" i="9"/>
  <c r="S151" i="9"/>
  <c r="S149" i="9"/>
  <c r="S152" i="9"/>
  <c r="S150" i="9"/>
  <c r="S145" i="9"/>
  <c r="S142" i="9"/>
  <c r="S123" i="9"/>
  <c r="S124" i="9"/>
  <c r="S133" i="9"/>
  <c r="S144" i="9"/>
  <c r="S126" i="9"/>
  <c r="S134" i="9"/>
  <c r="S138" i="9"/>
  <c r="S140" i="9"/>
  <c r="S143" i="9"/>
  <c r="S129" i="9"/>
  <c r="S135" i="9"/>
  <c r="S122" i="9"/>
  <c r="S127" i="9"/>
  <c r="S137" i="9"/>
  <c r="S125" i="9"/>
  <c r="S139" i="9"/>
  <c r="S132" i="9"/>
  <c r="S128" i="9"/>
  <c r="S131" i="9"/>
  <c r="S146" i="9"/>
  <c r="S141" i="9"/>
  <c r="S117" i="9"/>
  <c r="S118" i="9"/>
  <c r="S115" i="9"/>
  <c r="S119" i="9"/>
  <c r="S116" i="9"/>
  <c r="S111" i="9"/>
  <c r="S105" i="9"/>
  <c r="S103" i="9"/>
  <c r="S106" i="9"/>
  <c r="S108" i="9"/>
  <c r="S107" i="9"/>
  <c r="S104" i="9"/>
  <c r="S112" i="9"/>
  <c r="S109" i="9"/>
  <c r="S100" i="9"/>
  <c r="S96" i="9"/>
  <c r="S98" i="9"/>
  <c r="S90" i="9"/>
  <c r="S91" i="9"/>
  <c r="S92" i="9"/>
  <c r="S95" i="9"/>
  <c r="S97" i="9"/>
  <c r="S93" i="9"/>
  <c r="S75" i="9"/>
  <c r="S70" i="9"/>
  <c r="S69" i="9"/>
  <c r="S63" i="9"/>
  <c r="S83" i="9"/>
  <c r="S84" i="9"/>
  <c r="S85" i="9"/>
  <c r="S62" i="9"/>
  <c r="S82" i="9"/>
  <c r="S77" i="9"/>
  <c r="S73" i="9"/>
  <c r="S78" i="9"/>
  <c r="S80" i="9"/>
  <c r="S76" i="9"/>
  <c r="S71" i="9"/>
  <c r="S68" i="9"/>
  <c r="S72" i="9"/>
  <c r="S65" i="9"/>
  <c r="S57" i="9"/>
  <c r="S58" i="9"/>
  <c r="S81" i="9"/>
  <c r="S60" i="9"/>
  <c r="S61" i="9"/>
  <c r="S74" i="9"/>
  <c r="S64" i="9"/>
  <c r="S59" i="9"/>
  <c r="S67" i="9"/>
  <c r="S86" i="9"/>
  <c r="S79" i="9"/>
  <c r="S50" i="9"/>
  <c r="S26" i="9"/>
  <c r="S28" i="9"/>
  <c r="S44" i="9"/>
  <c r="S29" i="9"/>
  <c r="S41" i="9"/>
  <c r="S32" i="9"/>
  <c r="S47" i="9"/>
  <c r="S30" i="9"/>
  <c r="S35" i="9"/>
  <c r="S36" i="9"/>
  <c r="S34" i="9"/>
  <c r="S53" i="9"/>
  <c r="S25" i="9"/>
  <c r="S43" i="9"/>
  <c r="S40" i="9"/>
  <c r="S52" i="9"/>
  <c r="S31" i="9"/>
  <c r="S39" i="9"/>
  <c r="S27" i="9"/>
  <c r="S49" i="9"/>
  <c r="S51" i="9"/>
  <c r="S46" i="9"/>
  <c r="S37" i="9"/>
  <c r="S33" i="9"/>
  <c r="S45" i="9"/>
  <c r="S54" i="9"/>
  <c r="S48" i="9"/>
  <c r="S15" i="9"/>
  <c r="S12" i="9"/>
  <c r="S18" i="9"/>
  <c r="S6" i="9"/>
  <c r="S21" i="9"/>
  <c r="S8" i="9"/>
  <c r="S11" i="9"/>
  <c r="S16" i="9"/>
  <c r="S19" i="9"/>
  <c r="S9" i="9"/>
  <c r="S17" i="9"/>
  <c r="S7" i="9"/>
  <c r="S13" i="9"/>
  <c r="S22" i="9"/>
  <c r="S20" i="9"/>
  <c r="P17" i="9" l="1"/>
  <c r="K10" i="1" l="1"/>
  <c r="K12" i="1" l="1"/>
  <c r="R104" i="9" l="1"/>
  <c r="P104" i="9"/>
  <c r="R97" i="9"/>
  <c r="Q97" i="9"/>
  <c r="P97" i="9"/>
  <c r="E110" i="9" l="1"/>
  <c r="E97" i="9"/>
  <c r="J22" i="9" l="1"/>
  <c r="K16" i="9" s="1"/>
  <c r="K14" i="9" l="1"/>
  <c r="R95" i="9"/>
  <c r="P95" i="9"/>
  <c r="Q95" i="9"/>
  <c r="E95" i="9" l="1"/>
  <c r="R194" i="9" l="1"/>
  <c r="Q98" i="9"/>
  <c r="Q20" i="9"/>
  <c r="R131" i="9" l="1"/>
  <c r="Q131" i="9"/>
  <c r="R67" i="9"/>
  <c r="Q67" i="9"/>
  <c r="P67" i="9"/>
  <c r="R13" i="9"/>
  <c r="Q13" i="9"/>
  <c r="P13" i="9"/>
  <c r="E67" i="9" l="1"/>
  <c r="E13" i="9"/>
  <c r="R59" i="9" l="1"/>
  <c r="Q59" i="9"/>
  <c r="P59" i="9"/>
  <c r="E59" i="9" l="1"/>
  <c r="J146" i="9" l="1"/>
  <c r="K130" i="9" s="1"/>
  <c r="J119" i="9"/>
  <c r="J112" i="9"/>
  <c r="J86" i="9"/>
  <c r="J54" i="9"/>
  <c r="K38" i="9" s="1"/>
  <c r="K66" i="9" l="1"/>
  <c r="K96" i="9"/>
  <c r="K97" i="9"/>
  <c r="K76" i="9"/>
  <c r="K62" i="9"/>
  <c r="K99" i="9"/>
  <c r="K109" i="9"/>
  <c r="K94" i="9"/>
  <c r="K103" i="9"/>
  <c r="K122" i="9"/>
  <c r="K129" i="9"/>
  <c r="K145" i="9"/>
  <c r="K136" i="9"/>
  <c r="K25" i="9"/>
  <c r="K42" i="9"/>
  <c r="K139" i="9"/>
  <c r="K142" i="9"/>
  <c r="K110" i="9"/>
  <c r="K128" i="9"/>
  <c r="K82" i="9"/>
  <c r="K80" i="9"/>
  <c r="K104" i="9"/>
  <c r="E104" i="9"/>
  <c r="K95" i="9"/>
  <c r="K52" i="9"/>
  <c r="K44" i="9"/>
  <c r="K67" i="9"/>
  <c r="K60" i="9"/>
  <c r="K131" i="9"/>
  <c r="K124" i="9"/>
  <c r="K43" i="9"/>
  <c r="K46" i="9"/>
  <c r="K27" i="9"/>
  <c r="K40" i="9"/>
  <c r="K37" i="9"/>
  <c r="K51" i="9"/>
  <c r="K33" i="9"/>
  <c r="K39" i="9"/>
  <c r="K49" i="9"/>
  <c r="K31" i="9"/>
  <c r="K45" i="9"/>
  <c r="K138" i="9"/>
  <c r="K125" i="9"/>
  <c r="K59" i="9"/>
  <c r="R92" i="9"/>
  <c r="Q92" i="9"/>
  <c r="P92" i="9"/>
  <c r="K92" i="9"/>
  <c r="R161" i="9"/>
  <c r="Q161" i="9"/>
  <c r="P161" i="9"/>
  <c r="R128" i="9"/>
  <c r="Q128" i="9"/>
  <c r="P128" i="9"/>
  <c r="E92" i="9"/>
  <c r="E161" i="9" l="1"/>
  <c r="J194" i="9" l="1"/>
  <c r="K184" i="9" s="1"/>
  <c r="J177" i="9"/>
  <c r="J169" i="9"/>
  <c r="K156" i="9" l="1"/>
  <c r="K157" i="9"/>
  <c r="J170" i="9"/>
  <c r="K185" i="9"/>
  <c r="K192" i="9"/>
  <c r="J195" i="9" l="1"/>
  <c r="K169" i="9"/>
  <c r="R184" i="9"/>
  <c r="Q184" i="9"/>
  <c r="P184" i="9"/>
  <c r="R185" i="9"/>
  <c r="Q185" i="9"/>
  <c r="P185" i="9"/>
  <c r="R182" i="9"/>
  <c r="Q182" i="9"/>
  <c r="P182" i="9"/>
  <c r="R187" i="9"/>
  <c r="Q187" i="9"/>
  <c r="P187" i="9"/>
  <c r="R188" i="9"/>
  <c r="Q188" i="9"/>
  <c r="P188" i="9"/>
  <c r="R183" i="9"/>
  <c r="Q183" i="9"/>
  <c r="P183" i="9"/>
  <c r="R186" i="9"/>
  <c r="Q186" i="9"/>
  <c r="P186" i="9"/>
  <c r="R191" i="9"/>
  <c r="Q191" i="9"/>
  <c r="P191" i="9"/>
  <c r="R193" i="9"/>
  <c r="Q193" i="9"/>
  <c r="P193" i="9"/>
  <c r="R189" i="9"/>
  <c r="Q189" i="9"/>
  <c r="P189" i="9"/>
  <c r="R190" i="9"/>
  <c r="Q190" i="9"/>
  <c r="P190" i="9"/>
  <c r="R192" i="9"/>
  <c r="Q192" i="9"/>
  <c r="P192" i="9"/>
  <c r="R177" i="9"/>
  <c r="P177" i="9"/>
  <c r="R176" i="9"/>
  <c r="Q176" i="9"/>
  <c r="P176" i="9"/>
  <c r="K176" i="9"/>
  <c r="E176" i="9"/>
  <c r="R175" i="9"/>
  <c r="Q175" i="9"/>
  <c r="P175" i="9"/>
  <c r="K175" i="9"/>
  <c r="E175" i="9"/>
  <c r="R169" i="9"/>
  <c r="R162" i="9"/>
  <c r="Q162" i="9"/>
  <c r="P162" i="9"/>
  <c r="R160" i="9"/>
  <c r="Q160" i="9"/>
  <c r="P160" i="9"/>
  <c r="R165" i="9"/>
  <c r="Q165" i="9"/>
  <c r="P165" i="9"/>
  <c r="R163" i="9"/>
  <c r="Q163" i="9"/>
  <c r="P163" i="9"/>
  <c r="E163" i="9"/>
  <c r="R166" i="9"/>
  <c r="Q166" i="9"/>
  <c r="P166" i="9"/>
  <c r="R156" i="9"/>
  <c r="Q156" i="9"/>
  <c r="P156" i="9"/>
  <c r="R152" i="9"/>
  <c r="P152" i="9"/>
  <c r="R149" i="9"/>
  <c r="Q149" i="9"/>
  <c r="P149" i="9"/>
  <c r="E149" i="9"/>
  <c r="R151" i="9"/>
  <c r="Q151" i="9"/>
  <c r="P151" i="9"/>
  <c r="E151" i="9"/>
  <c r="R150" i="9"/>
  <c r="Q150" i="9"/>
  <c r="P150" i="9"/>
  <c r="E150" i="9"/>
  <c r="R146" i="9"/>
  <c r="R132" i="9"/>
  <c r="Q132" i="9"/>
  <c r="P132" i="9"/>
  <c r="R139" i="9"/>
  <c r="Q139" i="9"/>
  <c r="P139" i="9"/>
  <c r="R125" i="9"/>
  <c r="Q125" i="9"/>
  <c r="P125" i="9"/>
  <c r="R137" i="9"/>
  <c r="Q137" i="9"/>
  <c r="P137" i="9"/>
  <c r="R127" i="9"/>
  <c r="Q127" i="9"/>
  <c r="P127" i="9"/>
  <c r="R122" i="9"/>
  <c r="Q122" i="9"/>
  <c r="P122" i="9"/>
  <c r="R135" i="9"/>
  <c r="Q135" i="9"/>
  <c r="P135" i="9"/>
  <c r="R129" i="9"/>
  <c r="Q129" i="9"/>
  <c r="P129" i="9"/>
  <c r="R143" i="9"/>
  <c r="Q143" i="9"/>
  <c r="P143" i="9"/>
  <c r="R140" i="9"/>
  <c r="Q140" i="9"/>
  <c r="P140" i="9"/>
  <c r="R138" i="9"/>
  <c r="Q138" i="9"/>
  <c r="P138" i="9"/>
  <c r="R134" i="9"/>
  <c r="Q134" i="9"/>
  <c r="P134" i="9"/>
  <c r="R126" i="9"/>
  <c r="Q126" i="9"/>
  <c r="P126" i="9"/>
  <c r="R144" i="9"/>
  <c r="Q144" i="9"/>
  <c r="P144" i="9"/>
  <c r="R133" i="9"/>
  <c r="Q133" i="9"/>
  <c r="P133" i="9"/>
  <c r="R124" i="9"/>
  <c r="Q124" i="9"/>
  <c r="P124" i="9"/>
  <c r="R123" i="9"/>
  <c r="Q123" i="9"/>
  <c r="P123" i="9"/>
  <c r="R142" i="9"/>
  <c r="Q142" i="9"/>
  <c r="P142" i="9"/>
  <c r="R145" i="9"/>
  <c r="Q145" i="9"/>
  <c r="P145" i="9"/>
  <c r="R141" i="9"/>
  <c r="Q141" i="9"/>
  <c r="P141" i="9"/>
  <c r="R119" i="9"/>
  <c r="P119" i="9"/>
  <c r="E115" i="9"/>
  <c r="R115" i="9"/>
  <c r="Q115" i="9"/>
  <c r="P115" i="9"/>
  <c r="R118" i="9"/>
  <c r="Q118" i="9"/>
  <c r="P118" i="9"/>
  <c r="E118" i="9"/>
  <c r="R117" i="9"/>
  <c r="Q117" i="9"/>
  <c r="P117" i="9"/>
  <c r="R116" i="9"/>
  <c r="Q116" i="9"/>
  <c r="P116" i="9"/>
  <c r="E116" i="9"/>
  <c r="R112" i="9"/>
  <c r="R107" i="9"/>
  <c r="Q107" i="9"/>
  <c r="P107" i="9"/>
  <c r="R108" i="9"/>
  <c r="Q108" i="9"/>
  <c r="P108" i="9"/>
  <c r="R106" i="9"/>
  <c r="Q106" i="9"/>
  <c r="P106" i="9"/>
  <c r="R103" i="9"/>
  <c r="Q103" i="9"/>
  <c r="P103" i="9"/>
  <c r="R105" i="9"/>
  <c r="Q105" i="9"/>
  <c r="P105" i="9"/>
  <c r="R111" i="9"/>
  <c r="Q111" i="9"/>
  <c r="P111" i="9"/>
  <c r="R109" i="9"/>
  <c r="Q109" i="9"/>
  <c r="P109" i="9"/>
  <c r="R91" i="9"/>
  <c r="Q91" i="9"/>
  <c r="R90" i="9"/>
  <c r="P90" i="9"/>
  <c r="Q90" i="9"/>
  <c r="R98" i="9"/>
  <c r="P98" i="9"/>
  <c r="R96" i="9"/>
  <c r="Q96" i="9"/>
  <c r="P96" i="9"/>
  <c r="R100" i="9"/>
  <c r="Q100" i="9"/>
  <c r="P100" i="9"/>
  <c r="R93" i="9"/>
  <c r="Q93" i="9"/>
  <c r="R86" i="9"/>
  <c r="P86" i="9"/>
  <c r="R64" i="9"/>
  <c r="Q64" i="9"/>
  <c r="P64" i="9"/>
  <c r="E64" i="9"/>
  <c r="R74" i="9"/>
  <c r="Q74" i="9"/>
  <c r="P74" i="9"/>
  <c r="R61" i="9"/>
  <c r="Q61" i="9"/>
  <c r="P61" i="9"/>
  <c r="R60" i="9"/>
  <c r="Q60" i="9"/>
  <c r="P60" i="9"/>
  <c r="E60" i="9"/>
  <c r="R81" i="9"/>
  <c r="Q81" i="9"/>
  <c r="P81" i="9"/>
  <c r="E81" i="9"/>
  <c r="R58" i="9"/>
  <c r="Q58" i="9"/>
  <c r="P58" i="9"/>
  <c r="E58" i="9"/>
  <c r="R57" i="9"/>
  <c r="Q57" i="9"/>
  <c r="E57" i="9"/>
  <c r="R65" i="9"/>
  <c r="Q65" i="9"/>
  <c r="P65" i="9"/>
  <c r="E65" i="9"/>
  <c r="R72" i="9"/>
  <c r="Q72" i="9"/>
  <c r="P72" i="9"/>
  <c r="E72" i="9"/>
  <c r="R68" i="9"/>
  <c r="Q68" i="9"/>
  <c r="E68" i="9"/>
  <c r="R71" i="9"/>
  <c r="Q71" i="9"/>
  <c r="P71" i="9"/>
  <c r="E71" i="9"/>
  <c r="R76" i="9"/>
  <c r="Q76" i="9"/>
  <c r="P76" i="9"/>
  <c r="E76" i="9"/>
  <c r="R80" i="9"/>
  <c r="Q80" i="9"/>
  <c r="P80" i="9"/>
  <c r="E80" i="9"/>
  <c r="R78" i="9"/>
  <c r="Q78" i="9"/>
  <c r="P78" i="9"/>
  <c r="E78" i="9"/>
  <c r="R73" i="9"/>
  <c r="Q73" i="9"/>
  <c r="P73" i="9"/>
  <c r="E73" i="9"/>
  <c r="R77" i="9"/>
  <c r="Q77" i="9"/>
  <c r="P77" i="9"/>
  <c r="E77" i="9"/>
  <c r="R82" i="9"/>
  <c r="Q82" i="9"/>
  <c r="P82" i="9"/>
  <c r="E82" i="9"/>
  <c r="R62" i="9"/>
  <c r="Q62" i="9"/>
  <c r="P62" i="9"/>
  <c r="E62" i="9"/>
  <c r="R85" i="9"/>
  <c r="Q85" i="9"/>
  <c r="P85" i="9"/>
  <c r="E85" i="9"/>
  <c r="R84" i="9"/>
  <c r="Q84" i="9"/>
  <c r="P84" i="9"/>
  <c r="E84" i="9"/>
  <c r="R83" i="9"/>
  <c r="Q83" i="9"/>
  <c r="P83" i="9"/>
  <c r="E83" i="9"/>
  <c r="R63" i="9"/>
  <c r="Q63" i="9"/>
  <c r="P63" i="9"/>
  <c r="E63" i="9"/>
  <c r="R69" i="9"/>
  <c r="Q69" i="9"/>
  <c r="E69" i="9"/>
  <c r="R70" i="9"/>
  <c r="Q70" i="9"/>
  <c r="E70" i="9"/>
  <c r="R75" i="9"/>
  <c r="Q75" i="9"/>
  <c r="P75" i="9"/>
  <c r="E75" i="9"/>
  <c r="R79" i="9"/>
  <c r="Q79" i="9"/>
  <c r="P79" i="9"/>
  <c r="E79" i="9"/>
  <c r="R54" i="9"/>
  <c r="E39" i="9"/>
  <c r="R45" i="9"/>
  <c r="Q45" i="9"/>
  <c r="P45" i="9"/>
  <c r="R33" i="9"/>
  <c r="Q33" i="9"/>
  <c r="P33" i="9"/>
  <c r="R37" i="9"/>
  <c r="Q37" i="9"/>
  <c r="P37" i="9"/>
  <c r="R46" i="9"/>
  <c r="Q46" i="9"/>
  <c r="P46" i="9"/>
  <c r="R51" i="9"/>
  <c r="Q51" i="9"/>
  <c r="P51" i="9"/>
  <c r="R49" i="9"/>
  <c r="Q49" i="9"/>
  <c r="P49" i="9"/>
  <c r="R27" i="9"/>
  <c r="Q27" i="9"/>
  <c r="P27" i="9"/>
  <c r="R39" i="9"/>
  <c r="Q39" i="9"/>
  <c r="P39" i="9"/>
  <c r="R31" i="9"/>
  <c r="Q31" i="9"/>
  <c r="P31" i="9"/>
  <c r="R52" i="9"/>
  <c r="Q52" i="9"/>
  <c r="P52" i="9"/>
  <c r="R40" i="9"/>
  <c r="Q40" i="9"/>
  <c r="P40" i="9"/>
  <c r="R43" i="9"/>
  <c r="Q43" i="9"/>
  <c r="P43" i="9"/>
  <c r="R25" i="9"/>
  <c r="Q25" i="9"/>
  <c r="P25" i="9"/>
  <c r="R53" i="9"/>
  <c r="Q53" i="9"/>
  <c r="P53" i="9"/>
  <c r="R34" i="9"/>
  <c r="Q34" i="9"/>
  <c r="P34" i="9"/>
  <c r="R36" i="9"/>
  <c r="Q36" i="9"/>
  <c r="P36" i="9"/>
  <c r="R35" i="9"/>
  <c r="Q35" i="9"/>
  <c r="P35" i="9"/>
  <c r="R30" i="9"/>
  <c r="Q30" i="9"/>
  <c r="P30" i="9"/>
  <c r="R47" i="9"/>
  <c r="Q47" i="9"/>
  <c r="R32" i="9"/>
  <c r="Q32" i="9"/>
  <c r="P32" i="9"/>
  <c r="R41" i="9"/>
  <c r="Q41" i="9"/>
  <c r="P41" i="9"/>
  <c r="R29" i="9"/>
  <c r="Q29" i="9"/>
  <c r="P29" i="9"/>
  <c r="R44" i="9"/>
  <c r="Q44" i="9"/>
  <c r="P44" i="9"/>
  <c r="R28" i="9"/>
  <c r="Q28" i="9"/>
  <c r="P28" i="9"/>
  <c r="R26" i="9"/>
  <c r="Q26" i="9"/>
  <c r="P26" i="9"/>
  <c r="R50" i="9"/>
  <c r="Q50" i="9"/>
  <c r="P50" i="9"/>
  <c r="R48" i="9"/>
  <c r="Q48" i="9"/>
  <c r="P48" i="9"/>
  <c r="R22" i="9"/>
  <c r="P22" i="9"/>
  <c r="E8" i="9"/>
  <c r="R7" i="9"/>
  <c r="Q7" i="9"/>
  <c r="R17" i="9"/>
  <c r="Q17" i="9"/>
  <c r="R9" i="9"/>
  <c r="Q9" i="9"/>
  <c r="P9" i="9"/>
  <c r="R19" i="9"/>
  <c r="Q19" i="9"/>
  <c r="P19" i="9"/>
  <c r="R16" i="9"/>
  <c r="Q16" i="9"/>
  <c r="P16" i="9"/>
  <c r="E16" i="9"/>
  <c r="R11" i="9"/>
  <c r="Q11" i="9"/>
  <c r="P11" i="9"/>
  <c r="Q8" i="9"/>
  <c r="P8" i="9"/>
  <c r="R21" i="9"/>
  <c r="Q21" i="9"/>
  <c r="P21" i="9"/>
  <c r="E21" i="9"/>
  <c r="Q6" i="9"/>
  <c r="P6" i="9"/>
  <c r="R18" i="9"/>
  <c r="Q18" i="9"/>
  <c r="P18" i="9"/>
  <c r="E18" i="9"/>
  <c r="Q12" i="9"/>
  <c r="P12" i="9"/>
  <c r="R15" i="9"/>
  <c r="Q15" i="9"/>
  <c r="P15" i="9"/>
  <c r="R20" i="9"/>
  <c r="P20" i="9"/>
  <c r="E20" i="9"/>
  <c r="K182" i="9" l="1"/>
  <c r="K189" i="9"/>
  <c r="K191" i="9"/>
  <c r="K183" i="9"/>
  <c r="K190" i="9"/>
  <c r="K187" i="9"/>
  <c r="P194" i="9"/>
  <c r="K188" i="9"/>
  <c r="K186" i="9"/>
  <c r="K160" i="9"/>
  <c r="K123" i="9"/>
  <c r="K68" i="9"/>
  <c r="K75" i="9"/>
  <c r="K84" i="9"/>
  <c r="K78" i="9"/>
  <c r="K64" i="9"/>
  <c r="K83" i="9"/>
  <c r="K63" i="9"/>
  <c r="K65" i="9"/>
  <c r="K58" i="9"/>
  <c r="K61" i="9"/>
  <c r="K34" i="9"/>
  <c r="K29" i="9"/>
  <c r="K28" i="9"/>
  <c r="K50" i="9"/>
  <c r="K35" i="9"/>
  <c r="K32" i="9"/>
  <c r="K48" i="9"/>
  <c r="K30" i="9"/>
  <c r="P54" i="9"/>
  <c r="K15" i="9"/>
  <c r="K18" i="9"/>
  <c r="K21" i="9"/>
  <c r="K17" i="9"/>
  <c r="K20" i="9"/>
  <c r="K19" i="9"/>
  <c r="K11" i="9"/>
  <c r="K12" i="9"/>
  <c r="K144" i="9"/>
  <c r="K140" i="9"/>
  <c r="K135" i="9"/>
  <c r="K117" i="9"/>
  <c r="K118" i="9"/>
  <c r="K116" i="9"/>
  <c r="K7" i="9"/>
  <c r="K6" i="9"/>
  <c r="K8" i="9"/>
  <c r="K9" i="9"/>
  <c r="E156" i="9"/>
  <c r="E160" i="9"/>
  <c r="P169" i="9"/>
  <c r="E7" i="9"/>
  <c r="K69" i="9"/>
  <c r="K73" i="9"/>
  <c r="K72" i="9"/>
  <c r="K133" i="9"/>
  <c r="P146" i="9"/>
  <c r="E165" i="9"/>
  <c r="E12" i="9"/>
  <c r="E9" i="9"/>
  <c r="E11" i="9"/>
  <c r="K26" i="9"/>
  <c r="K41" i="9"/>
  <c r="K47" i="9"/>
  <c r="K36" i="9"/>
  <c r="K53" i="9"/>
  <c r="K79" i="9"/>
  <c r="K71" i="9"/>
  <c r="E74" i="9"/>
  <c r="E117" i="9"/>
  <c r="E166" i="9"/>
  <c r="P91" i="9"/>
  <c r="K134" i="9"/>
  <c r="K127" i="9"/>
  <c r="K57" i="9"/>
  <c r="K74" i="9"/>
  <c r="K126" i="9"/>
  <c r="E162" i="9"/>
  <c r="K141" i="9"/>
  <c r="E15" i="9"/>
  <c r="E19" i="9"/>
  <c r="K70" i="9"/>
  <c r="K77" i="9"/>
  <c r="K81" i="9"/>
  <c r="K143" i="9"/>
  <c r="K132" i="9"/>
  <c r="E91" i="9"/>
  <c r="E6" i="9"/>
  <c r="E17" i="9"/>
  <c r="K85" i="9"/>
  <c r="E61" i="9"/>
  <c r="K115" i="9"/>
  <c r="E109" i="9" l="1"/>
  <c r="E103" i="9"/>
  <c r="E107" i="9"/>
  <c r="E111" i="9"/>
  <c r="E96" i="9"/>
  <c r="E106" i="9"/>
  <c r="E98" i="9"/>
  <c r="E108" i="9"/>
  <c r="E93" i="9"/>
  <c r="E90" i="9"/>
  <c r="E105" i="9"/>
  <c r="E100" i="9"/>
  <c r="E146" i="9" l="1"/>
  <c r="E119" i="9"/>
  <c r="E152" i="9"/>
  <c r="E169" i="9"/>
  <c r="E54" i="9"/>
  <c r="E22" i="9"/>
  <c r="E86" i="9"/>
  <c r="E112" i="9"/>
  <c r="AT143" i="11" l="1"/>
  <c r="AT139" i="11"/>
  <c r="AQ139" i="11"/>
  <c r="AS139" i="11" s="1"/>
  <c r="AT138" i="11"/>
  <c r="AS138" i="11"/>
  <c r="AT137" i="11"/>
  <c r="AS137" i="11"/>
  <c r="AT136" i="11"/>
  <c r="AS136" i="11"/>
  <c r="AT132" i="11"/>
  <c r="AS132" i="11"/>
  <c r="AT131" i="11"/>
  <c r="AS131" i="11"/>
  <c r="AT130" i="11"/>
  <c r="AS130" i="11"/>
  <c r="AT128" i="11"/>
  <c r="AS128" i="11"/>
  <c r="AT127" i="11"/>
  <c r="AS127" i="11"/>
  <c r="AT126" i="11"/>
  <c r="AS126" i="11"/>
  <c r="AT125" i="11"/>
  <c r="AQ125" i="11"/>
  <c r="AQ143" i="11" s="1"/>
  <c r="AS143" i="11" s="1"/>
  <c r="AT124" i="11"/>
  <c r="AQ124" i="11"/>
  <c r="AS124" i="11" s="1"/>
  <c r="AT120" i="11"/>
  <c r="AS120" i="11"/>
  <c r="AT118" i="11"/>
  <c r="AS118" i="11"/>
  <c r="AT117" i="11"/>
  <c r="AS117" i="11"/>
  <c r="AT116" i="11"/>
  <c r="AS116" i="11"/>
  <c r="AT115" i="11"/>
  <c r="AS115" i="11"/>
  <c r="AT114" i="11"/>
  <c r="AS114" i="11"/>
  <c r="AT113" i="11"/>
  <c r="AQ113" i="11"/>
  <c r="AS113" i="11" s="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5" i="11"/>
  <c r="AS95" i="11"/>
  <c r="AT94" i="11"/>
  <c r="AS94" i="11"/>
  <c r="AT92" i="11"/>
  <c r="AS92" i="11"/>
  <c r="AT91" i="11"/>
  <c r="AS91" i="11"/>
  <c r="AT90" i="11"/>
  <c r="AQ90" i="11"/>
  <c r="AS90" i="11" s="1"/>
  <c r="AT89" i="11"/>
  <c r="AS89" i="11"/>
  <c r="AT85" i="11"/>
  <c r="AS85" i="11"/>
  <c r="AT71" i="11"/>
  <c r="AS71" i="11"/>
  <c r="AT69" i="11"/>
  <c r="AS69" i="11"/>
  <c r="AT68" i="11"/>
  <c r="AS68" i="11"/>
  <c r="AT67" i="11"/>
  <c r="AS67" i="11"/>
  <c r="AT66" i="11"/>
  <c r="AS66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16" i="11"/>
  <c r="AS16" i="11"/>
  <c r="AT15" i="11"/>
  <c r="AS15" i="11"/>
  <c r="AT14" i="11"/>
  <c r="AS14" i="11"/>
  <c r="AT12" i="11"/>
  <c r="AS12" i="11"/>
  <c r="AT11" i="11"/>
  <c r="AS11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5" i="11" l="1"/>
  <c r="T177" i="9"/>
  <c r="T195" i="9"/>
  <c r="K106" i="9"/>
  <c r="P170" i="9" l="1"/>
  <c r="K98" i="9"/>
  <c r="K91" i="9"/>
  <c r="K107" i="9"/>
  <c r="K105" i="9"/>
  <c r="K108" i="9"/>
  <c r="P112" i="9"/>
  <c r="K100" i="9"/>
  <c r="K93" i="9"/>
  <c r="K90" i="9"/>
  <c r="K111" i="9"/>
  <c r="K54" i="9" l="1"/>
  <c r="K86" i="9"/>
  <c r="T170" i="9"/>
  <c r="K152" i="9"/>
  <c r="K22" i="9"/>
  <c r="K112" i="9"/>
  <c r="K146" i="9"/>
  <c r="K119" i="9"/>
  <c r="Q104" i="9"/>
</calcChain>
</file>

<file path=xl/sharedStrings.xml><?xml version="1.0" encoding="utf-8"?>
<sst xmlns="http://schemas.openxmlformats.org/spreadsheetml/2006/main" count="728" uniqueCount="289">
  <si>
    <t>EQUITY BASED FUNDS</t>
  </si>
  <si>
    <t>S/N</t>
  </si>
  <si>
    <t>FUND</t>
  </si>
  <si>
    <t>Unit Price</t>
  </si>
  <si>
    <t>N</t>
  </si>
  <si>
    <t>Stanbic IBTC Asset Mgt. Limited</t>
  </si>
  <si>
    <t>Asset &amp; Resources Mgt. Co. Ltd</t>
  </si>
  <si>
    <t>FSDH Asset Management Ltd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</si>
  <si>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</si>
  <si>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</si>
  <si>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</si>
  <si>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</si>
  <si>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</si>
  <si>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</si>
  <si>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</si>
  <si>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</si>
  <si>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</si>
  <si>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</si>
  <si>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</si>
  <si>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</si>
  <si>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</si>
  <si>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</si>
  <si>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</si>
  <si>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</si>
  <si>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</si>
  <si>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</si>
  <si>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</si>
  <si>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</si>
  <si>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</si>
  <si>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</si>
  <si>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</si>
  <si>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</si>
  <si>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</si>
  <si>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</si>
  <si>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</si>
  <si>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</si>
  <si>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</si>
  <si>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</si>
  <si>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</si>
  <si>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</si>
  <si>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</si>
  <si>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</si>
  <si>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</si>
  <si>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</si>
  <si>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</si>
  <si>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</si>
  <si>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</si>
  <si>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</si>
  <si>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</si>
  <si>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</si>
  <si>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</si>
  <si>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</si>
  <si>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</si>
  <si>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</si>
  <si>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</si>
  <si>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</si>
  <si>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</si>
  <si>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</si>
  <si>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</si>
  <si>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</si>
  <si>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</si>
  <si>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</si>
  <si>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</si>
  <si>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</si>
  <si>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</si>
  <si>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</si>
  <si>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</si>
  <si>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</si>
  <si>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</si>
  <si>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</si>
  <si>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</si>
  <si>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</si>
  <si>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</si>
  <si>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</si>
  <si>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</si>
  <si>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</si>
  <si>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</si>
  <si>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</si>
  <si>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</si>
  <si>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</si>
  <si>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</si>
  <si>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</si>
  <si>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</si>
  <si>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</si>
  <si>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</si>
  <si>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</si>
  <si>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</si>
  <si>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</si>
  <si>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</si>
  <si>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</si>
  <si>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</si>
  <si>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</si>
  <si>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</si>
  <si>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</si>
  <si>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</si>
  <si>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</si>
  <si>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</si>
  <si>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</si>
  <si>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</si>
  <si>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</si>
  <si>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</si>
  <si>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</si>
  <si>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</si>
  <si>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</si>
  <si>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</si>
  <si>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</si>
  <si>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</si>
  <si>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</si>
  <si>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</si>
  <si>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</si>
  <si>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</si>
  <si>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</si>
  <si>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</si>
  <si>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</si>
  <si>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</si>
  <si>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</si>
  <si>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</si>
  <si>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</si>
  <si>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</si>
  <si>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</si>
  <si>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Legacy USD Bond Fund</t>
  </si>
  <si>
    <t>Legacy Money Market Fund</t>
  </si>
  <si>
    <t>GDL Money Market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</si>
  <si>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</si>
  <si>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</si>
  <si>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</si>
  <si>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</si>
  <si>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</si>
  <si>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</si>
  <si>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</si>
  <si>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</si>
  <si>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</si>
  <si>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</si>
  <si>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</si>
  <si>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</si>
  <si>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</si>
  <si>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</si>
  <si>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</si>
  <si>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</si>
  <si>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</si>
  <si>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</si>
  <si>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</si>
  <si>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</si>
  <si>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</si>
  <si>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</si>
  <si>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</si>
  <si>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</si>
  <si>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</si>
  <si>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</si>
  <si>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</si>
  <si>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</si>
  <si>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</si>
  <si>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</si>
  <si>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</si>
  <si>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</si>
  <si>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</si>
  <si>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</si>
  <si>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</si>
  <si>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</si>
  <si>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 xml:space="preserve">Novambl Asset Management 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</si>
  <si>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</si>
  <si>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</si>
  <si>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</si>
  <si>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</si>
  <si>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</si>
  <si>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</si>
  <si>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</si>
  <si>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</si>
  <si>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</si>
  <si>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</si>
  <si>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</si>
  <si>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</si>
  <si>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</si>
  <si>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</si>
  <si>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</si>
  <si>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</si>
  <si>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</si>
  <si>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</si>
  <si>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</si>
  <si>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</si>
  <si>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</si>
  <si>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</si>
  <si>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</si>
  <si>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</si>
  <si>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</si>
  <si>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</si>
  <si>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</si>
  <si>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</si>
  <si>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</si>
  <si>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</si>
  <si>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</si>
  <si>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</si>
  <si>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</si>
  <si>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</si>
  <si>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</si>
  <si>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</si>
  <si>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</si>
  <si>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</si>
  <si>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</si>
  <si>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</si>
  <si>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</si>
  <si>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</si>
  <si>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</si>
  <si>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</si>
  <si>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</si>
  <si>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</si>
  <si>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</si>
  <si>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</si>
  <si>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</si>
  <si>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</si>
  <si>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</si>
  <si>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</si>
  <si>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</si>
  <si>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</si>
  <si>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</si>
  <si>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</si>
  <si>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</si>
  <si>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</si>
  <si>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</si>
  <si>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</si>
  <si>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</si>
  <si>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</si>
  <si>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</si>
  <si>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</si>
  <si>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</si>
  <si>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</si>
  <si>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</si>
  <si>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</si>
  <si>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</si>
  <si>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</si>
  <si>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</si>
  <si>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</si>
  <si>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</si>
  <si>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</si>
  <si>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</si>
  <si>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</si>
  <si>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</si>
  <si>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</si>
  <si>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</si>
  <si>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</si>
  <si>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Guaranty Trust Fund Managers</t>
  </si>
  <si>
    <t>United Capital Infrastructure Fund</t>
  </si>
  <si>
    <t>Cowry Treasurers Limited</t>
  </si>
  <si>
    <t>UBA Nom-Cowry Balanced Fund</t>
  </si>
  <si>
    <t>TOTAL</t>
  </si>
  <si>
    <t>Norrenberger Dollar Fund</t>
  </si>
  <si>
    <t>FBN Bond Fund</t>
  </si>
  <si>
    <t>United Capital Nigerian Eurobond Fund</t>
  </si>
  <si>
    <t>United Capital Global Fixed Income Fund</t>
  </si>
  <si>
    <t>Yield (WTD)</t>
  </si>
  <si>
    <t>Yield  (YTD)</t>
  </si>
  <si>
    <t>Greenwich Balanced Fund</t>
  </si>
  <si>
    <t>Yield (%) WYD</t>
  </si>
  <si>
    <t>Yield (%) YTD</t>
  </si>
  <si>
    <t>Coronation Asset Management Ltd</t>
  </si>
  <si>
    <t>% Change in Total NAV of ETFs</t>
  </si>
  <si>
    <t>% Change in Total NAV of CIS</t>
  </si>
  <si>
    <t>First Ally Money Market Fund</t>
  </si>
  <si>
    <t>BOND/FIXED INCOME FUNDS</t>
  </si>
  <si>
    <t>Emerging Africa Balanced-Diversity Fund</t>
  </si>
  <si>
    <t>GDL CanaryGrowth Fund</t>
  </si>
  <si>
    <t>Coral Balanced Fund</t>
  </si>
  <si>
    <t>FBN Specialized Dollar Fund</t>
  </si>
  <si>
    <t>Guaranty Trust Equity Income Fund (GTEIF)</t>
  </si>
  <si>
    <t>Guaranty Trust Money Market Fund (GTMMF)</t>
  </si>
  <si>
    <t>Vantage Guaranteed Income Fund (VGIF)</t>
  </si>
  <si>
    <t>Vantage Dollar Fund (VDF)</t>
  </si>
  <si>
    <t>Guaranty Trust Balanced Fund (GTBF)</t>
  </si>
  <si>
    <t>NAV and Unit Price as at Week Ended July 28, 2023</t>
  </si>
  <si>
    <t>NAV and Unit Price as at Week Ended August 4, 2023</t>
  </si>
  <si>
    <t>NAV and Unit Price as at Week Ended August 11, 2023</t>
  </si>
  <si>
    <t>EDC Dollar Fund</t>
  </si>
  <si>
    <t>NAV and Unit Price as at Week Ended August 18, 2023</t>
  </si>
  <si>
    <t>NAV and Unit Price as at Week Ended August 25, 2023</t>
  </si>
  <si>
    <t>NAV and Unit Price as at Week Ended September 1, 2023</t>
  </si>
  <si>
    <t>Marble Halal Commodities Fund</t>
  </si>
  <si>
    <t xml:space="preserve">Marble Capital Limited </t>
  </si>
  <si>
    <t>NAV and Unit Price as at Week Ended September 8, 2023</t>
  </si>
  <si>
    <t>NAV, Unit Price and Yield as at Week Ended September 15, 2023</t>
  </si>
  <si>
    <t>ESG Impact Fund</t>
  </si>
  <si>
    <t>Zenith Asset Management Ltd.</t>
  </si>
  <si>
    <t>Cowry Balanced Fund</t>
  </si>
  <si>
    <t>Cowry Fixed Income Fund</t>
  </si>
  <si>
    <t>Cowry Equity Fund</t>
  </si>
  <si>
    <t>NAV and Unit Price as at Week Ended September 15, 2023</t>
  </si>
  <si>
    <t>NET ASSET VALUES AND UNIT PRICES OF COLLECTIVE INVESTMENT SCHEMES AS AT WEEK ENDED SEPTEMBER 22, 2023</t>
  </si>
  <si>
    <t>NAV, Unit Price and Yield as at Week Ended September 22, 2023</t>
  </si>
  <si>
    <t>NAV and Unit Price as at Week Ended September 22, 2023</t>
  </si>
  <si>
    <t>The chart above shows that Money Market Fund category has 44.08% share of the Net Asset Value (NAV), followed by Dollar Fund (Eurobonds and Fixed Income) with 29.75%, Bond/Fixed Income Fund at 15.54%, Real Estate Investment Trust at 4.82%.  Next is Shari'ah Compliant Fund at 2.36%, Balanced Fund at 2.08%, Equity Fund at 1.17%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</si>
</sst>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&quot;True&quot;;&quot;True&quot;;&quot;False&quot;"/>
    <numFmt numFmtId="171" formatCode="#,##0_ ;\-#,##0\ "/>
    <numFmt numFmtId="172" formatCode="&quot; &quot;#,##0.00&quot; &quot;;&quot;-&quot;#,##0.00&quot; &quot;;&quot; -&quot;00&quot; &quot;;&quot; &quot;@&quot; &quot;"/>
    <numFmt numFmtId="173" formatCode="_([$€]* #,##0.00_);_([$€]* \(#,##0.00\);_([$€]* &quot;-&quot;??_);_(@_)"/>
  </numFmts>
  <fonts count="9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  <font>
      <b/>
      <sz val="14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6"/>
      <color theme="0"/>
      <name val="Arial Narrow"/>
      <family val="2"/>
    </font>
    <font>
      <b/>
      <sz val="10"/>
      <color theme="0"/>
      <name val="Arial Narrow"/>
      <family val="2"/>
    </font>
    <font>
      <b/>
      <sz val="36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43" fillId="14" borderId="0" applyNumberFormat="0" applyBorder="0" applyAlignment="0" applyProtection="0"/>
    <xf numFmtId="0" fontId="45" fillId="16" borderId="15" applyNumberFormat="0" applyAlignment="0" applyProtection="0"/>
    <xf numFmtId="0" fontId="46" fillId="17" borderId="16" applyNumberFormat="0" applyAlignment="0" applyProtection="0"/>
    <xf numFmtId="0" fontId="47" fillId="17" borderId="15" applyNumberFormat="0" applyAlignment="0" applyProtection="0"/>
    <xf numFmtId="0" fontId="48" fillId="0" borderId="17" applyNumberFormat="0" applyFill="0" applyAlignment="0" applyProtection="0"/>
    <xf numFmtId="0" fontId="49" fillId="18" borderId="18" applyNumberFormat="0" applyAlignment="0" applyProtection="0"/>
    <xf numFmtId="0" fontId="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1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1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1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4" fillId="0" borderId="0"/>
    <xf numFmtId="0" fontId="55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51" fillId="23" borderId="0" applyNumberFormat="0" applyBorder="0" applyAlignment="0" applyProtection="0"/>
    <xf numFmtId="0" fontId="51" fillId="27" borderId="0" applyNumberFormat="0" applyBorder="0" applyAlignment="0" applyProtection="0"/>
    <xf numFmtId="0" fontId="51" fillId="31" borderId="0" applyNumberFormat="0" applyBorder="0" applyAlignment="0" applyProtection="0"/>
    <xf numFmtId="0" fontId="51" fillId="35" borderId="0" applyNumberFormat="0" applyBorder="0" applyAlignment="0" applyProtection="0"/>
    <xf numFmtId="0" fontId="51" fillId="39" borderId="0" applyNumberFormat="0" applyBorder="0" applyAlignment="0" applyProtection="0"/>
    <xf numFmtId="0" fontId="51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6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2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51" fillId="23" borderId="0" applyNumberFormat="0" applyBorder="0" applyAlignment="0" applyProtection="0"/>
    <xf numFmtId="0" fontId="51" fillId="27" borderId="0" applyNumberFormat="0" applyBorder="0" applyAlignment="0" applyProtection="0"/>
    <xf numFmtId="0" fontId="51" fillId="31" borderId="0" applyNumberFormat="0" applyBorder="0" applyAlignment="0" applyProtection="0"/>
    <xf numFmtId="0" fontId="51" fillId="35" borderId="0" applyNumberFormat="0" applyBorder="0" applyAlignment="0" applyProtection="0"/>
    <xf numFmtId="0" fontId="51" fillId="39" borderId="0" applyNumberFormat="0" applyBorder="0" applyAlignment="0" applyProtection="0"/>
    <xf numFmtId="0" fontId="51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2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7" fillId="0" borderId="0"/>
    <xf numFmtId="0" fontId="69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5" fillId="19" borderId="19" applyNumberFormat="0" applyFont="0" applyAlignment="0" applyProtection="0"/>
    <xf numFmtId="0" fontId="51" fillId="23" borderId="0" applyNumberFormat="0" applyBorder="0" applyAlignment="0" applyProtection="0"/>
    <xf numFmtId="0" fontId="51" fillId="27" borderId="0" applyNumberFormat="0" applyBorder="0" applyAlignment="0" applyProtection="0"/>
    <xf numFmtId="0" fontId="51" fillId="31" borderId="0" applyNumberFormat="0" applyBorder="0" applyAlignment="0" applyProtection="0"/>
    <xf numFmtId="0" fontId="51" fillId="35" borderId="0" applyNumberFormat="0" applyBorder="0" applyAlignment="0" applyProtection="0"/>
    <xf numFmtId="0" fontId="51" fillId="39" borderId="0" applyNumberFormat="0" applyBorder="0" applyAlignment="0" applyProtection="0"/>
    <xf numFmtId="0" fontId="51" fillId="43" borderId="0" applyNumberFormat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0" fontId="54" fillId="0" borderId="0"/>
    <xf numFmtId="0" fontId="54" fillId="0" borderId="0"/>
    <xf numFmtId="0" fontId="52" fillId="0" borderId="0"/>
    <xf numFmtId="0" fontId="54" fillId="0" borderId="0"/>
    <xf numFmtId="0" fontId="54" fillId="0" borderId="0"/>
    <xf numFmtId="0" fontId="54" fillId="0" borderId="0"/>
    <xf numFmtId="0" fontId="73" fillId="0" borderId="0">
      <alignment vertical="top"/>
    </xf>
    <xf numFmtId="0" fontId="73" fillId="0" borderId="0">
      <alignment vertical="top"/>
    </xf>
    <xf numFmtId="0" fontId="52" fillId="0" borderId="0">
      <alignment wrapText="1"/>
    </xf>
    <xf numFmtId="0" fontId="54" fillId="0" borderId="0"/>
    <xf numFmtId="0" fontId="5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/>
    <xf numFmtId="164" fontId="52" fillId="0" borderId="0" applyFont="0" applyFill="0" applyBorder="0" applyAlignment="0" applyProtection="0"/>
    <xf numFmtId="0" fontId="75" fillId="48" borderId="0" applyNumberFormat="0" applyBorder="0" applyAlignment="0" applyProtection="0"/>
    <xf numFmtId="0" fontId="76" fillId="16" borderId="15" applyNumberFormat="0" applyAlignment="0" applyProtection="0"/>
    <xf numFmtId="0" fontId="77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52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2" fillId="0" borderId="0"/>
    <xf numFmtId="43" fontId="5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2" fillId="0" borderId="0"/>
    <xf numFmtId="9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7" fillId="0" borderId="0"/>
    <xf numFmtId="9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43" fontId="5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6" fillId="0" borderId="0" applyFont="0" applyFill="0" applyBorder="0" applyAlignment="0" applyProtection="0"/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86" fillId="0" borderId="0"/>
    <xf numFmtId="0" fontId="52" fillId="0" borderId="0">
      <alignment wrapText="1"/>
    </xf>
    <xf numFmtId="0" fontId="52" fillId="0" borderId="0">
      <alignment wrapText="1"/>
    </xf>
    <xf numFmtId="0" fontId="73" fillId="0" borderId="0">
      <alignment vertical="top"/>
    </xf>
    <xf numFmtId="0" fontId="85" fillId="0" borderId="0" applyNumberFormat="0" applyBorder="0" applyProtection="0">
      <alignment vertical="top"/>
    </xf>
    <xf numFmtId="0" fontId="56" fillId="0" borderId="0"/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85" fillId="0" borderId="0" applyNumberFormat="0" applyBorder="0" applyProtection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85" fillId="0" borderId="0" applyNumberFormat="0" applyBorder="0" applyProtection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85" fillId="0" borderId="0" applyNumberFormat="0" applyBorder="0" applyProtection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85" fillId="0" borderId="0" applyNumberFormat="0" applyBorder="0" applyProtection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85" fillId="0" borderId="0" applyNumberFormat="0" applyBorder="0" applyProtection="0">
      <alignment vertical="top"/>
    </xf>
    <xf numFmtId="0" fontId="73" fillId="0" borderId="0">
      <alignment vertical="top"/>
    </xf>
    <xf numFmtId="0" fontId="85" fillId="0" borderId="0" applyNumberFormat="0" applyBorder="0" applyProtection="0">
      <alignment vertical="top"/>
    </xf>
    <xf numFmtId="0" fontId="73" fillId="0" borderId="0">
      <alignment vertical="top"/>
    </xf>
    <xf numFmtId="0" fontId="85" fillId="0" borderId="0" applyNumberFormat="0" applyBorder="0" applyProtection="0">
      <alignment vertical="top"/>
    </xf>
    <xf numFmtId="0" fontId="73" fillId="0" borderId="0">
      <alignment vertical="top"/>
    </xf>
    <xf numFmtId="0" fontId="85" fillId="0" borderId="0" applyNumberFormat="0" applyBorder="0" applyProtection="0">
      <alignment vertical="top"/>
    </xf>
    <xf numFmtId="0" fontId="73" fillId="0" borderId="0">
      <alignment vertical="top"/>
    </xf>
    <xf numFmtId="0" fontId="85" fillId="0" borderId="0" applyNumberFormat="0" applyBorder="0" applyProtection="0">
      <alignment vertical="top"/>
    </xf>
    <xf numFmtId="0" fontId="73" fillId="0" borderId="0">
      <alignment vertical="top"/>
    </xf>
    <xf numFmtId="0" fontId="85" fillId="0" borderId="0" applyNumberFormat="0" applyBorder="0" applyProtection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6" fillId="0" borderId="0" applyNumberFormat="0" applyFont="0" applyBorder="0" applyProtection="0"/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85" fillId="0" borderId="0" applyNumberFormat="0" applyBorder="0" applyProtection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5" fillId="19" borderId="19" applyNumberFormat="0" applyFont="0" applyAlignment="0" applyProtection="0"/>
    <xf numFmtId="9" fontId="56" fillId="0" borderId="0" applyFont="0" applyFill="0" applyBorder="0" applyAlignment="0" applyProtection="0"/>
    <xf numFmtId="9" fontId="86" fillId="0" borderId="0" applyFont="0" applyFill="0" applyBorder="0" applyAlignment="0" applyProtection="0"/>
    <xf numFmtId="169" fontId="52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87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87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>
      <alignment wrapText="1"/>
    </xf>
    <xf numFmtId="43" fontId="52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7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2" fillId="0" borderId="0">
      <alignment wrapText="1"/>
    </xf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2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8" fillId="0" borderId="0"/>
    <xf numFmtId="0" fontId="52" fillId="0" borderId="0">
      <alignment wrapText="1"/>
    </xf>
    <xf numFmtId="0" fontId="5" fillId="0" borderId="0"/>
    <xf numFmtId="0" fontId="5" fillId="0" borderId="0"/>
    <xf numFmtId="0" fontId="52" fillId="0" borderId="0"/>
    <xf numFmtId="0" fontId="87" fillId="0" borderId="0"/>
    <xf numFmtId="0" fontId="54" fillId="0" borderId="0"/>
    <xf numFmtId="0" fontId="57" fillId="0" borderId="0"/>
    <xf numFmtId="0" fontId="57" fillId="0" borderId="0"/>
    <xf numFmtId="0" fontId="52" fillId="0" borderId="0"/>
    <xf numFmtId="0" fontId="52" fillId="0" borderId="0">
      <alignment wrapText="1"/>
    </xf>
    <xf numFmtId="0" fontId="5" fillId="0" borderId="0"/>
    <xf numFmtId="0" fontId="52" fillId="0" borderId="0"/>
    <xf numFmtId="0" fontId="5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87" fillId="0" borderId="0"/>
    <xf numFmtId="0" fontId="57" fillId="0" borderId="0"/>
    <xf numFmtId="0" fontId="52" fillId="0" borderId="0">
      <alignment wrapText="1"/>
    </xf>
    <xf numFmtId="0" fontId="5" fillId="0" borderId="0"/>
    <xf numFmtId="0" fontId="52" fillId="0" borderId="0">
      <alignment wrapText="1"/>
    </xf>
    <xf numFmtId="0" fontId="52" fillId="0" borderId="0">
      <alignment wrapText="1"/>
    </xf>
    <xf numFmtId="0" fontId="5" fillId="0" borderId="0"/>
    <xf numFmtId="0" fontId="5" fillId="0" borderId="0"/>
    <xf numFmtId="0" fontId="5" fillId="0" borderId="0"/>
    <xf numFmtId="0" fontId="52" fillId="0" borderId="0"/>
    <xf numFmtId="0" fontId="38" fillId="0" borderId="0"/>
    <xf numFmtId="0" fontId="52" fillId="0" borderId="0">
      <alignment wrapText="1"/>
    </xf>
    <xf numFmtId="0" fontId="87" fillId="0" borderId="0"/>
    <xf numFmtId="0" fontId="87" fillId="0" borderId="0"/>
    <xf numFmtId="0" fontId="87" fillId="0" borderId="0"/>
    <xf numFmtId="0" fontId="52" fillId="0" borderId="0"/>
    <xf numFmtId="0" fontId="38" fillId="0" borderId="0"/>
    <xf numFmtId="0" fontId="52" fillId="0" borderId="0"/>
    <xf numFmtId="0" fontId="52" fillId="0" borderId="0"/>
    <xf numFmtId="0" fontId="52" fillId="0" borderId="0"/>
    <xf numFmtId="0" fontId="88" fillId="0" borderId="0"/>
    <xf numFmtId="0" fontId="88" fillId="0" borderId="0"/>
    <xf numFmtId="0" fontId="88" fillId="0" borderId="0"/>
    <xf numFmtId="0" fontId="52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2" fillId="0" borderId="0" applyFont="0" applyFill="0" applyBorder="0" applyAlignment="0" applyProtection="0">
      <alignment wrapText="1"/>
    </xf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>
      <alignment wrapText="1"/>
    </xf>
    <xf numFmtId="43" fontId="52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2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>
      <alignment wrapText="1"/>
    </xf>
    <xf numFmtId="43" fontId="52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2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6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58" fillId="0" borderId="0" xfId="0" applyFont="1" applyBorder="1"/>
    <xf numFmtId="0" fontId="58" fillId="0" borderId="0" xfId="0" applyFont="1" applyAlignment="1">
      <alignment horizontal="right"/>
    </xf>
    <xf numFmtId="4" fontId="59" fillId="0" borderId="0" xfId="0" applyNumberFormat="1" applyFont="1"/>
    <xf numFmtId="0" fontId="3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1" fillId="6" borderId="0" xfId="0" quotePrefix="1" applyFont="1" applyFill="1" applyBorder="1" applyAlignment="1">
      <alignment horizontal="center"/>
    </xf>
    <xf numFmtId="10" fontId="60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4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3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39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66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5" fillId="6" borderId="0" xfId="0" applyFont="1" applyFill="1" applyBorder="1" applyAlignment="1">
      <alignment vertical="center"/>
    </xf>
    <xf numFmtId="4" fontId="65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26" fillId="6" borderId="0" xfId="0" applyFont="1" applyFill="1" applyBorder="1" applyAlignment="1">
      <alignment vertical="top"/>
    </xf>
    <xf numFmtId="4" fontId="38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2" fillId="6" borderId="0" xfId="0" applyFont="1" applyFill="1" applyBorder="1"/>
    <xf numFmtId="4" fontId="35" fillId="6" borderId="0" xfId="0" applyNumberFormat="1" applyFont="1" applyFill="1" applyBorder="1"/>
    <xf numFmtId="4" fontId="39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1" fillId="0" borderId="0" xfId="0" applyFont="1" applyBorder="1"/>
    <xf numFmtId="4" fontId="51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8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68" fillId="4" borderId="6" xfId="0" applyFont="1" applyFill="1" applyBorder="1" applyAlignment="1">
      <alignment vertical="center" wrapText="1"/>
    </xf>
    <xf numFmtId="0" fontId="68" fillId="4" borderId="6" xfId="0" applyFont="1" applyFill="1" applyBorder="1" applyAlignment="1">
      <alignment horizontal="center" vertical="center" wrapText="1"/>
    </xf>
    <xf numFmtId="0" fontId="68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8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0" fillId="6" borderId="0" xfId="0" applyNumberFormat="1" applyFont="1" applyFill="1" applyBorder="1" applyAlignment="1">
      <alignment horizontal="center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2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78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16" fontId="79" fillId="6" borderId="1" xfId="0" applyNumberFormat="1" applyFont="1" applyFill="1" applyBorder="1"/>
    <xf numFmtId="4" fontId="63" fillId="6" borderId="1" xfId="0" applyNumberFormat="1" applyFont="1" applyFill="1" applyBorder="1"/>
    <xf numFmtId="4" fontId="63" fillId="6" borderId="1" xfId="0" applyNumberFormat="1" applyFont="1" applyFill="1" applyBorder="1" applyAlignment="1">
      <alignment horizontal="right"/>
    </xf>
    <xf numFmtId="165" fontId="80" fillId="6" borderId="1" xfId="2" applyFont="1" applyFill="1" applyBorder="1" applyAlignment="1">
      <alignment horizontal="right" vertical="top" wrapText="1"/>
    </xf>
    <xf numFmtId="0" fontId="63" fillId="0" borderId="0" xfId="0" applyFont="1"/>
    <xf numFmtId="165" fontId="63" fillId="0" borderId="0" xfId="2" applyFont="1"/>
    <xf numFmtId="0" fontId="81" fillId="0" borderId="1" xfId="0" applyFont="1" applyBorder="1" applyAlignment="1">
      <alignment horizontal="right"/>
    </xf>
    <xf numFmtId="0" fontId="79" fillId="0" borderId="1" xfId="0" applyFont="1" applyBorder="1" applyAlignment="1">
      <alignment horizontal="right"/>
    </xf>
    <xf numFmtId="0" fontId="82" fillId="44" borderId="1" xfId="0" applyFont="1" applyFill="1" applyBorder="1" applyAlignment="1">
      <alignment horizontal="right"/>
    </xf>
    <xf numFmtId="165" fontId="82" fillId="44" borderId="1" xfId="0" applyNumberFormat="1" applyFont="1" applyFill="1" applyBorder="1"/>
    <xf numFmtId="0" fontId="81" fillId="50" borderId="1" xfId="0" applyFont="1" applyFill="1" applyBorder="1" applyAlignment="1">
      <alignment horizontal="right"/>
    </xf>
    <xf numFmtId="165" fontId="81" fillId="50" borderId="1" xfId="0" quotePrefix="1" applyNumberFormat="1" applyFont="1" applyFill="1" applyBorder="1" applyAlignment="1">
      <alignment horizontal="center"/>
    </xf>
    <xf numFmtId="165" fontId="81" fillId="50" borderId="1" xfId="0" applyNumberFormat="1" applyFont="1" applyFill="1" applyBorder="1"/>
    <xf numFmtId="165" fontId="81" fillId="50" borderId="1" xfId="2" applyFont="1" applyFill="1" applyBorder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16" fontId="79" fillId="6" borderId="0" xfId="0" applyNumberFormat="1" applyFont="1" applyFill="1" applyBorder="1"/>
    <xf numFmtId="0" fontId="79" fillId="0" borderId="0" xfId="0" applyFont="1" applyBorder="1" applyAlignment="1">
      <alignment horizontal="right"/>
    </xf>
    <xf numFmtId="4" fontId="63" fillId="6" borderId="0" xfId="0" applyNumberFormat="1" applyFont="1" applyFill="1" applyBorder="1"/>
    <xf numFmtId="4" fontId="63" fillId="6" borderId="0" xfId="0" applyNumberFormat="1" applyFont="1" applyFill="1" applyBorder="1" applyAlignment="1">
      <alignment horizontal="right"/>
    </xf>
    <xf numFmtId="165" fontId="80" fillId="6" borderId="0" xfId="2" applyFont="1" applyFill="1" applyBorder="1" applyAlignment="1">
      <alignment horizontal="right" vertical="top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0" fontId="0" fillId="0" borderId="0" xfId="0"/>
    <xf numFmtId="165" fontId="3" fillId="46" borderId="1" xfId="2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center" vertical="top" wrapText="1"/>
    </xf>
    <xf numFmtId="165" fontId="71" fillId="46" borderId="1" xfId="2" applyFont="1" applyFill="1" applyBorder="1" applyAlignment="1">
      <alignment horizontal="right" vertical="top" wrapText="1"/>
    </xf>
    <xf numFmtId="10" fontId="13" fillId="46" borderId="1" xfId="6" applyNumberFormat="1" applyFont="1" applyFill="1" applyBorder="1" applyAlignment="1">
      <alignment horizontal="center" vertical="top" wrapText="1"/>
    </xf>
    <xf numFmtId="166" fontId="13" fillId="46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right"/>
    </xf>
    <xf numFmtId="0" fontId="2" fillId="46" borderId="1" xfId="0" applyFont="1" applyFill="1" applyBorder="1" applyAlignment="1">
      <alignment horizontal="right"/>
    </xf>
    <xf numFmtId="0" fontId="89" fillId="0" borderId="0" xfId="0" applyFont="1"/>
    <xf numFmtId="4" fontId="94" fillId="0" borderId="0" xfId="0" applyNumberFormat="1" applyFont="1"/>
    <xf numFmtId="0" fontId="8" fillId="0" borderId="0" xfId="0" applyFont="1"/>
    <xf numFmtId="0" fontId="2" fillId="44" borderId="3" xfId="0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horizontal="center" vertical="center"/>
    </xf>
    <xf numFmtId="10" fontId="2" fillId="8" borderId="3" xfId="6" applyNumberFormat="1" applyFont="1" applyFill="1" applyBorder="1" applyAlignment="1">
      <alignment horizontal="center" vertical="center"/>
    </xf>
    <xf numFmtId="0" fontId="35" fillId="6" borderId="0" xfId="0" applyFont="1" applyFill="1" applyBorder="1" applyAlignment="1">
      <alignment vertical="center"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95" fillId="0" borderId="0" xfId="0" applyNumberFormat="1" applyFont="1"/>
    <xf numFmtId="165" fontId="35" fillId="6" borderId="0" xfId="2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10" fillId="6" borderId="0" xfId="0" applyNumberFormat="1" applyFont="1" applyFill="1" applyBorder="1"/>
    <xf numFmtId="0" fontId="2" fillId="5" borderId="1" xfId="0" applyFont="1" applyFill="1" applyBorder="1" applyAlignment="1">
      <alignment horizontal="center" vertical="center" wrapText="1"/>
    </xf>
    <xf numFmtId="10" fontId="13" fillId="8" borderId="3" xfId="2" applyNumberFormat="1" applyFont="1" applyFill="1" applyBorder="1" applyAlignment="1">
      <alignment horizontal="center" vertical="top" wrapText="1"/>
    </xf>
    <xf numFmtId="10" fontId="13" fillId="46" borderId="3" xfId="2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wrapText="1"/>
    </xf>
    <xf numFmtId="4" fontId="35" fillId="6" borderId="0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9" fontId="96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92" fillId="45" borderId="6" xfId="0" applyFont="1" applyFill="1" applyBorder="1" applyAlignment="1">
      <alignment horizontal="center"/>
    </xf>
    <xf numFmtId="0" fontId="92" fillId="45" borderId="26" xfId="0" applyFont="1" applyFill="1" applyBorder="1" applyAlignment="1">
      <alignment horizontal="center"/>
    </xf>
    <xf numFmtId="0" fontId="92" fillId="45" borderId="1" xfId="0" applyFont="1" applyFill="1" applyBorder="1" applyAlignment="1">
      <alignment horizontal="center"/>
    </xf>
    <xf numFmtId="0" fontId="92" fillId="45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91" fillId="49" borderId="21" xfId="0" applyFont="1" applyFill="1" applyBorder="1" applyAlignment="1">
      <alignment horizontal="center"/>
    </xf>
    <xf numFmtId="0" fontId="91" fillId="49" borderId="25" xfId="0" applyFont="1" applyFill="1" applyBorder="1" applyAlignment="1">
      <alignment horizontal="center"/>
    </xf>
    <xf numFmtId="0" fontId="91" fillId="49" borderId="22" xfId="0" applyFont="1" applyFill="1" applyBorder="1" applyAlignment="1">
      <alignment horizontal="center"/>
    </xf>
    <xf numFmtId="0" fontId="91" fillId="49" borderId="23" xfId="0" applyFont="1" applyFill="1" applyBorder="1" applyAlignment="1">
      <alignment horizontal="center"/>
    </xf>
    <xf numFmtId="0" fontId="68" fillId="44" borderId="6" xfId="0" applyFont="1" applyFill="1" applyBorder="1" applyAlignment="1">
      <alignment horizontal="center" wrapText="1"/>
    </xf>
    <xf numFmtId="0" fontId="68" fillId="44" borderId="26" xfId="0" applyFont="1" applyFill="1" applyBorder="1" applyAlignment="1">
      <alignment horizontal="center" wrapText="1"/>
    </xf>
    <xf numFmtId="0" fontId="68" fillId="44" borderId="1" xfId="0" applyFont="1" applyFill="1" applyBorder="1" applyAlignment="1">
      <alignment horizontal="center" wrapText="1"/>
    </xf>
    <xf numFmtId="0" fontId="68" fillId="44" borderId="3" xfId="0" applyFont="1" applyFill="1" applyBorder="1" applyAlignment="1">
      <alignment horizontal="center" wrapText="1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2" fillId="7" borderId="26" xfId="0" applyFont="1" applyFill="1" applyBorder="1" applyAlignment="1">
      <alignment horizontal="center" vertical="top" wrapText="1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68" fillId="44" borderId="6" xfId="0" applyFont="1" applyFill="1" applyBorder="1" applyAlignment="1">
      <alignment horizontal="center" vertical="top" wrapText="1"/>
    </xf>
    <xf numFmtId="0" fontId="68" fillId="44" borderId="26" xfId="0" applyFont="1" applyFill="1" applyBorder="1" applyAlignment="1">
      <alignment horizontal="center" vertical="top" wrapText="1"/>
    </xf>
    <xf numFmtId="0" fontId="68" fillId="44" borderId="1" xfId="0" applyFont="1" applyFill="1" applyBorder="1" applyAlignment="1">
      <alignment horizontal="center" vertical="top" wrapText="1"/>
    </xf>
    <xf numFmtId="0" fontId="68" fillId="44" borderId="3" xfId="0" applyFont="1" applyFill="1" applyBorder="1" applyAlignment="1">
      <alignment horizontal="center" vertical="top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68" fillId="44" borderId="6" xfId="0" applyFont="1" applyFill="1" applyBorder="1" applyAlignment="1">
      <alignment horizontal="center"/>
    </xf>
    <xf numFmtId="0" fontId="68" fillId="44" borderId="26" xfId="0" applyFont="1" applyFill="1" applyBorder="1" applyAlignment="1">
      <alignment horizontal="center"/>
    </xf>
    <xf numFmtId="0" fontId="68" fillId="44" borderId="1" xfId="0" applyFont="1" applyFill="1" applyBorder="1" applyAlignment="1">
      <alignment horizontal="center"/>
    </xf>
    <xf numFmtId="0" fontId="68" fillId="44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0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93" fillId="6" borderId="21" xfId="0" applyFont="1" applyFill="1" applyBorder="1" applyAlignment="1">
      <alignment horizontal="center"/>
    </xf>
    <xf numFmtId="0" fontId="93" fillId="6" borderId="22" xfId="0" applyFont="1" applyFill="1" applyBorder="1" applyAlignment="1">
      <alignment horizontal="center"/>
    </xf>
    <xf numFmtId="0" fontId="93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bg1"/>
                </a:solidFill>
              </a:rPr>
              <a:t>NAV COMPARISON </a:t>
            </a:r>
            <a:r>
              <a:rPr lang="en-GB" sz="1600">
                <a:solidFill>
                  <a:schemeClr val="bg1"/>
                </a:solidFill>
              </a:rPr>
              <a:t>(15</a:t>
            </a:r>
            <a:r>
              <a:rPr lang="en-GB" sz="1600" b="1" i="0" u="none" strike="noStrike" baseline="0">
                <a:solidFill>
                  <a:sysClr val="window" lastClr="FFFFFF"/>
                </a:solidFill>
                <a:effectLst/>
              </a:rPr>
              <a:t>TH</a:t>
            </a:r>
            <a:r>
              <a:rPr lang="en-GB" sz="1600" b="1" i="0" u="none" strike="noStrike" baseline="0">
                <a:effectLst/>
              </a:rPr>
              <a:t> &amp; 22ND SEPTEMBER, 2023</a:t>
            </a:r>
            <a:r>
              <a:rPr lang="en-GB" sz="1600">
                <a:solidFill>
                  <a:schemeClr val="bg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19692894580603218"/>
          <c:y val="6.27387093854647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Trend'!$C$15</c:f>
              <c:strCache>
                <c:ptCount val="1"/>
                <c:pt idx="0">
                  <c:v>15-Sep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Trend'!$C$16:$C$23</c:f>
              <c:numCache>
                <c:formatCode>#,##0.00</c:formatCode>
                <c:ptCount val="8"/>
                <c:pt idx="0">
                  <c:v>22684841502.700001</c:v>
                </c:pt>
                <c:pt idx="1">
                  <c:v>842959336565.12207</c:v>
                </c:pt>
                <c:pt idx="2">
                  <c:v>320326205967.90063</c:v>
                </c:pt>
                <c:pt idx="3">
                  <c:v>579242821265.46704</c:v>
                </c:pt>
                <c:pt idx="4">
                  <c:v>92900265036.520004</c:v>
                </c:pt>
                <c:pt idx="5" formatCode="_(* #,##0.00_);_(* \(#,##0.00\);_(* &quot;-&quot;??_);_(@_)">
                  <c:v>39999967409.311623</c:v>
                </c:pt>
                <c:pt idx="6">
                  <c:v>3887178325.5900002</c:v>
                </c:pt>
                <c:pt idx="7">
                  <c:v>28033788286.160004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264-BE05-31414DBC076F}"/>
            </c:ext>
          </c:extLst>
        </c:ser>
        <c:ser>
          <c:idx val="1"/>
          <c:order val="1"/>
          <c:tx>
            <c:strRef>
              <c:f>'NAV Trend'!$D$15</c:f>
              <c:strCache>
                <c:ptCount val="1"/>
                <c:pt idx="0">
                  <c:v>22-Sep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Trend'!$D$16:$D$23</c:f>
              <c:numCache>
                <c:formatCode>#,##0.00</c:formatCode>
                <c:ptCount val="8"/>
                <c:pt idx="0">
                  <c:v>22617340342.240005</c:v>
                </c:pt>
                <c:pt idx="1">
                  <c:v>849677574373.34802</c:v>
                </c:pt>
                <c:pt idx="2">
                  <c:v>299618437754.16949</c:v>
                </c:pt>
                <c:pt idx="3">
                  <c:v>573412197469.83374</c:v>
                </c:pt>
                <c:pt idx="4">
                  <c:v>92930445555.669998</c:v>
                </c:pt>
                <c:pt idx="5" formatCode="_(* #,##0.00_);_(* \(#,##0.00\);_(* &quot;-&quot;??_);_(@_)">
                  <c:v>40017994182.737228</c:v>
                </c:pt>
                <c:pt idx="6">
                  <c:v>3868880759.98</c:v>
                </c:pt>
                <c:pt idx="7">
                  <c:v>45442767297.869995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264-BE05-31414DBC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1727743"/>
        <c:axId val="1841729407"/>
      </c:barChart>
      <c:catAx>
        <c:axId val="1841727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bg1"/>
                    </a:solidFill>
                  </a:rPr>
                  <a:t>CLASSES of fund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9407"/>
        <c:crosses val="autoZero"/>
        <c:auto val="1"/>
        <c:lblAlgn val="ctr"/>
        <c:lblOffset val="100"/>
        <c:noMultiLvlLbl val="0"/>
      </c:catAx>
      <c:valAx>
        <c:axId val="184172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NET ASSET VALUE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PERCENTAGE MARKET SHARE TO TOTAL NET ASSET VALUE (NAV)</a:t>
            </a:r>
          </a:p>
          <a:p>
            <a:pPr>
              <a:defRPr/>
            </a:pPr>
            <a:r>
              <a:rPr lang="en-US" sz="1600"/>
              <a:t>AS AT 22ND SEPTEMBER, 2023</a:t>
            </a:r>
          </a:p>
        </c:rich>
      </c:tx>
      <c:layout>
        <c:manualLayout>
          <c:xMode val="edge"/>
          <c:yMode val="edge"/>
          <c:x val="0.1225361610530636"/>
          <c:y val="3.8658787927412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explosion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6E716E55-EB6B-4877-A6BD-D6007AE9287A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F1-4D3F-AFC0-2F3DDA5A1E0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687598-1C8E-439B-8460-85BBB1BAF98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9F1-4D3F-AFC0-2F3DDA5A1E0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EF13CA9-F9CE-4F67-AAAA-B796E6BBDFA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9F1-4D3F-AFC0-2F3DDA5A1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22684841502.700001</c:v>
                </c:pt>
                <c:pt idx="1">
                  <c:v>842959336565.12207</c:v>
                </c:pt>
                <c:pt idx="2">
                  <c:v>320326205967.90063</c:v>
                </c:pt>
                <c:pt idx="3">
                  <c:v>579242821265.46704</c:v>
                </c:pt>
                <c:pt idx="4">
                  <c:v>92900265036.520004</c:v>
                </c:pt>
                <c:pt idx="5">
                  <c:v>39999967409.311623</c:v>
                </c:pt>
                <c:pt idx="6">
                  <c:v>3887178325.5900002</c:v>
                </c:pt>
                <c:pt idx="7">
                  <c:v>28033788286.160004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MOVEMENT IN TOTAL NAV</a:t>
            </a:r>
          </a:p>
          <a:p>
            <a:pPr>
              <a:defRPr/>
            </a:pPr>
            <a:r>
              <a:rPr lang="en-US" sz="1600"/>
              <a:t>(EIGHT (8) WEEKS ENDING SEPTEMBER 22, 2023)</a:t>
            </a:r>
          </a:p>
        </c:rich>
      </c:tx>
      <c:layout>
        <c:manualLayout>
          <c:xMode val="edge"/>
          <c:yMode val="edge"/>
          <c:x val="0.23824521934758155"/>
          <c:y val="1.985347898078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C2-43E7-AB45-8CDF11C29D80}"/>
                </c:ext>
              </c:extLst>
            </c:dLbl>
            <c:dLbl>
              <c:idx val="1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1C2-43E7-AB45-8CDF11C29D80}"/>
                </c:ext>
              </c:extLst>
            </c:dLbl>
            <c:dLbl>
              <c:idx val="2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1C2-43E7-AB45-8CDF11C29D80}"/>
                </c:ext>
              </c:extLst>
            </c:dLbl>
            <c:dLbl>
              <c:idx val="3"/>
              <c:layout>
                <c:manualLayout>
                  <c:x val="-3.4260102102621842E-2"/>
                  <c:y val="-7.396115601633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379448-DA4C-428C-A43B-051C34405DCF}" type="VALUE">
                      <a:rPr lang="en-US" b="1"/>
                      <a:pPr>
                        <a:defRPr b="1"/>
                      </a:pPr>
                      <a:t>[VALUE]</a:t>
                    </a:fld>
                    <a:endParaRPr lang="en-GB"/>
                  </a:p>
                </c:rich>
              </c:tx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C2-43E7-AB45-8CDF11C29D8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8A58AFB-9FC3-4D71-B7D2-0E69E956DAC8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C2-43E7-AB45-8CDF11C29D80}"/>
                </c:ext>
              </c:extLst>
            </c:dLbl>
            <c:dLbl>
              <c:idx val="5"/>
              <c:layout>
                <c:manualLayout>
                  <c:x val="-3.4161229846269216E-2"/>
                  <c:y val="6.0514372163388806E-3"/>
                </c:manualLayout>
              </c:layout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C2-43E7-AB45-8CDF11C29D80}"/>
                </c:ext>
              </c:extLst>
            </c:dLbl>
            <c:dLbl>
              <c:idx val="6"/>
              <c:layout>
                <c:manualLayout>
                  <c:x val="-3.1230826915866285E-2"/>
                  <c:y val="2.017145738779627E-3"/>
                </c:manualLayout>
              </c:layout>
              <c:tx>
                <c:rich>
                  <a:bodyPr/>
                  <a:lstStyle/>
                  <a:p>
                    <a:fld id="{EA19ED88-20A6-44D2-AD83-B59ACAB9E417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C2-43E7-AB45-8CDF11C29D8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199C8AF-947A-4B1A-A6D2-B7A3848BD034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C2-43E7-AB45-8CDF11C29D80}"/>
                </c:ext>
              </c:extLst>
            </c:dLbl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45142</c:v>
                </c:pt>
                <c:pt idx="1">
                  <c:v>45149</c:v>
                </c:pt>
                <c:pt idx="2">
                  <c:v>45156</c:v>
                </c:pt>
                <c:pt idx="3">
                  <c:v>45163</c:v>
                </c:pt>
                <c:pt idx="4">
                  <c:v>45170</c:v>
                </c:pt>
                <c:pt idx="5">
                  <c:v>45177</c:v>
                </c:pt>
                <c:pt idx="6">
                  <c:v>45184</c:v>
                </c:pt>
                <c:pt idx="7">
                  <c:v>45191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1916191660933.4709</c:v>
                </c:pt>
                <c:pt idx="1">
                  <c:v>1918875626264.7451</c:v>
                </c:pt>
                <c:pt idx="2">
                  <c:v>1917546500429.8425</c:v>
                </c:pt>
                <c:pt idx="3">
                  <c:v>1943407345708.8286</c:v>
                </c:pt>
                <c:pt idx="4">
                  <c:v>1922810043593.2705</c:v>
                </c:pt>
                <c:pt idx="5">
                  <c:v>1905565030169.3159</c:v>
                </c:pt>
                <c:pt idx="6">
                  <c:v>1930034404358.7712</c:v>
                </c:pt>
                <c:pt idx="7">
                  <c:v>1927585637735.8486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N&quot;\ #0.00,,,\ 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37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MOVEMENT IN NAV BY CLASSes OF FUND</a:t>
            </a:r>
          </a:p>
          <a:p>
            <a:pPr>
              <a:defRPr/>
            </a:pPr>
            <a:r>
              <a:rPr lang="en-US" sz="1600">
                <a:solidFill>
                  <a:schemeClr val="bg1"/>
                </a:solidFill>
              </a:rPr>
              <a:t>(Eight (8) Weeks Ending SEPTEMBER 22,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3453572149635141"/>
          <c:y val="1.35898443859419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98927057194774"/>
          <c:y val="0.17748849472484626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45142</c:v>
                </c:pt>
                <c:pt idx="1">
                  <c:v>45149</c:v>
                </c:pt>
                <c:pt idx="2">
                  <c:v>45156</c:v>
                </c:pt>
                <c:pt idx="3">
                  <c:v>45163</c:v>
                </c:pt>
                <c:pt idx="4">
                  <c:v>45170</c:v>
                </c:pt>
                <c:pt idx="5">
                  <c:v>45177</c:v>
                </c:pt>
                <c:pt idx="6">
                  <c:v>45184</c:v>
                </c:pt>
                <c:pt idx="7">
                  <c:v>45191</c:v>
                </c:pt>
              </c:numCache>
            </c:numRef>
          </c:cat>
          <c:val>
            <c:numRef>
              <c:f>'NAV Trend'!$C$9:$K$9</c:f>
              <c:numCache>
                <c:formatCode>#,##0.00</c:formatCode>
                <c:ptCount val="9"/>
                <c:pt idx="0">
                  <c:v>27315712442.810001</c:v>
                </c:pt>
                <c:pt idx="1">
                  <c:v>27962550206.07</c:v>
                </c:pt>
                <c:pt idx="2">
                  <c:v>27781533807.059998</c:v>
                </c:pt>
                <c:pt idx="3">
                  <c:v>27801303893.869999</c:v>
                </c:pt>
                <c:pt idx="4">
                  <c:v>27709525793.34</c:v>
                </c:pt>
                <c:pt idx="5">
                  <c:v>27966500870.759998</c:v>
                </c:pt>
                <c:pt idx="6">
                  <c:v>28062421939.949997</c:v>
                </c:pt>
                <c:pt idx="7">
                  <c:v>28033788286.160004</c:v>
                </c:pt>
                <c:pt idx="8">
                  <c:v>45442767297.869995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45142</c:v>
                </c:pt>
                <c:pt idx="1">
                  <c:v>45149</c:v>
                </c:pt>
                <c:pt idx="2">
                  <c:v>45156</c:v>
                </c:pt>
                <c:pt idx="3">
                  <c:v>45163</c:v>
                </c:pt>
                <c:pt idx="4">
                  <c:v>45170</c:v>
                </c:pt>
                <c:pt idx="5">
                  <c:v>45177</c:v>
                </c:pt>
                <c:pt idx="6">
                  <c:v>45184</c:v>
                </c:pt>
                <c:pt idx="7">
                  <c:v>45191</c:v>
                </c:pt>
              </c:numCache>
            </c:numRef>
          </c:cat>
          <c:val>
            <c:numRef>
              <c:f>'NAV Trend'!$C$8:$K$8</c:f>
              <c:numCache>
                <c:formatCode>#,##0.00</c:formatCode>
                <c:ptCount val="9"/>
                <c:pt idx="0">
                  <c:v>3765883383.1199999</c:v>
                </c:pt>
                <c:pt idx="1">
                  <c:v>3796886715.4300003</c:v>
                </c:pt>
                <c:pt idx="2">
                  <c:v>3821769493.7000003</c:v>
                </c:pt>
                <c:pt idx="3">
                  <c:v>3802289133.5500002</c:v>
                </c:pt>
                <c:pt idx="4">
                  <c:v>3833193790.9099998</c:v>
                </c:pt>
                <c:pt idx="5">
                  <c:v>3950705160.4500003</c:v>
                </c:pt>
                <c:pt idx="6">
                  <c:v>3988679154.2799997</c:v>
                </c:pt>
                <c:pt idx="7">
                  <c:v>3887178325.5900002</c:v>
                </c:pt>
                <c:pt idx="8">
                  <c:v>3868880759.98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45142</c:v>
                </c:pt>
                <c:pt idx="1">
                  <c:v>45149</c:v>
                </c:pt>
                <c:pt idx="2">
                  <c:v>45156</c:v>
                </c:pt>
                <c:pt idx="3">
                  <c:v>45163</c:v>
                </c:pt>
                <c:pt idx="4">
                  <c:v>45170</c:v>
                </c:pt>
                <c:pt idx="5">
                  <c:v>45177</c:v>
                </c:pt>
                <c:pt idx="6">
                  <c:v>45184</c:v>
                </c:pt>
                <c:pt idx="7">
                  <c:v>45191</c:v>
                </c:pt>
              </c:numCache>
            </c:numRef>
          </c:cat>
          <c:val>
            <c:numRef>
              <c:f>'NAV Trend'!$C$7:$K$7</c:f>
              <c:numCache>
                <c:formatCode>_(* #,##0.00_);_(* \(#,##0.00\);_(* "-"??_);_(@_)</c:formatCode>
                <c:ptCount val="9"/>
                <c:pt idx="0">
                  <c:v>38690467865.717575</c:v>
                </c:pt>
                <c:pt idx="1">
                  <c:v>38884096485.686134</c:v>
                </c:pt>
                <c:pt idx="2">
                  <c:v>38936521066.392647</c:v>
                </c:pt>
                <c:pt idx="3">
                  <c:v>38811275853.394905</c:v>
                </c:pt>
                <c:pt idx="4">
                  <c:v>39079043179.509552</c:v>
                </c:pt>
                <c:pt idx="5">
                  <c:v>39909523580.55719</c:v>
                </c:pt>
                <c:pt idx="6">
                  <c:v>40429036765.108025</c:v>
                </c:pt>
                <c:pt idx="7">
                  <c:v>39999967409.311623</c:v>
                </c:pt>
                <c:pt idx="8">
                  <c:v>40017994182.737228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45142</c:v>
                </c:pt>
                <c:pt idx="1">
                  <c:v>45149</c:v>
                </c:pt>
                <c:pt idx="2">
                  <c:v>45156</c:v>
                </c:pt>
                <c:pt idx="3">
                  <c:v>45163</c:v>
                </c:pt>
                <c:pt idx="4">
                  <c:v>45170</c:v>
                </c:pt>
                <c:pt idx="5">
                  <c:v>45177</c:v>
                </c:pt>
                <c:pt idx="6">
                  <c:v>45184</c:v>
                </c:pt>
                <c:pt idx="7">
                  <c:v>45191</c:v>
                </c:pt>
              </c:numCache>
            </c:numRef>
          </c:cat>
          <c:val>
            <c:numRef>
              <c:f>'NAV Trend'!$C$2:$K$2</c:f>
              <c:numCache>
                <c:formatCode>#,##0.00</c:formatCode>
                <c:ptCount val="9"/>
                <c:pt idx="0">
                  <c:v>21710538133.900002</c:v>
                </c:pt>
                <c:pt idx="1">
                  <c:v>21798118395</c:v>
                </c:pt>
                <c:pt idx="2">
                  <c:v>21799255745.139996</c:v>
                </c:pt>
                <c:pt idx="3">
                  <c:v>21756530204.330006</c:v>
                </c:pt>
                <c:pt idx="4">
                  <c:v>21948547893.360001</c:v>
                </c:pt>
                <c:pt idx="5">
                  <c:v>22687921199.809998</c:v>
                </c:pt>
                <c:pt idx="6">
                  <c:v>23086923138.879997</c:v>
                </c:pt>
                <c:pt idx="7">
                  <c:v>22684841502.700001</c:v>
                </c:pt>
                <c:pt idx="8">
                  <c:v>22617340342.240005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45142</c:v>
                </c:pt>
                <c:pt idx="1">
                  <c:v>45149</c:v>
                </c:pt>
                <c:pt idx="2">
                  <c:v>45156</c:v>
                </c:pt>
                <c:pt idx="3">
                  <c:v>45163</c:v>
                </c:pt>
                <c:pt idx="4">
                  <c:v>45170</c:v>
                </c:pt>
                <c:pt idx="5">
                  <c:v>45177</c:v>
                </c:pt>
                <c:pt idx="6">
                  <c:v>45184</c:v>
                </c:pt>
                <c:pt idx="7">
                  <c:v>45191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93558457831.729996</c:v>
                </c:pt>
                <c:pt idx="1">
                  <c:v>93574800912.410004</c:v>
                </c:pt>
                <c:pt idx="2">
                  <c:v>93594876666.309998</c:v>
                </c:pt>
                <c:pt idx="3">
                  <c:v>93626727218.01001</c:v>
                </c:pt>
                <c:pt idx="4">
                  <c:v>93509583223.449997</c:v>
                </c:pt>
                <c:pt idx="5">
                  <c:v>93504922541.330002</c:v>
                </c:pt>
                <c:pt idx="6">
                  <c:v>92863739575.880005</c:v>
                </c:pt>
                <c:pt idx="7">
                  <c:v>92900265036.520004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45142</c:v>
                </c:pt>
                <c:pt idx="1">
                  <c:v>45149</c:v>
                </c:pt>
                <c:pt idx="2">
                  <c:v>45156</c:v>
                </c:pt>
                <c:pt idx="3">
                  <c:v>45163</c:v>
                </c:pt>
                <c:pt idx="4">
                  <c:v>45170</c:v>
                </c:pt>
                <c:pt idx="5">
                  <c:v>45177</c:v>
                </c:pt>
                <c:pt idx="6">
                  <c:v>45184</c:v>
                </c:pt>
                <c:pt idx="7">
                  <c:v>45191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849994179796.46228</c:v>
                </c:pt>
                <c:pt idx="1">
                  <c:v>856179741726.49231</c:v>
                </c:pt>
                <c:pt idx="2">
                  <c:v>857163632618.47339</c:v>
                </c:pt>
                <c:pt idx="3">
                  <c:v>855610980289.1698</c:v>
                </c:pt>
                <c:pt idx="4">
                  <c:v>852824801464.56006</c:v>
                </c:pt>
                <c:pt idx="5">
                  <c:v>854338532735.88501</c:v>
                </c:pt>
                <c:pt idx="6">
                  <c:v>842459027080.45435</c:v>
                </c:pt>
                <c:pt idx="7">
                  <c:v>842959336565.12207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45142</c:v>
                </c:pt>
                <c:pt idx="1">
                  <c:v>45149</c:v>
                </c:pt>
                <c:pt idx="2">
                  <c:v>45156</c:v>
                </c:pt>
                <c:pt idx="3">
                  <c:v>45163</c:v>
                </c:pt>
                <c:pt idx="4">
                  <c:v>45170</c:v>
                </c:pt>
                <c:pt idx="5">
                  <c:v>45177</c:v>
                </c:pt>
                <c:pt idx="6">
                  <c:v>45184</c:v>
                </c:pt>
                <c:pt idx="7">
                  <c:v>45191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320399612573.65601</c:v>
                </c:pt>
                <c:pt idx="1">
                  <c:v>320872331713.32611</c:v>
                </c:pt>
                <c:pt idx="2">
                  <c:v>321156453816.64587</c:v>
                </c:pt>
                <c:pt idx="3">
                  <c:v>320687160580.93243</c:v>
                </c:pt>
                <c:pt idx="4">
                  <c:v>319581951019.79437</c:v>
                </c:pt>
                <c:pt idx="5">
                  <c:v>319127187068.50275</c:v>
                </c:pt>
                <c:pt idx="6">
                  <c:v>320114444673.33032</c:v>
                </c:pt>
                <c:pt idx="7">
                  <c:v>320326205967.90063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45142</c:v>
                </c:pt>
                <c:pt idx="1">
                  <c:v>45149</c:v>
                </c:pt>
                <c:pt idx="2">
                  <c:v>45156</c:v>
                </c:pt>
                <c:pt idx="3">
                  <c:v>45163</c:v>
                </c:pt>
                <c:pt idx="4">
                  <c:v>45170</c:v>
                </c:pt>
                <c:pt idx="5">
                  <c:v>45177</c:v>
                </c:pt>
                <c:pt idx="6">
                  <c:v>45184</c:v>
                </c:pt>
                <c:pt idx="7">
                  <c:v>45191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569956762301.13733</c:v>
                </c:pt>
                <c:pt idx="1">
                  <c:v>553123134779.05676</c:v>
                </c:pt>
                <c:pt idx="2">
                  <c:v>554621583051.02319</c:v>
                </c:pt>
                <c:pt idx="3">
                  <c:v>555450233256.58521</c:v>
                </c:pt>
                <c:pt idx="4">
                  <c:v>584920699343.90466</c:v>
                </c:pt>
                <c:pt idx="5">
                  <c:v>561324750435.97546</c:v>
                </c:pt>
                <c:pt idx="6">
                  <c:v>554560757841.43372</c:v>
                </c:pt>
                <c:pt idx="7">
                  <c:v>579242821265.46704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28213780969686"/>
          <c:y val="0.87222287077957916"/>
          <c:w val="0.78992299039543135"/>
          <c:h val="7.2619152560544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71</xdr:row>
      <xdr:rowOff>0</xdr:rowOff>
    </xdr:from>
    <xdr:to>
      <xdr:col>21</xdr:col>
      <xdr:colOff>990600</xdr:colOff>
      <xdr:row>75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95</xdr:row>
      <xdr:rowOff>0</xdr:rowOff>
    </xdr:from>
    <xdr:to>
      <xdr:col>20</xdr:col>
      <xdr:colOff>304800</xdr:colOff>
      <xdr:row>96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14430</xdr:colOff>
      <xdr:row>0</xdr:row>
      <xdr:rowOff>0</xdr:rowOff>
    </xdr:from>
    <xdr:to>
      <xdr:col>10</xdr:col>
      <xdr:colOff>532946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2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33.42578125" style="3" customWidth="1"/>
    <col min="3" max="3" width="29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20" customWidth="1"/>
    <col min="9" max="9" width="7.28515625" style="220" customWidth="1"/>
    <col min="10" max="10" width="18" style="216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06" customWidth="1"/>
    <col min="19" max="19" width="7.5703125" style="106" customWidth="1"/>
    <col min="20" max="20" width="29" style="107" customWidth="1"/>
    <col min="21" max="21" width="23.28515625" style="106" customWidth="1"/>
    <col min="22" max="22" width="18.140625" style="106" customWidth="1"/>
    <col min="23" max="23" width="9.42578125" style="106" customWidth="1"/>
    <col min="24" max="24" width="22.7109375" style="106" customWidth="1"/>
    <col min="25" max="25" width="8.85546875" style="106" customWidth="1"/>
    <col min="26" max="26" width="25.140625" style="106" customWidth="1"/>
    <col min="27" max="32" width="8.85546875" style="106"/>
    <col min="33" max="33" width="9" style="106" bestFit="1" customWidth="1"/>
    <col min="34" max="42" width="8.85546875" style="106"/>
    <col min="43" max="43" width="9.28515625" style="106" bestFit="1" customWidth="1"/>
    <col min="44" max="51" width="8.85546875" style="106"/>
    <col min="52" max="52" width="8.85546875" style="106" customWidth="1"/>
    <col min="53" max="103" width="8.85546875" style="106"/>
    <col min="104" max="16384" width="8.85546875" style="3"/>
  </cols>
  <sheetData>
    <row r="1" spans="1:26" s="112" customFormat="1" ht="22.5" customHeight="1">
      <c r="A1" s="424" t="s">
        <v>285</v>
      </c>
      <c r="B1" s="425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7"/>
      <c r="T1" s="287"/>
      <c r="U1" s="113"/>
    </row>
    <row r="2" spans="1:26" s="112" customFormat="1" ht="25.5" customHeight="1">
      <c r="A2" s="240"/>
      <c r="B2" s="241"/>
      <c r="C2" s="241"/>
      <c r="D2" s="432" t="s">
        <v>278</v>
      </c>
      <c r="E2" s="433"/>
      <c r="F2" s="433"/>
      <c r="G2" s="433"/>
      <c r="H2" s="433"/>
      <c r="I2" s="434"/>
      <c r="J2" s="432" t="s">
        <v>286</v>
      </c>
      <c r="K2" s="433"/>
      <c r="L2" s="433"/>
      <c r="M2" s="433"/>
      <c r="N2" s="433"/>
      <c r="O2" s="434"/>
      <c r="P2" s="437" t="s">
        <v>62</v>
      </c>
      <c r="Q2" s="437"/>
      <c r="R2" s="437" t="s">
        <v>214</v>
      </c>
      <c r="S2" s="438"/>
      <c r="T2" s="287"/>
      <c r="U2" s="113"/>
    </row>
    <row r="3" spans="1:26" s="112" customFormat="1" ht="24.75" customHeight="1">
      <c r="A3" s="292" t="s">
        <v>1</v>
      </c>
      <c r="B3" s="293" t="s">
        <v>2</v>
      </c>
      <c r="C3" s="293" t="s">
        <v>192</v>
      </c>
      <c r="D3" s="294" t="s">
        <v>201</v>
      </c>
      <c r="E3" s="295" t="s">
        <v>61</v>
      </c>
      <c r="F3" s="295" t="s">
        <v>211</v>
      </c>
      <c r="G3" s="295" t="s">
        <v>212</v>
      </c>
      <c r="H3" s="295" t="s">
        <v>249</v>
      </c>
      <c r="I3" s="295" t="s">
        <v>250</v>
      </c>
      <c r="J3" s="296" t="s">
        <v>201</v>
      </c>
      <c r="K3" s="295" t="s">
        <v>61</v>
      </c>
      <c r="L3" s="295" t="s">
        <v>211</v>
      </c>
      <c r="M3" s="295" t="s">
        <v>212</v>
      </c>
      <c r="N3" s="295" t="s">
        <v>249</v>
      </c>
      <c r="O3" s="295" t="s">
        <v>250</v>
      </c>
      <c r="P3" s="297" t="s">
        <v>202</v>
      </c>
      <c r="Q3" s="298" t="s">
        <v>119</v>
      </c>
      <c r="R3" s="295" t="s">
        <v>252</v>
      </c>
      <c r="S3" s="299" t="s">
        <v>253</v>
      </c>
      <c r="T3" s="287"/>
      <c r="U3" s="113"/>
    </row>
    <row r="4" spans="1:26" s="112" customFormat="1" ht="5.25" customHeight="1">
      <c r="A4" s="441"/>
      <c r="B4" s="442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4"/>
      <c r="T4" s="287"/>
      <c r="U4" s="113"/>
    </row>
    <row r="5" spans="1:26" s="112" customFormat="1" ht="12.95" customHeight="1">
      <c r="A5" s="445" t="s">
        <v>0</v>
      </c>
      <c r="B5" s="446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8"/>
      <c r="T5" s="287"/>
      <c r="U5" s="113"/>
    </row>
    <row r="6" spans="1:26" s="112" customFormat="1" ht="12.95" customHeight="1">
      <c r="A6" s="402">
        <v>1</v>
      </c>
      <c r="B6" s="381" t="s">
        <v>13</v>
      </c>
      <c r="C6" s="382" t="s">
        <v>57</v>
      </c>
      <c r="D6" s="324">
        <v>684549382</v>
      </c>
      <c r="E6" s="331">
        <f t="shared" ref="E6:E21" si="0">(D6/$D$22)</f>
        <v>3.0176511566921169E-2</v>
      </c>
      <c r="F6" s="323">
        <v>272.9024</v>
      </c>
      <c r="G6" s="323">
        <v>275.67899999999997</v>
      </c>
      <c r="H6" s="332">
        <v>-2.1724888637867923E-2</v>
      </c>
      <c r="I6" s="332">
        <v>0.44767454071655011</v>
      </c>
      <c r="J6" s="324">
        <v>682126439.33000004</v>
      </c>
      <c r="K6" s="331">
        <f>(J6/$J$22)</f>
        <v>3.0159445319751628E-2</v>
      </c>
      <c r="L6" s="323">
        <v>272.71859999999998</v>
      </c>
      <c r="M6" s="323">
        <v>276.96660000000003</v>
      </c>
      <c r="N6" s="332">
        <v>-6.7348158966851202E-4</v>
      </c>
      <c r="O6" s="332">
        <v>0.44669955856554577</v>
      </c>
      <c r="P6" s="109">
        <f>((J6-D6)/D6)</f>
        <v>-3.539470977128071E-3</v>
      </c>
      <c r="Q6" s="109">
        <f t="shared" ref="Q6:Q21" si="1">((M6-G6)/G6)</f>
        <v>4.6706495598143301E-3</v>
      </c>
      <c r="R6" s="327">
        <f t="shared" ref="R6:R21" si="2">N6-H6</f>
        <v>2.1051407048199411E-2</v>
      </c>
      <c r="S6" s="392">
        <f t="shared" ref="S6:S21" si="3">O6-I6</f>
        <v>-9.7498215100433328E-4</v>
      </c>
      <c r="U6" s="113"/>
    </row>
    <row r="7" spans="1:26" s="112" customFormat="1" ht="12.95" customHeight="1">
      <c r="A7" s="400">
        <v>2</v>
      </c>
      <c r="B7" s="381" t="s">
        <v>135</v>
      </c>
      <c r="C7" s="382" t="s">
        <v>134</v>
      </c>
      <c r="D7" s="323">
        <v>531115431.49000001</v>
      </c>
      <c r="E7" s="331">
        <f t="shared" si="0"/>
        <v>2.341279005307511E-2</v>
      </c>
      <c r="F7" s="323">
        <v>193.58779999999999</v>
      </c>
      <c r="G7" s="323">
        <v>196.2141</v>
      </c>
      <c r="H7" s="332">
        <v>2.4226000000000001E-2</v>
      </c>
      <c r="I7" s="332">
        <v>0.33560000000000001</v>
      </c>
      <c r="J7" s="323">
        <v>500203459.44</v>
      </c>
      <c r="K7" s="331">
        <f>(J7/$J$22)</f>
        <v>2.211592750832082E-2</v>
      </c>
      <c r="L7" s="323">
        <v>182.97190000000001</v>
      </c>
      <c r="M7" s="323">
        <v>185.44909999999999</v>
      </c>
      <c r="N7" s="332">
        <v>-9.9799999999999993E-3</v>
      </c>
      <c r="O7" s="332">
        <v>0.26229999999999998</v>
      </c>
      <c r="P7" s="327">
        <v>5.6480000000000002E-3</v>
      </c>
      <c r="Q7" s="327">
        <f t="shared" si="1"/>
        <v>-5.4863539368475635E-2</v>
      </c>
      <c r="R7" s="327">
        <f t="shared" si="2"/>
        <v>-3.4206E-2</v>
      </c>
      <c r="S7" s="392">
        <f t="shared" si="3"/>
        <v>-7.3300000000000032E-2</v>
      </c>
      <c r="T7" s="287"/>
      <c r="U7" s="113"/>
    </row>
    <row r="8" spans="1:26" s="112" customFormat="1" ht="12.95" customHeight="1">
      <c r="A8" s="400">
        <v>3</v>
      </c>
      <c r="B8" s="381" t="s">
        <v>11</v>
      </c>
      <c r="C8" s="382" t="s">
        <v>6</v>
      </c>
      <c r="D8" s="323">
        <v>3271006234.54</v>
      </c>
      <c r="E8" s="331">
        <f t="shared" si="0"/>
        <v>0.14419347978034924</v>
      </c>
      <c r="F8" s="323">
        <v>29.352499999999999</v>
      </c>
      <c r="G8" s="323">
        <v>30.237500000000001</v>
      </c>
      <c r="H8" s="313">
        <v>-0.57030000000000003</v>
      </c>
      <c r="I8" s="313">
        <v>0.45889999999999997</v>
      </c>
      <c r="J8" s="323">
        <v>3263035357.75</v>
      </c>
      <c r="K8" s="331">
        <f>(J8/$J$22)</f>
        <v>0.14427140010162801</v>
      </c>
      <c r="L8" s="323">
        <v>29.2943</v>
      </c>
      <c r="M8" s="323">
        <v>30.177499999999998</v>
      </c>
      <c r="N8" s="313">
        <v>-0.10349999999999999</v>
      </c>
      <c r="O8" s="313">
        <v>0.44309999999999999</v>
      </c>
      <c r="P8" s="327">
        <f t="shared" ref="P8:P22" si="4">((J8-D8)/D8)</f>
        <v>-2.4368271468980865E-3</v>
      </c>
      <c r="Q8" s="327">
        <f t="shared" si="1"/>
        <v>-1.9842910293510468E-3</v>
      </c>
      <c r="R8" s="327">
        <f t="shared" si="2"/>
        <v>0.46680000000000005</v>
      </c>
      <c r="S8" s="392">
        <f t="shared" si="3"/>
        <v>-1.5799999999999981E-2</v>
      </c>
      <c r="T8" s="287"/>
      <c r="U8" s="113"/>
      <c r="V8" s="145"/>
      <c r="W8" s="114"/>
      <c r="X8" s="114"/>
      <c r="Y8" s="115"/>
    </row>
    <row r="9" spans="1:26" s="112" customFormat="1" ht="12.95" customHeight="1">
      <c r="A9" s="400">
        <v>4</v>
      </c>
      <c r="B9" s="381" t="s">
        <v>81</v>
      </c>
      <c r="C9" s="382" t="s">
        <v>80</v>
      </c>
      <c r="D9" s="323">
        <v>416547539.07999998</v>
      </c>
      <c r="E9" s="331">
        <f t="shared" si="0"/>
        <v>1.8362373791786096E-2</v>
      </c>
      <c r="F9" s="323">
        <v>181.33</v>
      </c>
      <c r="G9" s="323">
        <v>181.33</v>
      </c>
      <c r="H9" s="332">
        <v>2.24E-2</v>
      </c>
      <c r="I9" s="332">
        <v>0.32750000000000001</v>
      </c>
      <c r="J9" s="323">
        <v>407475617.75999999</v>
      </c>
      <c r="K9" s="331">
        <f>(J9/$J$22)</f>
        <v>1.8016071367993745E-2</v>
      </c>
      <c r="L9" s="323">
        <v>183.85</v>
      </c>
      <c r="M9" s="323">
        <v>183.85</v>
      </c>
      <c r="N9" s="332">
        <v>1.3899999999999999E-2</v>
      </c>
      <c r="O9" s="332">
        <v>0.3463</v>
      </c>
      <c r="P9" s="327">
        <f t="shared" si="4"/>
        <v>-2.1778837872950887E-2</v>
      </c>
      <c r="Q9" s="327">
        <f t="shared" si="1"/>
        <v>1.3897314288865504E-2</v>
      </c>
      <c r="R9" s="327">
        <f t="shared" si="2"/>
        <v>-8.5000000000000006E-3</v>
      </c>
      <c r="S9" s="392">
        <f t="shared" si="3"/>
        <v>1.8799999999999983E-2</v>
      </c>
      <c r="T9" s="287"/>
      <c r="U9" s="113"/>
      <c r="V9" s="145"/>
      <c r="W9" s="114"/>
      <c r="X9" s="114"/>
      <c r="Y9" s="115"/>
    </row>
    <row r="10" spans="1:26" s="328" customFormat="1" ht="12.95" customHeight="1">
      <c r="A10" s="402">
        <v>5</v>
      </c>
      <c r="B10" s="381" t="s">
        <v>283</v>
      </c>
      <c r="C10" s="382" t="s">
        <v>242</v>
      </c>
      <c r="D10" s="74">
        <v>74463521.510000005</v>
      </c>
      <c r="E10" s="331">
        <f t="shared" si="0"/>
        <v>3.2825233317648347E-3</v>
      </c>
      <c r="F10" s="323">
        <v>129.98480000000001</v>
      </c>
      <c r="G10" s="323">
        <v>130.54300000000001</v>
      </c>
      <c r="H10" s="332">
        <v>0.16231100000000001</v>
      </c>
      <c r="I10" s="332">
        <v>0.23730000000000001</v>
      </c>
      <c r="J10" s="74">
        <v>123852080.36</v>
      </c>
      <c r="K10" s="331">
        <v>0.96619999999999995</v>
      </c>
      <c r="L10" s="323">
        <v>129.50139999999999</v>
      </c>
      <c r="M10" s="323">
        <v>129.8289</v>
      </c>
      <c r="N10" s="332">
        <v>0.17902999999999999</v>
      </c>
      <c r="O10" s="332">
        <v>0.2326</v>
      </c>
      <c r="P10" s="327">
        <f t="shared" ref="P10" si="5">((J10-D10)/D10)</f>
        <v>0.66325843645962146</v>
      </c>
      <c r="Q10" s="327">
        <f t="shared" ref="Q10" si="6">((M10-G10)/G10)</f>
        <v>-5.4702282006695259E-3</v>
      </c>
      <c r="R10" s="327">
        <f t="shared" ref="R10" si="7">N10-H10</f>
        <v>1.6718999999999984E-2</v>
      </c>
      <c r="S10" s="392">
        <f t="shared" ref="S10" si="8">O10-I10</f>
        <v>-4.7000000000000097E-3</v>
      </c>
      <c r="T10" s="287"/>
      <c r="U10" s="113"/>
      <c r="V10" s="145"/>
      <c r="W10" s="114"/>
      <c r="X10" s="114"/>
      <c r="Y10" s="115"/>
    </row>
    <row r="11" spans="1:26" s="112" customFormat="1" ht="12.95" customHeight="1">
      <c r="A11" s="402">
        <v>6</v>
      </c>
      <c r="B11" s="381" t="s">
        <v>52</v>
      </c>
      <c r="C11" s="382" t="s">
        <v>184</v>
      </c>
      <c r="D11" s="323">
        <v>682849073.95000005</v>
      </c>
      <c r="E11" s="331">
        <f t="shared" si="0"/>
        <v>3.0101558076512273E-2</v>
      </c>
      <c r="F11" s="323">
        <v>250.41</v>
      </c>
      <c r="G11" s="323">
        <v>253.82</v>
      </c>
      <c r="H11" s="313">
        <v>-1.35E-2</v>
      </c>
      <c r="I11" s="313">
        <v>0.5121</v>
      </c>
      <c r="J11" s="323">
        <v>687699632.98000002</v>
      </c>
      <c r="K11" s="331">
        <f>(J11/$J$22)</f>
        <v>3.0405857743390649E-2</v>
      </c>
      <c r="L11" s="323">
        <v>250.48</v>
      </c>
      <c r="M11" s="323">
        <v>253.86</v>
      </c>
      <c r="N11" s="313">
        <v>2.0000000000000001E-4</v>
      </c>
      <c r="O11" s="313">
        <v>0.51249999999999996</v>
      </c>
      <c r="P11" s="327">
        <f t="shared" si="4"/>
        <v>7.1034130601385888E-3</v>
      </c>
      <c r="Q11" s="327">
        <f t="shared" si="1"/>
        <v>1.5759199432676882E-4</v>
      </c>
      <c r="R11" s="327">
        <f t="shared" si="2"/>
        <v>1.37E-2</v>
      </c>
      <c r="S11" s="392">
        <f t="shared" si="3"/>
        <v>3.9999999999995595E-4</v>
      </c>
      <c r="T11" s="287"/>
      <c r="U11" s="113"/>
      <c r="V11" s="145"/>
      <c r="W11" s="114"/>
      <c r="X11" s="114"/>
      <c r="Y11" s="115"/>
    </row>
    <row r="12" spans="1:26" s="112" customFormat="1" ht="12.95" customHeight="1">
      <c r="A12" s="403">
        <v>7</v>
      </c>
      <c r="B12" s="381" t="s">
        <v>8</v>
      </c>
      <c r="C12" s="382" t="s">
        <v>56</v>
      </c>
      <c r="D12" s="324">
        <v>316716491.19999999</v>
      </c>
      <c r="E12" s="331">
        <f t="shared" si="0"/>
        <v>1.3961591539544311E-2</v>
      </c>
      <c r="F12" s="323">
        <v>159.31</v>
      </c>
      <c r="G12" s="323">
        <v>163.76</v>
      </c>
      <c r="H12" s="332">
        <v>-3.3099999999999997E-2</v>
      </c>
      <c r="I12" s="332">
        <v>0.26729999999999998</v>
      </c>
      <c r="J12" s="324">
        <v>320982722.70999998</v>
      </c>
      <c r="K12" s="331">
        <f>(J12/$J$22)</f>
        <v>1.4191886307274363E-2</v>
      </c>
      <c r="L12" s="323">
        <v>161.46</v>
      </c>
      <c r="M12" s="323">
        <v>165.68</v>
      </c>
      <c r="N12" s="332">
        <v>1.349E-2</v>
      </c>
      <c r="O12" s="332">
        <v>0.28438000000000002</v>
      </c>
      <c r="P12" s="327">
        <f t="shared" si="4"/>
        <v>1.3470190623278762E-2</v>
      </c>
      <c r="Q12" s="327">
        <f t="shared" si="1"/>
        <v>1.1724474841231168E-2</v>
      </c>
      <c r="R12" s="327"/>
      <c r="S12" s="392">
        <f t="shared" si="3"/>
        <v>1.708000000000004E-2</v>
      </c>
      <c r="T12" s="287"/>
      <c r="U12" s="113"/>
      <c r="V12" s="147"/>
      <c r="W12" s="115"/>
      <c r="X12" s="115"/>
      <c r="Y12" s="116"/>
      <c r="Z12" s="117"/>
    </row>
    <row r="13" spans="1:26" s="112" customFormat="1" ht="12.95" customHeight="1">
      <c r="A13" s="398">
        <v>8</v>
      </c>
      <c r="B13" s="381" t="s">
        <v>215</v>
      </c>
      <c r="C13" s="382" t="s">
        <v>216</v>
      </c>
      <c r="D13" s="74">
        <v>36302130.390000001</v>
      </c>
      <c r="E13" s="331">
        <f t="shared" si="0"/>
        <v>1.6002814207751567E-3</v>
      </c>
      <c r="F13" s="323">
        <v>140.69999999999999</v>
      </c>
      <c r="G13" s="323">
        <v>145.85</v>
      </c>
      <c r="H13" s="332">
        <v>0.10730000000000001</v>
      </c>
      <c r="I13" s="332">
        <v>0.46450000000000002</v>
      </c>
      <c r="J13" s="74">
        <v>35868987.869999997</v>
      </c>
      <c r="K13" s="331">
        <v>0.96619999999999995</v>
      </c>
      <c r="L13" s="323">
        <v>139.03</v>
      </c>
      <c r="M13" s="323">
        <v>144.11000000000001</v>
      </c>
      <c r="N13" s="332">
        <v>-1.1900000000000001E-2</v>
      </c>
      <c r="O13" s="332">
        <v>0.43</v>
      </c>
      <c r="P13" s="327">
        <f t="shared" si="4"/>
        <v>-1.1931600579543929E-2</v>
      </c>
      <c r="Q13" s="327">
        <f t="shared" si="1"/>
        <v>-1.1930065135412964E-2</v>
      </c>
      <c r="R13" s="327">
        <f t="shared" si="2"/>
        <v>-0.1192</v>
      </c>
      <c r="S13" s="392">
        <f t="shared" si="3"/>
        <v>-3.4500000000000031E-2</v>
      </c>
      <c r="T13" s="144"/>
      <c r="U13" s="113"/>
    </row>
    <row r="14" spans="1:26" s="328" customFormat="1" ht="12.95" customHeight="1">
      <c r="A14" s="402">
        <v>9</v>
      </c>
      <c r="B14" s="381" t="s">
        <v>263</v>
      </c>
      <c r="C14" s="382" t="s">
        <v>240</v>
      </c>
      <c r="D14" s="324">
        <v>505487024.75999999</v>
      </c>
      <c r="E14" s="331">
        <f t="shared" si="0"/>
        <v>2.2283030926173137E-2</v>
      </c>
      <c r="F14" s="323">
        <v>1.63</v>
      </c>
      <c r="G14" s="323">
        <v>1.67</v>
      </c>
      <c r="H14" s="332">
        <v>-4.7000000000000002E-3</v>
      </c>
      <c r="I14" s="332">
        <v>0.31330000000000002</v>
      </c>
      <c r="J14" s="324">
        <v>518532601.69999999</v>
      </c>
      <c r="K14" s="331">
        <f t="shared" ref="K14:K21" si="9">(J14/$J$22)</f>
        <v>2.2926329703390973E-2</v>
      </c>
      <c r="L14" s="323">
        <v>1.67</v>
      </c>
      <c r="M14" s="323">
        <v>1.71</v>
      </c>
      <c r="N14" s="332">
        <v>2.3599999999999999E-2</v>
      </c>
      <c r="O14" s="332">
        <v>0.34429999999999999</v>
      </c>
      <c r="P14" s="327">
        <f t="shared" ref="P14" si="10">((J14-D14)/D14)</f>
        <v>2.5807936308936717E-2</v>
      </c>
      <c r="Q14" s="327">
        <f t="shared" ref="Q14" si="11">((M14-G14)/G14)</f>
        <v>2.3952095808383256E-2</v>
      </c>
      <c r="R14" s="327">
        <f t="shared" ref="R14" si="12">N14-H14</f>
        <v>2.8299999999999999E-2</v>
      </c>
      <c r="S14" s="392">
        <f t="shared" ref="S14" si="13">O14-I14</f>
        <v>3.0999999999999972E-2</v>
      </c>
      <c r="T14" s="144"/>
      <c r="U14" s="113"/>
    </row>
    <row r="15" spans="1:26" s="112" customFormat="1" ht="12.95" customHeight="1">
      <c r="A15" s="402">
        <v>10</v>
      </c>
      <c r="B15" s="381" t="s">
        <v>45</v>
      </c>
      <c r="C15" s="382" t="s">
        <v>132</v>
      </c>
      <c r="D15" s="324">
        <v>1312765042.4200001</v>
      </c>
      <c r="E15" s="331">
        <f t="shared" si="0"/>
        <v>5.7869703090663069E-2</v>
      </c>
      <c r="F15" s="323">
        <v>2.62</v>
      </c>
      <c r="G15" s="323">
        <v>2.68</v>
      </c>
      <c r="H15" s="332">
        <v>0.23319999999999999</v>
      </c>
      <c r="I15" s="332">
        <v>0.32590000000000002</v>
      </c>
      <c r="J15" s="324">
        <v>1300152875.5799999</v>
      </c>
      <c r="K15" s="331">
        <f t="shared" si="9"/>
        <v>5.748478184907721E-2</v>
      </c>
      <c r="L15" s="323">
        <v>2.6</v>
      </c>
      <c r="M15" s="323">
        <v>2.65</v>
      </c>
      <c r="N15" s="332">
        <v>0.2213</v>
      </c>
      <c r="O15" s="332">
        <v>0.31309999999999999</v>
      </c>
      <c r="P15" s="327">
        <f t="shared" si="4"/>
        <v>-9.607329897169118E-3</v>
      </c>
      <c r="Q15" s="327">
        <f t="shared" si="1"/>
        <v>-1.119402985074636E-2</v>
      </c>
      <c r="R15" s="327">
        <f t="shared" si="2"/>
        <v>-1.1899999999999994E-2</v>
      </c>
      <c r="S15" s="392">
        <f t="shared" si="3"/>
        <v>-1.2800000000000034E-2</v>
      </c>
      <c r="T15" s="144"/>
      <c r="U15" s="113"/>
    </row>
    <row r="16" spans="1:26" s="112" customFormat="1" ht="12.95" customHeight="1">
      <c r="A16" s="402">
        <v>11</v>
      </c>
      <c r="B16" s="381" t="s">
        <v>53</v>
      </c>
      <c r="C16" s="382" t="s">
        <v>54</v>
      </c>
      <c r="D16" s="323">
        <v>427742462.5</v>
      </c>
      <c r="E16" s="331">
        <f t="shared" si="0"/>
        <v>1.8855871770102037E-2</v>
      </c>
      <c r="F16" s="323">
        <v>16.677515</v>
      </c>
      <c r="G16" s="323">
        <v>16.766660000000002</v>
      </c>
      <c r="H16" s="332">
        <v>2.0355877301780002E-2</v>
      </c>
      <c r="I16" s="332">
        <v>0.435416595373392</v>
      </c>
      <c r="J16" s="323">
        <v>427680140.57999998</v>
      </c>
      <c r="K16" s="331">
        <f t="shared" si="9"/>
        <v>1.8909391383268314E-2</v>
      </c>
      <c r="L16" s="323">
        <v>16.393802999999998</v>
      </c>
      <c r="M16" s="323">
        <v>16.494102000000002</v>
      </c>
      <c r="N16" s="332">
        <v>3.8335458714300601E-2</v>
      </c>
      <c r="O16" s="332">
        <v>0.40649181679981899</v>
      </c>
      <c r="P16" s="327">
        <f t="shared" si="4"/>
        <v>-1.4569963345646724E-4</v>
      </c>
      <c r="Q16" s="327">
        <f t="shared" si="1"/>
        <v>-1.6255950797594752E-2</v>
      </c>
      <c r="R16" s="327">
        <f t="shared" si="2"/>
        <v>1.7979581412520599E-2</v>
      </c>
      <c r="S16" s="392">
        <f t="shared" si="3"/>
        <v>-2.8924778573573007E-2</v>
      </c>
      <c r="T16" s="144"/>
      <c r="U16" s="148"/>
      <c r="V16" s="148"/>
    </row>
    <row r="17" spans="1:25" s="112" customFormat="1" ht="12.95" customHeight="1">
      <c r="A17" s="399">
        <v>12</v>
      </c>
      <c r="B17" s="381" t="s">
        <v>125</v>
      </c>
      <c r="C17" s="382" t="s">
        <v>90</v>
      </c>
      <c r="D17" s="323">
        <v>351576771.43000001</v>
      </c>
      <c r="E17" s="331">
        <f t="shared" si="0"/>
        <v>1.5498312888285093E-2</v>
      </c>
      <c r="F17" s="323">
        <v>1.95</v>
      </c>
      <c r="G17" s="323">
        <v>1.99</v>
      </c>
      <c r="H17" s="332">
        <v>1E-3</v>
      </c>
      <c r="I17" s="332">
        <v>0.37759999999999999</v>
      </c>
      <c r="J17" s="323">
        <v>347630849.52999997</v>
      </c>
      <c r="K17" s="331">
        <f t="shared" si="9"/>
        <v>1.5370102950644764E-2</v>
      </c>
      <c r="L17" s="323">
        <v>1.9278109999999999</v>
      </c>
      <c r="M17" s="323">
        <v>1.9507490000000001</v>
      </c>
      <c r="N17" s="332">
        <v>1E-3</v>
      </c>
      <c r="O17" s="332">
        <v>0.35610000000000003</v>
      </c>
      <c r="P17" s="327">
        <f t="shared" si="4"/>
        <v>-1.122350001665477E-2</v>
      </c>
      <c r="Q17" s="327">
        <f t="shared" si="1"/>
        <v>-1.9724120603015038E-2</v>
      </c>
      <c r="R17" s="327">
        <f t="shared" si="2"/>
        <v>0</v>
      </c>
      <c r="S17" s="392">
        <f t="shared" si="3"/>
        <v>-2.1499999999999964E-2</v>
      </c>
      <c r="T17" s="144"/>
      <c r="U17" s="149"/>
      <c r="V17" s="149"/>
    </row>
    <row r="18" spans="1:25" s="112" customFormat="1" ht="12.95" customHeight="1">
      <c r="A18" s="398">
        <v>13</v>
      </c>
      <c r="B18" s="381" t="s">
        <v>10</v>
      </c>
      <c r="C18" s="382" t="s">
        <v>9</v>
      </c>
      <c r="D18" s="324">
        <v>1004741488.83</v>
      </c>
      <c r="E18" s="331">
        <f t="shared" si="0"/>
        <v>4.4291316239102374E-2</v>
      </c>
      <c r="F18" s="323">
        <v>24.23</v>
      </c>
      <c r="G18" s="323">
        <v>24.72</v>
      </c>
      <c r="H18" s="332">
        <v>-2.4E-2</v>
      </c>
      <c r="I18" s="332">
        <v>0.40720000000000001</v>
      </c>
      <c r="J18" s="324">
        <v>1012383543.1900001</v>
      </c>
      <c r="K18" s="331">
        <f t="shared" si="9"/>
        <v>4.4761387849802957E-2</v>
      </c>
      <c r="L18" s="323">
        <v>24.27</v>
      </c>
      <c r="M18" s="323">
        <v>24.27</v>
      </c>
      <c r="N18" s="332">
        <v>8.0000000000000004E-4</v>
      </c>
      <c r="O18" s="332">
        <v>0.40579999999999999</v>
      </c>
      <c r="P18" s="327">
        <f t="shared" si="4"/>
        <v>7.605990640337768E-3</v>
      </c>
      <c r="Q18" s="327">
        <f t="shared" si="1"/>
        <v>-1.8203883495145602E-2</v>
      </c>
      <c r="R18" s="327">
        <f t="shared" si="2"/>
        <v>2.4799999999999999E-2</v>
      </c>
      <c r="S18" s="392">
        <f t="shared" si="3"/>
        <v>-1.4000000000000123E-3</v>
      </c>
      <c r="T18" s="144"/>
      <c r="U18" s="150"/>
      <c r="V18" s="150"/>
    </row>
    <row r="19" spans="1:25" s="112" customFormat="1" ht="12.95" customHeight="1">
      <c r="A19" s="406">
        <v>14</v>
      </c>
      <c r="B19" s="381" t="s">
        <v>67</v>
      </c>
      <c r="C19" s="382" t="s">
        <v>5</v>
      </c>
      <c r="D19" s="324">
        <v>504670079.80000001</v>
      </c>
      <c r="E19" s="331">
        <f t="shared" si="0"/>
        <v>2.2247018112951465E-2</v>
      </c>
      <c r="F19" s="323">
        <v>4986.75</v>
      </c>
      <c r="G19" s="323">
        <v>4924.97</v>
      </c>
      <c r="H19" s="332">
        <v>-2.6499999999999999E-2</v>
      </c>
      <c r="I19" s="332">
        <v>0.52300000000000002</v>
      </c>
      <c r="J19" s="324">
        <v>501034542.52999997</v>
      </c>
      <c r="K19" s="331">
        <f t="shared" si="9"/>
        <v>2.2152672902669771E-2</v>
      </c>
      <c r="L19" s="323">
        <v>4889.7</v>
      </c>
      <c r="M19" s="323">
        <v>4950.68</v>
      </c>
      <c r="N19" s="332">
        <v>-7.1999999999999998E-3</v>
      </c>
      <c r="O19" s="332">
        <v>0.51200000000000001</v>
      </c>
      <c r="P19" s="327">
        <f t="shared" si="4"/>
        <v>-7.2037899917522319E-3</v>
      </c>
      <c r="Q19" s="327">
        <f t="shared" si="1"/>
        <v>5.2203363675311799E-3</v>
      </c>
      <c r="R19" s="327">
        <f t="shared" si="2"/>
        <v>1.9299999999999998E-2</v>
      </c>
      <c r="S19" s="392">
        <f t="shared" si="3"/>
        <v>-1.100000000000001E-2</v>
      </c>
      <c r="T19" s="144"/>
      <c r="U19" s="149"/>
      <c r="V19" s="149"/>
    </row>
    <row r="20" spans="1:25" s="112" customFormat="1" ht="12.95" customHeight="1">
      <c r="A20" s="406">
        <v>15</v>
      </c>
      <c r="B20" s="381" t="s">
        <v>223</v>
      </c>
      <c r="C20" s="382" t="s">
        <v>5</v>
      </c>
      <c r="D20" s="324">
        <v>10012748126.92</v>
      </c>
      <c r="E20" s="331">
        <f t="shared" si="0"/>
        <v>0.44138497179838176</v>
      </c>
      <c r="F20" s="323">
        <v>17075.59</v>
      </c>
      <c r="G20" s="323">
        <v>17282.53</v>
      </c>
      <c r="H20" s="332">
        <v>4.1999999999999997E-3</v>
      </c>
      <c r="I20" s="332">
        <v>0.315</v>
      </c>
      <c r="J20" s="324">
        <v>9947556245.6700001</v>
      </c>
      <c r="K20" s="331">
        <f t="shared" si="9"/>
        <v>0.43981989460944731</v>
      </c>
      <c r="L20" s="323">
        <v>16963.13</v>
      </c>
      <c r="M20" s="323">
        <v>17167.810000000001</v>
      </c>
      <c r="N20" s="332">
        <v>4.1999999999999997E-3</v>
      </c>
      <c r="O20" s="332">
        <v>0.3876</v>
      </c>
      <c r="P20" s="327">
        <f t="shared" si="4"/>
        <v>-6.5108879623893556E-3</v>
      </c>
      <c r="Q20" s="327">
        <f t="shared" si="1"/>
        <v>-6.6379170179364675E-3</v>
      </c>
      <c r="R20" s="327">
        <f t="shared" si="2"/>
        <v>0</v>
      </c>
      <c r="S20" s="392">
        <f t="shared" si="3"/>
        <v>7.2599999999999998E-2</v>
      </c>
      <c r="T20" s="144"/>
      <c r="U20" s="151"/>
      <c r="V20" s="151"/>
    </row>
    <row r="21" spans="1:25" s="328" customFormat="1" ht="12.95" customHeight="1">
      <c r="A21" s="399">
        <v>16</v>
      </c>
      <c r="B21" s="382" t="s">
        <v>75</v>
      </c>
      <c r="C21" s="382" t="s">
        <v>41</v>
      </c>
      <c r="D21" s="323">
        <v>2551560701.8800001</v>
      </c>
      <c r="E21" s="331">
        <f t="shared" si="0"/>
        <v>0.11247866561361285</v>
      </c>
      <c r="F21" s="323">
        <v>1.2666999999999999</v>
      </c>
      <c r="G21" s="308">
        <v>1.2806999999999999</v>
      </c>
      <c r="H21" s="332">
        <v>-1.7500000000000002E-2</v>
      </c>
      <c r="I21" s="332">
        <v>0.38690000000000002</v>
      </c>
      <c r="J21" s="323">
        <v>2541125245.2600002</v>
      </c>
      <c r="K21" s="331">
        <f t="shared" si="9"/>
        <v>0.11235296488483265</v>
      </c>
      <c r="L21" s="323">
        <v>1.2573000000000001</v>
      </c>
      <c r="M21" s="308">
        <v>1.2712000000000001</v>
      </c>
      <c r="N21" s="332">
        <v>7.4000000000000003E-3</v>
      </c>
      <c r="O21" s="332">
        <v>0.37709999999999999</v>
      </c>
      <c r="P21" s="327">
        <f t="shared" si="4"/>
        <v>-4.0898327883444044E-3</v>
      </c>
      <c r="Q21" s="327">
        <f t="shared" si="1"/>
        <v>-7.4178183805730007E-3</v>
      </c>
      <c r="R21" s="327">
        <f t="shared" si="2"/>
        <v>2.4900000000000002E-2</v>
      </c>
      <c r="S21" s="392">
        <f t="shared" si="3"/>
        <v>-9.8000000000000309E-3</v>
      </c>
      <c r="T21" s="307"/>
      <c r="U21" s="307"/>
      <c r="V21" s="151"/>
    </row>
    <row r="22" spans="1:25" s="112" customFormat="1" ht="12.95" customHeight="1">
      <c r="A22" s="212"/>
      <c r="C22" s="242" t="s">
        <v>42</v>
      </c>
      <c r="D22" s="70">
        <f>SUM(D6:D21)</f>
        <v>22684841502.700001</v>
      </c>
      <c r="E22" s="260">
        <f>(D22/$D$170)</f>
        <v>1.1753594366747437E-2</v>
      </c>
      <c r="F22" s="262"/>
      <c r="G22" s="71"/>
      <c r="H22" s="279"/>
      <c r="I22" s="279"/>
      <c r="J22" s="70">
        <f>SUM(J6:J21)</f>
        <v>22617340342.240005</v>
      </c>
      <c r="K22" s="260">
        <f>(J22/$J$170)</f>
        <v>1.1733507398823765E-2</v>
      </c>
      <c r="L22" s="262"/>
      <c r="M22" s="71"/>
      <c r="N22" s="279"/>
      <c r="O22" s="279"/>
      <c r="P22" s="264">
        <f t="shared" si="4"/>
        <v>-2.9756064397435233E-3</v>
      </c>
      <c r="Q22" s="264"/>
      <c r="R22" s="264">
        <f t="shared" ref="R22" si="14">N22-H22</f>
        <v>0</v>
      </c>
      <c r="S22" s="392">
        <f t="shared" ref="S22" si="15">O22-I22</f>
        <v>0</v>
      </c>
      <c r="T22" s="144"/>
      <c r="U22" s="152"/>
      <c r="X22" s="119"/>
      <c r="Y22" s="119"/>
    </row>
    <row r="23" spans="1:25" s="112" customFormat="1" ht="5.25" customHeight="1">
      <c r="A23" s="408"/>
      <c r="B23" s="409"/>
      <c r="C23" s="410"/>
      <c r="D23" s="410"/>
      <c r="E23" s="410"/>
      <c r="F23" s="410"/>
      <c r="G23" s="410"/>
      <c r="H23" s="410"/>
      <c r="I23" s="410"/>
      <c r="J23" s="410"/>
      <c r="K23" s="410"/>
      <c r="L23" s="410"/>
      <c r="M23" s="410"/>
      <c r="N23" s="410"/>
      <c r="O23" s="410"/>
      <c r="P23" s="410"/>
      <c r="Q23" s="410"/>
      <c r="R23" s="410"/>
      <c r="S23" s="411"/>
      <c r="T23" s="144"/>
      <c r="U23" s="152"/>
      <c r="X23" s="119"/>
      <c r="Y23" s="119"/>
    </row>
    <row r="24" spans="1:25" s="112" customFormat="1" ht="12.95" customHeight="1">
      <c r="A24" s="428" t="s">
        <v>44</v>
      </c>
      <c r="B24" s="429"/>
      <c r="C24" s="430"/>
      <c r="D24" s="430"/>
      <c r="E24" s="430"/>
      <c r="F24" s="430"/>
      <c r="G24" s="430"/>
      <c r="H24" s="430"/>
      <c r="I24" s="430"/>
      <c r="J24" s="430"/>
      <c r="K24" s="430"/>
      <c r="L24" s="430"/>
      <c r="M24" s="430"/>
      <c r="N24" s="430"/>
      <c r="O24" s="430"/>
      <c r="P24" s="430"/>
      <c r="Q24" s="430"/>
      <c r="R24" s="430"/>
      <c r="S24" s="431"/>
      <c r="T24" s="153"/>
      <c r="V24" s="154"/>
    </row>
    <row r="25" spans="1:25" s="112" customFormat="1" ht="12.95" customHeight="1">
      <c r="A25" s="402">
        <v>17</v>
      </c>
      <c r="B25" s="381" t="s">
        <v>115</v>
      </c>
      <c r="C25" s="382" t="s">
        <v>57</v>
      </c>
      <c r="D25" s="319">
        <v>775235970.98000002</v>
      </c>
      <c r="E25" s="191">
        <v>7.9600000000000004E-2</v>
      </c>
      <c r="F25" s="308">
        <v>100</v>
      </c>
      <c r="G25" s="308">
        <v>100</v>
      </c>
      <c r="H25" s="332">
        <v>0.10639999999999999</v>
      </c>
      <c r="I25" s="332">
        <v>0.10639999999999999</v>
      </c>
      <c r="J25" s="319">
        <v>792650215.75</v>
      </c>
      <c r="K25" s="331">
        <f t="shared" ref="K25:K41" si="16">(J25/$J$54)</f>
        <v>9.3288353094948199E-4</v>
      </c>
      <c r="L25" s="308">
        <v>100</v>
      </c>
      <c r="M25" s="308">
        <v>100</v>
      </c>
      <c r="N25" s="332">
        <v>0.1048</v>
      </c>
      <c r="O25" s="332">
        <v>0.1048</v>
      </c>
      <c r="P25" s="109">
        <f t="shared" ref="P25:P53" si="17">((J25-D25)/D25)</f>
        <v>2.2463153700138669E-2</v>
      </c>
      <c r="Q25" s="109">
        <f t="shared" ref="Q25:Q53" si="18">((M25-G25)/G25)</f>
        <v>0</v>
      </c>
      <c r="R25" s="327">
        <f t="shared" ref="R25:R53" si="19">N25-H25</f>
        <v>-1.5999999999999903E-3</v>
      </c>
      <c r="S25" s="392">
        <f t="shared" ref="S25:S53" si="20">O25-I25</f>
        <v>-1.5999999999999903E-3</v>
      </c>
      <c r="T25" s="156"/>
      <c r="U25" s="120"/>
      <c r="V25" s="154"/>
      <c r="W25" s="157"/>
    </row>
    <row r="26" spans="1:25" s="112" customFormat="1" ht="12.95" customHeight="1">
      <c r="A26" s="399">
        <v>18</v>
      </c>
      <c r="B26" s="381" t="s">
        <v>37</v>
      </c>
      <c r="C26" s="382" t="s">
        <v>36</v>
      </c>
      <c r="D26" s="319">
        <v>3643032341.1500001</v>
      </c>
      <c r="E26" s="191">
        <v>8.6400000000000005E-2</v>
      </c>
      <c r="F26" s="308">
        <v>100</v>
      </c>
      <c r="G26" s="308">
        <v>100</v>
      </c>
      <c r="H26" s="332">
        <v>0.115927</v>
      </c>
      <c r="I26" s="332">
        <v>0.115927</v>
      </c>
      <c r="J26" s="319">
        <v>3683946875.2199998</v>
      </c>
      <c r="K26" s="331">
        <f t="shared" si="16"/>
        <v>4.335699783458419E-3</v>
      </c>
      <c r="L26" s="308">
        <v>100</v>
      </c>
      <c r="M26" s="308">
        <v>100</v>
      </c>
      <c r="N26" s="332">
        <v>0.116385</v>
      </c>
      <c r="O26" s="332">
        <v>0.116385</v>
      </c>
      <c r="P26" s="327">
        <f t="shared" si="17"/>
        <v>1.12309005901068E-2</v>
      </c>
      <c r="Q26" s="327">
        <f t="shared" si="18"/>
        <v>0</v>
      </c>
      <c r="R26" s="327">
        <f t="shared" si="19"/>
        <v>4.5800000000000007E-4</v>
      </c>
      <c r="S26" s="392">
        <f t="shared" si="20"/>
        <v>4.5800000000000007E-4</v>
      </c>
      <c r="T26" s="144"/>
      <c r="U26" s="113"/>
    </row>
    <row r="27" spans="1:25" s="112" customFormat="1" ht="12.95" customHeight="1">
      <c r="A27" s="400">
        <v>19</v>
      </c>
      <c r="B27" s="381" t="s">
        <v>136</v>
      </c>
      <c r="C27" s="382" t="s">
        <v>134</v>
      </c>
      <c r="D27" s="319">
        <v>334301583.01999998</v>
      </c>
      <c r="E27" s="191">
        <v>2.0000000000000001E-4</v>
      </c>
      <c r="F27" s="308">
        <v>100</v>
      </c>
      <c r="G27" s="308">
        <v>100</v>
      </c>
      <c r="H27" s="332">
        <v>9.9500000000000005E-2</v>
      </c>
      <c r="I27" s="332">
        <v>9.9500000000000005E-2</v>
      </c>
      <c r="J27" s="319">
        <v>342215172.24000001</v>
      </c>
      <c r="K27" s="331">
        <f t="shared" si="16"/>
        <v>4.0275886119789573E-4</v>
      </c>
      <c r="L27" s="308">
        <v>100</v>
      </c>
      <c r="M27" s="308">
        <v>100</v>
      </c>
      <c r="N27" s="332">
        <v>9.5200000000000007E-2</v>
      </c>
      <c r="O27" s="332">
        <v>9.5200000000000007E-2</v>
      </c>
      <c r="P27" s="327">
        <f t="shared" si="17"/>
        <v>2.3672006421598633E-2</v>
      </c>
      <c r="Q27" s="327">
        <f t="shared" si="18"/>
        <v>0</v>
      </c>
      <c r="R27" s="327">
        <f t="shared" si="19"/>
        <v>-4.2999999999999983E-3</v>
      </c>
      <c r="S27" s="392">
        <f t="shared" si="20"/>
        <v>-4.2999999999999983E-3</v>
      </c>
      <c r="T27" s="144"/>
      <c r="U27" s="120"/>
    </row>
    <row r="28" spans="1:25" s="112" customFormat="1" ht="12.95" customHeight="1">
      <c r="A28" s="400">
        <v>20</v>
      </c>
      <c r="B28" s="381" t="s">
        <v>15</v>
      </c>
      <c r="C28" s="382" t="s">
        <v>6</v>
      </c>
      <c r="D28" s="319">
        <v>78937493127.25</v>
      </c>
      <c r="E28" s="191">
        <v>6.54E-2</v>
      </c>
      <c r="F28" s="308">
        <v>1</v>
      </c>
      <c r="G28" s="308">
        <v>1</v>
      </c>
      <c r="H28" s="332">
        <v>8.6699999999999999E-2</v>
      </c>
      <c r="I28" s="332">
        <v>8.6699999999999999E-2</v>
      </c>
      <c r="J28" s="319">
        <v>78568540017.229996</v>
      </c>
      <c r="K28" s="331">
        <f t="shared" si="16"/>
        <v>9.2468652094502626E-2</v>
      </c>
      <c r="L28" s="308">
        <v>1</v>
      </c>
      <c r="M28" s="308">
        <v>1</v>
      </c>
      <c r="N28" s="332">
        <v>8.6499999999999994E-2</v>
      </c>
      <c r="O28" s="332">
        <v>8.6499999999999994E-2</v>
      </c>
      <c r="P28" s="327">
        <f t="shared" si="17"/>
        <v>-4.6739907159863685E-3</v>
      </c>
      <c r="Q28" s="327">
        <f t="shared" si="18"/>
        <v>0</v>
      </c>
      <c r="R28" s="327">
        <f t="shared" si="19"/>
        <v>-2.0000000000000573E-4</v>
      </c>
      <c r="S28" s="392">
        <f t="shared" si="20"/>
        <v>-2.0000000000000573E-4</v>
      </c>
      <c r="T28" s="153"/>
      <c r="U28" s="113"/>
    </row>
    <row r="29" spans="1:25" s="112" customFormat="1" ht="12.95" customHeight="1">
      <c r="A29" s="400">
        <v>21</v>
      </c>
      <c r="B29" s="381" t="s">
        <v>82</v>
      </c>
      <c r="C29" s="382" t="s">
        <v>80</v>
      </c>
      <c r="D29" s="319">
        <v>40720712051.089996</v>
      </c>
      <c r="E29" s="191">
        <v>6.9800000000000001E-2</v>
      </c>
      <c r="F29" s="308">
        <v>1</v>
      </c>
      <c r="G29" s="308">
        <v>1</v>
      </c>
      <c r="H29" s="332">
        <v>8.8200000000000001E-2</v>
      </c>
      <c r="I29" s="332">
        <v>8.8200000000000001E-2</v>
      </c>
      <c r="J29" s="319">
        <v>41317233755.529999</v>
      </c>
      <c r="K29" s="331">
        <f t="shared" si="16"/>
        <v>4.8626955684928107E-2</v>
      </c>
      <c r="L29" s="308">
        <v>1</v>
      </c>
      <c r="M29" s="308">
        <v>1</v>
      </c>
      <c r="N29" s="332">
        <v>8.4500000000000006E-2</v>
      </c>
      <c r="O29" s="332">
        <v>8.4500000000000006E-2</v>
      </c>
      <c r="P29" s="327">
        <f t="shared" si="17"/>
        <v>1.4649098073029275E-2</v>
      </c>
      <c r="Q29" s="327">
        <f t="shared" si="18"/>
        <v>0</v>
      </c>
      <c r="R29" s="327">
        <f t="shared" si="19"/>
        <v>-3.699999999999995E-3</v>
      </c>
      <c r="S29" s="392">
        <f t="shared" si="20"/>
        <v>-3.699999999999995E-3</v>
      </c>
      <c r="T29" s="144"/>
      <c r="U29" s="148"/>
      <c r="V29" s="436"/>
      <c r="W29" s="436"/>
    </row>
    <row r="30" spans="1:25" s="112" customFormat="1" ht="12.95" customHeight="1">
      <c r="A30" s="398">
        <v>22</v>
      </c>
      <c r="B30" s="381" t="s">
        <v>97</v>
      </c>
      <c r="C30" s="382" t="s">
        <v>9</v>
      </c>
      <c r="D30" s="319">
        <v>6708779236.3699999</v>
      </c>
      <c r="E30" s="191">
        <v>5.3699999999999998E-2</v>
      </c>
      <c r="F30" s="308">
        <v>100</v>
      </c>
      <c r="G30" s="308">
        <v>100</v>
      </c>
      <c r="H30" s="332">
        <v>9.1300000000000006E-2</v>
      </c>
      <c r="I30" s="332">
        <v>9.1300000000000006E-2</v>
      </c>
      <c r="J30" s="319">
        <v>6714028324.8000002</v>
      </c>
      <c r="K30" s="331">
        <f t="shared" si="16"/>
        <v>7.9018542177622057E-3</v>
      </c>
      <c r="L30" s="308">
        <v>100</v>
      </c>
      <c r="M30" s="308">
        <v>100</v>
      </c>
      <c r="N30" s="332">
        <v>9.1300000000000006E-2</v>
      </c>
      <c r="O30" s="332">
        <v>9.1300000000000006E-2</v>
      </c>
      <c r="P30" s="327">
        <f t="shared" si="17"/>
        <v>7.8242080191633979E-4</v>
      </c>
      <c r="Q30" s="327">
        <f t="shared" si="18"/>
        <v>0</v>
      </c>
      <c r="R30" s="327">
        <f t="shared" si="19"/>
        <v>0</v>
      </c>
      <c r="S30" s="392">
        <f t="shared" si="20"/>
        <v>0</v>
      </c>
      <c r="T30" s="144"/>
      <c r="U30" s="113"/>
      <c r="V30" s="439"/>
      <c r="W30" s="439"/>
    </row>
    <row r="31" spans="1:25" s="112" customFormat="1" ht="12.95" customHeight="1">
      <c r="A31" s="400">
        <v>23</v>
      </c>
      <c r="B31" s="381" t="s">
        <v>228</v>
      </c>
      <c r="C31" s="382" t="s">
        <v>7</v>
      </c>
      <c r="D31" s="319">
        <v>12664877324.02</v>
      </c>
      <c r="E31" s="191">
        <v>6.1269999999999998E-2</v>
      </c>
      <c r="F31" s="308">
        <v>100</v>
      </c>
      <c r="G31" s="308">
        <v>100</v>
      </c>
      <c r="H31" s="332">
        <v>0.1062</v>
      </c>
      <c r="I31" s="332">
        <v>0.1062</v>
      </c>
      <c r="J31" s="319">
        <v>12651789489.790001</v>
      </c>
      <c r="K31" s="331">
        <f t="shared" si="16"/>
        <v>1.4890106401973614E-2</v>
      </c>
      <c r="L31" s="308">
        <v>100</v>
      </c>
      <c r="M31" s="308">
        <v>100</v>
      </c>
      <c r="N31" s="332">
        <v>0.1095</v>
      </c>
      <c r="O31" s="332">
        <v>0.1095</v>
      </c>
      <c r="P31" s="327">
        <f t="shared" si="17"/>
        <v>-1.033396052338965E-3</v>
      </c>
      <c r="Q31" s="327">
        <f t="shared" si="18"/>
        <v>0</v>
      </c>
      <c r="R31" s="327">
        <f t="shared" si="19"/>
        <v>3.2999999999999974E-3</v>
      </c>
      <c r="S31" s="392">
        <f t="shared" si="20"/>
        <v>3.2999999999999974E-3</v>
      </c>
      <c r="T31" s="144"/>
      <c r="U31" s="113"/>
      <c r="V31" s="440"/>
      <c r="W31" s="440"/>
    </row>
    <row r="32" spans="1:25" s="112" customFormat="1" ht="12.95" customHeight="1">
      <c r="A32" s="399">
        <v>24</v>
      </c>
      <c r="B32" s="381" t="s">
        <v>89</v>
      </c>
      <c r="C32" s="382" t="s">
        <v>88</v>
      </c>
      <c r="D32" s="319">
        <v>6112797574.9899998</v>
      </c>
      <c r="E32" s="191">
        <v>7.0599999999999996E-2</v>
      </c>
      <c r="F32" s="308">
        <v>100</v>
      </c>
      <c r="G32" s="308">
        <v>100</v>
      </c>
      <c r="H32" s="332">
        <v>9.4799999999999995E-2</v>
      </c>
      <c r="I32" s="332">
        <v>9.4799999999999995E-2</v>
      </c>
      <c r="J32" s="319">
        <v>6480590642.1199999</v>
      </c>
      <c r="K32" s="331">
        <f t="shared" si="16"/>
        <v>7.6271174355749573E-3</v>
      </c>
      <c r="L32" s="308">
        <v>100</v>
      </c>
      <c r="M32" s="308">
        <v>100</v>
      </c>
      <c r="N32" s="332">
        <v>9.1899999999999996E-2</v>
      </c>
      <c r="O32" s="332">
        <v>9.1899999999999996E-2</v>
      </c>
      <c r="P32" s="327">
        <f t="shared" si="17"/>
        <v>6.0167715782834801E-2</v>
      </c>
      <c r="Q32" s="327">
        <f t="shared" si="18"/>
        <v>0</v>
      </c>
      <c r="R32" s="327">
        <f t="shared" si="19"/>
        <v>-2.8999999999999998E-3</v>
      </c>
      <c r="S32" s="392">
        <f t="shared" si="20"/>
        <v>-2.8999999999999998E-3</v>
      </c>
      <c r="T32" s="144"/>
      <c r="U32" s="113"/>
    </row>
    <row r="33" spans="1:23" s="112" customFormat="1" ht="12.95" customHeight="1">
      <c r="A33" s="403">
        <v>25</v>
      </c>
      <c r="B33" s="381" t="s">
        <v>178</v>
      </c>
      <c r="C33" s="382" t="s">
        <v>177</v>
      </c>
      <c r="D33" s="319">
        <v>44514190.369999997</v>
      </c>
      <c r="E33" s="191">
        <v>3.7000000000000002E-3</v>
      </c>
      <c r="F33" s="308">
        <v>100</v>
      </c>
      <c r="G33" s="308">
        <v>100</v>
      </c>
      <c r="H33" s="332">
        <v>0</v>
      </c>
      <c r="I33" s="332">
        <v>0</v>
      </c>
      <c r="J33" s="319">
        <v>44514190.369999997</v>
      </c>
      <c r="K33" s="331">
        <f t="shared" si="16"/>
        <v>5.2389508341243424E-5</v>
      </c>
      <c r="L33" s="308">
        <v>100</v>
      </c>
      <c r="M33" s="308">
        <v>100</v>
      </c>
      <c r="N33" s="332">
        <v>0</v>
      </c>
      <c r="O33" s="332">
        <v>0</v>
      </c>
      <c r="P33" s="327">
        <f t="shared" si="17"/>
        <v>0</v>
      </c>
      <c r="Q33" s="327">
        <f t="shared" si="18"/>
        <v>0</v>
      </c>
      <c r="R33" s="327">
        <f t="shared" si="19"/>
        <v>0</v>
      </c>
      <c r="S33" s="392">
        <f t="shared" si="20"/>
        <v>0</v>
      </c>
      <c r="T33" s="146"/>
      <c r="U33" s="158"/>
    </row>
    <row r="34" spans="1:23" s="112" customFormat="1" ht="12.95" customHeight="1">
      <c r="A34" s="402">
        <v>26</v>
      </c>
      <c r="B34" s="381" t="s">
        <v>108</v>
      </c>
      <c r="C34" s="382" t="s">
        <v>254</v>
      </c>
      <c r="D34" s="319">
        <v>5210909185.3500004</v>
      </c>
      <c r="E34" s="191">
        <v>6.3E-2</v>
      </c>
      <c r="F34" s="308">
        <v>1</v>
      </c>
      <c r="G34" s="308">
        <v>1</v>
      </c>
      <c r="H34" s="332">
        <v>9.9000000000000005E-2</v>
      </c>
      <c r="I34" s="332">
        <v>9.9000000000000005E-2</v>
      </c>
      <c r="J34" s="319">
        <v>5018064961.79</v>
      </c>
      <c r="K34" s="331">
        <f t="shared" si="16"/>
        <v>5.9058460681287372E-3</v>
      </c>
      <c r="L34" s="308">
        <v>1</v>
      </c>
      <c r="M34" s="308">
        <v>1</v>
      </c>
      <c r="N34" s="332">
        <v>0.10440000000000001</v>
      </c>
      <c r="O34" s="332">
        <v>0.10440000000000001</v>
      </c>
      <c r="P34" s="327">
        <f t="shared" si="17"/>
        <v>-3.7007788219024139E-2</v>
      </c>
      <c r="Q34" s="327">
        <f t="shared" si="18"/>
        <v>0</v>
      </c>
      <c r="R34" s="327">
        <f t="shared" si="19"/>
        <v>5.400000000000002E-3</v>
      </c>
      <c r="S34" s="392">
        <f t="shared" si="20"/>
        <v>5.400000000000002E-3</v>
      </c>
      <c r="T34" s="159"/>
      <c r="U34" s="113"/>
      <c r="V34" s="436"/>
      <c r="W34" s="436"/>
    </row>
    <row r="35" spans="1:23" s="112" customFormat="1" ht="12.95" customHeight="1">
      <c r="A35" s="402">
        <v>27</v>
      </c>
      <c r="B35" s="381" t="s">
        <v>100</v>
      </c>
      <c r="C35" s="382" t="s">
        <v>98</v>
      </c>
      <c r="D35" s="319">
        <v>14176719275.27</v>
      </c>
      <c r="E35" s="191">
        <v>4.5100000000000001E-2</v>
      </c>
      <c r="F35" s="69">
        <v>100</v>
      </c>
      <c r="G35" s="69">
        <v>100</v>
      </c>
      <c r="H35" s="332">
        <v>9.4299999999999995E-2</v>
      </c>
      <c r="I35" s="332">
        <v>9.4299999999999995E-2</v>
      </c>
      <c r="J35" s="319">
        <v>14227020793.049999</v>
      </c>
      <c r="K35" s="331">
        <f t="shared" si="16"/>
        <v>1.6744022935456047E-2</v>
      </c>
      <c r="L35" s="69">
        <v>100</v>
      </c>
      <c r="M35" s="69">
        <v>100</v>
      </c>
      <c r="N35" s="332">
        <v>9.5799999999999996E-2</v>
      </c>
      <c r="O35" s="332">
        <v>9.5799999999999996E-2</v>
      </c>
      <c r="P35" s="327">
        <f t="shared" si="17"/>
        <v>3.548177600423055E-3</v>
      </c>
      <c r="Q35" s="327">
        <f t="shared" si="18"/>
        <v>0</v>
      </c>
      <c r="R35" s="327">
        <f t="shared" si="19"/>
        <v>1.5000000000000013E-3</v>
      </c>
      <c r="S35" s="392">
        <f t="shared" si="20"/>
        <v>1.5000000000000013E-3</v>
      </c>
      <c r="T35" s="144"/>
      <c r="U35" s="122"/>
    </row>
    <row r="36" spans="1:23" s="112" customFormat="1" ht="12.95" customHeight="1">
      <c r="A36" s="402">
        <v>28</v>
      </c>
      <c r="B36" s="381" t="s">
        <v>99</v>
      </c>
      <c r="C36" s="382" t="s">
        <v>98</v>
      </c>
      <c r="D36" s="319">
        <v>1230331119.48</v>
      </c>
      <c r="E36" s="191">
        <v>5.2900000000000003E-2</v>
      </c>
      <c r="F36" s="69">
        <v>1000000</v>
      </c>
      <c r="G36" s="69">
        <v>1000000</v>
      </c>
      <c r="H36" s="332">
        <v>8.7999999999999995E-2</v>
      </c>
      <c r="I36" s="332">
        <v>8.7999999999999995E-2</v>
      </c>
      <c r="J36" s="319">
        <v>1232438547.01</v>
      </c>
      <c r="K36" s="331">
        <f t="shared" si="16"/>
        <v>1.450477903831868E-3</v>
      </c>
      <c r="L36" s="69">
        <v>1000000</v>
      </c>
      <c r="M36" s="69">
        <v>1000000</v>
      </c>
      <c r="N36" s="332">
        <v>9.11E-2</v>
      </c>
      <c r="O36" s="332">
        <v>9.11E-2</v>
      </c>
      <c r="P36" s="327">
        <f t="shared" si="17"/>
        <v>1.7128945993747412E-3</v>
      </c>
      <c r="Q36" s="327">
        <f t="shared" si="18"/>
        <v>0</v>
      </c>
      <c r="R36" s="327">
        <f t="shared" si="19"/>
        <v>3.1000000000000055E-3</v>
      </c>
      <c r="S36" s="392">
        <f t="shared" si="20"/>
        <v>3.1000000000000055E-3</v>
      </c>
      <c r="T36" s="144"/>
      <c r="U36" s="123"/>
    </row>
    <row r="37" spans="1:23" s="112" customFormat="1" ht="12.95" customHeight="1">
      <c r="A37" s="400">
        <v>29</v>
      </c>
      <c r="B37" s="381" t="s">
        <v>168</v>
      </c>
      <c r="C37" s="382" t="s">
        <v>167</v>
      </c>
      <c r="D37" s="319">
        <v>2612554028.3499999</v>
      </c>
      <c r="E37" s="191">
        <v>9.0300000000000005E-2</v>
      </c>
      <c r="F37" s="308">
        <v>1</v>
      </c>
      <c r="G37" s="308">
        <v>1</v>
      </c>
      <c r="H37" s="332">
        <v>0.13100000000000001</v>
      </c>
      <c r="I37" s="332">
        <v>0.13100000000000001</v>
      </c>
      <c r="J37" s="319">
        <v>2630334513.5300002</v>
      </c>
      <c r="K37" s="331">
        <f t="shared" si="16"/>
        <v>3.0956854610055084E-3</v>
      </c>
      <c r="L37" s="308">
        <v>1</v>
      </c>
      <c r="M37" s="308">
        <v>1</v>
      </c>
      <c r="N37" s="332">
        <v>0.1231</v>
      </c>
      <c r="O37" s="332">
        <v>0.1231</v>
      </c>
      <c r="P37" s="327">
        <f t="shared" si="17"/>
        <v>6.8057865931407564E-3</v>
      </c>
      <c r="Q37" s="327">
        <f t="shared" si="18"/>
        <v>0</v>
      </c>
      <c r="R37" s="327">
        <f t="shared" si="19"/>
        <v>-7.9000000000000042E-3</v>
      </c>
      <c r="S37" s="392">
        <f t="shared" si="20"/>
        <v>-7.9000000000000042E-3</v>
      </c>
      <c r="T37" s="144"/>
      <c r="U37" s="122"/>
    </row>
    <row r="38" spans="1:23" s="328" customFormat="1" ht="12.95" customHeight="1">
      <c r="A38" s="402">
        <v>30</v>
      </c>
      <c r="B38" s="381" t="s">
        <v>14</v>
      </c>
      <c r="C38" s="382" t="s">
        <v>184</v>
      </c>
      <c r="D38" s="319">
        <v>197035337241.79999</v>
      </c>
      <c r="E38" s="191">
        <v>6.2600000000000003E-2</v>
      </c>
      <c r="F38" s="308">
        <v>100</v>
      </c>
      <c r="G38" s="308">
        <v>100</v>
      </c>
      <c r="H38" s="332">
        <v>0.1023</v>
      </c>
      <c r="I38" s="332">
        <v>0.1023</v>
      </c>
      <c r="J38" s="319">
        <v>192471295990.45999</v>
      </c>
      <c r="K38" s="331">
        <f t="shared" si="16"/>
        <v>0.22652274438619957</v>
      </c>
      <c r="L38" s="308">
        <v>100</v>
      </c>
      <c r="M38" s="308">
        <v>100</v>
      </c>
      <c r="N38" s="332">
        <v>0.104</v>
      </c>
      <c r="O38" s="332">
        <v>0.104</v>
      </c>
      <c r="P38" s="327">
        <f t="shared" ref="P38" si="21">((J38-D38)/D38)</f>
        <v>-2.3163567080046389E-2</v>
      </c>
      <c r="Q38" s="327">
        <f t="shared" ref="Q38" si="22">((M38-G38)/G38)</f>
        <v>0</v>
      </c>
      <c r="R38" s="327">
        <f t="shared" ref="R38" si="23">N38-H38</f>
        <v>1.6999999999999932E-3</v>
      </c>
      <c r="S38" s="392">
        <f t="shared" ref="S38" si="24">O38-I38</f>
        <v>1.6999999999999932E-3</v>
      </c>
      <c r="T38" s="144"/>
      <c r="U38" s="122"/>
    </row>
    <row r="39" spans="1:23" s="112" customFormat="1" ht="12.95" customHeight="1">
      <c r="A39" s="402">
        <v>31</v>
      </c>
      <c r="B39" s="381" t="s">
        <v>257</v>
      </c>
      <c r="C39" s="382" t="s">
        <v>133</v>
      </c>
      <c r="D39" s="319">
        <v>282092191.77999997</v>
      </c>
      <c r="E39" s="331">
        <f>(D39/$J$54)</f>
        <v>3.3199910211593835E-4</v>
      </c>
      <c r="F39" s="308">
        <v>1</v>
      </c>
      <c r="G39" s="308">
        <v>1</v>
      </c>
      <c r="H39" s="318">
        <v>6.7900000000000002E-2</v>
      </c>
      <c r="I39" s="318">
        <v>6.7900000000000002E-2</v>
      </c>
      <c r="J39" s="319">
        <v>282469840.45999998</v>
      </c>
      <c r="K39" s="331">
        <f t="shared" si="16"/>
        <v>3.3244356327554765E-4</v>
      </c>
      <c r="L39" s="308">
        <v>1</v>
      </c>
      <c r="M39" s="308">
        <v>1</v>
      </c>
      <c r="N39" s="318">
        <v>7.3700000000000002E-2</v>
      </c>
      <c r="O39" s="318">
        <v>7.3700000000000002E-2</v>
      </c>
      <c r="P39" s="327">
        <f t="shared" si="17"/>
        <v>1.3387420531459815E-3</v>
      </c>
      <c r="Q39" s="327">
        <f t="shared" si="18"/>
        <v>0</v>
      </c>
      <c r="R39" s="327">
        <f t="shared" si="19"/>
        <v>5.7999999999999996E-3</v>
      </c>
      <c r="S39" s="392">
        <f t="shared" si="20"/>
        <v>5.7999999999999996E-3</v>
      </c>
      <c r="T39" s="144"/>
      <c r="U39" s="122"/>
      <c r="V39" s="124"/>
    </row>
    <row r="40" spans="1:23" s="112" customFormat="1" ht="12.95" customHeight="1">
      <c r="A40" s="401">
        <v>32</v>
      </c>
      <c r="B40" s="381" t="s">
        <v>122</v>
      </c>
      <c r="C40" s="382" t="s">
        <v>174</v>
      </c>
      <c r="D40" s="319">
        <v>582641695.84000003</v>
      </c>
      <c r="E40" s="191">
        <v>4.9799999999999997E-2</v>
      </c>
      <c r="F40" s="308">
        <v>10</v>
      </c>
      <c r="G40" s="308">
        <v>10</v>
      </c>
      <c r="H40" s="332">
        <v>8.3500000000000005E-2</v>
      </c>
      <c r="I40" s="332">
        <v>8.3500000000000005E-2</v>
      </c>
      <c r="J40" s="319">
        <v>580975656.15999997</v>
      </c>
      <c r="K40" s="331">
        <f t="shared" si="16"/>
        <v>6.8376013876614273E-4</v>
      </c>
      <c r="L40" s="308">
        <v>10</v>
      </c>
      <c r="M40" s="308">
        <v>10</v>
      </c>
      <c r="N40" s="332">
        <v>8.3799999999999999E-2</v>
      </c>
      <c r="O40" s="332">
        <v>8.3799999999999999E-2</v>
      </c>
      <c r="P40" s="109">
        <f t="shared" si="17"/>
        <v>-2.8594583805028263E-3</v>
      </c>
      <c r="Q40" s="327">
        <f t="shared" si="18"/>
        <v>0</v>
      </c>
      <c r="R40" s="327">
        <f t="shared" si="19"/>
        <v>2.9999999999999472E-4</v>
      </c>
      <c r="S40" s="392">
        <f t="shared" si="20"/>
        <v>2.9999999999999472E-4</v>
      </c>
      <c r="T40" s="155"/>
      <c r="U40" s="380"/>
      <c r="V40" s="184"/>
    </row>
    <row r="41" spans="1:23" s="112" customFormat="1" ht="12.95" customHeight="1">
      <c r="A41" s="400">
        <v>33</v>
      </c>
      <c r="B41" s="381" t="s">
        <v>86</v>
      </c>
      <c r="C41" s="382" t="s">
        <v>87</v>
      </c>
      <c r="D41" s="319">
        <v>3664356200.4320264</v>
      </c>
      <c r="E41" s="191">
        <v>4.2599999999999999E-2</v>
      </c>
      <c r="F41" s="308">
        <v>100</v>
      </c>
      <c r="G41" s="308">
        <v>100</v>
      </c>
      <c r="H41" s="332">
        <v>9.6799999999999997E-2</v>
      </c>
      <c r="I41" s="332">
        <v>9.6799999999999997E-2</v>
      </c>
      <c r="J41" s="319">
        <v>3676866131.9580865</v>
      </c>
      <c r="K41" s="331">
        <f t="shared" si="16"/>
        <v>4.327366336189159E-3</v>
      </c>
      <c r="L41" s="308">
        <v>100</v>
      </c>
      <c r="M41" s="308">
        <v>100</v>
      </c>
      <c r="N41" s="332">
        <v>9.2600000000000002E-2</v>
      </c>
      <c r="O41" s="332">
        <v>9.2600000000000002E-2</v>
      </c>
      <c r="P41" s="327">
        <f t="shared" si="17"/>
        <v>3.4139507301678769E-3</v>
      </c>
      <c r="Q41" s="327">
        <f t="shared" si="18"/>
        <v>0</v>
      </c>
      <c r="R41" s="327">
        <f t="shared" si="19"/>
        <v>-4.1999999999999954E-3</v>
      </c>
      <c r="S41" s="392">
        <f t="shared" si="20"/>
        <v>-4.1999999999999954E-3</v>
      </c>
      <c r="T41" s="146"/>
      <c r="U41" s="122"/>
    </row>
    <row r="42" spans="1:23" s="328" customFormat="1" ht="12.95" customHeight="1">
      <c r="A42" s="402">
        <v>34</v>
      </c>
      <c r="B42" s="381" t="s">
        <v>264</v>
      </c>
      <c r="C42" s="382" t="s">
        <v>240</v>
      </c>
      <c r="D42" s="319">
        <v>20727741540.740002</v>
      </c>
      <c r="E42" s="191">
        <v>4.7199999999999999E-2</v>
      </c>
      <c r="F42" s="308">
        <v>100</v>
      </c>
      <c r="G42" s="308">
        <v>100</v>
      </c>
      <c r="H42" s="332">
        <v>8.7900000000000006E-2</v>
      </c>
      <c r="I42" s="332">
        <v>9.3299999999999994E-2</v>
      </c>
      <c r="J42" s="319">
        <v>20819675331.599998</v>
      </c>
      <c r="K42" s="331">
        <f t="shared" ref="K42" si="25">(J42/$J$54)</f>
        <v>2.4503030278226267E-2</v>
      </c>
      <c r="L42" s="308">
        <v>100</v>
      </c>
      <c r="M42" s="308">
        <v>100</v>
      </c>
      <c r="N42" s="332">
        <v>9.5000000000000001E-2</v>
      </c>
      <c r="O42" s="332">
        <v>9.9099999999999994E-2</v>
      </c>
      <c r="P42" s="327">
        <f t="shared" ref="P42" si="26">((J42-D42)/D42)</f>
        <v>4.4353018720974784E-3</v>
      </c>
      <c r="Q42" s="327">
        <f t="shared" ref="Q42" si="27">((M42-G42)/G42)</f>
        <v>0</v>
      </c>
      <c r="R42" s="327">
        <f t="shared" ref="R42" si="28">N42-H42</f>
        <v>7.0999999999999952E-3</v>
      </c>
      <c r="S42" s="392">
        <f t="shared" ref="S42" si="29">O42-I42</f>
        <v>5.7999999999999996E-3</v>
      </c>
      <c r="T42" s="146"/>
      <c r="U42" s="122"/>
    </row>
    <row r="43" spans="1:23" s="112" customFormat="1" ht="12.95" customHeight="1">
      <c r="A43" s="402">
        <v>35</v>
      </c>
      <c r="B43" s="381" t="s">
        <v>121</v>
      </c>
      <c r="C43" s="382" t="s">
        <v>132</v>
      </c>
      <c r="D43" s="319">
        <v>3120431897.5</v>
      </c>
      <c r="E43" s="191">
        <v>4.8399999999999999E-2</v>
      </c>
      <c r="F43" s="308">
        <v>1</v>
      </c>
      <c r="G43" s="308">
        <v>1</v>
      </c>
      <c r="H43" s="332">
        <v>8.0399999999999999E-2</v>
      </c>
      <c r="I43" s="332">
        <v>8.0399999999999999E-2</v>
      </c>
      <c r="J43" s="319">
        <v>3120959746.6900001</v>
      </c>
      <c r="K43" s="331">
        <f t="shared" ref="K43:K53" si="30">(J43/$J$54)</f>
        <v>3.673110649050332E-3</v>
      </c>
      <c r="L43" s="308">
        <v>1</v>
      </c>
      <c r="M43" s="308">
        <v>1</v>
      </c>
      <c r="N43" s="332">
        <v>8.0799999999999997E-2</v>
      </c>
      <c r="O43" s="332">
        <v>8.0799999999999997E-2</v>
      </c>
      <c r="P43" s="109">
        <f t="shared" si="17"/>
        <v>1.6915901623200134E-4</v>
      </c>
      <c r="Q43" s="109">
        <f t="shared" si="18"/>
        <v>0</v>
      </c>
      <c r="R43" s="327">
        <f t="shared" si="19"/>
        <v>3.9999999999999758E-4</v>
      </c>
      <c r="S43" s="392">
        <f t="shared" si="20"/>
        <v>3.9999999999999758E-4</v>
      </c>
      <c r="T43" s="144"/>
      <c r="U43" s="160"/>
      <c r="V43" s="184"/>
    </row>
    <row r="44" spans="1:23" s="112" customFormat="1" ht="12.95" customHeight="1">
      <c r="A44" s="402">
        <v>36</v>
      </c>
      <c r="B44" s="381" t="s">
        <v>55</v>
      </c>
      <c r="C44" s="382" t="s">
        <v>54</v>
      </c>
      <c r="D44" s="314">
        <v>3256369220.0500002</v>
      </c>
      <c r="E44" s="191">
        <v>6.4500000000000002E-2</v>
      </c>
      <c r="F44" s="308">
        <v>10</v>
      </c>
      <c r="G44" s="308">
        <v>10</v>
      </c>
      <c r="H44" s="332">
        <v>9.5299999999999996E-2</v>
      </c>
      <c r="I44" s="332">
        <v>9.5299999999999996E-2</v>
      </c>
      <c r="J44" s="314">
        <v>3358708338.1300001</v>
      </c>
      <c r="K44" s="331">
        <f t="shared" si="30"/>
        <v>3.952921013135019E-3</v>
      </c>
      <c r="L44" s="308">
        <v>10</v>
      </c>
      <c r="M44" s="308">
        <v>10</v>
      </c>
      <c r="N44" s="332">
        <v>0.1125</v>
      </c>
      <c r="O44" s="332">
        <v>0.1125</v>
      </c>
      <c r="P44" s="327">
        <f t="shared" si="17"/>
        <v>3.1427369307473231E-2</v>
      </c>
      <c r="Q44" s="327">
        <f t="shared" si="18"/>
        <v>0</v>
      </c>
      <c r="R44" s="327">
        <f t="shared" si="19"/>
        <v>1.7200000000000007E-2</v>
      </c>
      <c r="S44" s="392">
        <f t="shared" si="20"/>
        <v>1.7200000000000007E-2</v>
      </c>
      <c r="T44" s="144"/>
      <c r="U44" s="160"/>
      <c r="V44" s="184"/>
    </row>
    <row r="45" spans="1:23" s="112" customFormat="1" ht="12.95" customHeight="1">
      <c r="A45" s="402">
        <v>37</v>
      </c>
      <c r="B45" s="381" t="s">
        <v>187</v>
      </c>
      <c r="C45" s="382" t="s">
        <v>171</v>
      </c>
      <c r="D45" s="319">
        <v>5124066632.3999996</v>
      </c>
      <c r="E45" s="191">
        <v>7.8700000000000006E-2</v>
      </c>
      <c r="F45" s="308">
        <v>100</v>
      </c>
      <c r="G45" s="308">
        <v>100</v>
      </c>
      <c r="H45" s="332">
        <v>0.1241</v>
      </c>
      <c r="I45" s="332">
        <v>0.1241</v>
      </c>
      <c r="J45" s="319">
        <v>5218311559.0299997</v>
      </c>
      <c r="K45" s="331">
        <f t="shared" si="30"/>
        <v>6.1415196969021989E-3</v>
      </c>
      <c r="L45" s="308">
        <v>100</v>
      </c>
      <c r="M45" s="308">
        <v>100</v>
      </c>
      <c r="N45" s="332">
        <v>0.124</v>
      </c>
      <c r="O45" s="332">
        <v>0.124</v>
      </c>
      <c r="P45" s="327">
        <f t="shared" si="17"/>
        <v>1.8392603646892443E-2</v>
      </c>
      <c r="Q45" s="327">
        <f t="shared" si="18"/>
        <v>0</v>
      </c>
      <c r="R45" s="327">
        <f t="shared" si="19"/>
        <v>-1.0000000000000286E-4</v>
      </c>
      <c r="S45" s="392">
        <f t="shared" si="20"/>
        <v>-1.0000000000000286E-4</v>
      </c>
      <c r="T45" s="144"/>
      <c r="U45" s="122"/>
    </row>
    <row r="46" spans="1:23" s="112" customFormat="1" ht="12.95" customHeight="1">
      <c r="A46" s="400">
        <v>38</v>
      </c>
      <c r="B46" s="381" t="s">
        <v>161</v>
      </c>
      <c r="C46" s="382" t="s">
        <v>159</v>
      </c>
      <c r="D46" s="319">
        <v>160860537.30000001</v>
      </c>
      <c r="E46" s="191">
        <v>2.9985000000000001E-2</v>
      </c>
      <c r="F46" s="308">
        <v>1</v>
      </c>
      <c r="G46" s="308">
        <v>1</v>
      </c>
      <c r="H46" s="332">
        <v>7.9600000000000004E-2</v>
      </c>
      <c r="I46" s="332">
        <v>7.9377000000000003E-2</v>
      </c>
      <c r="J46" s="319">
        <v>160591347.16999999</v>
      </c>
      <c r="K46" s="331">
        <f t="shared" si="30"/>
        <v>1.8900268997735863E-4</v>
      </c>
      <c r="L46" s="308">
        <v>1</v>
      </c>
      <c r="M46" s="308">
        <v>1</v>
      </c>
      <c r="N46" s="332">
        <v>7.9514000000000001E-2</v>
      </c>
      <c r="O46" s="332">
        <v>7.9514000000000001E-2</v>
      </c>
      <c r="P46" s="327">
        <f t="shared" si="17"/>
        <v>-1.6734379638307041E-3</v>
      </c>
      <c r="Q46" s="327">
        <f t="shared" si="18"/>
        <v>0</v>
      </c>
      <c r="R46" s="327">
        <f t="shared" si="19"/>
        <v>-8.6000000000002741E-5</v>
      </c>
      <c r="S46" s="392">
        <f t="shared" si="20"/>
        <v>1.3699999999999823E-4</v>
      </c>
      <c r="T46" s="144"/>
      <c r="U46" s="122"/>
    </row>
    <row r="47" spans="1:23" s="112" customFormat="1" ht="12.95" customHeight="1">
      <c r="A47" s="399">
        <v>39</v>
      </c>
      <c r="B47" s="381" t="s">
        <v>95</v>
      </c>
      <c r="C47" s="382" t="s">
        <v>90</v>
      </c>
      <c r="D47" s="314">
        <v>444577124.85000002</v>
      </c>
      <c r="E47" s="191">
        <v>6.6600000000000006E-2</v>
      </c>
      <c r="F47" s="308">
        <v>10</v>
      </c>
      <c r="G47" s="308">
        <v>10</v>
      </c>
      <c r="H47" s="332">
        <v>8.1699999999999995E-2</v>
      </c>
      <c r="I47" s="332">
        <v>8.1699999999999995E-2</v>
      </c>
      <c r="J47" s="314">
        <v>379388552.99000001</v>
      </c>
      <c r="K47" s="331">
        <f t="shared" si="30"/>
        <v>4.4650884574634755E-4</v>
      </c>
      <c r="L47" s="308">
        <v>10</v>
      </c>
      <c r="M47" s="308">
        <v>10</v>
      </c>
      <c r="N47" s="332">
        <v>3.7999999999999999E-2</v>
      </c>
      <c r="O47" s="332">
        <v>3.7999999999999999E-2</v>
      </c>
      <c r="P47" s="327">
        <f t="shared" si="17"/>
        <v>-0.14663051294417045</v>
      </c>
      <c r="Q47" s="327">
        <f t="shared" si="18"/>
        <v>0</v>
      </c>
      <c r="R47" s="327">
        <f t="shared" si="19"/>
        <v>-4.3699999999999996E-2</v>
      </c>
      <c r="S47" s="392">
        <f t="shared" si="20"/>
        <v>-4.3699999999999996E-2</v>
      </c>
      <c r="T47" s="153"/>
      <c r="U47" s="122"/>
    </row>
    <row r="48" spans="1:23" s="112" customFormat="1" ht="12.95" customHeight="1">
      <c r="A48" s="406">
        <v>40</v>
      </c>
      <c r="B48" s="381" t="s">
        <v>34</v>
      </c>
      <c r="C48" s="382" t="s">
        <v>5</v>
      </c>
      <c r="D48" s="319">
        <v>359487869924.65002</v>
      </c>
      <c r="E48" s="191">
        <v>3.6200000000000003E-2</v>
      </c>
      <c r="F48" s="308">
        <v>100</v>
      </c>
      <c r="G48" s="308">
        <v>100</v>
      </c>
      <c r="H48" s="332">
        <v>9.74E-2</v>
      </c>
      <c r="I48" s="332">
        <v>9.74E-2</v>
      </c>
      <c r="J48" s="319">
        <v>368495914199.96002</v>
      </c>
      <c r="K48" s="331">
        <f t="shared" si="30"/>
        <v>0.43368911374615504</v>
      </c>
      <c r="L48" s="308">
        <v>100</v>
      </c>
      <c r="M48" s="308">
        <v>100</v>
      </c>
      <c r="N48" s="332">
        <v>9.5500000000000002E-2</v>
      </c>
      <c r="O48" s="332">
        <v>9.5500000000000002E-2</v>
      </c>
      <c r="P48" s="327">
        <f t="shared" si="17"/>
        <v>2.5057992296647218E-2</v>
      </c>
      <c r="Q48" s="327">
        <f t="shared" si="18"/>
        <v>0</v>
      </c>
      <c r="R48" s="327">
        <f t="shared" si="19"/>
        <v>-1.8999999999999989E-3</v>
      </c>
      <c r="S48" s="392">
        <f t="shared" si="20"/>
        <v>-1.8999999999999989E-3</v>
      </c>
      <c r="T48" s="153"/>
      <c r="U48" s="122"/>
    </row>
    <row r="49" spans="1:23" s="112" customFormat="1" ht="12.95" customHeight="1">
      <c r="A49" s="400">
        <v>41</v>
      </c>
      <c r="B49" s="381" t="s">
        <v>149</v>
      </c>
      <c r="C49" s="382" t="s">
        <v>148</v>
      </c>
      <c r="D49" s="319">
        <v>2465904567.0599999</v>
      </c>
      <c r="E49" s="191">
        <v>5.3145060299999998E-2</v>
      </c>
      <c r="F49" s="308">
        <v>1</v>
      </c>
      <c r="G49" s="308">
        <v>1</v>
      </c>
      <c r="H49" s="332">
        <v>0.12968128649348257</v>
      </c>
      <c r="I49" s="332">
        <v>0.12968128649348257</v>
      </c>
      <c r="J49" s="319">
        <v>2501180309.77</v>
      </c>
      <c r="K49" s="331">
        <f t="shared" si="30"/>
        <v>2.9436816802122429E-3</v>
      </c>
      <c r="L49" s="308">
        <v>1</v>
      </c>
      <c r="M49" s="308">
        <v>1</v>
      </c>
      <c r="N49" s="332">
        <v>0.13062504020782476</v>
      </c>
      <c r="O49" s="332">
        <v>0.13062504020782476</v>
      </c>
      <c r="P49" s="327">
        <f t="shared" si="17"/>
        <v>1.4305396559631625E-2</v>
      </c>
      <c r="Q49" s="327">
        <f t="shared" si="18"/>
        <v>0</v>
      </c>
      <c r="R49" s="327">
        <f t="shared" si="19"/>
        <v>9.4375371434218813E-4</v>
      </c>
      <c r="S49" s="392">
        <f t="shared" si="20"/>
        <v>9.4375371434218813E-4</v>
      </c>
      <c r="T49" s="144"/>
      <c r="U49" s="122"/>
    </row>
    <row r="50" spans="1:23" s="112" customFormat="1" ht="12.95" customHeight="1">
      <c r="A50" s="399">
        <v>42</v>
      </c>
      <c r="B50" s="381" t="s">
        <v>76</v>
      </c>
      <c r="C50" s="382" t="s">
        <v>41</v>
      </c>
      <c r="D50" s="319">
        <v>44142719365.25</v>
      </c>
      <c r="E50" s="191">
        <v>5.2600000000000001E-2</v>
      </c>
      <c r="F50" s="308">
        <v>1</v>
      </c>
      <c r="G50" s="308">
        <v>1</v>
      </c>
      <c r="H50" s="332">
        <v>9.6299999999999997E-2</v>
      </c>
      <c r="I50" s="332">
        <v>9.6299999999999997E-2</v>
      </c>
      <c r="J50" s="319">
        <v>44998669499.120003</v>
      </c>
      <c r="K50" s="331">
        <f t="shared" si="30"/>
        <v>5.2959700074828156E-2</v>
      </c>
      <c r="L50" s="308">
        <v>1</v>
      </c>
      <c r="M50" s="308">
        <v>1</v>
      </c>
      <c r="N50" s="332">
        <v>9.5600000000000004E-2</v>
      </c>
      <c r="O50" s="332">
        <v>9.5600000000000004E-2</v>
      </c>
      <c r="P50" s="327">
        <f t="shared" si="17"/>
        <v>1.939051662829416E-2</v>
      </c>
      <c r="Q50" s="327">
        <f t="shared" si="18"/>
        <v>0</v>
      </c>
      <c r="R50" s="327">
        <f t="shared" si="19"/>
        <v>-6.999999999999923E-4</v>
      </c>
      <c r="S50" s="392">
        <f t="shared" si="20"/>
        <v>-6.999999999999923E-4</v>
      </c>
      <c r="T50" s="144"/>
      <c r="U50" s="122"/>
    </row>
    <row r="51" spans="1:23" s="112" customFormat="1" ht="12.95" customHeight="1">
      <c r="A51" s="402">
        <v>43</v>
      </c>
      <c r="B51" s="381" t="s">
        <v>158</v>
      </c>
      <c r="C51" s="382" t="s">
        <v>106</v>
      </c>
      <c r="D51" s="319">
        <v>1967988588.8</v>
      </c>
      <c r="E51" s="191">
        <v>6.4199999999999993E-2</v>
      </c>
      <c r="F51" s="308">
        <v>1</v>
      </c>
      <c r="G51" s="308">
        <v>1</v>
      </c>
      <c r="H51" s="332">
        <v>7.1400000000000005E-2</v>
      </c>
      <c r="I51" s="332">
        <v>7.1400000000000005E-2</v>
      </c>
      <c r="J51" s="319">
        <v>1979283363.6099999</v>
      </c>
      <c r="K51" s="331">
        <f t="shared" si="30"/>
        <v>2.3294522808487159E-3</v>
      </c>
      <c r="L51" s="308">
        <v>1</v>
      </c>
      <c r="M51" s="308">
        <v>1</v>
      </c>
      <c r="N51" s="332">
        <v>7.3400000000000007E-2</v>
      </c>
      <c r="O51" s="332">
        <v>7.3400000000000007E-2</v>
      </c>
      <c r="P51" s="327">
        <f t="shared" si="17"/>
        <v>5.7392481207866356E-3</v>
      </c>
      <c r="Q51" s="327">
        <f t="shared" si="18"/>
        <v>0</v>
      </c>
      <c r="R51" s="327">
        <f t="shared" si="19"/>
        <v>2.0000000000000018E-3</v>
      </c>
      <c r="S51" s="392">
        <f t="shared" si="20"/>
        <v>2.0000000000000018E-3</v>
      </c>
      <c r="T51" s="88"/>
      <c r="U51" s="122"/>
    </row>
    <row r="52" spans="1:23" s="112" customFormat="1" ht="12.95" customHeight="1">
      <c r="A52" s="400">
        <v>44</v>
      </c>
      <c r="B52" s="381" t="s">
        <v>131</v>
      </c>
      <c r="C52" s="382" t="s">
        <v>38</v>
      </c>
      <c r="D52" s="319">
        <v>1015207083.27</v>
      </c>
      <c r="E52" s="191">
        <v>2.2200000000000001E-2</v>
      </c>
      <c r="F52" s="308">
        <v>1</v>
      </c>
      <c r="G52" s="308">
        <v>1</v>
      </c>
      <c r="H52" s="332">
        <v>9.6299999999999997E-2</v>
      </c>
      <c r="I52" s="332">
        <v>9.6299999999999997E-2</v>
      </c>
      <c r="J52" s="319">
        <v>1004353231.09</v>
      </c>
      <c r="K52" s="331">
        <f t="shared" si="30"/>
        <v>1.1820404131893537E-3</v>
      </c>
      <c r="L52" s="308">
        <v>1</v>
      </c>
      <c r="M52" s="308">
        <v>1</v>
      </c>
      <c r="N52" s="332">
        <v>9.7500000000000003E-2</v>
      </c>
      <c r="O52" s="332">
        <v>9.7500000000000003E-2</v>
      </c>
      <c r="P52" s="327">
        <f t="shared" si="17"/>
        <v>-1.0691269159627509E-2</v>
      </c>
      <c r="Q52" s="327">
        <f t="shared" si="18"/>
        <v>0</v>
      </c>
      <c r="R52" s="327">
        <f t="shared" si="19"/>
        <v>1.2000000000000066E-3</v>
      </c>
      <c r="S52" s="392">
        <f t="shared" si="20"/>
        <v>1.2000000000000066E-3</v>
      </c>
      <c r="U52" s="122"/>
    </row>
    <row r="53" spans="1:23" s="112" customFormat="1" ht="12.95" customHeight="1">
      <c r="A53" s="402">
        <v>45</v>
      </c>
      <c r="B53" s="381" t="s">
        <v>112</v>
      </c>
      <c r="C53" s="382" t="s">
        <v>12</v>
      </c>
      <c r="D53" s="319">
        <v>26308915745.709999</v>
      </c>
      <c r="E53" s="191">
        <v>5.9200000000000003E-2</v>
      </c>
      <c r="F53" s="308">
        <v>1</v>
      </c>
      <c r="G53" s="308">
        <v>1</v>
      </c>
      <c r="H53" s="332">
        <v>9.7699999999999995E-2</v>
      </c>
      <c r="I53" s="332">
        <v>9.7699999999999995E-2</v>
      </c>
      <c r="J53" s="319">
        <v>26925563776.720001</v>
      </c>
      <c r="K53" s="331">
        <f t="shared" si="30"/>
        <v>3.168915432018795E-2</v>
      </c>
      <c r="L53" s="308">
        <v>1</v>
      </c>
      <c r="M53" s="308">
        <v>1</v>
      </c>
      <c r="N53" s="332">
        <v>9.8299999999999998E-2</v>
      </c>
      <c r="O53" s="332">
        <v>9.8299999999999998E-2</v>
      </c>
      <c r="P53" s="327">
        <f t="shared" si="17"/>
        <v>2.3438747418184816E-2</v>
      </c>
      <c r="Q53" s="327">
        <f t="shared" si="18"/>
        <v>0</v>
      </c>
      <c r="R53" s="327">
        <f t="shared" si="19"/>
        <v>6.0000000000000331E-4</v>
      </c>
      <c r="S53" s="392">
        <f t="shared" si="20"/>
        <v>6.0000000000000331E-4</v>
      </c>
      <c r="T53" s="161"/>
      <c r="U53" s="122"/>
    </row>
    <row r="54" spans="1:23" s="112" customFormat="1" ht="12.95" customHeight="1">
      <c r="A54" s="212"/>
      <c r="C54" s="242" t="s">
        <v>42</v>
      </c>
      <c r="D54" s="76">
        <f>SUM(D25:D53)</f>
        <v>842959336565.12207</v>
      </c>
      <c r="E54" s="260">
        <f>(D54/$D$170)</f>
        <v>0.43675870992837779</v>
      </c>
      <c r="F54" s="262"/>
      <c r="G54" s="73"/>
      <c r="H54" s="278"/>
      <c r="I54" s="278"/>
      <c r="J54" s="76">
        <f>SUM(J25:J53)</f>
        <v>849677574373.34802</v>
      </c>
      <c r="K54" s="260">
        <f>(J54/$J$170)</f>
        <v>0.44079887178002808</v>
      </c>
      <c r="L54" s="262"/>
      <c r="M54" s="73"/>
      <c r="N54" s="278"/>
      <c r="O54" s="278"/>
      <c r="P54" s="264">
        <f t="shared" ref="P54" si="31">((J54-D54)/D54)</f>
        <v>7.9698243044573486E-3</v>
      </c>
      <c r="Q54" s="264"/>
      <c r="R54" s="264">
        <f t="shared" ref="R54:S54" si="32">N54-H54</f>
        <v>0</v>
      </c>
      <c r="S54" s="392">
        <f t="shared" si="32"/>
        <v>0</v>
      </c>
    </row>
    <row r="55" spans="1:23" s="112" customFormat="1" ht="4.5" customHeight="1">
      <c r="A55" s="408">
        <v>1</v>
      </c>
      <c r="B55" s="409"/>
      <c r="C55" s="410"/>
      <c r="D55" s="410"/>
      <c r="E55" s="410"/>
      <c r="F55" s="410"/>
      <c r="G55" s="410"/>
      <c r="H55" s="410"/>
      <c r="I55" s="410"/>
      <c r="J55" s="410"/>
      <c r="K55" s="410"/>
      <c r="L55" s="410"/>
      <c r="M55" s="410"/>
      <c r="N55" s="410"/>
      <c r="O55" s="410"/>
      <c r="P55" s="410"/>
      <c r="Q55" s="410"/>
      <c r="R55" s="410"/>
      <c r="S55" s="411"/>
    </row>
    <row r="56" spans="1:23" s="112" customFormat="1" ht="12.95" customHeight="1">
      <c r="A56" s="428" t="s">
        <v>258</v>
      </c>
      <c r="B56" s="429"/>
      <c r="C56" s="430"/>
      <c r="D56" s="430"/>
      <c r="E56" s="430"/>
      <c r="F56" s="430"/>
      <c r="G56" s="430"/>
      <c r="H56" s="430"/>
      <c r="I56" s="430"/>
      <c r="J56" s="430"/>
      <c r="K56" s="430"/>
      <c r="L56" s="430"/>
      <c r="M56" s="430"/>
      <c r="N56" s="430"/>
      <c r="O56" s="430"/>
      <c r="P56" s="430"/>
      <c r="Q56" s="430"/>
      <c r="R56" s="430"/>
      <c r="S56" s="431"/>
      <c r="V56" s="124"/>
      <c r="W56" s="125"/>
    </row>
    <row r="57" spans="1:23" s="112" customFormat="1" ht="12.95" customHeight="1">
      <c r="A57" s="400">
        <v>46</v>
      </c>
      <c r="B57" s="381" t="s">
        <v>137</v>
      </c>
      <c r="C57" s="382" t="s">
        <v>134</v>
      </c>
      <c r="D57" s="324">
        <v>460243201.17000002</v>
      </c>
      <c r="E57" s="331">
        <f>(D57/$D$86)</f>
        <v>1.5226606442043161E-3</v>
      </c>
      <c r="F57" s="325">
        <v>1.2744</v>
      </c>
      <c r="G57" s="325">
        <v>1.2744</v>
      </c>
      <c r="H57" s="332">
        <v>4.548E-3</v>
      </c>
      <c r="I57" s="332">
        <v>3.5099999999999999E-2</v>
      </c>
      <c r="J57" s="324">
        <v>459244336.80000001</v>
      </c>
      <c r="K57" s="331">
        <f t="shared" ref="K57:K76" si="33">(J57/$J$86)</f>
        <v>1.532763938836101E-3</v>
      </c>
      <c r="L57" s="325">
        <v>1.2742</v>
      </c>
      <c r="M57" s="325">
        <v>1.2742</v>
      </c>
      <c r="N57" s="332">
        <v>5.6080000000000001E-3</v>
      </c>
      <c r="O57" s="332">
        <v>3.49E-2</v>
      </c>
      <c r="P57" s="327">
        <f t="shared" ref="P57:P70" si="34">((J57-D57)/D57)</f>
        <v>-2.170296850579775E-3</v>
      </c>
      <c r="Q57" s="327">
        <f t="shared" ref="Q57:Q68" si="35">((M57-G57)/G57)</f>
        <v>-1.5693659761454643E-4</v>
      </c>
      <c r="R57" s="327">
        <f t="shared" ref="R57:R85" si="36">N57-H57</f>
        <v>1.0600000000000002E-3</v>
      </c>
      <c r="S57" s="392">
        <f t="shared" ref="S57:S85" si="37">O57-I57</f>
        <v>-1.9999999999999879E-4</v>
      </c>
      <c r="T57" s="144"/>
    </row>
    <row r="58" spans="1:23" s="112" customFormat="1" ht="12.95" customHeight="1">
      <c r="A58" s="400">
        <v>47</v>
      </c>
      <c r="B58" s="381" t="s">
        <v>143</v>
      </c>
      <c r="C58" s="382" t="s">
        <v>6</v>
      </c>
      <c r="D58" s="324">
        <v>861675753.65999997</v>
      </c>
      <c r="E58" s="331">
        <f>(D58/$D$86)</f>
        <v>2.850753155783277E-3</v>
      </c>
      <c r="F58" s="325">
        <v>1.1385000000000001</v>
      </c>
      <c r="G58" s="325">
        <v>1.1385000000000001</v>
      </c>
      <c r="H58" s="332">
        <v>4.1300000000000003E-2</v>
      </c>
      <c r="I58" s="332">
        <v>3.95E-2</v>
      </c>
      <c r="J58" s="324">
        <v>861863561.69000006</v>
      </c>
      <c r="K58" s="331">
        <f t="shared" si="33"/>
        <v>2.8765371321945836E-3</v>
      </c>
      <c r="L58" s="325">
        <v>1.1393</v>
      </c>
      <c r="M58" s="325">
        <v>1.1393</v>
      </c>
      <c r="N58" s="332">
        <v>3.6600000000000001E-2</v>
      </c>
      <c r="O58" s="332">
        <v>3.9399999999999998E-2</v>
      </c>
      <c r="P58" s="327">
        <f t="shared" si="34"/>
        <v>2.1795673047822104E-4</v>
      </c>
      <c r="Q58" s="327">
        <f t="shared" si="35"/>
        <v>7.026789635484513E-4</v>
      </c>
      <c r="R58" s="327">
        <f t="shared" si="36"/>
        <v>-4.7000000000000028E-3</v>
      </c>
      <c r="S58" s="392">
        <f t="shared" si="37"/>
        <v>-1.0000000000000286E-4</v>
      </c>
      <c r="T58" s="144"/>
      <c r="U58" s="126"/>
    </row>
    <row r="59" spans="1:23" s="112" customFormat="1" ht="12.95" customHeight="1">
      <c r="A59" s="406">
        <v>48</v>
      </c>
      <c r="B59" s="381" t="s">
        <v>224</v>
      </c>
      <c r="C59" s="382" t="s">
        <v>6</v>
      </c>
      <c r="D59" s="324">
        <v>935116612.34000003</v>
      </c>
      <c r="E59" s="331">
        <f>(D59/$D$86)</f>
        <v>3.0937236220592189E-3</v>
      </c>
      <c r="F59" s="325">
        <v>1.0439000000000001</v>
      </c>
      <c r="G59" s="325">
        <v>1.0439000000000001</v>
      </c>
      <c r="H59" s="332">
        <v>0.06</v>
      </c>
      <c r="I59" s="332">
        <v>1.1599999999999999E-2</v>
      </c>
      <c r="J59" s="324">
        <v>1006389302.11</v>
      </c>
      <c r="K59" s="331">
        <f t="shared" si="33"/>
        <v>3.3589031090794246E-3</v>
      </c>
      <c r="L59" s="325">
        <v>1.0452999999999999</v>
      </c>
      <c r="M59" s="325">
        <v>1.0452999999999999</v>
      </c>
      <c r="N59" s="332">
        <v>6.9900000000000004E-2</v>
      </c>
      <c r="O59" s="332">
        <v>1.32E-2</v>
      </c>
      <c r="P59" s="327">
        <f t="shared" si="34"/>
        <v>7.6217969854743495E-2</v>
      </c>
      <c r="Q59" s="327">
        <f t="shared" si="35"/>
        <v>1.3411246287957138E-3</v>
      </c>
      <c r="R59" s="327">
        <f t="shared" si="36"/>
        <v>9.900000000000006E-3</v>
      </c>
      <c r="S59" s="392">
        <f t="shared" si="37"/>
        <v>1.6000000000000007E-3</v>
      </c>
      <c r="T59" s="144"/>
      <c r="U59" s="127"/>
      <c r="V59" s="120"/>
    </row>
    <row r="60" spans="1:23" s="128" customFormat="1" ht="12.95" customHeight="1">
      <c r="A60" s="406">
        <v>49</v>
      </c>
      <c r="B60" s="381" t="s">
        <v>166</v>
      </c>
      <c r="C60" s="382" t="s">
        <v>146</v>
      </c>
      <c r="D60" s="324">
        <v>254744993.72</v>
      </c>
      <c r="E60" s="331">
        <f>(D60/$D$86)</f>
        <v>8.4279392994714695E-4</v>
      </c>
      <c r="F60" s="74">
        <v>1115.69</v>
      </c>
      <c r="G60" s="74">
        <v>1115.69</v>
      </c>
      <c r="H60" s="332">
        <v>1.8E-3</v>
      </c>
      <c r="I60" s="332">
        <v>5.1999999999999998E-2</v>
      </c>
      <c r="J60" s="324">
        <v>255214836.13999999</v>
      </c>
      <c r="K60" s="331">
        <f t="shared" si="33"/>
        <v>8.5179950223690265E-4</v>
      </c>
      <c r="L60" s="74">
        <v>1118.0899999999999</v>
      </c>
      <c r="M60" s="74">
        <v>1118.0899999999999</v>
      </c>
      <c r="N60" s="332">
        <v>1.8E-3</v>
      </c>
      <c r="O60" s="332">
        <v>5.1999999999999998E-2</v>
      </c>
      <c r="P60" s="327">
        <f t="shared" si="34"/>
        <v>1.8443637032428152E-3</v>
      </c>
      <c r="Q60" s="327">
        <f t="shared" si="35"/>
        <v>2.1511351719562454E-3</v>
      </c>
      <c r="R60" s="327">
        <f t="shared" si="36"/>
        <v>0</v>
      </c>
      <c r="S60" s="392">
        <f t="shared" si="37"/>
        <v>0</v>
      </c>
      <c r="T60" s="153"/>
      <c r="U60" s="162"/>
    </row>
    <row r="61" spans="1:23" s="112" customFormat="1" ht="12.95" customHeight="1">
      <c r="A61" s="406">
        <v>50</v>
      </c>
      <c r="B61" s="381" t="s">
        <v>175</v>
      </c>
      <c r="C61" s="382" t="s">
        <v>176</v>
      </c>
      <c r="D61" s="324">
        <v>1395601657.3800001</v>
      </c>
      <c r="E61" s="331">
        <f>(D61/$J$86)</f>
        <v>4.6579298251500176E-3</v>
      </c>
      <c r="F61" s="74">
        <v>1.0244</v>
      </c>
      <c r="G61" s="74">
        <v>1.0244</v>
      </c>
      <c r="H61" s="332">
        <v>1.4E-3</v>
      </c>
      <c r="I61" s="332">
        <v>5.7700000000000001E-2</v>
      </c>
      <c r="J61" s="324">
        <v>1424626858.46</v>
      </c>
      <c r="K61" s="331">
        <f t="shared" si="33"/>
        <v>4.7548037068028369E-3</v>
      </c>
      <c r="L61" s="74">
        <v>1.0258</v>
      </c>
      <c r="M61" s="74">
        <v>1.0258</v>
      </c>
      <c r="N61" s="332">
        <v>1.5E-3</v>
      </c>
      <c r="O61" s="332">
        <v>5.9200000000000003E-2</v>
      </c>
      <c r="P61" s="327">
        <f t="shared" si="34"/>
        <v>2.079762583149242E-2</v>
      </c>
      <c r="Q61" s="327">
        <f t="shared" si="35"/>
        <v>1.3666536509176765E-3</v>
      </c>
      <c r="R61" s="327">
        <f t="shared" si="36"/>
        <v>1.0000000000000005E-4</v>
      </c>
      <c r="S61" s="392">
        <f t="shared" si="37"/>
        <v>1.5000000000000013E-3</v>
      </c>
      <c r="T61" s="144"/>
      <c r="U61" s="131"/>
      <c r="V61" s="131"/>
    </row>
    <row r="62" spans="1:23" s="112" customFormat="1" ht="12.95" customHeight="1">
      <c r="A62" s="406">
        <v>51</v>
      </c>
      <c r="B62" s="381" t="s">
        <v>105</v>
      </c>
      <c r="C62" s="382" t="s">
        <v>102</v>
      </c>
      <c r="D62" s="324">
        <v>441185862.17000002</v>
      </c>
      <c r="E62" s="331">
        <f t="shared" ref="E62:E85" si="38">(D62/$D$86)</f>
        <v>1.4596116735627234E-3</v>
      </c>
      <c r="F62" s="74">
        <v>2.2905000000000002</v>
      </c>
      <c r="G62" s="74">
        <v>2.2905000000000002</v>
      </c>
      <c r="H62" s="332">
        <v>0.96217366448580532</v>
      </c>
      <c r="I62" s="332">
        <v>0.17100000000000001</v>
      </c>
      <c r="J62" s="324">
        <v>434950434.17000002</v>
      </c>
      <c r="K62" s="331">
        <f t="shared" si="33"/>
        <v>1.4516811362819651E-3</v>
      </c>
      <c r="L62" s="74">
        <v>2.2578999999999998</v>
      </c>
      <c r="M62" s="74">
        <v>2.2578999999999998</v>
      </c>
      <c r="N62" s="332">
        <v>-0.74213365765429551</v>
      </c>
      <c r="O62" s="332">
        <v>0.14498510427010919</v>
      </c>
      <c r="P62" s="109">
        <f t="shared" si="34"/>
        <v>-1.4133335935405229E-2</v>
      </c>
      <c r="Q62" s="109">
        <f t="shared" si="35"/>
        <v>-1.423270028378101E-2</v>
      </c>
      <c r="R62" s="327">
        <f t="shared" si="36"/>
        <v>-1.7043073221401008</v>
      </c>
      <c r="S62" s="392">
        <f t="shared" si="37"/>
        <v>-2.6014895729890825E-2</v>
      </c>
      <c r="T62" s="144"/>
      <c r="U62" s="131"/>
      <c r="V62" s="131"/>
    </row>
    <row r="63" spans="1:23" s="112" customFormat="1" ht="12" customHeight="1">
      <c r="A63" s="406">
        <v>52</v>
      </c>
      <c r="B63" s="381" t="s">
        <v>18</v>
      </c>
      <c r="C63" s="382" t="s">
        <v>7</v>
      </c>
      <c r="D63" s="324">
        <v>2348226752.8206201</v>
      </c>
      <c r="E63" s="331">
        <f t="shared" si="38"/>
        <v>7.7688327629786176E-3</v>
      </c>
      <c r="F63" s="324">
        <v>3912.2057688055502</v>
      </c>
      <c r="G63" s="324">
        <v>3912.2057688055502</v>
      </c>
      <c r="H63" s="332">
        <v>6.6097379954796365E-2</v>
      </c>
      <c r="I63" s="332">
        <v>7.6259686492900186E-2</v>
      </c>
      <c r="J63" s="324">
        <v>2349934232.31951</v>
      </c>
      <c r="K63" s="331">
        <f t="shared" si="33"/>
        <v>7.8430895305834965E-3</v>
      </c>
      <c r="L63" s="324">
        <v>3917.1594085253</v>
      </c>
      <c r="M63" s="324">
        <v>3917.1594085253</v>
      </c>
      <c r="N63" s="332">
        <v>6.6023349360522163E-2</v>
      </c>
      <c r="O63" s="332">
        <v>7.6083302145611639E-2</v>
      </c>
      <c r="P63" s="327">
        <f t="shared" si="34"/>
        <v>7.2713569796398474E-4</v>
      </c>
      <c r="Q63" s="327">
        <f t="shared" si="35"/>
        <v>1.2662012206127538E-3</v>
      </c>
      <c r="R63" s="327">
        <f t="shared" si="36"/>
        <v>-7.4030594274202E-5</v>
      </c>
      <c r="S63" s="392">
        <f t="shared" si="37"/>
        <v>-1.7638434728854679E-4</v>
      </c>
      <c r="T63" s="144"/>
      <c r="U63" s="164"/>
      <c r="V63" s="131"/>
    </row>
    <row r="64" spans="1:23" s="112" customFormat="1" ht="12.75" customHeight="1">
      <c r="A64" s="406">
        <v>53</v>
      </c>
      <c r="B64" s="381" t="s">
        <v>220</v>
      </c>
      <c r="C64" s="382" t="s">
        <v>88</v>
      </c>
      <c r="D64" s="324">
        <v>336186984.89999998</v>
      </c>
      <c r="E64" s="331">
        <f t="shared" si="38"/>
        <v>1.1122352045606007E-3</v>
      </c>
      <c r="F64" s="325">
        <v>109.51</v>
      </c>
      <c r="G64" s="325">
        <v>109.51</v>
      </c>
      <c r="H64" s="332">
        <v>2.7000000000000001E-3</v>
      </c>
      <c r="I64" s="332">
        <v>0.1205</v>
      </c>
      <c r="J64" s="324">
        <v>336593170</v>
      </c>
      <c r="K64" s="331">
        <f t="shared" si="33"/>
        <v>1.1234060644697956E-3</v>
      </c>
      <c r="L64" s="325">
        <v>108.48</v>
      </c>
      <c r="M64" s="325">
        <v>108.48</v>
      </c>
      <c r="N64" s="332">
        <v>2E-3</v>
      </c>
      <c r="O64" s="332">
        <v>9.9400000000000002E-2</v>
      </c>
      <c r="P64" s="327">
        <f t="shared" si="34"/>
        <v>1.2082118530580388E-3</v>
      </c>
      <c r="Q64" s="327">
        <f t="shared" si="35"/>
        <v>-9.405533741210859E-3</v>
      </c>
      <c r="R64" s="327">
        <f t="shared" si="36"/>
        <v>-7.000000000000001E-4</v>
      </c>
      <c r="S64" s="392">
        <f t="shared" si="37"/>
        <v>-2.1099999999999994E-2</v>
      </c>
      <c r="T64" s="146"/>
      <c r="U64" s="182"/>
      <c r="V64" s="165"/>
    </row>
    <row r="65" spans="1:23" s="112" customFormat="1" ht="12" customHeight="1">
      <c r="A65" s="406">
        <v>54</v>
      </c>
      <c r="B65" s="381" t="s">
        <v>110</v>
      </c>
      <c r="C65" s="382" t="s">
        <v>107</v>
      </c>
      <c r="D65" s="324">
        <v>348015758.39999998</v>
      </c>
      <c r="E65" s="331">
        <f t="shared" si="38"/>
        <v>1.151369314161503E-3</v>
      </c>
      <c r="F65" s="325">
        <v>1.3849</v>
      </c>
      <c r="G65" s="325">
        <v>1.3849</v>
      </c>
      <c r="H65" s="332">
        <v>-2.3E-3</v>
      </c>
      <c r="I65" s="332">
        <v>2.6800000000000001E-2</v>
      </c>
      <c r="J65" s="324">
        <v>346516104.82999998</v>
      </c>
      <c r="K65" s="331">
        <f t="shared" si="33"/>
        <v>1.1565246365589457E-3</v>
      </c>
      <c r="L65" s="325">
        <v>1.3849</v>
      </c>
      <c r="M65" s="325">
        <v>1.3849</v>
      </c>
      <c r="N65" s="332">
        <v>-4.3E-3</v>
      </c>
      <c r="O65" s="332">
        <v>2.2599999999999999E-2</v>
      </c>
      <c r="P65" s="327">
        <f t="shared" si="34"/>
        <v>-4.3091542086905483E-3</v>
      </c>
      <c r="Q65" s="327">
        <f t="shared" si="35"/>
        <v>0</v>
      </c>
      <c r="R65" s="327">
        <f t="shared" si="36"/>
        <v>-2E-3</v>
      </c>
      <c r="S65" s="392">
        <f t="shared" si="37"/>
        <v>-4.2000000000000023E-3</v>
      </c>
      <c r="T65" s="153"/>
      <c r="U65" s="184"/>
      <c r="V65" s="166"/>
      <c r="W65" s="182"/>
    </row>
    <row r="66" spans="1:23" s="328" customFormat="1" ht="12" customHeight="1">
      <c r="A66" s="406">
        <v>55</v>
      </c>
      <c r="B66" s="381" t="s">
        <v>282</v>
      </c>
      <c r="C66" s="382" t="s">
        <v>242</v>
      </c>
      <c r="D66" s="324">
        <v>71914070.189999998</v>
      </c>
      <c r="E66" s="331">
        <f t="shared" si="38"/>
        <v>2.3791926565019161E-4</v>
      </c>
      <c r="F66" s="74">
        <v>108.67319999999999</v>
      </c>
      <c r="G66" s="74">
        <v>108.67319999999999</v>
      </c>
      <c r="H66" s="332">
        <v>4.9856999999999999E-2</v>
      </c>
      <c r="I66" s="332">
        <v>6.6416000000000003E-2</v>
      </c>
      <c r="J66" s="324">
        <v>72028275.75</v>
      </c>
      <c r="K66" s="331">
        <f t="shared" si="33"/>
        <v>2.4040001106039293E-4</v>
      </c>
      <c r="L66" s="74">
        <v>108.90130000000001</v>
      </c>
      <c r="M66" s="74">
        <v>108.90130000000001</v>
      </c>
      <c r="N66" s="332">
        <v>5.0842999999999999E-2</v>
      </c>
      <c r="O66" s="332">
        <v>6.8316000000000002E-2</v>
      </c>
      <c r="P66" s="327">
        <f t="shared" si="34"/>
        <v>1.5880836628808033E-3</v>
      </c>
      <c r="Q66" s="327">
        <f t="shared" si="35"/>
        <v>2.0989535598474321E-3</v>
      </c>
      <c r="R66" s="327">
        <f t="shared" ref="R66" si="39">N66-H66</f>
        <v>9.8600000000000076E-4</v>
      </c>
      <c r="S66" s="392">
        <f t="shared" ref="S66" si="40">O66-I66</f>
        <v>1.8999999999999989E-3</v>
      </c>
      <c r="T66" s="153"/>
      <c r="U66" s="396"/>
      <c r="V66" s="166"/>
      <c r="W66" s="380"/>
    </row>
    <row r="67" spans="1:23" s="112" customFormat="1" ht="12.95" customHeight="1">
      <c r="A67" s="406">
        <v>56</v>
      </c>
      <c r="B67" s="381" t="s">
        <v>236</v>
      </c>
      <c r="C67" s="382" t="s">
        <v>235</v>
      </c>
      <c r="D67" s="324">
        <v>846444700.48000002</v>
      </c>
      <c r="E67" s="331">
        <f t="shared" si="38"/>
        <v>2.8003630029510081E-3</v>
      </c>
      <c r="F67" s="74">
        <v>1000</v>
      </c>
      <c r="G67" s="74">
        <v>1000</v>
      </c>
      <c r="H67" s="332">
        <v>1.9591030737129401E-5</v>
      </c>
      <c r="I67" s="332">
        <v>0.15859999999999999</v>
      </c>
      <c r="J67" s="324">
        <v>847333711.23000002</v>
      </c>
      <c r="K67" s="331">
        <f t="shared" si="33"/>
        <v>2.8280426184092823E-3</v>
      </c>
      <c r="L67" s="74">
        <v>1000</v>
      </c>
      <c r="M67" s="74">
        <v>1000</v>
      </c>
      <c r="N67" s="332">
        <v>1.05028804539242E-5</v>
      </c>
      <c r="O67" s="332">
        <v>0.15809999999999999</v>
      </c>
      <c r="P67" s="327">
        <f t="shared" si="34"/>
        <v>1.0502880453925245E-3</v>
      </c>
      <c r="Q67" s="327">
        <f t="shared" si="35"/>
        <v>0</v>
      </c>
      <c r="R67" s="327">
        <f t="shared" si="36"/>
        <v>-9.0881502832052003E-6</v>
      </c>
      <c r="S67" s="392">
        <f t="shared" si="37"/>
        <v>-5.0000000000000044E-4</v>
      </c>
      <c r="T67" s="144"/>
      <c r="U67" s="131"/>
      <c r="V67" s="166"/>
      <c r="W67" s="182"/>
    </row>
    <row r="68" spans="1:23" s="112" customFormat="1" ht="12.95" customHeight="1">
      <c r="A68" s="406">
        <v>57</v>
      </c>
      <c r="B68" s="381" t="s">
        <v>101</v>
      </c>
      <c r="C68" s="382" t="s">
        <v>98</v>
      </c>
      <c r="D68" s="324">
        <v>238202618.88999999</v>
      </c>
      <c r="E68" s="331">
        <f t="shared" si="38"/>
        <v>7.8806542325484882E-4</v>
      </c>
      <c r="F68" s="74">
        <v>1098.1500000000001</v>
      </c>
      <c r="G68" s="74">
        <v>1105.19</v>
      </c>
      <c r="H68" s="332">
        <v>-4.0000000000000001E-3</v>
      </c>
      <c r="I68" s="332">
        <v>5.6300000000000003E-2</v>
      </c>
      <c r="J68" s="324">
        <v>238658192.91</v>
      </c>
      <c r="K68" s="331">
        <f t="shared" si="33"/>
        <v>7.9654040885766158E-4</v>
      </c>
      <c r="L68" s="74">
        <v>1100.25</v>
      </c>
      <c r="M68" s="74">
        <v>1107.9100000000001</v>
      </c>
      <c r="N68" s="332">
        <v>2.2000000000000001E-3</v>
      </c>
      <c r="O68" s="332">
        <v>5.8500000000000003E-2</v>
      </c>
      <c r="P68" s="327">
        <f t="shared" si="34"/>
        <v>1.9125483259711392E-3</v>
      </c>
      <c r="Q68" s="327">
        <f t="shared" si="35"/>
        <v>2.4611152833449697E-3</v>
      </c>
      <c r="R68" s="327">
        <f t="shared" si="36"/>
        <v>6.2000000000000006E-3</v>
      </c>
      <c r="S68" s="392">
        <f t="shared" si="37"/>
        <v>2.2000000000000006E-3</v>
      </c>
      <c r="T68" s="144"/>
      <c r="U68" s="167"/>
      <c r="V68" s="163"/>
    </row>
    <row r="69" spans="1:23" s="112" customFormat="1" ht="12.95" customHeight="1">
      <c r="A69" s="406">
        <v>58</v>
      </c>
      <c r="B69" s="381" t="s">
        <v>169</v>
      </c>
      <c r="C69" s="382" t="s">
        <v>167</v>
      </c>
      <c r="D69" s="324">
        <v>734101319.90999997</v>
      </c>
      <c r="E69" s="331">
        <f t="shared" si="38"/>
        <v>2.4286881062964847E-3</v>
      </c>
      <c r="F69" s="309">
        <v>1.0808</v>
      </c>
      <c r="G69" s="309">
        <v>1.0808</v>
      </c>
      <c r="H69" s="332">
        <v>3.6425328077435627E-2</v>
      </c>
      <c r="I69" s="332">
        <v>0.10403391245937954</v>
      </c>
      <c r="J69" s="324">
        <v>735367361.01999998</v>
      </c>
      <c r="K69" s="331">
        <f t="shared" si="33"/>
        <v>2.4543461561713138E-3</v>
      </c>
      <c r="L69" s="309">
        <v>1.0828</v>
      </c>
      <c r="M69" s="309">
        <v>1.0828</v>
      </c>
      <c r="N69" s="332">
        <v>9.0999999999999998E-2</v>
      </c>
      <c r="O69" s="332">
        <v>0.10390000000000001</v>
      </c>
      <c r="P69" s="327">
        <f t="shared" si="34"/>
        <v>1.7246135862488705E-3</v>
      </c>
      <c r="Q69" s="327">
        <f>(M69-G69)/G69</f>
        <v>1.8504811250925257E-3</v>
      </c>
      <c r="R69" s="327">
        <f t="shared" si="36"/>
        <v>5.457467192256437E-2</v>
      </c>
      <c r="S69" s="392">
        <f t="shared" si="37"/>
        <v>-1.3391245937953433E-4</v>
      </c>
      <c r="T69" s="88"/>
      <c r="U69" s="166"/>
      <c r="V69" s="184"/>
    </row>
    <row r="70" spans="1:23" s="112" customFormat="1" ht="12" customHeight="1">
      <c r="A70" s="406">
        <v>59</v>
      </c>
      <c r="B70" s="381" t="s">
        <v>246</v>
      </c>
      <c r="C70" s="382" t="s">
        <v>184</v>
      </c>
      <c r="D70" s="324">
        <v>68823037503.279999</v>
      </c>
      <c r="E70" s="331">
        <f t="shared" si="38"/>
        <v>0.22769294658659026</v>
      </c>
      <c r="F70" s="309">
        <v>1594.58</v>
      </c>
      <c r="G70" s="324">
        <v>1594.587</v>
      </c>
      <c r="H70" s="332">
        <v>2.2000000000000001E-3</v>
      </c>
      <c r="I70" s="332">
        <v>0.1171</v>
      </c>
      <c r="J70" s="324">
        <v>67861706466.300003</v>
      </c>
      <c r="K70" s="331">
        <f t="shared" si="33"/>
        <v>0.2264937597798273</v>
      </c>
      <c r="L70" s="309">
        <v>1598.07</v>
      </c>
      <c r="M70" s="324">
        <v>1598.07</v>
      </c>
      <c r="N70" s="332">
        <v>2.2000000000000001E-3</v>
      </c>
      <c r="O70" s="332">
        <v>0.11749999999999999</v>
      </c>
      <c r="P70" s="327">
        <f t="shared" si="34"/>
        <v>-1.396815763811907E-2</v>
      </c>
      <c r="Q70" s="327">
        <f t="shared" ref="Q70:Q85" si="41">((M70-G70)/G70)</f>
        <v>2.1842646403112198E-3</v>
      </c>
      <c r="R70" s="327">
        <f t="shared" si="36"/>
        <v>0</v>
      </c>
      <c r="S70" s="392">
        <f t="shared" si="37"/>
        <v>3.9999999999999758E-4</v>
      </c>
      <c r="U70" s="166"/>
      <c r="V70" s="184"/>
    </row>
    <row r="71" spans="1:23" s="112" customFormat="1" ht="12.95" customHeight="1">
      <c r="A71" s="406">
        <v>60</v>
      </c>
      <c r="B71" s="381" t="s">
        <v>173</v>
      </c>
      <c r="C71" s="382" t="s">
        <v>174</v>
      </c>
      <c r="D71" s="324">
        <v>24417764.789999999</v>
      </c>
      <c r="E71" s="331">
        <f t="shared" si="38"/>
        <v>8.0783310585912826E-5</v>
      </c>
      <c r="F71" s="324">
        <v>0.74370000000000003</v>
      </c>
      <c r="G71" s="324">
        <v>0.74370000000000003</v>
      </c>
      <c r="H71" s="332">
        <v>2.3999999999999998E-3</v>
      </c>
      <c r="I71" s="332">
        <v>8.8400000000000006E-2</v>
      </c>
      <c r="J71" s="324">
        <v>24476051.5</v>
      </c>
      <c r="K71" s="331">
        <f t="shared" si="33"/>
        <v>8.1690738672371275E-5</v>
      </c>
      <c r="L71" s="324">
        <v>0.74550000000000005</v>
      </c>
      <c r="M71" s="324">
        <v>0.74550000000000005</v>
      </c>
      <c r="N71" s="332">
        <v>2.3999999999999998E-3</v>
      </c>
      <c r="O71" s="332">
        <v>9.0999999999999998E-2</v>
      </c>
      <c r="P71" s="109">
        <f t="shared" ref="P71:P85" si="42">((J71-D71)/D71)</f>
        <v>2.3870616537297268E-3</v>
      </c>
      <c r="Q71" s="109">
        <f t="shared" si="41"/>
        <v>2.4203307785397657E-3</v>
      </c>
      <c r="R71" s="327">
        <f t="shared" si="36"/>
        <v>0</v>
      </c>
      <c r="S71" s="392">
        <f t="shared" si="37"/>
        <v>2.5999999999999912E-3</v>
      </c>
      <c r="U71" s="435"/>
      <c r="V71" s="435"/>
    </row>
    <row r="72" spans="1:23" s="128" customFormat="1" ht="12.95" customHeight="1">
      <c r="A72" s="406">
        <v>61</v>
      </c>
      <c r="B72" s="381" t="s">
        <v>104</v>
      </c>
      <c r="C72" s="382" t="s">
        <v>103</v>
      </c>
      <c r="D72" s="324">
        <v>1077476702.75</v>
      </c>
      <c r="E72" s="331">
        <f t="shared" si="38"/>
        <v>3.5647052822372002E-3</v>
      </c>
      <c r="F72" s="324">
        <v>207.57930400000001</v>
      </c>
      <c r="G72" s="324">
        <v>209.32974899999999</v>
      </c>
      <c r="H72" s="332">
        <v>1.6999999999999999E-3</v>
      </c>
      <c r="I72" s="332">
        <v>4.9500000000000002E-2</v>
      </c>
      <c r="J72" s="324">
        <v>1078924488.9400001</v>
      </c>
      <c r="K72" s="331">
        <f t="shared" si="33"/>
        <v>3.6009949755670058E-3</v>
      </c>
      <c r="L72" s="324">
        <v>208.07453899999999</v>
      </c>
      <c r="M72" s="324">
        <v>209.91264899999999</v>
      </c>
      <c r="N72" s="332">
        <v>1.6000000000000001E-3</v>
      </c>
      <c r="O72" s="332">
        <v>5.2499999999999998E-2</v>
      </c>
      <c r="P72" s="327">
        <f t="shared" si="42"/>
        <v>1.3436821290937718E-3</v>
      </c>
      <c r="Q72" s="327">
        <f t="shared" si="41"/>
        <v>2.7846018197824098E-3</v>
      </c>
      <c r="R72" s="327">
        <f t="shared" si="36"/>
        <v>-9.9999999999999829E-5</v>
      </c>
      <c r="S72" s="392">
        <f t="shared" si="37"/>
        <v>2.9999999999999957E-3</v>
      </c>
      <c r="T72" s="168"/>
      <c r="U72" s="169"/>
      <c r="V72" s="450"/>
      <c r="W72" s="129"/>
    </row>
    <row r="73" spans="1:23" s="112" customFormat="1" ht="12.95" customHeight="1">
      <c r="A73" s="406">
        <v>62</v>
      </c>
      <c r="B73" s="381" t="s">
        <v>111</v>
      </c>
      <c r="C73" s="382" t="s">
        <v>132</v>
      </c>
      <c r="D73" s="324">
        <v>1241376514.55</v>
      </c>
      <c r="E73" s="331">
        <f t="shared" si="38"/>
        <v>4.1069485840088057E-3</v>
      </c>
      <c r="F73" s="325">
        <v>3.53</v>
      </c>
      <c r="G73" s="325">
        <v>3.53</v>
      </c>
      <c r="H73" s="318">
        <v>-1.4E-3</v>
      </c>
      <c r="I73" s="318">
        <v>-1.6400000000000001E-2</v>
      </c>
      <c r="J73" s="324">
        <v>1241735100.0599999</v>
      </c>
      <c r="K73" s="331">
        <f t="shared" si="33"/>
        <v>4.144388140354757E-3</v>
      </c>
      <c r="L73" s="325">
        <v>3.54</v>
      </c>
      <c r="M73" s="325">
        <v>3.54</v>
      </c>
      <c r="N73" s="318">
        <v>-1E-4</v>
      </c>
      <c r="O73" s="318">
        <v>-1.4200000000000001E-2</v>
      </c>
      <c r="P73" s="327">
        <f t="shared" si="42"/>
        <v>2.8886120028618234E-4</v>
      </c>
      <c r="Q73" s="327">
        <f t="shared" si="41"/>
        <v>2.8328611898017653E-3</v>
      </c>
      <c r="R73" s="327">
        <f t="shared" si="36"/>
        <v>1.2999999999999999E-3</v>
      </c>
      <c r="S73" s="392">
        <f t="shared" si="37"/>
        <v>2.2000000000000006E-3</v>
      </c>
      <c r="U73" s="170"/>
      <c r="V73" s="450"/>
    </row>
    <row r="74" spans="1:23" s="112" customFormat="1" ht="12.95" customHeight="1">
      <c r="A74" s="406">
        <v>63</v>
      </c>
      <c r="B74" s="382" t="s">
        <v>230</v>
      </c>
      <c r="C74" s="395" t="s">
        <v>9</v>
      </c>
      <c r="D74" s="324">
        <v>1843111545</v>
      </c>
      <c r="E74" s="331">
        <f t="shared" si="38"/>
        <v>6.0977183482901686E-3</v>
      </c>
      <c r="F74" s="325">
        <v>99.57</v>
      </c>
      <c r="G74" s="325">
        <v>99.57</v>
      </c>
      <c r="H74" s="332">
        <v>1.8E-3</v>
      </c>
      <c r="I74" s="332">
        <v>9.1600000000000001E-2</v>
      </c>
      <c r="J74" s="324">
        <v>1902752887</v>
      </c>
      <c r="K74" s="331">
        <f t="shared" si="33"/>
        <v>6.3505867705016469E-3</v>
      </c>
      <c r="L74" s="325">
        <v>99.75</v>
      </c>
      <c r="M74" s="325">
        <v>99.75</v>
      </c>
      <c r="N74" s="332">
        <v>1.8E-3</v>
      </c>
      <c r="O74" s="332">
        <v>9.7900000000000001E-2</v>
      </c>
      <c r="P74" s="327">
        <f t="shared" si="42"/>
        <v>3.235905182287814E-2</v>
      </c>
      <c r="Q74" s="327">
        <f t="shared" si="41"/>
        <v>1.8077734257307104E-3</v>
      </c>
      <c r="R74" s="327">
        <f t="shared" si="36"/>
        <v>0</v>
      </c>
      <c r="S74" s="392">
        <f t="shared" si="37"/>
        <v>6.3E-3</v>
      </c>
      <c r="T74" s="123"/>
      <c r="U74" s="130"/>
      <c r="V74" s="450"/>
    </row>
    <row r="75" spans="1:23" s="112" customFormat="1" ht="12.95" customHeight="1">
      <c r="A75" s="406">
        <v>64</v>
      </c>
      <c r="B75" s="381" t="s">
        <v>17</v>
      </c>
      <c r="C75" s="382" t="s">
        <v>57</v>
      </c>
      <c r="D75" s="324">
        <v>1619868695.73</v>
      </c>
      <c r="E75" s="331">
        <f t="shared" si="38"/>
        <v>5.359145568031091E-3</v>
      </c>
      <c r="F75" s="325">
        <v>336.42939999999999</v>
      </c>
      <c r="G75" s="325">
        <v>336.42939999999999</v>
      </c>
      <c r="H75" s="332">
        <v>2E-3</v>
      </c>
      <c r="I75" s="332">
        <v>0.12239999999999999</v>
      </c>
      <c r="J75" s="324">
        <v>1630476177.47</v>
      </c>
      <c r="K75" s="331">
        <f t="shared" si="33"/>
        <v>5.441841929660453E-3</v>
      </c>
      <c r="L75" s="325">
        <v>337.14120000000003</v>
      </c>
      <c r="M75" s="325">
        <v>337.14120000000003</v>
      </c>
      <c r="N75" s="332">
        <v>2.0999999999999999E-3</v>
      </c>
      <c r="O75" s="332">
        <v>0.1246</v>
      </c>
      <c r="P75" s="109">
        <f t="shared" si="42"/>
        <v>6.5483589922822154E-3</v>
      </c>
      <c r="Q75" s="109">
        <f t="shared" si="41"/>
        <v>2.1157485047384066E-3</v>
      </c>
      <c r="R75" s="327">
        <f t="shared" si="36"/>
        <v>9.9999999999999829E-5</v>
      </c>
      <c r="S75" s="392">
        <f t="shared" si="37"/>
        <v>2.2000000000000075E-3</v>
      </c>
      <c r="T75" s="144"/>
      <c r="U75" s="171"/>
      <c r="V75" s="450"/>
    </row>
    <row r="76" spans="1:23" s="112" customFormat="1" ht="12.95" customHeight="1">
      <c r="A76" s="406">
        <v>65</v>
      </c>
      <c r="B76" s="381" t="s">
        <v>91</v>
      </c>
      <c r="C76" s="382" t="s">
        <v>90</v>
      </c>
      <c r="D76" s="324">
        <v>53822386.369999997</v>
      </c>
      <c r="E76" s="331">
        <f t="shared" si="38"/>
        <v>1.780650518995646E-4</v>
      </c>
      <c r="F76" s="325">
        <v>11.885643</v>
      </c>
      <c r="G76" s="324">
        <v>12.294418</v>
      </c>
      <c r="H76" s="332">
        <v>2.0000000000000001E-4</v>
      </c>
      <c r="I76" s="332">
        <v>8.0399999999999999E-2</v>
      </c>
      <c r="J76" s="324">
        <v>54494158.990000002</v>
      </c>
      <c r="K76" s="331">
        <f t="shared" si="33"/>
        <v>1.8187852322596812E-4</v>
      </c>
      <c r="L76" s="325">
        <v>12.033991</v>
      </c>
      <c r="M76" s="324">
        <v>12.317397</v>
      </c>
      <c r="N76" s="332">
        <v>2.0000000000000001E-4</v>
      </c>
      <c r="O76" s="332">
        <v>8.8099999999999998E-2</v>
      </c>
      <c r="P76" s="327">
        <f t="shared" si="42"/>
        <v>1.2481286418293103E-2</v>
      </c>
      <c r="Q76" s="327">
        <f t="shared" si="41"/>
        <v>1.869059600869225E-3</v>
      </c>
      <c r="R76" s="327">
        <f t="shared" si="36"/>
        <v>0</v>
      </c>
      <c r="S76" s="392">
        <f t="shared" si="37"/>
        <v>7.6999999999999985E-3</v>
      </c>
      <c r="T76" s="153"/>
      <c r="U76" s="171"/>
      <c r="V76" s="450"/>
    </row>
    <row r="77" spans="1:23" s="112" customFormat="1" ht="12.95" customHeight="1">
      <c r="A77" s="406">
        <v>66</v>
      </c>
      <c r="B77" s="381" t="s">
        <v>35</v>
      </c>
      <c r="C77" s="382" t="s">
        <v>20</v>
      </c>
      <c r="D77" s="324">
        <v>6916985113.8599997</v>
      </c>
      <c r="E77" s="331">
        <f t="shared" si="38"/>
        <v>2.288403388175515E-2</v>
      </c>
      <c r="F77" s="325">
        <v>1.08</v>
      </c>
      <c r="G77" s="325">
        <v>1.08</v>
      </c>
      <c r="H77" s="332">
        <v>0</v>
      </c>
      <c r="I77" s="332">
        <v>0.1002</v>
      </c>
      <c r="J77" s="324">
        <v>6940211930.1499996</v>
      </c>
      <c r="K77" s="331">
        <f>(J77/$J$119)</f>
        <v>7.4681789037506163E-2</v>
      </c>
      <c r="L77" s="325">
        <v>1.08</v>
      </c>
      <c r="M77" s="325">
        <v>1.08</v>
      </c>
      <c r="N77" s="332">
        <v>0</v>
      </c>
      <c r="O77" s="332">
        <v>0.1004</v>
      </c>
      <c r="P77" s="327">
        <f t="shared" si="42"/>
        <v>3.3579393200455099E-3</v>
      </c>
      <c r="Q77" s="327">
        <f t="shared" si="41"/>
        <v>0</v>
      </c>
      <c r="R77" s="327">
        <f t="shared" si="36"/>
        <v>0</v>
      </c>
      <c r="S77" s="392">
        <f t="shared" si="37"/>
        <v>2.0000000000000573E-4</v>
      </c>
      <c r="T77" s="144"/>
      <c r="U77" s="171"/>
      <c r="V77" s="450"/>
    </row>
    <row r="78" spans="1:23" s="112" customFormat="1" ht="12.95" customHeight="1">
      <c r="A78" s="406">
        <v>67</v>
      </c>
      <c r="B78" s="381" t="s">
        <v>68</v>
      </c>
      <c r="C78" s="382" t="s">
        <v>5</v>
      </c>
      <c r="D78" s="324">
        <v>23343807338.52</v>
      </c>
      <c r="E78" s="331">
        <f t="shared" si="38"/>
        <v>7.7230248333691659E-2</v>
      </c>
      <c r="F78" s="324">
        <v>4867</v>
      </c>
      <c r="G78" s="324">
        <v>4867</v>
      </c>
      <c r="H78" s="332">
        <v>1.9E-3</v>
      </c>
      <c r="I78" s="332">
        <v>6.4600000000000005E-2</v>
      </c>
      <c r="J78" s="324">
        <v>23208204023.669998</v>
      </c>
      <c r="K78" s="331">
        <f t="shared" ref="K78:K85" si="43">(J78/$J$86)</f>
        <v>7.7459198431278894E-2</v>
      </c>
      <c r="L78" s="324">
        <v>4876</v>
      </c>
      <c r="M78" s="324">
        <v>4876</v>
      </c>
      <c r="N78" s="332">
        <v>1.8E-3</v>
      </c>
      <c r="O78" s="332">
        <v>6.6500000000000004E-2</v>
      </c>
      <c r="P78" s="327">
        <f t="shared" si="42"/>
        <v>-5.8089630745984198E-3</v>
      </c>
      <c r="Q78" s="327">
        <f t="shared" si="41"/>
        <v>1.8491884117526197E-3</v>
      </c>
      <c r="R78" s="327">
        <f t="shared" si="36"/>
        <v>-1.0000000000000005E-4</v>
      </c>
      <c r="S78" s="392">
        <f t="shared" si="37"/>
        <v>1.8999999999999989E-3</v>
      </c>
      <c r="T78" s="144"/>
      <c r="U78" s="171"/>
      <c r="V78" s="450"/>
    </row>
    <row r="79" spans="1:23" s="112" customFormat="1" ht="12.95" customHeight="1">
      <c r="A79" s="406">
        <v>68</v>
      </c>
      <c r="B79" s="381" t="s">
        <v>16</v>
      </c>
      <c r="C79" s="382" t="s">
        <v>5</v>
      </c>
      <c r="D79" s="324">
        <v>41112024297.589996</v>
      </c>
      <c r="E79" s="331">
        <f t="shared" si="38"/>
        <v>0.13601430991783287</v>
      </c>
      <c r="F79" s="325">
        <v>253.63</v>
      </c>
      <c r="G79" s="325">
        <v>253.63</v>
      </c>
      <c r="H79" s="332">
        <v>6.9999999999999999E-4</v>
      </c>
      <c r="I79" s="332">
        <v>3.49E-2</v>
      </c>
      <c r="J79" s="324">
        <v>39018656370.849998</v>
      </c>
      <c r="K79" s="331">
        <f t="shared" si="43"/>
        <v>0.13022782130271959</v>
      </c>
      <c r="L79" s="325">
        <v>253.8</v>
      </c>
      <c r="M79" s="325">
        <v>253.8</v>
      </c>
      <c r="N79" s="332">
        <v>6.9999999999999999E-4</v>
      </c>
      <c r="O79" s="332">
        <v>3.56E-2</v>
      </c>
      <c r="P79" s="327">
        <f t="shared" si="42"/>
        <v>-5.0918629342771429E-2</v>
      </c>
      <c r="Q79" s="327">
        <f t="shared" si="41"/>
        <v>6.7026771281006163E-4</v>
      </c>
      <c r="R79" s="327">
        <f t="shared" si="36"/>
        <v>0</v>
      </c>
      <c r="S79" s="392">
        <f t="shared" si="37"/>
        <v>6.9999999999999923E-4</v>
      </c>
      <c r="T79" s="144"/>
      <c r="U79" s="171"/>
      <c r="V79" s="450"/>
    </row>
    <row r="80" spans="1:23" s="112" customFormat="1" ht="12.95" customHeight="1">
      <c r="A80" s="406">
        <v>69</v>
      </c>
      <c r="B80" s="381" t="s">
        <v>69</v>
      </c>
      <c r="C80" s="382" t="s">
        <v>5</v>
      </c>
      <c r="D80" s="324">
        <v>267731573.99000001</v>
      </c>
      <c r="E80" s="331">
        <f t="shared" si="38"/>
        <v>8.8575850743500715E-4</v>
      </c>
      <c r="F80" s="324">
        <v>5093.8599999999997</v>
      </c>
      <c r="G80" s="325">
        <v>5119.92</v>
      </c>
      <c r="H80" s="332">
        <v>-9.7000000000000003E-3</v>
      </c>
      <c r="I80" s="332">
        <v>0.20219999999999999</v>
      </c>
      <c r="J80" s="324">
        <v>267181736.63999999</v>
      </c>
      <c r="K80" s="331">
        <f t="shared" si="43"/>
        <v>8.9173996981860271E-4</v>
      </c>
      <c r="L80" s="324">
        <v>5083.57</v>
      </c>
      <c r="M80" s="74">
        <v>5109.29</v>
      </c>
      <c r="N80" s="332">
        <v>-2.0999999999999999E-3</v>
      </c>
      <c r="O80" s="332">
        <v>0.19969999999999999</v>
      </c>
      <c r="P80" s="327">
        <f t="shared" si="42"/>
        <v>-2.0536888563638771E-3</v>
      </c>
      <c r="Q80" s="327">
        <f t="shared" si="41"/>
        <v>-2.0762043156924538E-3</v>
      </c>
      <c r="R80" s="327">
        <f t="shared" si="36"/>
        <v>7.6000000000000009E-3</v>
      </c>
      <c r="S80" s="392">
        <f t="shared" si="37"/>
        <v>-2.5000000000000022E-3</v>
      </c>
      <c r="T80" s="144"/>
      <c r="U80" s="171"/>
      <c r="V80" s="450"/>
    </row>
    <row r="81" spans="1:22" s="112" customFormat="1" ht="12.95" customHeight="1">
      <c r="A81" s="406">
        <v>70</v>
      </c>
      <c r="B81" s="381" t="s">
        <v>165</v>
      </c>
      <c r="C81" s="382" t="s">
        <v>5</v>
      </c>
      <c r="D81" s="324">
        <v>18880456589</v>
      </c>
      <c r="E81" s="331">
        <f t="shared" si="38"/>
        <v>6.2463775933236487E-2</v>
      </c>
      <c r="F81" s="325">
        <v>122.63</v>
      </c>
      <c r="G81" s="325">
        <v>122.63</v>
      </c>
      <c r="H81" s="332">
        <v>1.6999999999999999E-3</v>
      </c>
      <c r="I81" s="332">
        <v>6.6299999999999998E-2</v>
      </c>
      <c r="J81" s="324">
        <v>18987915481.41</v>
      </c>
      <c r="K81" s="331">
        <f t="shared" si="43"/>
        <v>6.3373654918357114E-2</v>
      </c>
      <c r="L81" s="325">
        <v>122.85</v>
      </c>
      <c r="M81" s="325">
        <v>122.85</v>
      </c>
      <c r="N81" s="332">
        <v>1.8E-3</v>
      </c>
      <c r="O81" s="332">
        <v>6.83E-2</v>
      </c>
      <c r="P81" s="327">
        <f t="shared" si="42"/>
        <v>5.6915409806671093E-3</v>
      </c>
      <c r="Q81" s="327">
        <f t="shared" si="41"/>
        <v>1.7940145152083411E-3</v>
      </c>
      <c r="R81" s="327">
        <f t="shared" si="36"/>
        <v>1.0000000000000005E-4</v>
      </c>
      <c r="S81" s="392">
        <f t="shared" si="37"/>
        <v>2.0000000000000018E-3</v>
      </c>
      <c r="T81" s="144"/>
      <c r="U81" s="171"/>
      <c r="V81" s="450"/>
    </row>
    <row r="82" spans="1:22" s="112" customFormat="1" ht="12.95" customHeight="1">
      <c r="A82" s="406">
        <v>71</v>
      </c>
      <c r="B82" s="381" t="s">
        <v>63</v>
      </c>
      <c r="C82" s="382" t="s">
        <v>5</v>
      </c>
      <c r="D82" s="324">
        <v>13994954141.469999</v>
      </c>
      <c r="E82" s="331">
        <f t="shared" si="38"/>
        <v>4.6300664158620469E-2</v>
      </c>
      <c r="F82" s="325">
        <v>345.9</v>
      </c>
      <c r="G82" s="325">
        <v>346.01</v>
      </c>
      <c r="H82" s="332">
        <v>5.9999999999999995E-4</v>
      </c>
      <c r="I82" s="332">
        <v>4.0599999999999997E-2</v>
      </c>
      <c r="J82" s="324">
        <v>14010626227.049999</v>
      </c>
      <c r="K82" s="331">
        <f t="shared" si="43"/>
        <v>4.6761562245863579E-2</v>
      </c>
      <c r="L82" s="325">
        <v>346.23</v>
      </c>
      <c r="M82" s="325">
        <v>346.35</v>
      </c>
      <c r="N82" s="332">
        <v>1E-3</v>
      </c>
      <c r="O82" s="332">
        <v>4.1599999999999998E-2</v>
      </c>
      <c r="P82" s="327">
        <f t="shared" si="42"/>
        <v>1.1198382946865277E-3</v>
      </c>
      <c r="Q82" s="327">
        <f t="shared" si="41"/>
        <v>9.8263055981050217E-4</v>
      </c>
      <c r="R82" s="327">
        <f t="shared" si="36"/>
        <v>4.0000000000000007E-4</v>
      </c>
      <c r="S82" s="392">
        <f t="shared" si="37"/>
        <v>1.0000000000000009E-3</v>
      </c>
      <c r="T82" s="144"/>
      <c r="U82" s="171"/>
      <c r="V82" s="450"/>
    </row>
    <row r="83" spans="1:22" s="328" customFormat="1" ht="12.95" customHeight="1">
      <c r="A83" s="406">
        <v>72</v>
      </c>
      <c r="B83" s="381" t="s">
        <v>156</v>
      </c>
      <c r="C83" s="382" t="s">
        <v>41</v>
      </c>
      <c r="D83" s="324">
        <v>101806771720.63</v>
      </c>
      <c r="E83" s="331">
        <f t="shared" si="38"/>
        <v>0.3368157622283649</v>
      </c>
      <c r="F83" s="324">
        <v>1.9081999999999999</v>
      </c>
      <c r="G83" s="324">
        <v>1.9081999999999999</v>
      </c>
      <c r="H83" s="332">
        <v>5.91E-2</v>
      </c>
      <c r="I83" s="332">
        <v>6.7199999999999996E-2</v>
      </c>
      <c r="J83" s="324">
        <v>102064240881.38</v>
      </c>
      <c r="K83" s="331">
        <f t="shared" si="43"/>
        <v>0.34064739689057966</v>
      </c>
      <c r="L83" s="324">
        <v>1.9103000000000001</v>
      </c>
      <c r="M83" s="324">
        <v>1.9103000000000001</v>
      </c>
      <c r="N83" s="332">
        <v>5.8999999999999997E-2</v>
      </c>
      <c r="O83" s="332">
        <v>6.6900000000000001E-2</v>
      </c>
      <c r="P83" s="109">
        <f t="shared" si="42"/>
        <v>2.5289983799557684E-3</v>
      </c>
      <c r="Q83" s="109">
        <f t="shared" si="41"/>
        <v>1.1005135730008454E-3</v>
      </c>
      <c r="R83" s="327">
        <f t="shared" si="36"/>
        <v>-1.0000000000000286E-4</v>
      </c>
      <c r="S83" s="392">
        <f t="shared" si="37"/>
        <v>-2.9999999999999472E-4</v>
      </c>
      <c r="T83" s="144"/>
      <c r="U83" s="171"/>
      <c r="V83" s="336"/>
    </row>
    <row r="84" spans="1:22" s="328" customFormat="1" ht="12.95" customHeight="1">
      <c r="A84" s="406">
        <v>73</v>
      </c>
      <c r="B84" s="381" t="s">
        <v>265</v>
      </c>
      <c r="C84" s="382" t="s">
        <v>240</v>
      </c>
      <c r="D84" s="324">
        <v>9401978990.9200001</v>
      </c>
      <c r="E84" s="331">
        <f t="shared" si="38"/>
        <v>3.1105344632395306E-2</v>
      </c>
      <c r="F84" s="325">
        <v>1</v>
      </c>
      <c r="G84" s="325">
        <v>1</v>
      </c>
      <c r="H84" s="332">
        <v>0.06</v>
      </c>
      <c r="I84" s="332">
        <v>0.06</v>
      </c>
      <c r="J84" s="324">
        <v>9386756657.3700008</v>
      </c>
      <c r="K84" s="331">
        <f t="shared" si="43"/>
        <v>3.1329035448317881E-2</v>
      </c>
      <c r="L84" s="325">
        <v>1</v>
      </c>
      <c r="M84" s="325">
        <v>1</v>
      </c>
      <c r="N84" s="332">
        <v>0.06</v>
      </c>
      <c r="O84" s="332">
        <v>0.06</v>
      </c>
      <c r="P84" s="327">
        <f t="shared" si="42"/>
        <v>-1.6190563247057102E-3</v>
      </c>
      <c r="Q84" s="327">
        <f t="shared" si="41"/>
        <v>0</v>
      </c>
      <c r="R84" s="327">
        <f t="shared" si="36"/>
        <v>0</v>
      </c>
      <c r="S84" s="392">
        <f t="shared" si="37"/>
        <v>0</v>
      </c>
      <c r="T84" s="144"/>
      <c r="U84" s="171"/>
      <c r="V84" s="337"/>
    </row>
    <row r="85" spans="1:22" s="112" customFormat="1" ht="12.95" customHeight="1">
      <c r="A85" s="406">
        <v>74</v>
      </c>
      <c r="B85" s="381" t="s">
        <v>19</v>
      </c>
      <c r="C85" s="382" t="s">
        <v>12</v>
      </c>
      <c r="D85" s="324">
        <v>2583011086.71</v>
      </c>
      <c r="E85" s="331">
        <f t="shared" si="38"/>
        <v>8.5455891912762649E-3</v>
      </c>
      <c r="F85" s="325">
        <v>24.822099999999999</v>
      </c>
      <c r="G85" s="325">
        <v>24.822099999999999</v>
      </c>
      <c r="H85" s="332">
        <v>1.1000000000000001E-3</v>
      </c>
      <c r="I85" s="332">
        <v>5.3699999999999998E-2</v>
      </c>
      <c r="J85" s="324">
        <v>2571358737.96</v>
      </c>
      <c r="K85" s="331">
        <f t="shared" si="43"/>
        <v>8.5821111585587563E-3</v>
      </c>
      <c r="L85" s="325">
        <v>24.8537</v>
      </c>
      <c r="M85" s="325">
        <v>24.8537</v>
      </c>
      <c r="N85" s="332">
        <v>1.2999999999999999E-3</v>
      </c>
      <c r="O85" s="332">
        <v>5.5E-2</v>
      </c>
      <c r="P85" s="327">
        <f t="shared" si="42"/>
        <v>-4.5111493365062099E-3</v>
      </c>
      <c r="Q85" s="327">
        <f t="shared" si="41"/>
        <v>1.2730590884736167E-3</v>
      </c>
      <c r="R85" s="327">
        <f t="shared" si="36"/>
        <v>1.9999999999999987E-4</v>
      </c>
      <c r="S85" s="392">
        <f t="shared" si="37"/>
        <v>1.3000000000000025E-3</v>
      </c>
      <c r="T85" s="144"/>
      <c r="U85" s="171"/>
      <c r="V85" s="289"/>
    </row>
    <row r="86" spans="1:22" s="112" customFormat="1" ht="12.95" customHeight="1">
      <c r="A86" s="212"/>
      <c r="C86" s="242" t="s">
        <v>42</v>
      </c>
      <c r="D86" s="76">
        <f>SUM(D57:D85)</f>
        <v>302262492251.19061</v>
      </c>
      <c r="E86" s="260">
        <f>(D86/$D$170)</f>
        <v>0.15660989854303314</v>
      </c>
      <c r="F86" s="325"/>
      <c r="G86" s="325"/>
      <c r="H86" s="332"/>
      <c r="I86" s="332"/>
      <c r="J86" s="76">
        <f>SUM(J57:J85)</f>
        <v>299618437754.16949</v>
      </c>
      <c r="K86" s="260">
        <f>(J86/$J$170)</f>
        <v>0.15543716029452406</v>
      </c>
      <c r="L86" s="262"/>
      <c r="M86" s="73"/>
      <c r="N86" s="277"/>
      <c r="O86" s="277"/>
      <c r="P86" s="264">
        <f t="shared" ref="P86" si="44">((J86-D86)/D86)</f>
        <v>-8.747544153853589E-3</v>
      </c>
      <c r="Q86" s="264"/>
      <c r="R86" s="264">
        <f t="shared" ref="R86:S86" si="45">N86-H86</f>
        <v>0</v>
      </c>
      <c r="S86" s="392">
        <f t="shared" si="45"/>
        <v>0</v>
      </c>
      <c r="T86" s="88"/>
      <c r="U86" s="172"/>
      <c r="V86" s="183"/>
    </row>
    <row r="87" spans="1:22" s="112" customFormat="1" ht="5.25" customHeight="1">
      <c r="A87" s="408"/>
      <c r="B87" s="409"/>
      <c r="C87" s="410"/>
      <c r="D87" s="410"/>
      <c r="E87" s="410"/>
      <c r="F87" s="410"/>
      <c r="G87" s="410"/>
      <c r="H87" s="410"/>
      <c r="I87" s="410"/>
      <c r="J87" s="410"/>
      <c r="K87" s="410"/>
      <c r="L87" s="410"/>
      <c r="M87" s="410"/>
      <c r="N87" s="410"/>
      <c r="O87" s="410"/>
      <c r="P87" s="410"/>
      <c r="Q87" s="410"/>
      <c r="R87" s="410"/>
      <c r="S87" s="411"/>
      <c r="T87" s="88"/>
      <c r="U87" s="172"/>
      <c r="V87" s="183"/>
    </row>
    <row r="88" spans="1:22" s="112" customFormat="1" ht="12" customHeight="1">
      <c r="A88" s="428" t="s">
        <v>193</v>
      </c>
      <c r="B88" s="429"/>
      <c r="C88" s="430"/>
      <c r="D88" s="430"/>
      <c r="E88" s="430"/>
      <c r="F88" s="430"/>
      <c r="G88" s="430"/>
      <c r="H88" s="430"/>
      <c r="I88" s="430"/>
      <c r="J88" s="430"/>
      <c r="K88" s="430"/>
      <c r="L88" s="430"/>
      <c r="M88" s="430"/>
      <c r="N88" s="430"/>
      <c r="O88" s="430"/>
      <c r="P88" s="430"/>
      <c r="Q88" s="430"/>
      <c r="R88" s="430"/>
      <c r="S88" s="431"/>
      <c r="T88" s="88"/>
      <c r="U88" s="172"/>
      <c r="V88" s="183"/>
    </row>
    <row r="89" spans="1:22" s="112" customFormat="1" ht="12.95" customHeight="1">
      <c r="A89" s="416" t="s">
        <v>194</v>
      </c>
      <c r="B89" s="417"/>
      <c r="C89" s="418"/>
      <c r="D89" s="418"/>
      <c r="E89" s="418"/>
      <c r="F89" s="418"/>
      <c r="G89" s="418"/>
      <c r="H89" s="418"/>
      <c r="I89" s="418"/>
      <c r="J89" s="418"/>
      <c r="K89" s="418"/>
      <c r="L89" s="418"/>
      <c r="M89" s="418"/>
      <c r="N89" s="418"/>
      <c r="O89" s="418"/>
      <c r="P89" s="418"/>
      <c r="Q89" s="418"/>
      <c r="R89" s="418"/>
      <c r="S89" s="419"/>
      <c r="T89" s="88"/>
      <c r="U89" s="172"/>
      <c r="V89" s="183"/>
    </row>
    <row r="90" spans="1:22" s="112" customFormat="1" ht="12.95" customHeight="1">
      <c r="A90" s="403">
        <v>75</v>
      </c>
      <c r="B90" s="381" t="s">
        <v>144</v>
      </c>
      <c r="C90" s="382" t="s">
        <v>57</v>
      </c>
      <c r="D90" s="324">
        <v>1310372163.98</v>
      </c>
      <c r="E90" s="331">
        <f t="shared" ref="E90:E100" si="46">(D90/$D$112)</f>
        <v>2.2622156302554439E-3</v>
      </c>
      <c r="F90" s="324">
        <f>108.2513*760.432</f>
        <v>82317.752561600006</v>
      </c>
      <c r="G90" s="324">
        <f>108.2513*760.432</f>
        <v>82317.752561600006</v>
      </c>
      <c r="H90" s="332">
        <v>1.1000000000000001E-3</v>
      </c>
      <c r="I90" s="332">
        <v>8.48E-2</v>
      </c>
      <c r="J90" s="324">
        <v>1300471693.8599999</v>
      </c>
      <c r="K90" s="331">
        <f t="shared" ref="K90:K100" si="47">(J90/$J$112)</f>
        <v>2.2679526169800662E-3</v>
      </c>
      <c r="L90" s="324">
        <f>108.4975*756.955</f>
        <v>82127.725112500004</v>
      </c>
      <c r="M90" s="324">
        <f>108.4975*756.955</f>
        <v>82127.725112500004</v>
      </c>
      <c r="N90" s="332">
        <v>1.1000000000000001E-3</v>
      </c>
      <c r="O90" s="332">
        <v>8.48E-2</v>
      </c>
      <c r="P90" s="327">
        <f t="shared" ref="P90:P100" si="48">((J90-D90)/D90)</f>
        <v>-7.5554643117031542E-3</v>
      </c>
      <c r="Q90" s="327">
        <f t="shared" ref="Q90:Q100" si="49">((M90-G90)/G90)</f>
        <v>-2.3084625513530698E-3</v>
      </c>
      <c r="R90" s="327">
        <f t="shared" ref="R90:R100" si="50">N90-H90</f>
        <v>0</v>
      </c>
      <c r="S90" s="392">
        <f t="shared" ref="S90:S100" si="51">O90-I90</f>
        <v>0</v>
      </c>
      <c r="T90" s="88"/>
      <c r="U90" s="172"/>
      <c r="V90" s="183"/>
    </row>
    <row r="91" spans="1:22" s="112" customFormat="1" ht="12.95" customHeight="1">
      <c r="A91" s="400">
        <v>76</v>
      </c>
      <c r="B91" s="381" t="s">
        <v>145</v>
      </c>
      <c r="C91" s="382" t="s">
        <v>6</v>
      </c>
      <c r="D91" s="324">
        <f>10413804.03*760.43</f>
        <v>7918968998.5328989</v>
      </c>
      <c r="E91" s="331">
        <f t="shared" si="46"/>
        <v>1.3671242366426558E-2</v>
      </c>
      <c r="F91" s="324">
        <f>1.1524*760.43</f>
        <v>876.31953199999998</v>
      </c>
      <c r="G91" s="324">
        <f>1.1524*760.43</f>
        <v>876.31953199999998</v>
      </c>
      <c r="H91" s="332">
        <v>3.4099999999999998E-2</v>
      </c>
      <c r="I91" s="332">
        <v>5.8900000000000001E-2</v>
      </c>
      <c r="J91" s="324">
        <f>10261799.6*756.95</f>
        <v>7767669207.2200003</v>
      </c>
      <c r="K91" s="331">
        <f t="shared" si="47"/>
        <v>1.3546396887779222E-2</v>
      </c>
      <c r="L91" s="324">
        <f>1.1535*756.95</f>
        <v>873.14182500000004</v>
      </c>
      <c r="M91" s="324">
        <f>1.1535*756.95</f>
        <v>873.14182500000004</v>
      </c>
      <c r="N91" s="332">
        <v>4.9799999999999997E-2</v>
      </c>
      <c r="O91" s="332">
        <v>3.4500000000000003E-2</v>
      </c>
      <c r="P91" s="327">
        <f t="shared" si="48"/>
        <v>-1.9105996164517004E-2</v>
      </c>
      <c r="Q91" s="327">
        <f t="shared" si="49"/>
        <v>-3.6261967056098222E-3</v>
      </c>
      <c r="R91" s="327">
        <f t="shared" si="50"/>
        <v>1.5699999999999999E-2</v>
      </c>
      <c r="S91" s="392">
        <f t="shared" si="51"/>
        <v>-2.4399999999999998E-2</v>
      </c>
      <c r="U91" s="164"/>
      <c r="V91" s="163"/>
    </row>
    <row r="92" spans="1:22" s="112" customFormat="1" ht="12.95" customHeight="1">
      <c r="A92" s="406">
        <v>77</v>
      </c>
      <c r="B92" s="381" t="s">
        <v>170</v>
      </c>
      <c r="C92" s="382" t="s">
        <v>167</v>
      </c>
      <c r="D92" s="324">
        <v>1906749409.3534801</v>
      </c>
      <c r="E92" s="331">
        <f t="shared" si="46"/>
        <v>3.291796357851825E-3</v>
      </c>
      <c r="F92" s="324">
        <v>80279.771770800013</v>
      </c>
      <c r="G92" s="324">
        <v>80279.771770800013</v>
      </c>
      <c r="H92" s="332">
        <v>6.2593307516541588E-2</v>
      </c>
      <c r="I92" s="332">
        <v>5.540385278732974E-2</v>
      </c>
      <c r="J92" s="324">
        <v>1908071645.80005</v>
      </c>
      <c r="K92" s="331">
        <f>(J92/$J$112)</f>
        <v>3.3275742201148949E-3</v>
      </c>
      <c r="L92" s="324">
        <v>80016.107035499997</v>
      </c>
      <c r="M92" s="324">
        <v>80016.107035499997</v>
      </c>
      <c r="N92" s="332">
        <v>6.5100000000000005E-2</v>
      </c>
      <c r="O92" s="332">
        <v>5.57E-2</v>
      </c>
      <c r="P92" s="327">
        <f>((J92-D92)/D92)</f>
        <v>6.9345056045841348E-4</v>
      </c>
      <c r="Q92" s="327">
        <f t="shared" si="49"/>
        <v>-3.2843234289801197E-3</v>
      </c>
      <c r="R92" s="327">
        <f t="shared" si="50"/>
        <v>2.506692483458417E-3</v>
      </c>
      <c r="S92" s="392">
        <f t="shared" si="51"/>
        <v>2.9614721267025995E-4</v>
      </c>
      <c r="T92" s="389">
        <v>757.45500000000004</v>
      </c>
      <c r="U92" s="173"/>
      <c r="V92" s="163"/>
    </row>
    <row r="93" spans="1:22" s="112" customFormat="1" ht="12.95" customHeight="1">
      <c r="A93" s="406">
        <v>78</v>
      </c>
      <c r="B93" s="381" t="s">
        <v>237</v>
      </c>
      <c r="C93" s="382" t="s">
        <v>184</v>
      </c>
      <c r="D93" s="324">
        <v>21589820419.347698</v>
      </c>
      <c r="E93" s="331">
        <f t="shared" si="46"/>
        <v>3.7272486816807837E-2</v>
      </c>
      <c r="F93" s="324">
        <v>95294.97</v>
      </c>
      <c r="G93" s="324">
        <v>95294.97</v>
      </c>
      <c r="H93" s="332">
        <v>1.4E-3</v>
      </c>
      <c r="I93" s="332">
        <v>7.3499999999999996E-2</v>
      </c>
      <c r="J93" s="324">
        <v>21328829209.240002</v>
      </c>
      <c r="K93" s="331">
        <f t="shared" si="47"/>
        <v>3.7196329801411444E-2</v>
      </c>
      <c r="L93" s="324">
        <v>94277.58</v>
      </c>
      <c r="M93" s="324">
        <v>94277.58</v>
      </c>
      <c r="N93" s="332">
        <v>1.4E-3</v>
      </c>
      <c r="O93" s="332">
        <v>7.3800000000000004E-2</v>
      </c>
      <c r="P93" s="327">
        <f t="shared" si="48"/>
        <v>-1.2088623482658035E-2</v>
      </c>
      <c r="Q93" s="327">
        <f t="shared" si="49"/>
        <v>-1.0676219321964206E-2</v>
      </c>
      <c r="R93" s="327">
        <f t="shared" si="50"/>
        <v>0</v>
      </c>
      <c r="S93" s="392">
        <f t="shared" si="51"/>
        <v>3.0000000000000859E-4</v>
      </c>
      <c r="U93" s="173"/>
      <c r="V93" s="163"/>
    </row>
    <row r="94" spans="1:22" s="328" customFormat="1" ht="12.95" customHeight="1">
      <c r="A94" s="406">
        <v>79</v>
      </c>
      <c r="B94" s="404" t="s">
        <v>262</v>
      </c>
      <c r="C94" s="404" t="s">
        <v>184</v>
      </c>
      <c r="D94" s="324">
        <v>17209612141</v>
      </c>
      <c r="E94" s="331">
        <f t="shared" si="46"/>
        <v>2.9710531592609644E-2</v>
      </c>
      <c r="F94" s="324">
        <v>84440.88</v>
      </c>
      <c r="G94" s="324">
        <v>84440.88</v>
      </c>
      <c r="H94" s="332">
        <v>1.9E-3</v>
      </c>
      <c r="I94" s="332">
        <v>9.5699999999999993E-2</v>
      </c>
      <c r="J94" s="324">
        <v>17435582345.57</v>
      </c>
      <c r="K94" s="331">
        <f t="shared" si="47"/>
        <v>3.0406716882731215E-2</v>
      </c>
      <c r="L94" s="324">
        <v>83569.66</v>
      </c>
      <c r="M94" s="324">
        <v>83569.66</v>
      </c>
      <c r="N94" s="332">
        <v>1.8E-3</v>
      </c>
      <c r="O94" s="332">
        <v>9.5600000000000004E-2</v>
      </c>
      <c r="P94" s="327">
        <f t="shared" si="48"/>
        <v>1.3130464691394795E-2</v>
      </c>
      <c r="Q94" s="327">
        <f t="shared" si="49"/>
        <v>-1.0317514455083854E-2</v>
      </c>
      <c r="R94" s="327">
        <f t="shared" si="50"/>
        <v>-1.0000000000000005E-4</v>
      </c>
      <c r="S94" s="392">
        <f t="shared" si="51"/>
        <v>-9.9999999999988987E-5</v>
      </c>
      <c r="U94" s="330"/>
      <c r="V94" s="163"/>
    </row>
    <row r="95" spans="1:22" s="112" customFormat="1" ht="12.95" customHeight="1">
      <c r="A95" s="406">
        <v>80</v>
      </c>
      <c r="B95" s="381" t="s">
        <v>234</v>
      </c>
      <c r="C95" s="382" t="s">
        <v>216</v>
      </c>
      <c r="D95" s="324">
        <f>84615.57*760.932</f>
        <v>64386694.911240004</v>
      </c>
      <c r="E95" s="331">
        <f t="shared" si="46"/>
        <v>1.1115665580554786E-4</v>
      </c>
      <c r="F95" s="324">
        <f>107.07*760.932</f>
        <v>81472.989239999995</v>
      </c>
      <c r="G95" s="324">
        <f>107.07*760.932</f>
        <v>81472.989239999995</v>
      </c>
      <c r="H95" s="332">
        <v>3.5999999999999999E-3</v>
      </c>
      <c r="I95" s="332">
        <v>9.1800000000000007E-2</v>
      </c>
      <c r="J95" s="324">
        <f>88898.63*757.455</f>
        <v>67336711.786650002</v>
      </c>
      <c r="K95" s="331">
        <f t="shared" si="47"/>
        <v>1.1743159996207174E-4</v>
      </c>
      <c r="L95" s="324">
        <f>107.14*757.455</f>
        <v>81153.728700000007</v>
      </c>
      <c r="M95" s="324">
        <f>107.14*757.455</f>
        <v>81153.728700000007</v>
      </c>
      <c r="N95" s="332">
        <v>1E-3</v>
      </c>
      <c r="O95" s="332">
        <v>9.0700000000000003E-2</v>
      </c>
      <c r="P95" s="327">
        <f t="shared" si="48"/>
        <v>4.5817181321028064E-2</v>
      </c>
      <c r="Q95" s="327">
        <f t="shared" si="49"/>
        <v>-3.9186059450884141E-3</v>
      </c>
      <c r="R95" s="327">
        <f t="shared" si="50"/>
        <v>-2.5999999999999999E-3</v>
      </c>
      <c r="S95" s="392">
        <f t="shared" si="51"/>
        <v>-1.1000000000000038E-3</v>
      </c>
      <c r="T95" s="124"/>
      <c r="U95" s="173"/>
      <c r="V95" s="131"/>
    </row>
    <row r="96" spans="1:22" s="112" customFormat="1" ht="12.95" customHeight="1">
      <c r="A96" s="406">
        <v>81</v>
      </c>
      <c r="B96" s="381" t="s">
        <v>120</v>
      </c>
      <c r="C96" s="382" t="s">
        <v>132</v>
      </c>
      <c r="D96" s="324">
        <v>9773821431.7099991</v>
      </c>
      <c r="E96" s="331">
        <f t="shared" si="46"/>
        <v>1.6873444215255377E-2</v>
      </c>
      <c r="F96" s="324">
        <v>760.43200000000002</v>
      </c>
      <c r="G96" s="324">
        <v>760.43200000000002</v>
      </c>
      <c r="H96" s="318">
        <v>2.1000000000000001E-2</v>
      </c>
      <c r="I96" s="318">
        <v>5.3499999999999999E-2</v>
      </c>
      <c r="J96" s="324">
        <v>9738034171.7600002</v>
      </c>
      <c r="K96" s="331">
        <f t="shared" si="47"/>
        <v>1.6982607301917921E-2</v>
      </c>
      <c r="L96" s="324">
        <v>756.95500000000004</v>
      </c>
      <c r="M96" s="324">
        <v>756.95500000000004</v>
      </c>
      <c r="N96" s="318">
        <v>2.1899999999999999E-2</v>
      </c>
      <c r="O96" s="318">
        <v>5.3400000000000003E-2</v>
      </c>
      <c r="P96" s="327">
        <f t="shared" si="48"/>
        <v>-3.6615422329991988E-3</v>
      </c>
      <c r="Q96" s="327">
        <f t="shared" si="49"/>
        <v>-4.5724009510383244E-3</v>
      </c>
      <c r="R96" s="327">
        <f t="shared" si="50"/>
        <v>8.9999999999999802E-4</v>
      </c>
      <c r="S96" s="392">
        <f t="shared" si="51"/>
        <v>-9.9999999999995925E-5</v>
      </c>
      <c r="U96" s="173"/>
      <c r="V96" s="131"/>
    </row>
    <row r="97" spans="1:43" s="328" customFormat="1" ht="12.95" customHeight="1">
      <c r="A97" s="406">
        <v>82</v>
      </c>
      <c r="B97" s="381" t="s">
        <v>245</v>
      </c>
      <c r="C97" s="382" t="s">
        <v>171</v>
      </c>
      <c r="D97" s="324">
        <f>4639858.51*760.932</f>
        <v>3530616815.7313199</v>
      </c>
      <c r="E97" s="331">
        <f t="shared" si="46"/>
        <v>6.0952275731583697E-3</v>
      </c>
      <c r="F97" s="324">
        <f>103.19*760.932</f>
        <v>78520.573080000002</v>
      </c>
      <c r="G97" s="324">
        <f>103.19*760.932</f>
        <v>78520.573080000002</v>
      </c>
      <c r="H97" s="332">
        <v>2E-3</v>
      </c>
      <c r="I97" s="332">
        <v>7.1599999999999997E-2</v>
      </c>
      <c r="J97" s="324">
        <f>4699136.22*757.455</f>
        <v>3559384225.5201001</v>
      </c>
      <c r="K97" s="331">
        <f t="shared" si="47"/>
        <v>6.2073744528382711E-3</v>
      </c>
      <c r="L97" s="324">
        <f>103.38*757.455</f>
        <v>78305.697899999999</v>
      </c>
      <c r="M97" s="324">
        <f>103.38*757.455</f>
        <v>78305.697899999999</v>
      </c>
      <c r="N97" s="332">
        <v>1.8E-3</v>
      </c>
      <c r="O97" s="332">
        <v>7.3499999999999996E-2</v>
      </c>
      <c r="P97" s="327">
        <f t="shared" si="48"/>
        <v>8.1479841314417555E-3</v>
      </c>
      <c r="Q97" s="327">
        <f t="shared" si="49"/>
        <v>-2.7365462524207387E-3</v>
      </c>
      <c r="R97" s="327">
        <f t="shared" si="50"/>
        <v>-2.0000000000000009E-4</v>
      </c>
      <c r="S97" s="392">
        <f t="shared" si="51"/>
        <v>1.8999999999999989E-3</v>
      </c>
      <c r="U97" s="330"/>
      <c r="V97" s="329"/>
    </row>
    <row r="98" spans="1:43" s="328" customFormat="1" ht="12.95" customHeight="1">
      <c r="A98" s="406">
        <v>83</v>
      </c>
      <c r="B98" s="381" t="s">
        <v>127</v>
      </c>
      <c r="C98" s="382" t="s">
        <v>90</v>
      </c>
      <c r="D98" s="324">
        <f>1781221.12*760.932</f>
        <v>1355388149.2838402</v>
      </c>
      <c r="E98" s="331">
        <f t="shared" si="46"/>
        <v>2.3399308537354591E-3</v>
      </c>
      <c r="F98" s="324">
        <f>130.57*760.932</f>
        <v>99354.891239999997</v>
      </c>
      <c r="G98" s="324">
        <f>134.65*760.932</f>
        <v>102459.49380000001</v>
      </c>
      <c r="H98" s="332">
        <v>5.0000000000000001E-4</v>
      </c>
      <c r="I98" s="332">
        <v>0.17649999999999999</v>
      </c>
      <c r="J98" s="324">
        <f>1756054.61*757.455</f>
        <v>1330132344.6175501</v>
      </c>
      <c r="K98" s="331">
        <f t="shared" si="47"/>
        <v>2.3196791949782795E-3</v>
      </c>
      <c r="L98" s="324">
        <f>128.72*757.455</f>
        <v>97499.607600000003</v>
      </c>
      <c r="M98" s="324">
        <f>132.84*757.455</f>
        <v>100620.32220000001</v>
      </c>
      <c r="N98" s="332">
        <v>4.0000000000000002E-4</v>
      </c>
      <c r="O98" s="332">
        <v>0.16009999999999999</v>
      </c>
      <c r="P98" s="327">
        <f t="shared" si="48"/>
        <v>-1.8633632498288186E-2</v>
      </c>
      <c r="Q98" s="327">
        <f t="shared" si="49"/>
        <v>-1.7950231177113245E-2</v>
      </c>
      <c r="R98" s="327">
        <f t="shared" si="50"/>
        <v>-9.9999999999999991E-5</v>
      </c>
      <c r="S98" s="392">
        <f t="shared" si="51"/>
        <v>-1.6399999999999998E-2</v>
      </c>
      <c r="U98" s="330"/>
      <c r="V98" s="329"/>
    </row>
    <row r="99" spans="1:43" s="328" customFormat="1" ht="12.95" customHeight="1">
      <c r="A99" s="406">
        <v>84</v>
      </c>
      <c r="B99" s="381" t="s">
        <v>247</v>
      </c>
      <c r="C99" s="382" t="s">
        <v>41</v>
      </c>
      <c r="D99" s="324">
        <v>113125834664.67</v>
      </c>
      <c r="E99" s="331">
        <f t="shared" ref="E99" si="52">(D99/$D$112)</f>
        <v>0.19529950223211212</v>
      </c>
      <c r="F99" s="324">
        <v>92646.01</v>
      </c>
      <c r="G99" s="324">
        <v>92646.01</v>
      </c>
      <c r="H99" s="332">
        <v>5.5199999999999999E-2</v>
      </c>
      <c r="I99" s="332">
        <v>5.67E-2</v>
      </c>
      <c r="J99" s="324">
        <v>110093204550.44</v>
      </c>
      <c r="K99" s="331">
        <f t="shared" ref="K99" si="53">(J99/$J$112)</f>
        <v>0.19199662134189571</v>
      </c>
      <c r="L99" s="324">
        <v>91620.27</v>
      </c>
      <c r="M99" s="324">
        <v>91620.27</v>
      </c>
      <c r="N99" s="332">
        <v>5.5100000000000003E-2</v>
      </c>
      <c r="O99" s="332">
        <v>5.6599999999999998E-2</v>
      </c>
      <c r="P99" s="327">
        <f t="shared" ref="P99" si="54">((J99-D99)/D99)</f>
        <v>-2.680758222221637E-2</v>
      </c>
      <c r="Q99" s="327">
        <f t="shared" ref="Q99" si="55">((M99-G99)/G99)</f>
        <v>-1.107160470267409E-2</v>
      </c>
      <c r="R99" s="327">
        <f t="shared" ref="R99" si="56">N99-H99</f>
        <v>-9.9999999999995925E-5</v>
      </c>
      <c r="S99" s="392">
        <f t="shared" ref="S99" si="57">O99-I99</f>
        <v>-1.0000000000000286E-4</v>
      </c>
      <c r="U99" s="330"/>
      <c r="V99" s="329"/>
    </row>
    <row r="100" spans="1:43" s="328" customFormat="1" ht="12.95" customHeight="1">
      <c r="A100" s="406">
        <v>85</v>
      </c>
      <c r="B100" s="381" t="s">
        <v>271</v>
      </c>
      <c r="C100" s="382" t="s">
        <v>98</v>
      </c>
      <c r="D100" s="324">
        <f>234593.54*760.932</f>
        <v>178509731.57928002</v>
      </c>
      <c r="E100" s="331">
        <f t="shared" si="46"/>
        <v>3.081777193013653E-4</v>
      </c>
      <c r="F100" s="324">
        <f>100.71*760.932</f>
        <v>76633.461719999992</v>
      </c>
      <c r="G100" s="324">
        <f>101*760.932</f>
        <v>76854.131999999998</v>
      </c>
      <c r="H100" s="332">
        <v>5.9999999999999995E-4</v>
      </c>
      <c r="I100" s="332">
        <v>8.5000000000000006E-3</v>
      </c>
      <c r="J100" s="324">
        <f>264586.72*757.455</f>
        <v>200412533.99759999</v>
      </c>
      <c r="K100" s="331">
        <f t="shared" si="47"/>
        <v>3.4950866912478499E-4</v>
      </c>
      <c r="L100" s="324">
        <f>100.74*757.455</f>
        <v>76306.016700000007</v>
      </c>
      <c r="M100" s="324">
        <f>101.05*757.455</f>
        <v>76540.827749999997</v>
      </c>
      <c r="N100" s="332">
        <v>4.0000000000000002E-4</v>
      </c>
      <c r="O100" s="332">
        <v>8.8999999999999999E-3</v>
      </c>
      <c r="P100" s="327">
        <f t="shared" si="48"/>
        <v>0.12269808611858488</v>
      </c>
      <c r="Q100" s="327">
        <f t="shared" si="49"/>
        <v>-4.0766090494653044E-3</v>
      </c>
      <c r="R100" s="327">
        <f t="shared" si="50"/>
        <v>-1.9999999999999993E-4</v>
      </c>
      <c r="S100" s="392">
        <f t="shared" si="51"/>
        <v>3.9999999999999931E-4</v>
      </c>
      <c r="U100" s="330"/>
      <c r="V100" s="329"/>
    </row>
    <row r="101" spans="1:43" s="112" customFormat="1" ht="4.5" customHeight="1">
      <c r="A101" s="408"/>
      <c r="B101" s="409"/>
      <c r="C101" s="410"/>
      <c r="D101" s="410"/>
      <c r="E101" s="410"/>
      <c r="F101" s="410"/>
      <c r="G101" s="410"/>
      <c r="H101" s="410"/>
      <c r="I101" s="410"/>
      <c r="J101" s="410"/>
      <c r="K101" s="410"/>
      <c r="L101" s="410"/>
      <c r="M101" s="410"/>
      <c r="N101" s="410"/>
      <c r="O101" s="410"/>
      <c r="P101" s="410"/>
      <c r="Q101" s="410"/>
      <c r="R101" s="410"/>
      <c r="S101" s="411"/>
      <c r="U101" s="174"/>
      <c r="V101" s="131"/>
    </row>
    <row r="102" spans="1:43" s="112" customFormat="1" ht="12.95" customHeight="1">
      <c r="A102" s="416" t="s">
        <v>195</v>
      </c>
      <c r="B102" s="417"/>
      <c r="C102" s="418"/>
      <c r="D102" s="418"/>
      <c r="E102" s="418"/>
      <c r="F102" s="418"/>
      <c r="G102" s="418"/>
      <c r="H102" s="418"/>
      <c r="I102" s="418"/>
      <c r="J102" s="418"/>
      <c r="K102" s="418"/>
      <c r="L102" s="418"/>
      <c r="M102" s="418"/>
      <c r="N102" s="418"/>
      <c r="O102" s="418"/>
      <c r="P102" s="418"/>
      <c r="Q102" s="418"/>
      <c r="R102" s="418"/>
      <c r="S102" s="419"/>
      <c r="T102" s="175"/>
      <c r="U102" s="174"/>
      <c r="V102" s="131"/>
      <c r="AQ102" s="121">
        <v>185280902</v>
      </c>
    </row>
    <row r="103" spans="1:43" s="112" customFormat="1" ht="12.95" customHeight="1">
      <c r="A103" s="402">
        <v>86</v>
      </c>
      <c r="B103" s="381" t="s">
        <v>147</v>
      </c>
      <c r="C103" s="382" t="s">
        <v>146</v>
      </c>
      <c r="D103" s="323">
        <v>672734839.11000001</v>
      </c>
      <c r="E103" s="331">
        <f>(D103/$D$112)</f>
        <v>1.1614038437978078E-3</v>
      </c>
      <c r="F103" s="324">
        <v>74574.039999999994</v>
      </c>
      <c r="G103" s="324">
        <v>74574.039999999994</v>
      </c>
      <c r="H103" s="332">
        <v>-8.0000000000000004E-4</v>
      </c>
      <c r="I103" s="332">
        <v>4.7500000000000001E-2</v>
      </c>
      <c r="J103" s="323">
        <v>671692604.25</v>
      </c>
      <c r="K103" s="331">
        <f t="shared" ref="K103:K111" si="58">(J103/$J$112)</f>
        <v>1.1713957380289886E-3</v>
      </c>
      <c r="L103" s="324">
        <v>74051.7</v>
      </c>
      <c r="M103" s="324">
        <v>74051.7</v>
      </c>
      <c r="N103" s="332">
        <v>-6.1000000000000004E-3</v>
      </c>
      <c r="O103" s="332">
        <v>4.7800000000000002E-2</v>
      </c>
      <c r="P103" s="327">
        <f t="shared" ref="P103:P111" si="59">((J103-D103)/D103)</f>
        <v>-1.5492506102089902E-3</v>
      </c>
      <c r="Q103" s="327">
        <f t="shared" ref="Q103:Q111" si="60">((M103-G103)/G103)</f>
        <v>-7.0043141017973086E-3</v>
      </c>
      <c r="R103" s="327">
        <f t="shared" ref="R103:R111" si="61">N103-H103</f>
        <v>-5.3E-3</v>
      </c>
      <c r="S103" s="392">
        <f t="shared" ref="S103:S111" si="62">O103-I103</f>
        <v>3.0000000000000165E-4</v>
      </c>
      <c r="T103"/>
      <c r="U103" s="386"/>
      <c r="V103" s="131"/>
    </row>
    <row r="104" spans="1:43" s="112" customFormat="1" ht="12.95" customHeight="1">
      <c r="A104" s="399">
        <v>87</v>
      </c>
      <c r="B104" s="382" t="s">
        <v>225</v>
      </c>
      <c r="C104" s="382" t="s">
        <v>80</v>
      </c>
      <c r="D104" s="324">
        <f>6230681.97 *760.932</f>
        <v>4741125292.7960396</v>
      </c>
      <c r="E104" s="331">
        <f>(D104/$J$112)</f>
        <v>8.2682672494867222E-3</v>
      </c>
      <c r="F104" s="323">
        <f>127.79*760.932</f>
        <v>97239.500280000007</v>
      </c>
      <c r="G104" s="323">
        <f>128.68*760.932</f>
        <v>97916.729760000002</v>
      </c>
      <c r="H104" s="332">
        <v>8.9999999999999998E-4</v>
      </c>
      <c r="I104" s="332">
        <v>3.1399999999999997E-2</v>
      </c>
      <c r="J104" s="324">
        <f>6406582.48*757.455</f>
        <v>4852697932.388401</v>
      </c>
      <c r="K104" s="331">
        <f t="shared" si="58"/>
        <v>8.4628439258892692E-3</v>
      </c>
      <c r="L104" s="323">
        <f>127.9*757.455</f>
        <v>96878.494500000015</v>
      </c>
      <c r="M104" s="323">
        <f>128.8*757.455</f>
        <v>97560.204000000012</v>
      </c>
      <c r="N104" s="332">
        <v>8.9999999999999998E-4</v>
      </c>
      <c r="O104" s="332">
        <v>3.2300000000000002E-2</v>
      </c>
      <c r="P104" s="327">
        <f t="shared" si="59"/>
        <v>2.3532944755096822E-2</v>
      </c>
      <c r="Q104" s="327">
        <f t="shared" si="60"/>
        <v>-3.6411117985032421E-3</v>
      </c>
      <c r="R104" s="327">
        <f t="shared" si="61"/>
        <v>0</v>
      </c>
      <c r="S104" s="392">
        <f t="shared" si="62"/>
        <v>9.0000000000000496E-4</v>
      </c>
      <c r="V104" s="132"/>
    </row>
    <row r="105" spans="1:43" s="112" customFormat="1" ht="12.75" customHeight="1">
      <c r="A105" s="406">
        <v>88</v>
      </c>
      <c r="B105" s="381" t="s">
        <v>141</v>
      </c>
      <c r="C105" s="382" t="s">
        <v>88</v>
      </c>
      <c r="D105" s="323">
        <v>8458101147.6000004</v>
      </c>
      <c r="E105" s="331">
        <f t="shared" ref="E105:E111" si="63">(D105/$D$112)</f>
        <v>1.4601995634786903E-2</v>
      </c>
      <c r="F105" s="323">
        <v>88342.8</v>
      </c>
      <c r="G105" s="323">
        <v>88342.8</v>
      </c>
      <c r="H105" s="332">
        <v>1.1000000000000001E-3</v>
      </c>
      <c r="I105" s="332">
        <v>7.17E-2</v>
      </c>
      <c r="J105" s="323">
        <v>7995860549.8199997</v>
      </c>
      <c r="K105" s="331">
        <f t="shared" si="58"/>
        <v>1.3944350303501607E-2</v>
      </c>
      <c r="L105" s="323">
        <v>83711.34</v>
      </c>
      <c r="M105" s="323">
        <v>83711.34</v>
      </c>
      <c r="N105" s="332">
        <v>1.5E-3</v>
      </c>
      <c r="O105" s="332">
        <v>7.22E-2</v>
      </c>
      <c r="P105" s="327">
        <f t="shared" si="59"/>
        <v>-5.4650634901802067E-2</v>
      </c>
      <c r="Q105" s="327">
        <f t="shared" si="60"/>
        <v>-5.2426004156535748E-2</v>
      </c>
      <c r="R105" s="327">
        <f t="shared" si="61"/>
        <v>3.9999999999999996E-4</v>
      </c>
      <c r="S105" s="392">
        <f t="shared" si="62"/>
        <v>5.0000000000000044E-4</v>
      </c>
      <c r="T105" s="176"/>
      <c r="U105" s="387"/>
      <c r="V105" s="177"/>
      <c r="W105" s="184"/>
      <c r="Y105" s="142"/>
    </row>
    <row r="106" spans="1:43" s="112" customFormat="1" ht="12.95" customHeight="1" thickBot="1">
      <c r="A106" s="406">
        <v>89</v>
      </c>
      <c r="B106" s="381" t="s">
        <v>152</v>
      </c>
      <c r="C106" s="382" t="s">
        <v>7</v>
      </c>
      <c r="D106" s="323">
        <v>2827593382.9012799</v>
      </c>
      <c r="E106" s="331">
        <f t="shared" si="63"/>
        <v>4.8815337525009977E-3</v>
      </c>
      <c r="F106" s="323">
        <v>913.06060057854904</v>
      </c>
      <c r="G106" s="323">
        <v>913.06060057854904</v>
      </c>
      <c r="H106" s="332">
        <v>5.1345491787116289E-2</v>
      </c>
      <c r="I106" s="332">
        <v>5.9561244097719464E-2</v>
      </c>
      <c r="J106" s="323">
        <v>2775848924.9132667</v>
      </c>
      <c r="K106" s="331">
        <f t="shared" si="58"/>
        <v>4.8409310739492934E-3</v>
      </c>
      <c r="L106" s="323">
        <v>896.35175334017492</v>
      </c>
      <c r="M106" s="323">
        <v>896.35175334017492</v>
      </c>
      <c r="N106" s="332">
        <v>5.1092616820812543E-2</v>
      </c>
      <c r="O106" s="332">
        <v>5.9394364468111173E-2</v>
      </c>
      <c r="P106" s="327">
        <f t="shared" si="59"/>
        <v>-1.8299822846140755E-2</v>
      </c>
      <c r="Q106" s="327">
        <f t="shared" si="60"/>
        <v>-1.8299822846136144E-2</v>
      </c>
      <c r="R106" s="327">
        <f t="shared" si="61"/>
        <v>-2.5287496630374551E-4</v>
      </c>
      <c r="S106" s="392">
        <f t="shared" si="62"/>
        <v>-1.6687962960829084E-4</v>
      </c>
      <c r="T106" s="166"/>
      <c r="U106" s="182"/>
      <c r="V106" s="177"/>
      <c r="W106" s="184"/>
      <c r="Y106" s="143"/>
    </row>
    <row r="107" spans="1:43" s="112" customFormat="1" ht="12.75" customHeight="1">
      <c r="A107" s="406">
        <v>90</v>
      </c>
      <c r="B107" s="382" t="s">
        <v>190</v>
      </c>
      <c r="C107" s="395" t="s">
        <v>9</v>
      </c>
      <c r="D107" s="324">
        <v>7951502375.8199997</v>
      </c>
      <c r="E107" s="331">
        <f t="shared" si="63"/>
        <v>1.3727407719008787E-2</v>
      </c>
      <c r="F107" s="323">
        <f>1.0109*760.932</f>
        <v>769.22615879999989</v>
      </c>
      <c r="G107" s="323">
        <f>1.0109*760.932</f>
        <v>769.22615879999989</v>
      </c>
      <c r="H107" s="332">
        <v>1.5E-3</v>
      </c>
      <c r="I107" s="332">
        <v>9.2299999999999993E-2</v>
      </c>
      <c r="J107" s="324">
        <v>7977974730.4899998</v>
      </c>
      <c r="K107" s="331">
        <f t="shared" si="58"/>
        <v>1.3913158397558691E-2</v>
      </c>
      <c r="L107" s="323">
        <f>1.0127*757.455</f>
        <v>767.0746785</v>
      </c>
      <c r="M107" s="323">
        <f>1.0127*757.455</f>
        <v>767.0746785</v>
      </c>
      <c r="N107" s="332">
        <v>1.5E-3</v>
      </c>
      <c r="O107" s="332">
        <v>9.2200000000000004E-2</v>
      </c>
      <c r="P107" s="327">
        <f t="shared" si="59"/>
        <v>3.3292267824129415E-3</v>
      </c>
      <c r="Q107" s="327">
        <f t="shared" si="60"/>
        <v>-2.7969411536344769E-3</v>
      </c>
      <c r="R107" s="327">
        <f t="shared" si="61"/>
        <v>0</v>
      </c>
      <c r="S107" s="392">
        <f t="shared" si="62"/>
        <v>-9.9999999999988987E-5</v>
      </c>
      <c r="U107" s="184"/>
      <c r="V107" s="182"/>
      <c r="W107" s="182"/>
    </row>
    <row r="108" spans="1:43" s="112" customFormat="1" ht="12.75" customHeight="1">
      <c r="A108" s="406">
        <v>91</v>
      </c>
      <c r="B108" s="381" t="s">
        <v>160</v>
      </c>
      <c r="C108" s="382" t="s">
        <v>159</v>
      </c>
      <c r="D108" s="323">
        <v>184186175.25999999</v>
      </c>
      <c r="E108" s="331">
        <f t="shared" si="63"/>
        <v>3.1797748456788809E-4</v>
      </c>
      <c r="F108" s="323">
        <v>756.91</v>
      </c>
      <c r="G108" s="323">
        <v>756.91</v>
      </c>
      <c r="H108" s="332">
        <v>8.4400000000000002E-4</v>
      </c>
      <c r="I108" s="332">
        <v>0.105286</v>
      </c>
      <c r="J108" s="323">
        <v>180649783.06</v>
      </c>
      <c r="K108" s="331">
        <f t="shared" si="58"/>
        <v>3.1504349551180188E-4</v>
      </c>
      <c r="L108" s="323">
        <v>747.76</v>
      </c>
      <c r="M108" s="323">
        <v>747.76</v>
      </c>
      <c r="N108" s="332">
        <v>9.7333000000000003E-2</v>
      </c>
      <c r="O108" s="332">
        <v>-7.195E-3</v>
      </c>
      <c r="P108" s="327">
        <f t="shared" si="59"/>
        <v>-1.9200095745557252E-2</v>
      </c>
      <c r="Q108" s="327">
        <f t="shared" si="60"/>
        <v>-1.208862348231623E-2</v>
      </c>
      <c r="R108" s="327">
        <f t="shared" si="61"/>
        <v>9.6489000000000005E-2</v>
      </c>
      <c r="S108" s="392">
        <f t="shared" si="62"/>
        <v>-0.112481</v>
      </c>
      <c r="U108" s="184"/>
      <c r="V108" s="182"/>
      <c r="W108" s="182"/>
    </row>
    <row r="109" spans="1:43" s="112" customFormat="1" ht="12.75" customHeight="1">
      <c r="A109" s="406">
        <v>92</v>
      </c>
      <c r="B109" s="381" t="s">
        <v>93</v>
      </c>
      <c r="C109" s="382" t="s">
        <v>5</v>
      </c>
      <c r="D109" s="324">
        <v>346417854999.15997</v>
      </c>
      <c r="E109" s="331">
        <f t="shared" si="63"/>
        <v>0.59805291024987361</v>
      </c>
      <c r="F109" s="323">
        <v>1085.33</v>
      </c>
      <c r="G109" s="323">
        <v>1085.33</v>
      </c>
      <c r="H109" s="332">
        <v>1.4E-3</v>
      </c>
      <c r="I109" s="332">
        <v>5.0599999999999999E-2</v>
      </c>
      <c r="J109" s="324">
        <v>343586475600.15002</v>
      </c>
      <c r="K109" s="331">
        <f t="shared" si="58"/>
        <v>0.59919631482590763</v>
      </c>
      <c r="L109" s="323">
        <v>1073.71</v>
      </c>
      <c r="M109" s="323">
        <v>1073.71</v>
      </c>
      <c r="N109" s="332">
        <v>1.4E-3</v>
      </c>
      <c r="O109" s="332">
        <v>5.21E-2</v>
      </c>
      <c r="P109" s="327">
        <f t="shared" si="59"/>
        <v>-8.1733067685463689E-3</v>
      </c>
      <c r="Q109" s="327">
        <f t="shared" si="60"/>
        <v>-1.0706421088516757E-2</v>
      </c>
      <c r="R109" s="327">
        <f t="shared" si="61"/>
        <v>0</v>
      </c>
      <c r="S109" s="392">
        <f t="shared" si="62"/>
        <v>1.5000000000000013E-3</v>
      </c>
      <c r="T109"/>
      <c r="U109" s="291"/>
      <c r="V109" s="290"/>
      <c r="W109" s="290"/>
    </row>
    <row r="110" spans="1:43" s="328" customFormat="1" ht="12.75" customHeight="1">
      <c r="A110" s="406">
        <v>93</v>
      </c>
      <c r="B110" s="381" t="s">
        <v>248</v>
      </c>
      <c r="C110" s="382" t="s">
        <v>41</v>
      </c>
      <c r="D110" s="324">
        <v>13368437385.360001</v>
      </c>
      <c r="E110" s="331">
        <f t="shared" si="63"/>
        <v>2.3079159369043339E-2</v>
      </c>
      <c r="F110" s="324">
        <v>800.21</v>
      </c>
      <c r="G110" s="324">
        <v>800.21</v>
      </c>
      <c r="H110" s="332">
        <v>5.0599999999999999E-2</v>
      </c>
      <c r="I110" s="332">
        <v>8.3199999999999996E-2</v>
      </c>
      <c r="J110" s="324">
        <v>13269793347.030001</v>
      </c>
      <c r="K110" s="331">
        <f t="shared" si="58"/>
        <v>2.3141805154446689E-2</v>
      </c>
      <c r="L110" s="324">
        <v>791.28</v>
      </c>
      <c r="M110" s="324">
        <v>791.28</v>
      </c>
      <c r="N110" s="332">
        <v>5.0500000000000003E-2</v>
      </c>
      <c r="O110" s="332">
        <v>8.2299999999999998E-2</v>
      </c>
      <c r="P110" s="327">
        <f t="shared" si="59"/>
        <v>-7.3788757419043349E-3</v>
      </c>
      <c r="Q110" s="327">
        <f t="shared" si="60"/>
        <v>-1.1159570612714241E-2</v>
      </c>
      <c r="R110" s="327">
        <f t="shared" si="61"/>
        <v>-9.9999999999995925E-5</v>
      </c>
      <c r="S110" s="392">
        <f t="shared" si="62"/>
        <v>-8.9999999999999802E-4</v>
      </c>
      <c r="T110" s="354"/>
      <c r="U110" s="353"/>
      <c r="V110" s="353"/>
      <c r="W110" s="353"/>
      <c r="X110" s="352"/>
    </row>
    <row r="111" spans="1:43" s="112" customFormat="1" ht="12.95" customHeight="1">
      <c r="A111" s="406">
        <v>94</v>
      </c>
      <c r="B111" s="381" t="s">
        <v>266</v>
      </c>
      <c r="C111" s="382" t="s">
        <v>240</v>
      </c>
      <c r="D111" s="323">
        <v>16657205047.360001</v>
      </c>
      <c r="E111" s="331">
        <f t="shared" si="63"/>
        <v>2.8756860570095872E-2</v>
      </c>
      <c r="F111" s="323">
        <v>762.71</v>
      </c>
      <c r="G111" s="323">
        <v>762.71</v>
      </c>
      <c r="H111" s="332">
        <v>2.0999999999999999E-3</v>
      </c>
      <c r="I111" s="332">
        <v>5.1799999999999999E-2</v>
      </c>
      <c r="J111" s="323">
        <v>17372075357.919998</v>
      </c>
      <c r="K111" s="331">
        <f t="shared" si="58"/>
        <v>3.029596411547195E-2</v>
      </c>
      <c r="L111" s="323">
        <f>762.71*1.1072</f>
        <v>844.47251200000005</v>
      </c>
      <c r="M111" s="323">
        <f>762.71*1.1072</f>
        <v>844.47251200000005</v>
      </c>
      <c r="N111" s="332">
        <v>1E-3</v>
      </c>
      <c r="O111" s="332">
        <v>5.2900000000000003E-2</v>
      </c>
      <c r="P111" s="327">
        <f t="shared" si="59"/>
        <v>4.2916582255394478E-2</v>
      </c>
      <c r="Q111" s="327">
        <f t="shared" si="60"/>
        <v>0.10720000000000002</v>
      </c>
      <c r="R111" s="327">
        <f t="shared" si="61"/>
        <v>-1.0999999999999998E-3</v>
      </c>
      <c r="S111" s="392">
        <f t="shared" si="62"/>
        <v>1.1000000000000038E-3</v>
      </c>
      <c r="U111" s="182"/>
      <c r="V111" s="182"/>
      <c r="W111" s="182"/>
      <c r="X111" s="184"/>
    </row>
    <row r="112" spans="1:43" s="112" customFormat="1" ht="13.5" customHeight="1">
      <c r="A112" s="212"/>
      <c r="C112" s="284" t="s">
        <v>42</v>
      </c>
      <c r="D112" s="76">
        <f>SUM(D90:D111)</f>
        <v>579242821265.46704</v>
      </c>
      <c r="E112" s="260">
        <f>(D112/$D$170)</f>
        <v>0.30012046415199156</v>
      </c>
      <c r="F112" s="262"/>
      <c r="G112" s="73"/>
      <c r="H112" s="274"/>
      <c r="I112" s="274"/>
      <c r="J112" s="76">
        <f>SUM(J90:J111)</f>
        <v>573412197469.83374</v>
      </c>
      <c r="K112" s="260">
        <f>(J112/$J$170)</f>
        <v>0.29747689868833349</v>
      </c>
      <c r="L112" s="262"/>
      <c r="M112" s="73"/>
      <c r="N112" s="276"/>
      <c r="O112" s="276"/>
      <c r="P112" s="264">
        <f t="shared" ref="P112" si="64">((J112-D112)/D112)</f>
        <v>-1.0065940537502363E-2</v>
      </c>
      <c r="Q112" s="264"/>
      <c r="R112" s="264">
        <f t="shared" ref="R112:S112" si="65">N112-H112</f>
        <v>0</v>
      </c>
      <c r="S112" s="392">
        <f t="shared" si="65"/>
        <v>0</v>
      </c>
      <c r="U112" s="182"/>
      <c r="V112" s="182"/>
      <c r="W112" s="182"/>
      <c r="X112" s="182"/>
    </row>
    <row r="113" spans="1:23" s="112" customFormat="1" ht="4.5" customHeight="1">
      <c r="A113" s="408"/>
      <c r="B113" s="409"/>
      <c r="C113" s="410"/>
      <c r="D113" s="410"/>
      <c r="E113" s="410"/>
      <c r="F113" s="410"/>
      <c r="G113" s="410"/>
      <c r="H113" s="410"/>
      <c r="I113" s="410"/>
      <c r="J113" s="410"/>
      <c r="K113" s="410"/>
      <c r="L113" s="410"/>
      <c r="M113" s="410"/>
      <c r="N113" s="410"/>
      <c r="O113" s="410"/>
      <c r="P113" s="410"/>
      <c r="Q113" s="410"/>
      <c r="R113" s="410"/>
      <c r="S113" s="411"/>
      <c r="T113" s="118"/>
      <c r="U113" s="133"/>
    </row>
    <row r="114" spans="1:23" s="112" customFormat="1" ht="12.95" customHeight="1">
      <c r="A114" s="452" t="s">
        <v>209</v>
      </c>
      <c r="B114" s="453"/>
      <c r="C114" s="454"/>
      <c r="D114" s="454"/>
      <c r="E114" s="454"/>
      <c r="F114" s="454"/>
      <c r="G114" s="454"/>
      <c r="H114" s="454"/>
      <c r="I114" s="454"/>
      <c r="J114" s="454"/>
      <c r="K114" s="454"/>
      <c r="L114" s="454"/>
      <c r="M114" s="454"/>
      <c r="N114" s="454"/>
      <c r="O114" s="454"/>
      <c r="P114" s="454"/>
      <c r="Q114" s="454"/>
      <c r="R114" s="454"/>
      <c r="S114" s="455"/>
    </row>
    <row r="115" spans="1:23" s="112" customFormat="1" ht="12.95" customHeight="1">
      <c r="A115" s="398">
        <v>95</v>
      </c>
      <c r="B115" s="381" t="s">
        <v>222</v>
      </c>
      <c r="C115" s="382" t="s">
        <v>9</v>
      </c>
      <c r="D115" s="324">
        <v>54330953714</v>
      </c>
      <c r="E115" s="331">
        <f>(D115/$D$119)</f>
        <v>0.58483098721668847</v>
      </c>
      <c r="F115" s="325">
        <v>101.48</v>
      </c>
      <c r="G115" s="325">
        <v>101.48</v>
      </c>
      <c r="H115" s="332">
        <v>0</v>
      </c>
      <c r="I115" s="332">
        <v>7.6999999999999999E-2</v>
      </c>
      <c r="J115" s="324">
        <v>54330953714</v>
      </c>
      <c r="K115" s="331">
        <f>(J115/$J$119)</f>
        <v>0.58464105481397954</v>
      </c>
      <c r="L115" s="325">
        <v>101.48</v>
      </c>
      <c r="M115" s="325">
        <v>101.48</v>
      </c>
      <c r="N115" s="332">
        <v>0</v>
      </c>
      <c r="O115" s="332">
        <v>7.6999999999999999E-2</v>
      </c>
      <c r="P115" s="327">
        <f>((J115-D115)/D115)</f>
        <v>0</v>
      </c>
      <c r="Q115" s="327">
        <f>((M115-G115)/G115)</f>
        <v>0</v>
      </c>
      <c r="R115" s="327">
        <f t="shared" ref="R115:S118" si="66">N115-H115</f>
        <v>0</v>
      </c>
      <c r="S115" s="392">
        <f t="shared" si="66"/>
        <v>0</v>
      </c>
    </row>
    <row r="116" spans="1:23" s="112" customFormat="1" ht="12.95" customHeight="1">
      <c r="A116" s="402">
        <v>96</v>
      </c>
      <c r="B116" s="381" t="s">
        <v>139</v>
      </c>
      <c r="C116" s="382" t="s">
        <v>20</v>
      </c>
      <c r="D116" s="324">
        <v>2300853716.8299999</v>
      </c>
      <c r="E116" s="331">
        <f>(D116/$D$119)</f>
        <v>2.4766923064487616E-2</v>
      </c>
      <c r="F116" s="325">
        <v>92.15</v>
      </c>
      <c r="G116" s="325">
        <v>92.15</v>
      </c>
      <c r="H116" s="332">
        <v>3.4799999999999998E-2</v>
      </c>
      <c r="I116" s="332">
        <v>0.12</v>
      </c>
      <c r="J116" s="324">
        <v>2308270619.0300002</v>
      </c>
      <c r="K116" s="331">
        <f>(J116/$J$119)</f>
        <v>2.4838690971811066E-2</v>
      </c>
      <c r="L116" s="325">
        <v>92.15</v>
      </c>
      <c r="M116" s="325">
        <v>92.15</v>
      </c>
      <c r="N116" s="332">
        <v>0.15759999999999999</v>
      </c>
      <c r="O116" s="332">
        <v>0.1217</v>
      </c>
      <c r="P116" s="327">
        <f>((J116-D116)/D116)</f>
        <v>3.223543568088683E-3</v>
      </c>
      <c r="Q116" s="327">
        <f>((M116-G116)/G116)</f>
        <v>0</v>
      </c>
      <c r="R116" s="327">
        <f t="shared" si="66"/>
        <v>0.12279999999999999</v>
      </c>
      <c r="S116" s="392">
        <f t="shared" si="66"/>
        <v>1.7000000000000071E-3</v>
      </c>
      <c r="T116" s="134"/>
      <c r="U116" s="165"/>
    </row>
    <row r="117" spans="1:23" s="112" customFormat="1" ht="12.95" customHeight="1">
      <c r="A117" s="400">
        <v>97</v>
      </c>
      <c r="B117" s="381" t="s">
        <v>21</v>
      </c>
      <c r="C117" s="382" t="s">
        <v>20</v>
      </c>
      <c r="D117" s="324">
        <v>9995456646.1000004</v>
      </c>
      <c r="E117" s="331">
        <f>(D117/$D$119)</f>
        <v>0.10759341366971008</v>
      </c>
      <c r="F117" s="325">
        <v>36.6</v>
      </c>
      <c r="G117" s="325">
        <v>36.6</v>
      </c>
      <c r="H117" s="332">
        <v>0.1041</v>
      </c>
      <c r="I117" s="332">
        <v>0.16109999999999999</v>
      </c>
      <c r="J117" s="324">
        <v>10006289289.290001</v>
      </c>
      <c r="K117" s="331">
        <f>(J117/$J$119)</f>
        <v>0.10767503835215911</v>
      </c>
      <c r="L117" s="325">
        <v>36.6</v>
      </c>
      <c r="M117" s="325">
        <v>36.6</v>
      </c>
      <c r="N117" s="332">
        <v>5.6599999999999998E-2</v>
      </c>
      <c r="O117" s="332">
        <v>0.16109999999999999</v>
      </c>
      <c r="P117" s="327">
        <f>((J117-D117)/D117)</f>
        <v>1.0837567080266598E-3</v>
      </c>
      <c r="Q117" s="327">
        <f>((M117-G117)/G117)</f>
        <v>0</v>
      </c>
      <c r="R117" s="327">
        <f t="shared" si="66"/>
        <v>-4.7500000000000001E-2</v>
      </c>
      <c r="S117" s="392">
        <f t="shared" si="66"/>
        <v>0</v>
      </c>
      <c r="T117" s="135"/>
      <c r="U117" s="113"/>
    </row>
    <row r="118" spans="1:23" s="136" customFormat="1" ht="12.95" customHeight="1">
      <c r="A118" s="406">
        <v>98</v>
      </c>
      <c r="B118" s="381" t="s">
        <v>181</v>
      </c>
      <c r="C118" s="382" t="s">
        <v>5</v>
      </c>
      <c r="D118" s="324">
        <v>26273000959.59</v>
      </c>
      <c r="E118" s="331">
        <f>(D118/$D$119)</f>
        <v>0.28280867604911381</v>
      </c>
      <c r="F118" s="325">
        <v>3.4</v>
      </c>
      <c r="G118" s="325">
        <v>3.4</v>
      </c>
      <c r="H118" s="332">
        <v>1.49E-2</v>
      </c>
      <c r="I118" s="332">
        <v>0.1333</v>
      </c>
      <c r="J118" s="324">
        <v>26284931933.349998</v>
      </c>
      <c r="K118" s="331">
        <f>(J118/$J$119)</f>
        <v>0.28284521586205036</v>
      </c>
      <c r="L118" s="325">
        <v>3.55</v>
      </c>
      <c r="M118" s="325">
        <v>3.55</v>
      </c>
      <c r="N118" s="332">
        <v>4.41E-2</v>
      </c>
      <c r="O118" s="332">
        <v>0.18329999999999999</v>
      </c>
      <c r="P118" s="327">
        <f>((J118-D118)/D118)</f>
        <v>4.5411537792538901E-4</v>
      </c>
      <c r="Q118" s="327">
        <f>((M118-G118)/G118)</f>
        <v>4.4117647058823505E-2</v>
      </c>
      <c r="R118" s="327">
        <f t="shared" si="66"/>
        <v>2.92E-2</v>
      </c>
      <c r="S118" s="392">
        <f t="shared" si="66"/>
        <v>4.9999999999999989E-2</v>
      </c>
      <c r="T118" s="135"/>
      <c r="U118" s="160"/>
    </row>
    <row r="119" spans="1:23" s="112" customFormat="1" ht="12.75" customHeight="1">
      <c r="A119" s="212"/>
      <c r="C119" s="242" t="s">
        <v>42</v>
      </c>
      <c r="D119" s="70">
        <f>SUM(D115:D118)</f>
        <v>92900265036.520004</v>
      </c>
      <c r="E119" s="260">
        <f>(D119/$D$170)</f>
        <v>4.81339943094874E-2</v>
      </c>
      <c r="F119" s="72"/>
      <c r="G119" s="72"/>
      <c r="H119" s="243"/>
      <c r="I119" s="243"/>
      <c r="J119" s="70">
        <f>SUM(J115:J118)</f>
        <v>92930445555.669998</v>
      </c>
      <c r="K119" s="260">
        <f>(J119/$J$170)</f>
        <v>4.8210799943927032E-2</v>
      </c>
      <c r="L119" s="262"/>
      <c r="M119" s="72"/>
      <c r="N119" s="263"/>
      <c r="O119" s="263"/>
      <c r="P119" s="264">
        <f>((J119-D119)/D119)</f>
        <v>3.2487010815447767E-4</v>
      </c>
      <c r="Q119" s="264"/>
      <c r="R119" s="264">
        <f>N119-H119</f>
        <v>0</v>
      </c>
      <c r="S119" s="392">
        <f t="shared" ref="S119" si="67">O119-I119</f>
        <v>0</v>
      </c>
      <c r="T119" s="160"/>
      <c r="U119" s="160"/>
      <c r="V119" s="178"/>
      <c r="W119" s="449"/>
    </row>
    <row r="120" spans="1:23" s="112" customFormat="1" ht="5.25" customHeight="1">
      <c r="A120" s="408"/>
      <c r="B120" s="409"/>
      <c r="C120" s="410"/>
      <c r="D120" s="410"/>
      <c r="E120" s="410"/>
      <c r="F120" s="410"/>
      <c r="G120" s="410"/>
      <c r="H120" s="410"/>
      <c r="I120" s="410"/>
      <c r="J120" s="410"/>
      <c r="K120" s="410"/>
      <c r="L120" s="410"/>
      <c r="M120" s="410"/>
      <c r="N120" s="410"/>
      <c r="O120" s="410"/>
      <c r="P120" s="410"/>
      <c r="Q120" s="410"/>
      <c r="R120" s="410"/>
      <c r="S120" s="411"/>
      <c r="T120" s="160"/>
      <c r="U120" s="160"/>
      <c r="V120" s="178"/>
      <c r="W120" s="449"/>
    </row>
    <row r="121" spans="1:23" s="112" customFormat="1" ht="12" customHeight="1">
      <c r="A121" s="428" t="s">
        <v>219</v>
      </c>
      <c r="B121" s="429"/>
      <c r="C121" s="430"/>
      <c r="D121" s="430"/>
      <c r="E121" s="430"/>
      <c r="F121" s="430"/>
      <c r="G121" s="430"/>
      <c r="H121" s="430"/>
      <c r="I121" s="430"/>
      <c r="J121" s="430"/>
      <c r="K121" s="430"/>
      <c r="L121" s="430"/>
      <c r="M121" s="430"/>
      <c r="N121" s="430"/>
      <c r="O121" s="430"/>
      <c r="P121" s="430"/>
      <c r="Q121" s="430"/>
      <c r="R121" s="430"/>
      <c r="S121" s="431"/>
      <c r="T121" s="182"/>
      <c r="U121" s="184"/>
      <c r="V121" s="178"/>
      <c r="W121" s="449"/>
    </row>
    <row r="122" spans="1:23" s="112" customFormat="1" ht="12" customHeight="1">
      <c r="A122" s="399">
        <v>99</v>
      </c>
      <c r="B122" s="381" t="s">
        <v>116</v>
      </c>
      <c r="C122" s="382" t="s">
        <v>36</v>
      </c>
      <c r="D122" s="323">
        <v>202694998.53</v>
      </c>
      <c r="E122" s="331">
        <f t="shared" ref="E122:E145" si="68">(D122/$D$146)</f>
        <v>5.0673790919843215E-3</v>
      </c>
      <c r="F122" s="323">
        <v>4.5599999999999996</v>
      </c>
      <c r="G122" s="323">
        <v>4.6500000000000004</v>
      </c>
      <c r="H122" s="313">
        <v>-2.4782999999999999E-2</v>
      </c>
      <c r="I122" s="313">
        <v>0.213618</v>
      </c>
      <c r="J122" s="323">
        <v>204029615.66</v>
      </c>
      <c r="K122" s="312">
        <f t="shared" ref="K122:K136" si="69">(J122/$J$146)</f>
        <v>5.0984468319007683E-3</v>
      </c>
      <c r="L122" s="323">
        <v>4.59</v>
      </c>
      <c r="M122" s="323">
        <v>4.68</v>
      </c>
      <c r="N122" s="313">
        <v>7.9330000000000008E-3</v>
      </c>
      <c r="O122" s="313">
        <v>0.221551</v>
      </c>
      <c r="P122" s="327">
        <f t="shared" ref="P122:P145" si="70">((J122-D122)/D122)</f>
        <v>6.5843614281507019E-3</v>
      </c>
      <c r="Q122" s="327">
        <f t="shared" ref="Q122:Q145" si="71">((M122-G122)/G122)</f>
        <v>6.4516129032256685E-3</v>
      </c>
      <c r="R122" s="327">
        <f t="shared" ref="R122:R145" si="72">N122-H122</f>
        <v>3.2716000000000002E-2</v>
      </c>
      <c r="S122" s="392">
        <f t="shared" ref="S122:S145" si="73">O122-I122</f>
        <v>7.9329999999999956E-3</v>
      </c>
      <c r="T122" s="451"/>
      <c r="U122" s="166"/>
      <c r="V122" s="182"/>
    </row>
    <row r="123" spans="1:23" s="112" customFormat="1" ht="12" customHeight="1">
      <c r="A123" s="400">
        <v>100</v>
      </c>
      <c r="B123" s="381" t="s">
        <v>154</v>
      </c>
      <c r="C123" s="382" t="s">
        <v>6</v>
      </c>
      <c r="D123" s="323">
        <v>6002425527.3199997</v>
      </c>
      <c r="E123" s="331">
        <f t="shared" si="68"/>
        <v>0.15006076044758704</v>
      </c>
      <c r="F123" s="323">
        <v>640.96960000000001</v>
      </c>
      <c r="G123" s="323">
        <v>660.29539999999997</v>
      </c>
      <c r="H123" s="313">
        <v>-0.20019999999999999</v>
      </c>
      <c r="I123" s="313">
        <v>0.30780000000000002</v>
      </c>
      <c r="J123" s="323">
        <v>5974958018.5299997</v>
      </c>
      <c r="K123" s="312">
        <f t="shared" si="69"/>
        <v>0.14930678412431397</v>
      </c>
      <c r="L123" s="323">
        <v>639.21379999999999</v>
      </c>
      <c r="M123" s="323">
        <v>658.48649999999998</v>
      </c>
      <c r="N123" s="313">
        <v>-0.14280000000000001</v>
      </c>
      <c r="O123" s="313">
        <v>0.29499999999999998</v>
      </c>
      <c r="P123" s="327">
        <f t="shared" si="70"/>
        <v>-4.5760682352461984E-3</v>
      </c>
      <c r="Q123" s="327">
        <f t="shared" si="71"/>
        <v>-2.7395314279033208E-3</v>
      </c>
      <c r="R123" s="327">
        <f t="shared" si="72"/>
        <v>5.7399999999999979E-2</v>
      </c>
      <c r="S123" s="392">
        <f t="shared" si="73"/>
        <v>-1.2800000000000034E-2</v>
      </c>
      <c r="T123" s="451"/>
      <c r="W123" s="185"/>
    </row>
    <row r="124" spans="1:23" s="112" customFormat="1" ht="12" customHeight="1">
      <c r="A124" s="406">
        <v>101</v>
      </c>
      <c r="B124" s="381" t="s">
        <v>239</v>
      </c>
      <c r="C124" s="382" t="s">
        <v>12</v>
      </c>
      <c r="D124" s="323">
        <v>3269943808.6799998</v>
      </c>
      <c r="E124" s="331">
        <f t="shared" si="68"/>
        <v>8.1748661823129065E-2</v>
      </c>
      <c r="F124" s="323">
        <v>18.284800000000001</v>
      </c>
      <c r="G124" s="323">
        <v>18.497299999999999</v>
      </c>
      <c r="H124" s="332">
        <v>-1.7000000000000001E-2</v>
      </c>
      <c r="I124" s="332">
        <v>0.31979999999999997</v>
      </c>
      <c r="J124" s="323">
        <v>3254629165.5700002</v>
      </c>
      <c r="K124" s="312">
        <f t="shared" si="69"/>
        <v>8.1329142852791123E-2</v>
      </c>
      <c r="L124" s="323">
        <v>18.133700000000001</v>
      </c>
      <c r="M124" s="323">
        <v>18.341899999999999</v>
      </c>
      <c r="N124" s="332">
        <v>1.2999999999999999E-3</v>
      </c>
      <c r="O124" s="332">
        <v>0.30880000000000002</v>
      </c>
      <c r="P124" s="327">
        <f t="shared" si="70"/>
        <v>-4.6834575778786306E-3</v>
      </c>
      <c r="Q124" s="327">
        <f t="shared" si="71"/>
        <v>-8.4012261248939141E-3</v>
      </c>
      <c r="R124" s="327">
        <f t="shared" si="72"/>
        <v>1.83E-2</v>
      </c>
      <c r="S124" s="392">
        <f t="shared" si="73"/>
        <v>-1.0999999999999954E-2</v>
      </c>
      <c r="T124" s="184"/>
      <c r="U124" s="113"/>
      <c r="W124" s="185"/>
    </row>
    <row r="125" spans="1:23" s="112" customFormat="1" ht="12" customHeight="1">
      <c r="A125" s="406">
        <v>102</v>
      </c>
      <c r="B125" s="381" t="s">
        <v>142</v>
      </c>
      <c r="C125" s="382" t="s">
        <v>102</v>
      </c>
      <c r="D125" s="324">
        <v>1245885409.1099999</v>
      </c>
      <c r="E125" s="331">
        <f t="shared" si="68"/>
        <v>3.1147160605435126E-2</v>
      </c>
      <c r="F125" s="323">
        <v>2.9137</v>
      </c>
      <c r="G125" s="323">
        <v>2.9843000000000002</v>
      </c>
      <c r="H125" s="332">
        <v>-0.58736942744496334</v>
      </c>
      <c r="I125" s="332">
        <v>0.40893045386330673</v>
      </c>
      <c r="J125" s="324">
        <v>1212650456.8699999</v>
      </c>
      <c r="K125" s="312">
        <f t="shared" si="69"/>
        <v>3.0302629645368565E-2</v>
      </c>
      <c r="L125" s="323">
        <v>2.8332999999999999</v>
      </c>
      <c r="M125" s="323">
        <v>2.9024999999999999</v>
      </c>
      <c r="N125" s="332">
        <v>-1.4292416024815637</v>
      </c>
      <c r="O125" s="332">
        <v>0.35026415414963691</v>
      </c>
      <c r="P125" s="327">
        <f t="shared" si="70"/>
        <v>-2.667576969517722E-2</v>
      </c>
      <c r="Q125" s="327">
        <f t="shared" si="71"/>
        <v>-2.741011292430396E-2</v>
      </c>
      <c r="R125" s="327">
        <f t="shared" si="72"/>
        <v>-0.84187217503660039</v>
      </c>
      <c r="S125" s="392">
        <f t="shared" si="73"/>
        <v>-5.8666299713669823E-2</v>
      </c>
      <c r="T125" s="184"/>
      <c r="U125" s="113"/>
      <c r="W125" s="185"/>
    </row>
    <row r="126" spans="1:23" s="112" customFormat="1" ht="12" customHeight="1">
      <c r="A126" s="406">
        <v>103</v>
      </c>
      <c r="B126" s="381" t="s">
        <v>261</v>
      </c>
      <c r="C126" s="382" t="s">
        <v>7</v>
      </c>
      <c r="D126" s="324">
        <v>2856098748.25137</v>
      </c>
      <c r="E126" s="331">
        <f t="shared" si="68"/>
        <v>7.140252688272182E-2</v>
      </c>
      <c r="F126" s="323">
        <v>5266.6269151173101</v>
      </c>
      <c r="G126" s="323">
        <v>5307.4907533654496</v>
      </c>
      <c r="H126" s="332">
        <v>-0.90619556813104174</v>
      </c>
      <c r="I126" s="332">
        <v>0.35593633479573167</v>
      </c>
      <c r="J126" s="324">
        <v>2869224009.1135802</v>
      </c>
      <c r="K126" s="312">
        <f t="shared" si="69"/>
        <v>7.1698346399162921E-2</v>
      </c>
      <c r="L126" s="323">
        <v>5289.4023942991898</v>
      </c>
      <c r="M126" s="323">
        <v>5330.5719750109101</v>
      </c>
      <c r="N126" s="332">
        <v>0.22549130144989965</v>
      </c>
      <c r="O126" s="332">
        <v>0.35398920104897652</v>
      </c>
      <c r="P126" s="327">
        <f t="shared" si="70"/>
        <v>4.5955206801747105E-3</v>
      </c>
      <c r="Q126" s="327">
        <f t="shared" si="71"/>
        <v>4.3488011035770343E-3</v>
      </c>
      <c r="R126" s="327">
        <f t="shared" si="72"/>
        <v>1.1316868695809414</v>
      </c>
      <c r="S126" s="392">
        <f t="shared" si="73"/>
        <v>-1.9471337467551475E-3</v>
      </c>
      <c r="T126" s="184"/>
      <c r="U126" s="113"/>
      <c r="W126" s="185"/>
    </row>
    <row r="127" spans="1:23" s="112" customFormat="1" ht="12" customHeight="1">
      <c r="A127" s="406">
        <v>104</v>
      </c>
      <c r="B127" s="381" t="s">
        <v>155</v>
      </c>
      <c r="C127" s="382" t="s">
        <v>88</v>
      </c>
      <c r="D127" s="323">
        <v>429426357.94</v>
      </c>
      <c r="E127" s="331">
        <f t="shared" si="68"/>
        <v>1.073566769557001E-2</v>
      </c>
      <c r="F127" s="323">
        <v>155.85</v>
      </c>
      <c r="G127" s="323">
        <v>156.62</v>
      </c>
      <c r="H127" s="332">
        <v>-3.0700000000000002E-2</v>
      </c>
      <c r="I127" s="332">
        <v>0.21529999999999999</v>
      </c>
      <c r="J127" s="323">
        <v>431738448.56999999</v>
      </c>
      <c r="K127" s="312">
        <f t="shared" si="69"/>
        <v>1.0788607909694816E-2</v>
      </c>
      <c r="L127" s="323">
        <v>156.68</v>
      </c>
      <c r="M127" s="323">
        <v>157.46</v>
      </c>
      <c r="N127" s="332">
        <v>5.3E-3</v>
      </c>
      <c r="O127" s="332">
        <v>0.2213</v>
      </c>
      <c r="P127" s="327">
        <f t="shared" si="70"/>
        <v>5.3841376693580687E-3</v>
      </c>
      <c r="Q127" s="327">
        <f t="shared" si="71"/>
        <v>5.3632997062955136E-3</v>
      </c>
      <c r="R127" s="327">
        <f t="shared" si="72"/>
        <v>3.6000000000000004E-2</v>
      </c>
      <c r="S127" s="392">
        <f t="shared" si="73"/>
        <v>6.0000000000000053E-3</v>
      </c>
      <c r="U127" s="113"/>
      <c r="W127" s="185"/>
    </row>
    <row r="128" spans="1:23" s="112" customFormat="1" ht="13.5">
      <c r="A128" s="406">
        <v>105</v>
      </c>
      <c r="B128" s="381" t="s">
        <v>179</v>
      </c>
      <c r="C128" s="382" t="s">
        <v>177</v>
      </c>
      <c r="D128" s="323">
        <v>3734808.11</v>
      </c>
      <c r="E128" s="331">
        <f t="shared" si="68"/>
        <v>9.3370278825041515E-5</v>
      </c>
      <c r="F128" s="323">
        <v>102.747</v>
      </c>
      <c r="G128" s="323">
        <v>102.99</v>
      </c>
      <c r="H128" s="332">
        <v>0</v>
      </c>
      <c r="I128" s="332">
        <v>0</v>
      </c>
      <c r="J128" s="323">
        <v>3734808.11</v>
      </c>
      <c r="K128" s="312">
        <f t="shared" si="69"/>
        <v>9.3328218624488276E-5</v>
      </c>
      <c r="L128" s="323">
        <v>102.747</v>
      </c>
      <c r="M128" s="323">
        <v>102.99</v>
      </c>
      <c r="N128" s="332">
        <v>0</v>
      </c>
      <c r="O128" s="332">
        <v>0</v>
      </c>
      <c r="P128" s="327">
        <f t="shared" si="70"/>
        <v>0</v>
      </c>
      <c r="Q128" s="327">
        <f t="shared" si="71"/>
        <v>0</v>
      </c>
      <c r="R128" s="327">
        <f t="shared" si="72"/>
        <v>0</v>
      </c>
      <c r="S128" s="392">
        <f t="shared" si="73"/>
        <v>0</v>
      </c>
      <c r="U128" s="113"/>
    </row>
    <row r="129" spans="1:22" s="112" customFormat="1" ht="12" customHeight="1">
      <c r="A129" s="406">
        <v>106</v>
      </c>
      <c r="B129" s="381" t="s">
        <v>109</v>
      </c>
      <c r="C129" s="382" t="s">
        <v>107</v>
      </c>
      <c r="D129" s="323">
        <v>163596341.93000001</v>
      </c>
      <c r="E129" s="331">
        <f t="shared" si="68"/>
        <v>4.0899118805760902E-3</v>
      </c>
      <c r="F129" s="323">
        <v>1.4536</v>
      </c>
      <c r="G129" s="323">
        <v>1.4673</v>
      </c>
      <c r="H129" s="332">
        <v>-1.6899999999999998E-2</v>
      </c>
      <c r="I129" s="332">
        <v>0.21010000000000001</v>
      </c>
      <c r="J129" s="323">
        <v>162860881.53</v>
      </c>
      <c r="K129" s="312">
        <f t="shared" si="69"/>
        <v>4.0696912690405193E-3</v>
      </c>
      <c r="L129" s="323">
        <v>1.4459</v>
      </c>
      <c r="M129" s="323">
        <v>1.4594</v>
      </c>
      <c r="N129" s="332">
        <v>-5.3E-3</v>
      </c>
      <c r="O129" s="332">
        <v>0.20369999999999999</v>
      </c>
      <c r="P129" s="327">
        <f t="shared" si="70"/>
        <v>-4.4955797380524347E-3</v>
      </c>
      <c r="Q129" s="327">
        <f t="shared" si="71"/>
        <v>-5.3840387105568172E-3</v>
      </c>
      <c r="R129" s="327">
        <f t="shared" si="72"/>
        <v>1.1599999999999999E-2</v>
      </c>
      <c r="S129" s="392">
        <f t="shared" si="73"/>
        <v>-6.4000000000000168E-3</v>
      </c>
      <c r="U129" s="111"/>
    </row>
    <row r="130" spans="1:22" s="328" customFormat="1" ht="12" customHeight="1">
      <c r="A130" s="406">
        <v>107</v>
      </c>
      <c r="B130" s="381" t="s">
        <v>281</v>
      </c>
      <c r="C130" s="382" t="s">
        <v>242</v>
      </c>
      <c r="D130" s="319">
        <v>112785306.44</v>
      </c>
      <c r="E130" s="331">
        <f t="shared" si="68"/>
        <v>2.8196349583461066E-3</v>
      </c>
      <c r="F130" s="323">
        <v>122.7256</v>
      </c>
      <c r="G130" s="323">
        <v>123.0081</v>
      </c>
      <c r="H130" s="332">
        <v>0.146704</v>
      </c>
      <c r="I130" s="332">
        <v>0.18479999999999999</v>
      </c>
      <c r="J130" s="319">
        <v>112786583.75</v>
      </c>
      <c r="K130" s="312">
        <f t="shared" si="69"/>
        <v>2.8183967251075603E-3</v>
      </c>
      <c r="L130" s="323">
        <v>123.05289999999999</v>
      </c>
      <c r="M130" s="323">
        <v>123.3403</v>
      </c>
      <c r="N130" s="332">
        <v>0.14690800000000001</v>
      </c>
      <c r="O130" s="332">
        <v>0.188</v>
      </c>
      <c r="P130" s="327">
        <f t="shared" ref="P130" si="74">((J130-D130)/D130)</f>
        <v>1.1325145449526202E-5</v>
      </c>
      <c r="Q130" s="327">
        <f t="shared" ref="Q130" si="75">((M130-G130)/G130)</f>
        <v>2.7006351614243312E-3</v>
      </c>
      <c r="R130" s="327">
        <f t="shared" ref="R130" si="76">N130-H130</f>
        <v>2.0400000000000973E-4</v>
      </c>
      <c r="S130" s="392">
        <f t="shared" ref="S130" si="77">O130-I130</f>
        <v>3.2000000000000084E-3</v>
      </c>
      <c r="U130" s="111"/>
    </row>
    <row r="131" spans="1:22" s="112" customFormat="1" ht="11.25" customHeight="1">
      <c r="A131" s="406">
        <v>108</v>
      </c>
      <c r="B131" s="381" t="s">
        <v>232</v>
      </c>
      <c r="C131" s="382" t="s">
        <v>98</v>
      </c>
      <c r="D131" s="319">
        <v>180415683.75999999</v>
      </c>
      <c r="E131" s="331">
        <f t="shared" si="68"/>
        <v>4.5103957689225736E-3</v>
      </c>
      <c r="F131" s="323">
        <v>113.42</v>
      </c>
      <c r="G131" s="323">
        <v>115.18</v>
      </c>
      <c r="H131" s="332">
        <v>-8.9999999999999998E-4</v>
      </c>
      <c r="I131" s="332">
        <v>9.9299999999999999E-2</v>
      </c>
      <c r="J131" s="319">
        <v>180465262.38</v>
      </c>
      <c r="K131" s="312">
        <f t="shared" si="69"/>
        <v>4.5096028940363091E-3</v>
      </c>
      <c r="L131" s="323">
        <v>113.45</v>
      </c>
      <c r="M131" s="323">
        <v>115.29</v>
      </c>
      <c r="N131" s="332">
        <v>5.9999999999999995E-4</v>
      </c>
      <c r="O131" s="332">
        <v>9.9900000000000003E-2</v>
      </c>
      <c r="P131" s="327">
        <f t="shared" si="70"/>
        <v>2.7480216224414996E-4</v>
      </c>
      <c r="Q131" s="327">
        <f t="shared" si="71"/>
        <v>9.5502691439485518E-4</v>
      </c>
      <c r="R131" s="327">
        <f t="shared" si="72"/>
        <v>1.5E-3</v>
      </c>
      <c r="S131" s="392">
        <f t="shared" si="73"/>
        <v>6.0000000000000331E-4</v>
      </c>
    </row>
    <row r="132" spans="1:22" s="112" customFormat="1" ht="12" customHeight="1">
      <c r="A132" s="406">
        <v>109</v>
      </c>
      <c r="B132" s="381" t="s">
        <v>259</v>
      </c>
      <c r="C132" s="382" t="s">
        <v>167</v>
      </c>
      <c r="D132" s="324">
        <v>528682505.04000002</v>
      </c>
      <c r="E132" s="331">
        <f t="shared" si="68"/>
        <v>1.3217073394838007E-2</v>
      </c>
      <c r="F132" s="323">
        <v>1.2639</v>
      </c>
      <c r="G132" s="323">
        <v>1.2639</v>
      </c>
      <c r="H132" s="332">
        <v>-0.80438862879075013</v>
      </c>
      <c r="I132" s="332">
        <v>0.33729674643152491</v>
      </c>
      <c r="J132" s="324">
        <v>521727575.39999998</v>
      </c>
      <c r="K132" s="312">
        <f t="shared" si="69"/>
        <v>1.3037324485020299E-2</v>
      </c>
      <c r="L132" s="323">
        <v>1.2548999999999999</v>
      </c>
      <c r="M132" s="323">
        <v>1.2548999999999999</v>
      </c>
      <c r="N132" s="332">
        <v>-0.35181476443940124</v>
      </c>
      <c r="O132" s="332">
        <v>0.3168781301292955</v>
      </c>
      <c r="P132" s="327">
        <f t="shared" si="70"/>
        <v>-1.3155210497222404E-2</v>
      </c>
      <c r="Q132" s="327">
        <f t="shared" si="71"/>
        <v>-7.1208165202944207E-3</v>
      </c>
      <c r="R132" s="327">
        <f t="shared" si="72"/>
        <v>0.45257386435134889</v>
      </c>
      <c r="S132" s="392">
        <f t="shared" si="73"/>
        <v>-2.0418616302229409E-2</v>
      </c>
    </row>
    <row r="133" spans="1:22" s="112" customFormat="1" ht="12" customHeight="1">
      <c r="A133" s="406">
        <v>110</v>
      </c>
      <c r="B133" s="381" t="s">
        <v>189</v>
      </c>
      <c r="C133" s="382" t="s">
        <v>184</v>
      </c>
      <c r="D133" s="323">
        <v>6557198037.6899996</v>
      </c>
      <c r="E133" s="331">
        <f t="shared" si="68"/>
        <v>0.1639300845071075</v>
      </c>
      <c r="F133" s="323">
        <v>268.54000000000002</v>
      </c>
      <c r="G133" s="323">
        <v>270.95999999999998</v>
      </c>
      <c r="H133" s="332">
        <v>-1.1900000000000001E-2</v>
      </c>
      <c r="I133" s="332">
        <v>0.3448</v>
      </c>
      <c r="J133" s="323">
        <v>6581243485.6899996</v>
      </c>
      <c r="K133" s="312">
        <f t="shared" si="69"/>
        <v>0.16445710536209196</v>
      </c>
      <c r="L133" s="323">
        <v>269.5</v>
      </c>
      <c r="M133" s="323">
        <v>271.94</v>
      </c>
      <c r="N133" s="332">
        <v>3.5999999999999999E-3</v>
      </c>
      <c r="O133" s="332">
        <v>0.34960000000000002</v>
      </c>
      <c r="P133" s="327">
        <f t="shared" si="70"/>
        <v>3.6670309272023821E-3</v>
      </c>
      <c r="Q133" s="327">
        <f t="shared" si="71"/>
        <v>3.6167700029525328E-3</v>
      </c>
      <c r="R133" s="327">
        <f t="shared" si="72"/>
        <v>1.55E-2</v>
      </c>
      <c r="S133" s="392">
        <f t="shared" si="73"/>
        <v>4.8000000000000265E-3</v>
      </c>
    </row>
    <row r="134" spans="1:22" s="112" customFormat="1" ht="12" customHeight="1">
      <c r="A134" s="406">
        <v>111</v>
      </c>
      <c r="B134" s="381" t="s">
        <v>180</v>
      </c>
      <c r="C134" s="382" t="s">
        <v>174</v>
      </c>
      <c r="D134" s="323">
        <v>2336674013.5799999</v>
      </c>
      <c r="E134" s="331">
        <f t="shared" si="68"/>
        <v>5.841689793567291E-2</v>
      </c>
      <c r="F134" s="323">
        <v>1.6521999999999999</v>
      </c>
      <c r="G134" s="323">
        <v>1.6266</v>
      </c>
      <c r="H134" s="332">
        <v>-1.6400000000000001E-2</v>
      </c>
      <c r="I134" s="332">
        <v>0.2631</v>
      </c>
      <c r="J134" s="323">
        <v>2331885369.5300002</v>
      </c>
      <c r="K134" s="312">
        <f t="shared" si="69"/>
        <v>5.8270920798322218E-2</v>
      </c>
      <c r="L134" s="323">
        <v>1.6241000000000001</v>
      </c>
      <c r="M134" s="323">
        <v>1.6496</v>
      </c>
      <c r="N134" s="332">
        <v>-1.1599999999999999E-2</v>
      </c>
      <c r="O134" s="332">
        <v>0.2611</v>
      </c>
      <c r="P134" s="327">
        <f t="shared" si="70"/>
        <v>-2.0493419373732282E-3</v>
      </c>
      <c r="Q134" s="327">
        <f t="shared" si="71"/>
        <v>1.4139923767367458E-2</v>
      </c>
      <c r="R134" s="327">
        <f t="shared" si="72"/>
        <v>4.8000000000000022E-3</v>
      </c>
      <c r="S134" s="392">
        <f t="shared" si="73"/>
        <v>-2.0000000000000018E-3</v>
      </c>
    </row>
    <row r="135" spans="1:22" s="112" customFormat="1" ht="12" customHeight="1">
      <c r="A135" s="406">
        <v>112</v>
      </c>
      <c r="B135" s="381" t="s">
        <v>251</v>
      </c>
      <c r="C135" s="382" t="s">
        <v>87</v>
      </c>
      <c r="D135" s="323">
        <v>158468200.44026017</v>
      </c>
      <c r="E135" s="331">
        <f t="shared" si="68"/>
        <v>3.9617082388764711E-3</v>
      </c>
      <c r="F135" s="323">
        <v>103.52</v>
      </c>
      <c r="G135" s="323">
        <v>108.49</v>
      </c>
      <c r="H135" s="332">
        <v>0.01</v>
      </c>
      <c r="I135" s="332">
        <v>3.1399999999999997E-2</v>
      </c>
      <c r="J135" s="323">
        <v>158737005.13365284</v>
      </c>
      <c r="K135" s="312">
        <f t="shared" si="69"/>
        <v>3.9666407168935033E-3</v>
      </c>
      <c r="L135" s="323">
        <v>103.69339273319588</v>
      </c>
      <c r="M135" s="323">
        <v>108.70547547996027</v>
      </c>
      <c r="N135" s="332">
        <v>0.01</v>
      </c>
      <c r="O135" s="332">
        <v>3.1399999999999997E-2</v>
      </c>
      <c r="P135" s="327">
        <f t="shared" si="70"/>
        <v>1.6962689842243714E-3</v>
      </c>
      <c r="Q135" s="327">
        <f t="shared" si="71"/>
        <v>1.986132177714772E-3</v>
      </c>
      <c r="R135" s="327">
        <f t="shared" si="72"/>
        <v>0</v>
      </c>
      <c r="S135" s="392">
        <f t="shared" si="73"/>
        <v>0</v>
      </c>
    </row>
    <row r="136" spans="1:22" s="328" customFormat="1" ht="12" customHeight="1">
      <c r="A136" s="406">
        <v>113</v>
      </c>
      <c r="B136" s="381" t="s">
        <v>267</v>
      </c>
      <c r="C136" s="382" t="s">
        <v>240</v>
      </c>
      <c r="D136" s="324">
        <v>2613539875.8600001</v>
      </c>
      <c r="E136" s="331">
        <f t="shared" si="68"/>
        <v>6.5338550132208156E-2</v>
      </c>
      <c r="F136" s="323">
        <v>3.61</v>
      </c>
      <c r="G136" s="323">
        <v>3.68</v>
      </c>
      <c r="H136" s="332">
        <v>-3.8999999999999998E-3</v>
      </c>
      <c r="I136" s="332">
        <v>0.16919999999999999</v>
      </c>
      <c r="J136" s="324">
        <v>2646507846.4299998</v>
      </c>
      <c r="K136" s="312">
        <f t="shared" si="69"/>
        <v>6.6132945952889308E-2</v>
      </c>
      <c r="L136" s="323">
        <v>3.65</v>
      </c>
      <c r="M136" s="323">
        <v>3.72</v>
      </c>
      <c r="N136" s="332">
        <v>1.2699999999999999E-2</v>
      </c>
      <c r="O136" s="332">
        <v>0.184</v>
      </c>
      <c r="P136" s="327">
        <f t="shared" ref="P136" si="78">((J136-D136)/D136)</f>
        <v>1.2614297900907824E-2</v>
      </c>
      <c r="Q136" s="327">
        <f t="shared" ref="Q136" si="79">((M136-G136)/G136)</f>
        <v>1.0869565217391313E-2</v>
      </c>
      <c r="R136" s="327">
        <f t="shared" ref="R136" si="80">N136-H136</f>
        <v>1.66E-2</v>
      </c>
      <c r="S136" s="392">
        <f t="shared" ref="S136" si="81">O136-I136</f>
        <v>1.4800000000000008E-2</v>
      </c>
    </row>
    <row r="137" spans="1:22" s="112" customFormat="1" ht="12" customHeight="1">
      <c r="A137" s="406">
        <v>114</v>
      </c>
      <c r="B137" s="381" t="s">
        <v>129</v>
      </c>
      <c r="C137" s="382" t="s">
        <v>103</v>
      </c>
      <c r="D137" s="324">
        <v>155914257.34999999</v>
      </c>
      <c r="E137" s="331">
        <f t="shared" si="68"/>
        <v>3.8978596095981966E-3</v>
      </c>
      <c r="F137" s="323">
        <v>170.82027500000001</v>
      </c>
      <c r="G137" s="323">
        <v>176.68709100000001</v>
      </c>
      <c r="H137" s="332">
        <v>-6.9999999999999999E-4</v>
      </c>
      <c r="I137" s="332">
        <v>0.1734</v>
      </c>
      <c r="J137" s="324">
        <v>155373183.38</v>
      </c>
      <c r="K137" s="312">
        <v>1.4052378000000001</v>
      </c>
      <c r="L137" s="323">
        <v>170.38040899999999</v>
      </c>
      <c r="M137" s="323">
        <v>175.28889699999999</v>
      </c>
      <c r="N137" s="332">
        <v>-9.1000000000000004E-3</v>
      </c>
      <c r="O137" s="332">
        <v>0.1641</v>
      </c>
      <c r="P137" s="327">
        <f t="shared" si="70"/>
        <v>-3.4703302904838472E-3</v>
      </c>
      <c r="Q137" s="327">
        <f t="shared" si="71"/>
        <v>-7.9133907977466094E-3</v>
      </c>
      <c r="R137" s="327">
        <f t="shared" si="72"/>
        <v>-8.4000000000000012E-3</v>
      </c>
      <c r="S137" s="392">
        <f t="shared" si="73"/>
        <v>-9.3000000000000027E-3</v>
      </c>
    </row>
    <row r="138" spans="1:22" s="112" customFormat="1" ht="12" customHeight="1">
      <c r="A138" s="406">
        <v>115</v>
      </c>
      <c r="B138" s="381" t="s">
        <v>27</v>
      </c>
      <c r="C138" s="382" t="s">
        <v>56</v>
      </c>
      <c r="D138" s="324">
        <v>1573900648.1700001</v>
      </c>
      <c r="E138" s="331">
        <f t="shared" si="68"/>
        <v>3.9347548263342101E-2</v>
      </c>
      <c r="F138" s="323">
        <v>552.20000000000005</v>
      </c>
      <c r="G138" s="323">
        <v>552.20000000000005</v>
      </c>
      <c r="H138" s="332">
        <v>2.9600000000000001E-2</v>
      </c>
      <c r="I138" s="332">
        <v>0.36749999999999999</v>
      </c>
      <c r="J138" s="324">
        <v>1602704381.1199999</v>
      </c>
      <c r="K138" s="312">
        <f t="shared" ref="K138:K145" si="82">(J138/$J$146)</f>
        <v>4.0049593035609135E-2</v>
      </c>
      <c r="L138" s="323">
        <v>552.20000000000005</v>
      </c>
      <c r="M138" s="323">
        <v>552.20000000000005</v>
      </c>
      <c r="N138" s="332">
        <v>1.83E-2</v>
      </c>
      <c r="O138" s="332">
        <v>0.39254</v>
      </c>
      <c r="P138" s="327">
        <f t="shared" si="70"/>
        <v>1.8300858433148482E-2</v>
      </c>
      <c r="Q138" s="327">
        <f t="shared" si="71"/>
        <v>0</v>
      </c>
      <c r="R138" s="327">
        <f t="shared" si="72"/>
        <v>-1.1300000000000001E-2</v>
      </c>
      <c r="S138" s="392">
        <f t="shared" si="73"/>
        <v>2.5040000000000007E-2</v>
      </c>
      <c r="T138" s="222"/>
      <c r="U138" s="222"/>
      <c r="V138" s="111"/>
    </row>
    <row r="139" spans="1:22" s="112" customFormat="1" ht="12" customHeight="1">
      <c r="A139" s="406">
        <v>116</v>
      </c>
      <c r="B139" s="381" t="s">
        <v>186</v>
      </c>
      <c r="C139" s="382" t="s">
        <v>159</v>
      </c>
      <c r="D139" s="324">
        <v>24884134.879999999</v>
      </c>
      <c r="E139" s="331">
        <f t="shared" si="68"/>
        <v>6.2210387886984131E-4</v>
      </c>
      <c r="F139" s="323">
        <v>1.55</v>
      </c>
      <c r="G139" s="323">
        <v>1.55</v>
      </c>
      <c r="H139" s="332">
        <v>-2.8677000000000001E-2</v>
      </c>
      <c r="I139" s="332">
        <v>0.284665</v>
      </c>
      <c r="J139" s="324">
        <v>24596523.690000001</v>
      </c>
      <c r="K139" s="312">
        <f t="shared" si="82"/>
        <v>6.1463659516973826E-4</v>
      </c>
      <c r="L139" s="323">
        <v>1.55</v>
      </c>
      <c r="M139" s="323">
        <v>1.55</v>
      </c>
      <c r="N139" s="332">
        <v>-2.019E-3</v>
      </c>
      <c r="O139" s="332">
        <v>0.28207199999999999</v>
      </c>
      <c r="P139" s="327">
        <f t="shared" si="70"/>
        <v>-1.1558014429151721E-2</v>
      </c>
      <c r="Q139" s="327">
        <f t="shared" si="71"/>
        <v>0</v>
      </c>
      <c r="R139" s="327">
        <f t="shared" si="72"/>
        <v>2.6658000000000001E-2</v>
      </c>
      <c r="S139" s="392">
        <f t="shared" si="73"/>
        <v>-2.593000000000012E-3</v>
      </c>
      <c r="U139" s="217"/>
      <c r="V139" s="111"/>
    </row>
    <row r="140" spans="1:22" s="112" customFormat="1" ht="12" customHeight="1">
      <c r="A140" s="406">
        <v>117</v>
      </c>
      <c r="B140" s="381" t="s">
        <v>48</v>
      </c>
      <c r="C140" s="382" t="s">
        <v>90</v>
      </c>
      <c r="D140" s="323">
        <v>188827875.84999999</v>
      </c>
      <c r="E140" s="331">
        <f t="shared" si="68"/>
        <v>4.72070074252217E-3</v>
      </c>
      <c r="F140" s="323">
        <v>1.92</v>
      </c>
      <c r="G140" s="323">
        <v>1.98</v>
      </c>
      <c r="H140" s="332">
        <v>5.9999999999999995E-4</v>
      </c>
      <c r="I140" s="332">
        <v>0.2266</v>
      </c>
      <c r="J140" s="323">
        <v>199916738.36000001</v>
      </c>
      <c r="K140" s="312">
        <f t="shared" si="82"/>
        <v>4.9956711335182096E-3</v>
      </c>
      <c r="L140" s="323">
        <v>2.0317479999999999</v>
      </c>
      <c r="M140" s="323">
        <v>2.0944820000000002</v>
      </c>
      <c r="N140" s="332">
        <v>8.0000000000000004E-4</v>
      </c>
      <c r="O140" s="332">
        <v>0.29759999999999998</v>
      </c>
      <c r="P140" s="327">
        <f t="shared" si="70"/>
        <v>5.8724711381113702E-2</v>
      </c>
      <c r="Q140" s="327">
        <f t="shared" si="71"/>
        <v>5.781919191919202E-2</v>
      </c>
      <c r="R140" s="327">
        <f t="shared" si="72"/>
        <v>2.0000000000000009E-4</v>
      </c>
      <c r="S140" s="392">
        <f t="shared" si="73"/>
        <v>7.099999999999998E-2</v>
      </c>
    </row>
    <row r="141" spans="1:22" s="112" customFormat="1" ht="12" customHeight="1">
      <c r="A141" s="406">
        <v>118</v>
      </c>
      <c r="B141" s="381" t="s">
        <v>22</v>
      </c>
      <c r="C141" s="382" t="s">
        <v>5</v>
      </c>
      <c r="D141" s="324">
        <v>2088321719.49</v>
      </c>
      <c r="E141" s="331">
        <f t="shared" si="68"/>
        <v>5.220808552468615E-2</v>
      </c>
      <c r="F141" s="323">
        <v>4688.72</v>
      </c>
      <c r="G141" s="323">
        <v>4726.87</v>
      </c>
      <c r="H141" s="332">
        <v>-2.6499999999999999E-2</v>
      </c>
      <c r="I141" s="332">
        <v>0.28549999999999998</v>
      </c>
      <c r="J141" s="324">
        <v>2055842087.78</v>
      </c>
      <c r="K141" s="331">
        <f t="shared" si="82"/>
        <v>5.1372941841918686E-2</v>
      </c>
      <c r="L141" s="323">
        <v>4653.62</v>
      </c>
      <c r="M141" s="323">
        <v>4691.42</v>
      </c>
      <c r="N141" s="332">
        <v>-7.4999999999999997E-3</v>
      </c>
      <c r="O141" s="332">
        <v>0.27579999999999999</v>
      </c>
      <c r="P141" s="327">
        <f t="shared" si="70"/>
        <v>-1.5552982764519665E-2</v>
      </c>
      <c r="Q141" s="327">
        <f t="shared" si="71"/>
        <v>-7.4996773763610636E-3</v>
      </c>
      <c r="R141" s="327">
        <f t="shared" si="72"/>
        <v>1.9E-2</v>
      </c>
      <c r="S141" s="392">
        <f t="shared" si="73"/>
        <v>-9.6999999999999864E-3</v>
      </c>
      <c r="T141" s="111"/>
      <c r="V141" s="139"/>
    </row>
    <row r="142" spans="1:22" s="112" customFormat="1" ht="12" customHeight="1">
      <c r="A142" s="406">
        <v>119</v>
      </c>
      <c r="B142" s="381" t="s">
        <v>74</v>
      </c>
      <c r="C142" s="382" t="s">
        <v>41</v>
      </c>
      <c r="D142" s="323">
        <v>1561261931.1700001</v>
      </c>
      <c r="E142" s="331">
        <f t="shared" si="68"/>
        <v>3.9031580080901587E-2</v>
      </c>
      <c r="F142" s="323">
        <v>1.7354000000000001</v>
      </c>
      <c r="G142" s="323">
        <v>1.7467999999999999</v>
      </c>
      <c r="H142" s="332">
        <v>-1.04E-2</v>
      </c>
      <c r="I142" s="332">
        <v>0.33889999999999998</v>
      </c>
      <c r="J142" s="323">
        <v>1567842581.22</v>
      </c>
      <c r="K142" s="312">
        <f t="shared" si="82"/>
        <v>3.9178439930313363E-2</v>
      </c>
      <c r="L142" s="323">
        <v>1.7362</v>
      </c>
      <c r="M142" s="323">
        <v>1.7476</v>
      </c>
      <c r="N142" s="332">
        <v>5.0000000000000001E-4</v>
      </c>
      <c r="O142" s="332">
        <v>0.33939999999999998</v>
      </c>
      <c r="P142" s="327">
        <f t="shared" si="70"/>
        <v>4.2149558114623689E-3</v>
      </c>
      <c r="Q142" s="327">
        <f t="shared" si="71"/>
        <v>4.579803068468823E-4</v>
      </c>
      <c r="R142" s="327">
        <f t="shared" si="72"/>
        <v>1.09E-2</v>
      </c>
      <c r="S142" s="392">
        <f t="shared" si="73"/>
        <v>5.0000000000000044E-4</v>
      </c>
      <c r="T142" s="111"/>
      <c r="V142" s="139"/>
    </row>
    <row r="143" spans="1:22" s="112" customFormat="1" ht="12" customHeight="1">
      <c r="A143" s="406">
        <v>120</v>
      </c>
      <c r="B143" s="381" t="s">
        <v>238</v>
      </c>
      <c r="C143" s="382" t="s">
        <v>41</v>
      </c>
      <c r="D143" s="323">
        <v>826804083.75999999</v>
      </c>
      <c r="E143" s="331">
        <f t="shared" si="68"/>
        <v>2.0670118935335123E-2</v>
      </c>
      <c r="F143" s="323">
        <v>1.3539000000000001</v>
      </c>
      <c r="G143" s="323">
        <v>1.3656999999999999</v>
      </c>
      <c r="H143" s="332">
        <v>-4.3E-3</v>
      </c>
      <c r="I143" s="332">
        <v>0.25979999999999998</v>
      </c>
      <c r="J143" s="323">
        <v>845622955.13</v>
      </c>
      <c r="K143" s="312">
        <f t="shared" si="82"/>
        <v>2.113106797078752E-2</v>
      </c>
      <c r="L143" s="323">
        <v>1.3415999999999999</v>
      </c>
      <c r="M143" s="323">
        <v>1.3529</v>
      </c>
      <c r="N143" s="332">
        <v>-9.1000000000000004E-3</v>
      </c>
      <c r="O143" s="332">
        <v>0.2492</v>
      </c>
      <c r="P143" s="327">
        <f t="shared" si="70"/>
        <v>2.27609801882191E-2</v>
      </c>
      <c r="Q143" s="327">
        <f t="shared" si="71"/>
        <v>-9.3724829757632893E-3</v>
      </c>
      <c r="R143" s="327">
        <f t="shared" si="72"/>
        <v>-4.8000000000000004E-3</v>
      </c>
      <c r="S143" s="392">
        <f t="shared" si="73"/>
        <v>-1.0599999999999971E-2</v>
      </c>
      <c r="T143" s="111"/>
      <c r="U143" s="140"/>
      <c r="V143" s="139"/>
    </row>
    <row r="144" spans="1:22" s="310" customFormat="1" ht="12" customHeight="1">
      <c r="A144" s="406">
        <v>121</v>
      </c>
      <c r="B144" s="381" t="s">
        <v>157</v>
      </c>
      <c r="C144" s="382" t="s">
        <v>106</v>
      </c>
      <c r="D144" s="323">
        <v>6659515846.54</v>
      </c>
      <c r="E144" s="331">
        <f t="shared" si="68"/>
        <v>0.16648803181248908</v>
      </c>
      <c r="F144" s="323">
        <v>295.38</v>
      </c>
      <c r="G144" s="323">
        <v>298.70999999999998</v>
      </c>
      <c r="H144" s="332">
        <v>4.0000000000000001E-3</v>
      </c>
      <c r="I144" s="332">
        <v>0.56659999999999999</v>
      </c>
      <c r="J144" s="323">
        <v>6656001632.1099997</v>
      </c>
      <c r="K144" s="312">
        <f t="shared" si="82"/>
        <v>0.16632521864329808</v>
      </c>
      <c r="L144" s="323">
        <v>295</v>
      </c>
      <c r="M144" s="323">
        <v>298.33</v>
      </c>
      <c r="N144" s="332">
        <v>-1.2999999999999999E-3</v>
      </c>
      <c r="O144" s="332">
        <v>0.56469999999999998</v>
      </c>
      <c r="P144" s="327">
        <f t="shared" si="70"/>
        <v>-5.2769818572113482E-4</v>
      </c>
      <c r="Q144" s="327">
        <f t="shared" si="71"/>
        <v>-1.2721368551437697E-3</v>
      </c>
      <c r="R144" s="327">
        <f t="shared" si="72"/>
        <v>-5.3E-3</v>
      </c>
      <c r="S144" s="392">
        <f t="shared" si="73"/>
        <v>-1.9000000000000128E-3</v>
      </c>
      <c r="T144" s="111"/>
      <c r="U144" s="311"/>
      <c r="V144" s="139"/>
    </row>
    <row r="145" spans="1:25" s="112" customFormat="1" ht="12" customHeight="1">
      <c r="A145" s="406">
        <v>122</v>
      </c>
      <c r="B145" s="381" t="s">
        <v>231</v>
      </c>
      <c r="C145" s="382" t="s">
        <v>9</v>
      </c>
      <c r="D145" s="324">
        <v>258967289.41999999</v>
      </c>
      <c r="E145" s="331">
        <f t="shared" si="68"/>
        <v>6.4741875104556909E-3</v>
      </c>
      <c r="F145" s="323">
        <v>186.6</v>
      </c>
      <c r="G145" s="323">
        <v>189.66</v>
      </c>
      <c r="H145" s="332">
        <v>1.6000000000000001E-3</v>
      </c>
      <c r="I145" s="332">
        <v>0.3236</v>
      </c>
      <c r="J145" s="324">
        <v>262915567.68000001</v>
      </c>
      <c r="K145" s="312">
        <f t="shared" si="82"/>
        <v>6.5699336773209702E-3</v>
      </c>
      <c r="L145" s="323">
        <v>189.31</v>
      </c>
      <c r="M145" s="323">
        <v>192.43</v>
      </c>
      <c r="N145" s="332">
        <v>1.2200000000000001E-2</v>
      </c>
      <c r="O145" s="332">
        <v>0.33960000000000001</v>
      </c>
      <c r="P145" s="327">
        <f t="shared" si="70"/>
        <v>1.5246243140756663E-2</v>
      </c>
      <c r="Q145" s="327">
        <f t="shared" si="71"/>
        <v>1.4605082779711115E-2</v>
      </c>
      <c r="R145" s="327">
        <f t="shared" si="72"/>
        <v>1.06E-2</v>
      </c>
      <c r="S145" s="392">
        <f t="shared" si="73"/>
        <v>1.6000000000000014E-2</v>
      </c>
      <c r="T145" s="111"/>
      <c r="U145" s="140"/>
      <c r="V145" s="139"/>
    </row>
    <row r="146" spans="1:25" s="112" customFormat="1" ht="12" customHeight="1">
      <c r="A146" s="288"/>
      <c r="C146" s="242" t="s">
        <v>42</v>
      </c>
      <c r="D146" s="214">
        <f>SUM(D122:D145)</f>
        <v>39999967409.311623</v>
      </c>
      <c r="E146" s="260">
        <f>(D146/$D$170)</f>
        <v>2.072500226885908E-2</v>
      </c>
      <c r="F146" s="262"/>
      <c r="G146" s="181"/>
      <c r="H146" s="275"/>
      <c r="I146" s="275"/>
      <c r="J146" s="214">
        <f>SUM(J122:J145)</f>
        <v>40017994182.737228</v>
      </c>
      <c r="K146" s="260">
        <f>(J146/$J$170)</f>
        <v>2.0760682897462631E-2</v>
      </c>
      <c r="L146" s="262"/>
      <c r="M146" s="181"/>
      <c r="N146" s="275"/>
      <c r="O146" s="275"/>
      <c r="P146" s="264">
        <f t="shared" ref="P146" si="83">((J146-D146)/D146)</f>
        <v>4.506697028310405E-4</v>
      </c>
      <c r="Q146" s="264"/>
      <c r="R146" s="264">
        <f t="shared" ref="R146:S146" si="84">N146-H146</f>
        <v>0</v>
      </c>
      <c r="S146" s="392">
        <f t="shared" si="84"/>
        <v>0</v>
      </c>
      <c r="T146" s="111"/>
      <c r="U146" s="140"/>
      <c r="V146" s="139"/>
    </row>
    <row r="147" spans="1:25" s="112" customFormat="1" ht="5.25" customHeight="1">
      <c r="A147" s="408"/>
      <c r="B147" s="409"/>
      <c r="C147" s="410"/>
      <c r="D147" s="410"/>
      <c r="E147" s="410"/>
      <c r="F147" s="410"/>
      <c r="G147" s="410"/>
      <c r="H147" s="410"/>
      <c r="I147" s="410"/>
      <c r="J147" s="410"/>
      <c r="K147" s="410"/>
      <c r="L147" s="410"/>
      <c r="M147" s="410"/>
      <c r="N147" s="410"/>
      <c r="O147" s="410"/>
      <c r="P147" s="410"/>
      <c r="Q147" s="410"/>
      <c r="R147" s="410"/>
      <c r="S147" s="411"/>
      <c r="T147" s="111"/>
      <c r="U147" s="140"/>
      <c r="V147" s="139"/>
    </row>
    <row r="148" spans="1:25" s="112" customFormat="1" ht="12" customHeight="1">
      <c r="A148" s="428" t="s">
        <v>66</v>
      </c>
      <c r="B148" s="429"/>
      <c r="C148" s="430"/>
      <c r="D148" s="430"/>
      <c r="E148" s="430"/>
      <c r="F148" s="430"/>
      <c r="G148" s="430"/>
      <c r="H148" s="430"/>
      <c r="I148" s="430"/>
      <c r="J148" s="430"/>
      <c r="K148" s="430"/>
      <c r="L148" s="430"/>
      <c r="M148" s="430"/>
      <c r="N148" s="430"/>
      <c r="O148" s="430"/>
      <c r="P148" s="430"/>
      <c r="Q148" s="430"/>
      <c r="R148" s="430"/>
      <c r="S148" s="431"/>
      <c r="U148" s="141"/>
      <c r="V148" s="139"/>
    </row>
    <row r="149" spans="1:25" s="112" customFormat="1" ht="12" customHeight="1">
      <c r="A149" s="400">
        <v>123</v>
      </c>
      <c r="B149" s="381" t="s">
        <v>26</v>
      </c>
      <c r="C149" s="382" t="s">
        <v>6</v>
      </c>
      <c r="D149" s="320">
        <v>666981731.60000002</v>
      </c>
      <c r="E149" s="331">
        <f>(D149/$D$152)</f>
        <v>0.17158506138222121</v>
      </c>
      <c r="F149" s="320">
        <v>50.8446</v>
      </c>
      <c r="G149" s="320">
        <v>52.377600000000001</v>
      </c>
      <c r="H149" s="313">
        <v>-8.8499999999999995E-2</v>
      </c>
      <c r="I149" s="313">
        <v>0.16389999999999999</v>
      </c>
      <c r="J149" s="320">
        <v>671653658.22000003</v>
      </c>
      <c r="K149" s="312">
        <f>(J149/$J$152)</f>
        <v>0.17360412478141923</v>
      </c>
      <c r="L149" s="320">
        <v>51.126600000000003</v>
      </c>
      <c r="M149" s="320">
        <v>52.668100000000003</v>
      </c>
      <c r="N149" s="313">
        <v>0.28920000000000001</v>
      </c>
      <c r="O149" s="313">
        <v>0.1681</v>
      </c>
      <c r="P149" s="327">
        <f>((J149-D149)/D149)</f>
        <v>7.0045795839005628E-3</v>
      </c>
      <c r="Q149" s="327">
        <f>((M149-G149)/G149)</f>
        <v>5.5462640518084355E-3</v>
      </c>
      <c r="R149" s="327">
        <f t="shared" ref="R149:S151" si="85">N149-H149</f>
        <v>0.37770000000000004</v>
      </c>
      <c r="S149" s="392">
        <f t="shared" si="85"/>
        <v>4.2000000000000093E-3</v>
      </c>
      <c r="U149" s="113"/>
      <c r="V149" s="139"/>
    </row>
    <row r="150" spans="1:25" s="112" customFormat="1" ht="11.25" customHeight="1">
      <c r="A150" s="402">
        <v>124</v>
      </c>
      <c r="B150" s="381" t="s">
        <v>279</v>
      </c>
      <c r="C150" s="382" t="s">
        <v>280</v>
      </c>
      <c r="D150" s="319">
        <v>786368154.72000003</v>
      </c>
      <c r="E150" s="331">
        <f>(D150/$D$152)</f>
        <v>0.20229793666608908</v>
      </c>
      <c r="F150" s="320">
        <v>21.550799999999999</v>
      </c>
      <c r="G150" s="320">
        <v>21.785900000000002</v>
      </c>
      <c r="H150" s="332">
        <v>-1.8499999999999999E-2</v>
      </c>
      <c r="I150" s="332">
        <v>0.36399999999999999</v>
      </c>
      <c r="J150" s="319">
        <v>780672117.12</v>
      </c>
      <c r="K150" s="312">
        <f t="shared" ref="K150:K151" si="86">(J150/$J$152)</f>
        <v>0.2017824186248727</v>
      </c>
      <c r="L150" s="320">
        <v>21.392499999999998</v>
      </c>
      <c r="M150" s="320">
        <v>21.6221</v>
      </c>
      <c r="N150" s="332">
        <v>-1.9E-3</v>
      </c>
      <c r="O150" s="332">
        <v>0.35389999999999999</v>
      </c>
      <c r="P150" s="327">
        <f>((J150-D150)/D150)</f>
        <v>-7.2434744029381461E-3</v>
      </c>
      <c r="Q150" s="109">
        <f>((M150-G150)/G150)</f>
        <v>-7.5186244313983786E-3</v>
      </c>
      <c r="R150" s="327">
        <f t="shared" si="85"/>
        <v>1.66E-2</v>
      </c>
      <c r="S150" s="392">
        <f t="shared" si="85"/>
        <v>-1.0099999999999998E-2</v>
      </c>
    </row>
    <row r="151" spans="1:25" s="112" customFormat="1" ht="12" customHeight="1">
      <c r="A151" s="406">
        <v>125</v>
      </c>
      <c r="B151" s="381" t="s">
        <v>25</v>
      </c>
      <c r="C151" s="382" t="s">
        <v>5</v>
      </c>
      <c r="D151" s="319">
        <v>2433828439.27</v>
      </c>
      <c r="E151" s="331">
        <f>(D151/$D$152)</f>
        <v>0.62611700195168973</v>
      </c>
      <c r="F151" s="320">
        <v>1.94</v>
      </c>
      <c r="G151" s="320">
        <v>1.96</v>
      </c>
      <c r="H151" s="332">
        <v>-3.4500000000000003E-2</v>
      </c>
      <c r="I151" s="332">
        <v>0.36109999999999998</v>
      </c>
      <c r="J151" s="319">
        <v>2416554984.6399999</v>
      </c>
      <c r="K151" s="312">
        <f t="shared" si="86"/>
        <v>0.62461345659370804</v>
      </c>
      <c r="L151" s="320">
        <v>1.92</v>
      </c>
      <c r="M151" s="320">
        <v>1.95</v>
      </c>
      <c r="N151" s="332">
        <v>-5.1000000000000004E-3</v>
      </c>
      <c r="O151" s="332">
        <v>0.35420000000000001</v>
      </c>
      <c r="P151" s="327">
        <f>((J151-D151)/D151)</f>
        <v>-7.097235923161904E-3</v>
      </c>
      <c r="Q151" s="327">
        <f>((M151-G151)/G151)</f>
        <v>-5.1020408163265354E-3</v>
      </c>
      <c r="R151" s="327">
        <f t="shared" si="85"/>
        <v>2.9400000000000003E-2</v>
      </c>
      <c r="S151" s="392">
        <f t="shared" si="85"/>
        <v>-6.8999999999999617E-3</v>
      </c>
      <c r="W151" s="179"/>
      <c r="X151" s="180"/>
      <c r="Y151" s="110"/>
    </row>
    <row r="152" spans="1:25" s="112" customFormat="1" ht="12.75" customHeight="1">
      <c r="A152" s="212"/>
      <c r="C152" s="284" t="s">
        <v>42</v>
      </c>
      <c r="D152" s="214">
        <f>SUM(D149:D151)</f>
        <v>3887178325.5900002</v>
      </c>
      <c r="E152" s="260">
        <f>(D152/$D$170)</f>
        <v>2.0140461314115611E-3</v>
      </c>
      <c r="F152" s="11"/>
      <c r="G152" s="11"/>
      <c r="H152" s="274"/>
      <c r="I152" s="274"/>
      <c r="J152" s="214">
        <f>SUM(J149:J151)</f>
        <v>3868880759.98</v>
      </c>
      <c r="K152" s="260">
        <f>(J152/$J$170)</f>
        <v>2.0071122570327958E-3</v>
      </c>
      <c r="L152" s="262"/>
      <c r="M152" s="181"/>
      <c r="N152" s="275"/>
      <c r="O152" s="275"/>
      <c r="P152" s="264">
        <f>((J152-D152)/D152)</f>
        <v>-4.7071587865017512E-3</v>
      </c>
      <c r="Q152" s="264"/>
      <c r="R152" s="264">
        <f>N152-H152</f>
        <v>0</v>
      </c>
      <c r="S152" s="392">
        <f t="shared" ref="S152" si="87">O152-I152</f>
        <v>0</v>
      </c>
      <c r="V152" s="111"/>
    </row>
    <row r="153" spans="1:25" s="112" customFormat="1" ht="4.5" customHeight="1">
      <c r="A153" s="408"/>
      <c r="B153" s="409"/>
      <c r="C153" s="410"/>
      <c r="D153" s="410"/>
      <c r="E153" s="410"/>
      <c r="F153" s="410"/>
      <c r="G153" s="410"/>
      <c r="H153" s="410"/>
      <c r="I153" s="410"/>
      <c r="J153" s="410"/>
      <c r="K153" s="410"/>
      <c r="L153" s="410"/>
      <c r="M153" s="410"/>
      <c r="N153" s="410"/>
      <c r="O153" s="410"/>
      <c r="P153" s="410"/>
      <c r="Q153" s="410"/>
      <c r="R153" s="410"/>
      <c r="S153" s="411"/>
      <c r="V153" s="111"/>
    </row>
    <row r="154" spans="1:25" s="112" customFormat="1" ht="12.75" customHeight="1">
      <c r="A154" s="428" t="s">
        <v>196</v>
      </c>
      <c r="B154" s="429"/>
      <c r="C154" s="430"/>
      <c r="D154" s="430"/>
      <c r="E154" s="430"/>
      <c r="F154" s="430"/>
      <c r="G154" s="430"/>
      <c r="H154" s="430"/>
      <c r="I154" s="430"/>
      <c r="J154" s="430"/>
      <c r="K154" s="430"/>
      <c r="L154" s="430"/>
      <c r="M154" s="430"/>
      <c r="N154" s="430"/>
      <c r="O154" s="430"/>
      <c r="P154" s="430"/>
      <c r="Q154" s="430"/>
      <c r="R154" s="430"/>
      <c r="S154" s="431"/>
      <c r="V154" s="111"/>
    </row>
    <row r="155" spans="1:25" s="112" customFormat="1" ht="12.75" customHeight="1">
      <c r="A155" s="416" t="s">
        <v>197</v>
      </c>
      <c r="B155" s="417"/>
      <c r="C155" s="418"/>
      <c r="D155" s="418"/>
      <c r="E155" s="418"/>
      <c r="F155" s="418"/>
      <c r="G155" s="418"/>
      <c r="H155" s="418"/>
      <c r="I155" s="418"/>
      <c r="J155" s="418"/>
      <c r="K155" s="418"/>
      <c r="L155" s="418"/>
      <c r="M155" s="418"/>
      <c r="N155" s="418"/>
      <c r="O155" s="418"/>
      <c r="P155" s="418"/>
      <c r="Q155" s="418"/>
      <c r="R155" s="418"/>
      <c r="S155" s="419"/>
      <c r="V155" s="111"/>
    </row>
    <row r="156" spans="1:25" s="112" customFormat="1" ht="12" customHeight="1">
      <c r="A156" s="406">
        <v>126</v>
      </c>
      <c r="B156" s="381" t="s">
        <v>128</v>
      </c>
      <c r="C156" s="382" t="s">
        <v>23</v>
      </c>
      <c r="D156" s="314">
        <v>3662980447.79</v>
      </c>
      <c r="E156" s="331">
        <f>(D156/$D$169)</f>
        <v>7.9461582268860145E-2</v>
      </c>
      <c r="F156" s="315">
        <v>1.81</v>
      </c>
      <c r="G156" s="315">
        <v>1.83</v>
      </c>
      <c r="H156" s="318">
        <v>-2.9999999999999997E-4</v>
      </c>
      <c r="I156" s="318">
        <v>0.12470000000000001</v>
      </c>
      <c r="J156" s="314">
        <v>3665464075.4899998</v>
      </c>
      <c r="K156" s="331">
        <f>(J156/$J$169)</f>
        <v>8.0661110523121873E-2</v>
      </c>
      <c r="L156" s="315">
        <v>1.81</v>
      </c>
      <c r="M156" s="315">
        <v>1.83</v>
      </c>
      <c r="N156" s="318">
        <v>1.1000000000000001E-3</v>
      </c>
      <c r="O156" s="318">
        <v>0.12590000000000001</v>
      </c>
      <c r="P156" s="109">
        <f>((J156-D156)/D156)</f>
        <v>6.7803465931636788E-4</v>
      </c>
      <c r="Q156" s="109">
        <f>((M156-G156)/G156)</f>
        <v>0</v>
      </c>
      <c r="R156" s="327">
        <f>N156-H156</f>
        <v>1.4E-3</v>
      </c>
      <c r="S156" s="392">
        <f t="shared" ref="S156" si="88">O156-I156</f>
        <v>1.2000000000000066E-3</v>
      </c>
      <c r="V156" s="111"/>
    </row>
    <row r="157" spans="1:25" s="328" customFormat="1" ht="12" customHeight="1">
      <c r="A157" s="406">
        <v>127</v>
      </c>
      <c r="B157" s="381" t="s">
        <v>65</v>
      </c>
      <c r="C157" s="382" t="s">
        <v>5</v>
      </c>
      <c r="D157" s="314">
        <v>517837902.87</v>
      </c>
      <c r="E157" s="331">
        <f>(D157/$D$169)</f>
        <v>1.1233535015362865E-2</v>
      </c>
      <c r="F157" s="315">
        <v>378.88</v>
      </c>
      <c r="G157" s="315">
        <v>383.72</v>
      </c>
      <c r="H157" s="318">
        <v>-2.8799999999999999E-2</v>
      </c>
      <c r="I157" s="318">
        <v>0.44529999999999997</v>
      </c>
      <c r="J157" s="314">
        <v>516822347.82999998</v>
      </c>
      <c r="K157" s="331">
        <f>(J157/$J$169)</f>
        <v>1.1373038627738337E-2</v>
      </c>
      <c r="L157" s="315">
        <v>372.91</v>
      </c>
      <c r="M157" s="315">
        <v>377.58</v>
      </c>
      <c r="N157" s="318">
        <v>-1.6E-2</v>
      </c>
      <c r="O157" s="318">
        <v>0.42220000000000002</v>
      </c>
      <c r="P157" s="327">
        <f>((J157-D157)/D157)</f>
        <v>-1.9611446639412377E-3</v>
      </c>
      <c r="Q157" s="327">
        <f>((M157-G157)/G157)</f>
        <v>-1.6001250912123535E-2</v>
      </c>
      <c r="R157" s="327">
        <f>N157-H157</f>
        <v>1.2799999999999999E-2</v>
      </c>
      <c r="S157" s="392">
        <f t="shared" ref="S157" si="89">O157-I157</f>
        <v>-2.3099999999999954E-2</v>
      </c>
      <c r="V157" s="111"/>
    </row>
    <row r="158" spans="1:25" s="112" customFormat="1" ht="6" customHeight="1">
      <c r="A158" s="408"/>
      <c r="B158" s="409"/>
      <c r="C158" s="410"/>
      <c r="D158" s="410"/>
      <c r="E158" s="410"/>
      <c r="F158" s="410"/>
      <c r="G158" s="410"/>
      <c r="H158" s="410"/>
      <c r="I158" s="410"/>
      <c r="J158" s="410"/>
      <c r="K158" s="410"/>
      <c r="L158" s="410"/>
      <c r="M158" s="410"/>
      <c r="N158" s="410"/>
      <c r="O158" s="410"/>
      <c r="P158" s="410"/>
      <c r="Q158" s="410"/>
      <c r="R158" s="410"/>
      <c r="S158" s="411"/>
      <c r="T158" s="186"/>
    </row>
    <row r="159" spans="1:25" s="112" customFormat="1" ht="12" customHeight="1">
      <c r="A159" s="416" t="s">
        <v>198</v>
      </c>
      <c r="B159" s="417"/>
      <c r="C159" s="418"/>
      <c r="D159" s="418"/>
      <c r="E159" s="418"/>
      <c r="F159" s="418"/>
      <c r="G159" s="418"/>
      <c r="H159" s="418"/>
      <c r="I159" s="418"/>
      <c r="J159" s="418"/>
      <c r="K159" s="418"/>
      <c r="L159" s="418"/>
      <c r="M159" s="418"/>
      <c r="N159" s="418"/>
      <c r="O159" s="418"/>
      <c r="P159" s="418"/>
      <c r="Q159" s="418"/>
      <c r="R159" s="418"/>
      <c r="S159" s="419"/>
      <c r="T159" s="186"/>
    </row>
    <row r="160" spans="1:25" s="112" customFormat="1" ht="12" customHeight="1">
      <c r="A160" s="398">
        <v>128</v>
      </c>
      <c r="B160" s="381" t="s">
        <v>226</v>
      </c>
      <c r="C160" s="382" t="s">
        <v>227</v>
      </c>
      <c r="D160" s="324">
        <v>449132137.16000003</v>
      </c>
      <c r="E160" s="331">
        <f t="shared" ref="E160:E166" si="90">(D160/$D$169)</f>
        <v>9.7430905720669488E-3</v>
      </c>
      <c r="F160" s="324">
        <v>1036.77</v>
      </c>
      <c r="G160" s="324">
        <v>1036.77</v>
      </c>
      <c r="H160" s="332">
        <v>3.6799999999999999E-2</v>
      </c>
      <c r="I160" s="332">
        <v>2.3999999999999998E-3</v>
      </c>
      <c r="J160" s="324">
        <v>450038155.29000002</v>
      </c>
      <c r="K160" s="331">
        <f t="shared" ref="K160:K168" si="91">(J160/$J$169)</f>
        <v>9.9034055813562727E-3</v>
      </c>
      <c r="L160" s="324">
        <v>1038.8599999999999</v>
      </c>
      <c r="M160" s="324">
        <v>1038.8599999999999</v>
      </c>
      <c r="N160" s="332">
        <v>3.8899999999999997E-2</v>
      </c>
      <c r="O160" s="332">
        <v>2.5000000000000001E-3</v>
      </c>
      <c r="P160" s="327">
        <f t="shared" ref="P160:P166" si="92">((J160-D160)/D160)</f>
        <v>2.0172640856408654E-3</v>
      </c>
      <c r="Q160" s="327">
        <f t="shared" ref="Q160:Q166" si="93">((M160-G160)/G160)</f>
        <v>2.015876230986543E-3</v>
      </c>
      <c r="R160" s="327">
        <f t="shared" ref="R160:S166" si="94">N160-H160</f>
        <v>2.0999999999999977E-3</v>
      </c>
      <c r="S160" s="392">
        <f t="shared" si="94"/>
        <v>1.0000000000000026E-4</v>
      </c>
      <c r="T160" s="186"/>
    </row>
    <row r="161" spans="1:20" s="112" customFormat="1" ht="12" customHeight="1">
      <c r="A161" s="399">
        <v>129</v>
      </c>
      <c r="B161" s="381" t="s">
        <v>229</v>
      </c>
      <c r="C161" s="382" t="s">
        <v>88</v>
      </c>
      <c r="D161" s="324">
        <v>47754112.850000001</v>
      </c>
      <c r="E161" s="331">
        <f t="shared" si="90"/>
        <v>1.0359371066793785E-3</v>
      </c>
      <c r="F161" s="320">
        <v>109.51</v>
      </c>
      <c r="G161" s="320">
        <v>109.51</v>
      </c>
      <c r="H161" s="332">
        <v>2.7000000000000001E-3</v>
      </c>
      <c r="I161" s="332">
        <v>0.1205</v>
      </c>
      <c r="J161" s="324">
        <v>45681050.659999996</v>
      </c>
      <c r="K161" s="331">
        <f t="shared" si="91"/>
        <v>1.0052435926836958E-3</v>
      </c>
      <c r="L161" s="320">
        <v>109.72</v>
      </c>
      <c r="M161" s="320">
        <v>109.72</v>
      </c>
      <c r="N161" s="332">
        <v>1.9E-3</v>
      </c>
      <c r="O161" s="332">
        <v>0.1202</v>
      </c>
      <c r="P161" s="327">
        <f t="shared" si="92"/>
        <v>-4.3411175839695344E-2</v>
      </c>
      <c r="Q161" s="327">
        <f t="shared" si="93"/>
        <v>1.9176330928681741E-3</v>
      </c>
      <c r="R161" s="327">
        <f t="shared" si="94"/>
        <v>-8.0000000000000015E-4</v>
      </c>
      <c r="S161" s="392">
        <f t="shared" si="94"/>
        <v>-2.9999999999999472E-4</v>
      </c>
      <c r="T161" s="186"/>
    </row>
    <row r="162" spans="1:20" s="112" customFormat="1" ht="12" customHeight="1">
      <c r="A162" s="406">
        <v>130</v>
      </c>
      <c r="B162" s="405" t="s">
        <v>233</v>
      </c>
      <c r="C162" s="382" t="s">
        <v>98</v>
      </c>
      <c r="D162" s="319">
        <v>53349143.259999998</v>
      </c>
      <c r="E162" s="331">
        <f t="shared" si="90"/>
        <v>1.157310937514109E-3</v>
      </c>
      <c r="F162" s="320">
        <v>102.37</v>
      </c>
      <c r="G162" s="320">
        <v>108.2</v>
      </c>
      <c r="H162" s="332">
        <v>1.8E-3</v>
      </c>
      <c r="I162" s="332">
        <v>6.2100000000000002E-2</v>
      </c>
      <c r="J162" s="319">
        <v>53406240.590000004</v>
      </c>
      <c r="K162" s="331">
        <f t="shared" si="91"/>
        <v>1.175241820990582E-3</v>
      </c>
      <c r="L162" s="320">
        <v>102.48</v>
      </c>
      <c r="M162" s="320">
        <v>108.45</v>
      </c>
      <c r="N162" s="332">
        <v>1.8E-3</v>
      </c>
      <c r="O162" s="332">
        <v>6.3899999999999998E-2</v>
      </c>
      <c r="P162" s="327">
        <f t="shared" si="92"/>
        <v>1.0702576744623371E-3</v>
      </c>
      <c r="Q162" s="327">
        <f t="shared" si="93"/>
        <v>2.3105360443622918E-3</v>
      </c>
      <c r="R162" s="327">
        <f t="shared" si="94"/>
        <v>0</v>
      </c>
      <c r="S162" s="392">
        <f t="shared" si="94"/>
        <v>1.799999999999996E-3</v>
      </c>
      <c r="T162" s="186"/>
    </row>
    <row r="163" spans="1:20" s="112" customFormat="1" ht="12" customHeight="1">
      <c r="A163" s="406">
        <v>131</v>
      </c>
      <c r="B163" s="381" t="s">
        <v>185</v>
      </c>
      <c r="C163" s="382" t="s">
        <v>184</v>
      </c>
      <c r="D163" s="324">
        <v>10157425882.790001</v>
      </c>
      <c r="E163" s="331">
        <f t="shared" si="90"/>
        <v>0.22034655765420014</v>
      </c>
      <c r="F163" s="320">
        <v>133.78</v>
      </c>
      <c r="G163" s="320">
        <v>133.78</v>
      </c>
      <c r="H163" s="332">
        <v>2.3999999999999998E-3</v>
      </c>
      <c r="I163" s="332">
        <v>0.13139999999999999</v>
      </c>
      <c r="J163" s="324">
        <v>9332852719.0300007</v>
      </c>
      <c r="K163" s="331">
        <f t="shared" si="91"/>
        <v>0.20537597672814817</v>
      </c>
      <c r="L163" s="320">
        <v>134.11000000000001</v>
      </c>
      <c r="M163" s="320">
        <v>134.11000000000001</v>
      </c>
      <c r="N163" s="332">
        <v>2.5000000000000001E-3</v>
      </c>
      <c r="O163" s="332">
        <v>0.1313</v>
      </c>
      <c r="P163" s="327">
        <f t="shared" si="92"/>
        <v>-8.1179343396154791E-2</v>
      </c>
      <c r="Q163" s="327">
        <f t="shared" si="93"/>
        <v>2.4667364329497123E-3</v>
      </c>
      <c r="R163" s="327">
        <f t="shared" si="94"/>
        <v>1.0000000000000026E-4</v>
      </c>
      <c r="S163" s="392">
        <f t="shared" si="94"/>
        <v>-9.9999999999988987E-5</v>
      </c>
      <c r="T163" s="186"/>
    </row>
    <row r="164" spans="1:20" s="328" customFormat="1" ht="12" customHeight="1">
      <c r="A164" s="406">
        <v>132</v>
      </c>
      <c r="B164" s="381" t="s">
        <v>85</v>
      </c>
      <c r="C164" s="382" t="s">
        <v>23</v>
      </c>
      <c r="D164" s="324">
        <v>18063713716.709999</v>
      </c>
      <c r="E164" s="331">
        <f t="shared" ref="E164" si="95">(D164/$D$86)</f>
        <v>5.9761677944805754E-2</v>
      </c>
      <c r="F164" s="324">
        <v>1198.81</v>
      </c>
      <c r="G164" s="324">
        <v>1198.81</v>
      </c>
      <c r="H164" s="332">
        <v>2.0999999999999999E-3</v>
      </c>
      <c r="I164" s="332">
        <v>7.1999999999999995E-2</v>
      </c>
      <c r="J164" s="324">
        <v>18110055307.509998</v>
      </c>
      <c r="K164" s="331">
        <f t="shared" si="91"/>
        <v>0.39852448220861009</v>
      </c>
      <c r="L164" s="324">
        <v>1204.28</v>
      </c>
      <c r="M164" s="324">
        <v>1204.28</v>
      </c>
      <c r="N164" s="332">
        <v>4.5999999999999999E-3</v>
      </c>
      <c r="O164" s="332">
        <v>7.6600000000000001E-2</v>
      </c>
      <c r="P164" s="327">
        <f t="shared" si="92"/>
        <v>2.5654520176064646E-3</v>
      </c>
      <c r="Q164" s="327">
        <f t="shared" si="93"/>
        <v>4.5628581676829755E-3</v>
      </c>
      <c r="R164" s="327">
        <f t="shared" si="94"/>
        <v>2.5000000000000001E-3</v>
      </c>
      <c r="S164" s="392">
        <f t="shared" si="94"/>
        <v>4.6000000000000069E-3</v>
      </c>
      <c r="T164" s="317"/>
    </row>
    <row r="165" spans="1:20" s="112" customFormat="1" ht="12" customHeight="1">
      <c r="A165" s="406">
        <v>133</v>
      </c>
      <c r="B165" s="381" t="s">
        <v>172</v>
      </c>
      <c r="C165" s="382" t="s">
        <v>171</v>
      </c>
      <c r="D165" s="324">
        <v>693735502.30999994</v>
      </c>
      <c r="E165" s="331">
        <f t="shared" si="90"/>
        <v>1.5049307927071804E-2</v>
      </c>
      <c r="F165" s="325">
        <v>103.8</v>
      </c>
      <c r="G165" s="325">
        <v>103.8</v>
      </c>
      <c r="H165" s="332">
        <v>2E-3</v>
      </c>
      <c r="I165" s="332">
        <v>7.22E-2</v>
      </c>
      <c r="J165" s="324">
        <v>697637105.63999999</v>
      </c>
      <c r="K165" s="331">
        <f t="shared" si="91"/>
        <v>1.5351994324357526E-2</v>
      </c>
      <c r="L165" s="325">
        <v>104.035668744053</v>
      </c>
      <c r="M165" s="325">
        <v>104.035668744053</v>
      </c>
      <c r="N165" s="332">
        <v>2.2000000000000001E-3</v>
      </c>
      <c r="O165" s="332">
        <v>7.4499999999999997E-2</v>
      </c>
      <c r="P165" s="327">
        <f t="shared" si="92"/>
        <v>5.6240502569185041E-3</v>
      </c>
      <c r="Q165" s="327">
        <f t="shared" si="93"/>
        <v>2.2704117924181211E-3</v>
      </c>
      <c r="R165" s="327">
        <f t="shared" si="94"/>
        <v>2.0000000000000009E-4</v>
      </c>
      <c r="S165" s="392">
        <f t="shared" si="94"/>
        <v>2.2999999999999965E-3</v>
      </c>
      <c r="T165" s="186"/>
    </row>
    <row r="166" spans="1:20" s="316" customFormat="1" ht="12" customHeight="1">
      <c r="A166" s="406">
        <v>134</v>
      </c>
      <c r="B166" s="381" t="s">
        <v>130</v>
      </c>
      <c r="C166" s="382" t="s">
        <v>5</v>
      </c>
      <c r="D166" s="324">
        <v>8480954472.5100002</v>
      </c>
      <c r="E166" s="331">
        <f t="shared" si="90"/>
        <v>0.18397861281034233</v>
      </c>
      <c r="F166" s="325">
        <v>125.93</v>
      </c>
      <c r="G166" s="325">
        <v>125.93</v>
      </c>
      <c r="H166" s="332">
        <v>6.9999999999999999E-4</v>
      </c>
      <c r="I166" s="332">
        <v>4.0599999999999997E-2</v>
      </c>
      <c r="J166" s="324">
        <v>8513667173.5900002</v>
      </c>
      <c r="K166" s="331">
        <f t="shared" si="91"/>
        <v>0.18734922364618087</v>
      </c>
      <c r="L166" s="325">
        <v>126.1</v>
      </c>
      <c r="M166" s="325">
        <v>126.1</v>
      </c>
      <c r="N166" s="332">
        <v>1.2999999999999999E-3</v>
      </c>
      <c r="O166" s="332">
        <v>4.2000000000000003E-2</v>
      </c>
      <c r="P166" s="327">
        <f t="shared" si="92"/>
        <v>3.857195694898992E-3</v>
      </c>
      <c r="Q166" s="327">
        <f t="shared" si="93"/>
        <v>1.3499563249423289E-3</v>
      </c>
      <c r="R166" s="327">
        <f t="shared" si="94"/>
        <v>5.9999999999999995E-4</v>
      </c>
      <c r="S166" s="392">
        <f t="shared" si="94"/>
        <v>1.4000000000000054E-3</v>
      </c>
      <c r="T166" s="317"/>
    </row>
    <row r="167" spans="1:20" s="328" customFormat="1" ht="12" customHeight="1">
      <c r="A167" s="406">
        <v>135</v>
      </c>
      <c r="B167" s="381" t="s">
        <v>163</v>
      </c>
      <c r="C167" s="382" t="s">
        <v>41</v>
      </c>
      <c r="D167" s="324">
        <v>3654403630.3299999</v>
      </c>
      <c r="E167" s="331">
        <f t="shared" ref="E167" si="96">(D167/$D$169)</f>
        <v>7.9275524085935911E-2</v>
      </c>
      <c r="F167" s="325">
        <v>1.1415</v>
      </c>
      <c r="G167" s="325">
        <v>1.1415</v>
      </c>
      <c r="H167" s="332">
        <v>0.1008</v>
      </c>
      <c r="I167" s="332">
        <v>0.1134</v>
      </c>
      <c r="J167" s="324">
        <v>3741352427.71</v>
      </c>
      <c r="K167" s="331">
        <f t="shared" si="91"/>
        <v>8.2331086995341626E-2</v>
      </c>
      <c r="L167" s="325">
        <v>1.1435</v>
      </c>
      <c r="M167" s="325">
        <v>1.1435</v>
      </c>
      <c r="N167" s="332">
        <v>9.5600000000000004E-2</v>
      </c>
      <c r="O167" s="332">
        <v>0.1128</v>
      </c>
      <c r="P167" s="327">
        <f t="shared" ref="P167" si="97">((J167-D167)/D167)</f>
        <v>2.3792882827272276E-2</v>
      </c>
      <c r="Q167" s="327">
        <f t="shared" ref="Q167" si="98">((M167-G167)/G167)</f>
        <v>1.7520805957074042E-3</v>
      </c>
      <c r="R167" s="327">
        <f t="shared" ref="R167" si="99">N167-H167</f>
        <v>-5.1999999999999963E-3</v>
      </c>
      <c r="S167" s="392">
        <f t="shared" ref="S167:S168" si="100">O167-I167</f>
        <v>-6.0000000000000331E-4</v>
      </c>
      <c r="T167" s="317"/>
    </row>
    <row r="168" spans="1:20" s="112" customFormat="1" ht="12" customHeight="1">
      <c r="A168" s="406">
        <v>136</v>
      </c>
      <c r="B168" s="381" t="s">
        <v>275</v>
      </c>
      <c r="C168" s="382" t="s">
        <v>276</v>
      </c>
      <c r="D168" s="314">
        <v>316215054.29000002</v>
      </c>
      <c r="E168" s="331">
        <f>(D168/$D$169)</f>
        <v>6.8597004295441579E-3</v>
      </c>
      <c r="F168" s="315">
        <v>98.984899999999996</v>
      </c>
      <c r="G168" s="315">
        <v>98.9876</v>
      </c>
      <c r="H168" s="318">
        <v>-4.8000000000000001E-5</v>
      </c>
      <c r="I168" s="318">
        <v>0</v>
      </c>
      <c r="J168" s="314">
        <v>315790694.52999997</v>
      </c>
      <c r="K168" s="331">
        <f t="shared" si="91"/>
        <v>6.9491959514710669E-3</v>
      </c>
      <c r="L168" s="315">
        <v>98.833299999999994</v>
      </c>
      <c r="M168" s="315">
        <v>98.859300000000005</v>
      </c>
      <c r="N168" s="318">
        <v>5.0000000000000001E-4</v>
      </c>
      <c r="O168" s="318">
        <v>5.0000000000000001E-4</v>
      </c>
      <c r="P168" s="327">
        <f>((J168-D168)/D168)</f>
        <v>-1.3419973345445812E-3</v>
      </c>
      <c r="Q168" s="327">
        <f>((M168-G168)/G168)</f>
        <v>-1.2961219385053872E-3</v>
      </c>
      <c r="R168" s="327">
        <f>N168-H168</f>
        <v>5.4799999999999998E-4</v>
      </c>
      <c r="S168" s="392">
        <f t="shared" si="100"/>
        <v>5.0000000000000001E-4</v>
      </c>
      <c r="T168" s="186"/>
    </row>
    <row r="169" spans="1:20" s="112" customFormat="1" ht="12" customHeight="1">
      <c r="A169" s="259"/>
      <c r="C169" s="284" t="s">
        <v>42</v>
      </c>
      <c r="D169" s="76">
        <f>SUM(D156:D168)</f>
        <v>46097502002.870003</v>
      </c>
      <c r="E169" s="260">
        <f>(D169/$D$170)</f>
        <v>2.3884290300091978E-2</v>
      </c>
      <c r="F169" s="261"/>
      <c r="G169" s="72"/>
      <c r="H169" s="243"/>
      <c r="I169" s="243"/>
      <c r="J169" s="76">
        <f>SUM(J156:J168)</f>
        <v>45442767297.869995</v>
      </c>
      <c r="K169" s="260">
        <f>(J169/$J$170)</f>
        <v>2.3574966739868058E-2</v>
      </c>
      <c r="L169" s="262"/>
      <c r="M169" s="72"/>
      <c r="N169" s="263"/>
      <c r="O169" s="263"/>
      <c r="P169" s="264">
        <f t="shared" ref="P169:P170" si="101">((J169-D169)/D169)</f>
        <v>-1.4203257802543058E-2</v>
      </c>
      <c r="Q169" s="264"/>
      <c r="R169" s="264">
        <f t="shared" ref="R169:S169" si="102">N169-H169</f>
        <v>0</v>
      </c>
      <c r="S169" s="392">
        <f t="shared" si="102"/>
        <v>0</v>
      </c>
      <c r="T169" s="137" t="s">
        <v>256</v>
      </c>
    </row>
    <row r="170" spans="1:20" s="112" customFormat="1" ht="12" customHeight="1">
      <c r="A170" s="265"/>
      <c r="B170" s="266"/>
      <c r="C170" s="266" t="s">
        <v>28</v>
      </c>
      <c r="D170" s="267">
        <f>SUM(D22,D54,D86,D112,D119,D146,D152,D169)</f>
        <v>1930034404358.7715</v>
      </c>
      <c r="E170" s="268"/>
      <c r="F170" s="268"/>
      <c r="G170" s="269"/>
      <c r="H170" s="270"/>
      <c r="I170" s="270"/>
      <c r="J170" s="267">
        <f>SUM(J22,J54,J86,J112,J119,J146,J152,J169)</f>
        <v>1927585637735.8486</v>
      </c>
      <c r="K170" s="268"/>
      <c r="L170" s="268"/>
      <c r="M170" s="269"/>
      <c r="N170" s="271"/>
      <c r="O170" s="271"/>
      <c r="P170" s="272">
        <f t="shared" si="101"/>
        <v>-1.2687683791504339E-3</v>
      </c>
      <c r="Q170" s="272"/>
      <c r="R170" s="272"/>
      <c r="S170" s="273"/>
      <c r="T170" s="138">
        <f>((J170-D170)/D170)</f>
        <v>-1.2687683791504339E-3</v>
      </c>
    </row>
    <row r="171" spans="1:20" s="112" customFormat="1" ht="6.75" customHeight="1">
      <c r="A171" s="408"/>
      <c r="B171" s="409"/>
      <c r="C171" s="410"/>
      <c r="D171" s="410"/>
      <c r="E171" s="410"/>
      <c r="F171" s="410"/>
      <c r="G171" s="410"/>
      <c r="H171" s="410"/>
      <c r="I171" s="410"/>
      <c r="J171" s="410"/>
      <c r="K171" s="410"/>
      <c r="L171" s="410"/>
      <c r="M171" s="410"/>
      <c r="N171" s="410"/>
      <c r="O171" s="410"/>
      <c r="P171" s="410"/>
      <c r="Q171" s="410"/>
      <c r="R171" s="410"/>
      <c r="S171" s="362"/>
      <c r="T171" s="186"/>
    </row>
    <row r="172" spans="1:20" s="112" customFormat="1" ht="12" customHeight="1">
      <c r="A172" s="412" t="s">
        <v>199</v>
      </c>
      <c r="B172" s="413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  <c r="R172" s="414"/>
      <c r="S172" s="415"/>
      <c r="T172" s="186"/>
    </row>
    <row r="173" spans="1:20" s="112" customFormat="1" ht="25.5" customHeight="1">
      <c r="A173" s="240"/>
      <c r="B173" s="241"/>
      <c r="C173" s="241"/>
      <c r="D173" s="255" t="s">
        <v>203</v>
      </c>
      <c r="E173" s="256"/>
      <c r="F173" s="256"/>
      <c r="G173" s="360" t="s">
        <v>204</v>
      </c>
      <c r="H173" s="257"/>
      <c r="I173" s="257"/>
      <c r="J173" s="258" t="s">
        <v>203</v>
      </c>
      <c r="K173" s="256"/>
      <c r="L173" s="254" t="s">
        <v>211</v>
      </c>
      <c r="M173" s="254" t="s">
        <v>212</v>
      </c>
      <c r="N173" s="360"/>
      <c r="O173" s="360"/>
      <c r="P173" s="437" t="s">
        <v>62</v>
      </c>
      <c r="Q173" s="437"/>
      <c r="R173" s="437"/>
      <c r="S173" s="361"/>
      <c r="T173" s="186"/>
    </row>
    <row r="174" spans="1:20" s="112" customFormat="1" ht="12" customHeight="1">
      <c r="A174" s="280" t="s">
        <v>1</v>
      </c>
      <c r="B174" s="282" t="s">
        <v>2</v>
      </c>
      <c r="C174" s="281" t="s">
        <v>192</v>
      </c>
      <c r="D174" s="196"/>
      <c r="E174" s="196"/>
      <c r="F174" s="196"/>
      <c r="G174" s="196"/>
      <c r="H174" s="196"/>
      <c r="I174" s="196"/>
      <c r="J174" s="223"/>
      <c r="K174" s="224"/>
      <c r="L174" s="224"/>
      <c r="M174" s="225"/>
      <c r="N174" s="225"/>
      <c r="O174" s="225"/>
      <c r="P174" s="297" t="s">
        <v>202</v>
      </c>
      <c r="Q174" s="295" t="s">
        <v>205</v>
      </c>
      <c r="R174" s="295" t="s">
        <v>213</v>
      </c>
      <c r="S174" s="363"/>
      <c r="T174" s="186"/>
    </row>
    <row r="175" spans="1:20" s="112" customFormat="1" ht="12" customHeight="1">
      <c r="A175" s="398">
        <v>1</v>
      </c>
      <c r="B175" s="381" t="s">
        <v>217</v>
      </c>
      <c r="C175" s="382" t="s">
        <v>117</v>
      </c>
      <c r="D175" s="324">
        <v>92548651821</v>
      </c>
      <c r="E175" s="331">
        <f>(D175/$D$177)</f>
        <v>0.97882732206079381</v>
      </c>
      <c r="F175" s="325">
        <v>108.39</v>
      </c>
      <c r="G175" s="325">
        <v>108.39</v>
      </c>
      <c r="H175" s="321">
        <v>0</v>
      </c>
      <c r="I175" s="321">
        <v>0.13800000000000001</v>
      </c>
      <c r="J175" s="324">
        <v>92548651821</v>
      </c>
      <c r="K175" s="331">
        <f>(J175/$J$177)</f>
        <v>0.97897899932978039</v>
      </c>
      <c r="L175" s="325">
        <v>108.39</v>
      </c>
      <c r="M175" s="325">
        <v>108.39</v>
      </c>
      <c r="N175" s="321">
        <v>0</v>
      </c>
      <c r="O175" s="321">
        <v>0.13800000000000001</v>
      </c>
      <c r="P175" s="327">
        <f>((J175-D175)/D175)</f>
        <v>0</v>
      </c>
      <c r="Q175" s="327">
        <f>((M175-G175)/G175)</f>
        <v>0</v>
      </c>
      <c r="R175" s="327">
        <f>N175-H175</f>
        <v>0</v>
      </c>
      <c r="S175" s="392">
        <f t="shared" ref="S175:S177" si="103">O175-I175</f>
        <v>0</v>
      </c>
      <c r="T175" s="186"/>
    </row>
    <row r="176" spans="1:20" s="112" customFormat="1" ht="12" customHeight="1">
      <c r="A176" s="399">
        <v>2</v>
      </c>
      <c r="B176" s="381" t="s">
        <v>241</v>
      </c>
      <c r="C176" s="382" t="s">
        <v>41</v>
      </c>
      <c r="D176" s="324">
        <v>2001888131.3900001</v>
      </c>
      <c r="E176" s="331">
        <f>(D176/$D$177)</f>
        <v>2.1172677939206179E-2</v>
      </c>
      <c r="F176" s="326">
        <v>1000000</v>
      </c>
      <c r="G176" s="326">
        <v>1000000</v>
      </c>
      <c r="H176" s="321">
        <v>0.18099999999999999</v>
      </c>
      <c r="I176" s="321">
        <v>0.18099999999999999</v>
      </c>
      <c r="J176" s="324">
        <v>1987239024.8299999</v>
      </c>
      <c r="K176" s="331">
        <f>(J176/$J$177)</f>
        <v>2.1021000670219607E-2</v>
      </c>
      <c r="L176" s="326">
        <v>1000000</v>
      </c>
      <c r="M176" s="326">
        <v>1000000</v>
      </c>
      <c r="N176" s="321">
        <v>0.16600000000000001</v>
      </c>
      <c r="O176" s="321">
        <v>0.16600000000000001</v>
      </c>
      <c r="P176" s="327">
        <f>((J176-D176)/D176)</f>
        <v>-7.3176449424417409E-3</v>
      </c>
      <c r="Q176" s="327">
        <f>((M176-G176)/G176)</f>
        <v>0</v>
      </c>
      <c r="R176" s="327">
        <f>N176-H176</f>
        <v>-1.4999999999999986E-2</v>
      </c>
      <c r="S176" s="392">
        <f t="shared" si="103"/>
        <v>-1.4999999999999986E-2</v>
      </c>
      <c r="T176" s="137" t="s">
        <v>207</v>
      </c>
    </row>
    <row r="177" spans="1:21" s="112" customFormat="1" ht="12" customHeight="1">
      <c r="A177" s="266"/>
      <c r="B177" s="266"/>
      <c r="C177" s="266" t="s">
        <v>200</v>
      </c>
      <c r="D177" s="366">
        <f>SUM(D175:D176)</f>
        <v>94550539952.389999</v>
      </c>
      <c r="E177" s="366"/>
      <c r="F177" s="367"/>
      <c r="G177" s="367"/>
      <c r="H177" s="368"/>
      <c r="I177" s="368"/>
      <c r="J177" s="366">
        <f>SUM(J175:J176)</f>
        <v>94535890845.830002</v>
      </c>
      <c r="K177" s="369"/>
      <c r="L177" s="367"/>
      <c r="M177" s="367"/>
      <c r="N177" s="368"/>
      <c r="O177" s="368"/>
      <c r="P177" s="370">
        <f>((J177-D177)/D177)</f>
        <v>-1.5493413963975217E-4</v>
      </c>
      <c r="Q177" s="371"/>
      <c r="R177" s="370">
        <f>N177-H177</f>
        <v>0</v>
      </c>
      <c r="S177" s="393">
        <f t="shared" si="103"/>
        <v>0</v>
      </c>
      <c r="T177" s="138">
        <f>((J177-D177)/D177)</f>
        <v>-1.5493413963975217E-4</v>
      </c>
    </row>
    <row r="178" spans="1:21" s="112" customFormat="1" ht="7.5" customHeight="1">
      <c r="A178" s="420"/>
      <c r="B178" s="421"/>
      <c r="C178" s="422"/>
      <c r="D178" s="422"/>
      <c r="E178" s="422"/>
      <c r="F178" s="422"/>
      <c r="G178" s="422"/>
      <c r="H178" s="422"/>
      <c r="I178" s="422"/>
      <c r="J178" s="422"/>
      <c r="K178" s="422"/>
      <c r="L178" s="422"/>
      <c r="M178" s="422"/>
      <c r="N178" s="422"/>
      <c r="O178" s="422"/>
      <c r="P178" s="422"/>
      <c r="Q178" s="422"/>
      <c r="R178" s="422"/>
      <c r="S178" s="423"/>
      <c r="T178" s="186"/>
    </row>
    <row r="179" spans="1:21" s="112" customFormat="1" ht="12" customHeight="1">
      <c r="A179" s="412" t="s">
        <v>46</v>
      </c>
      <c r="B179" s="413"/>
      <c r="C179" s="414"/>
      <c r="D179" s="414"/>
      <c r="E179" s="414"/>
      <c r="F179" s="414"/>
      <c r="G179" s="414"/>
      <c r="H179" s="414"/>
      <c r="I179" s="414"/>
      <c r="J179" s="414"/>
      <c r="K179" s="414"/>
      <c r="L179" s="414"/>
      <c r="M179" s="414"/>
      <c r="N179" s="414"/>
      <c r="O179" s="414"/>
      <c r="P179" s="414"/>
      <c r="Q179" s="414"/>
      <c r="R179" s="414"/>
      <c r="S179" s="415"/>
      <c r="T179" s="186"/>
    </row>
    <row r="180" spans="1:21" s="112" customFormat="1" ht="25.5" customHeight="1">
      <c r="A180" s="249"/>
      <c r="B180" s="251" t="s">
        <v>46</v>
      </c>
      <c r="C180" s="250" t="s">
        <v>192</v>
      </c>
      <c r="D180" s="251" t="s">
        <v>72</v>
      </c>
      <c r="E180" s="252" t="s">
        <v>61</v>
      </c>
      <c r="F180" s="252"/>
      <c r="G180" s="252" t="s">
        <v>73</v>
      </c>
      <c r="H180" s="253"/>
      <c r="I180" s="253"/>
      <c r="J180" s="254" t="s">
        <v>72</v>
      </c>
      <c r="K180" s="252" t="s">
        <v>61</v>
      </c>
      <c r="L180" s="254" t="s">
        <v>211</v>
      </c>
      <c r="M180" s="254" t="s">
        <v>212</v>
      </c>
      <c r="N180" s="252"/>
      <c r="O180" s="252"/>
      <c r="P180" s="437" t="s">
        <v>62</v>
      </c>
      <c r="Q180" s="437"/>
      <c r="R180" s="437"/>
      <c r="S180" s="364"/>
      <c r="T180" s="186"/>
    </row>
    <row r="181" spans="1:21" s="112" customFormat="1" ht="12" customHeight="1">
      <c r="A181" s="187"/>
      <c r="B181" s="68"/>
      <c r="C181" s="68"/>
      <c r="D181" s="196"/>
      <c r="E181" s="196"/>
      <c r="F181" s="196"/>
      <c r="G181" s="196"/>
      <c r="H181" s="219"/>
      <c r="I181" s="219"/>
      <c r="J181" s="215"/>
      <c r="K181" s="196"/>
      <c r="L181" s="196"/>
      <c r="M181" s="196"/>
      <c r="N181" s="218"/>
      <c r="O181" s="218"/>
      <c r="P181" s="295" t="s">
        <v>202</v>
      </c>
      <c r="Q181" s="298" t="s">
        <v>119</v>
      </c>
      <c r="R181" s="295" t="s">
        <v>213</v>
      </c>
      <c r="S181" s="392">
        <f t="shared" ref="S181:S194" si="104">O181-I181</f>
        <v>0</v>
      </c>
      <c r="T181" s="186"/>
    </row>
    <row r="182" spans="1:21" s="112" customFormat="1" ht="12" customHeight="1">
      <c r="A182" s="400">
        <v>1</v>
      </c>
      <c r="B182" s="381" t="s">
        <v>221</v>
      </c>
      <c r="C182" s="382" t="s">
        <v>87</v>
      </c>
      <c r="D182" s="322">
        <v>684785503.34995151</v>
      </c>
      <c r="E182" s="191">
        <f t="shared" ref="E182:E193" si="105">(D182/$D$194)</f>
        <v>7.2417205474154575E-2</v>
      </c>
      <c r="F182" s="326">
        <v>157.66</v>
      </c>
      <c r="G182" s="326">
        <v>160.63</v>
      </c>
      <c r="H182" s="333">
        <v>9.9000000000000008E-3</v>
      </c>
      <c r="I182" s="333">
        <v>3.4700000000000002E-2</v>
      </c>
      <c r="J182" s="322">
        <v>683734177.20645022</v>
      </c>
      <c r="K182" s="191">
        <f t="shared" ref="K182:K192" si="106">(J182/$J$194)</f>
        <v>7.2716645248080636E-2</v>
      </c>
      <c r="L182" s="326">
        <v>157.41548916920692</v>
      </c>
      <c r="M182" s="326">
        <v>160.39072153562796</v>
      </c>
      <c r="N182" s="333">
        <v>0.01</v>
      </c>
      <c r="O182" s="333">
        <v>3.4799999999999998E-2</v>
      </c>
      <c r="P182" s="327">
        <f t="shared" ref="P182:P193" si="107">((J182-D182)/D182)</f>
        <v>-1.5352634341092557E-3</v>
      </c>
      <c r="Q182" s="327">
        <f t="shared" ref="Q182:Q193" si="108">((M182-G182)/G182)</f>
        <v>-1.489625003872469E-3</v>
      </c>
      <c r="R182" s="327">
        <f t="shared" ref="R182:R193" si="109">N182-H182</f>
        <v>9.9999999999999395E-5</v>
      </c>
      <c r="S182" s="392">
        <f t="shared" si="104"/>
        <v>9.9999999999995925E-5</v>
      </c>
      <c r="T182" s="186"/>
    </row>
    <row r="183" spans="1:21" s="112" customFormat="1" ht="12" customHeight="1">
      <c r="A183" s="406">
        <v>2</v>
      </c>
      <c r="B183" s="381" t="s">
        <v>96</v>
      </c>
      <c r="C183" s="382" t="s">
        <v>23</v>
      </c>
      <c r="D183" s="322">
        <v>718787830.10000002</v>
      </c>
      <c r="E183" s="191">
        <f t="shared" si="105"/>
        <v>7.6013008058776824E-2</v>
      </c>
      <c r="F183" s="326">
        <v>21.52</v>
      </c>
      <c r="G183" s="326">
        <v>21.52</v>
      </c>
      <c r="H183" s="333">
        <v>-7.1999999999999998E-3</v>
      </c>
      <c r="I183" s="333">
        <v>0.38629999999999998</v>
      </c>
      <c r="J183" s="322">
        <v>720360218.08000004</v>
      </c>
      <c r="K183" s="191">
        <f t="shared" si="106"/>
        <v>7.6611905876889957E-2</v>
      </c>
      <c r="L183" s="326">
        <v>21.65</v>
      </c>
      <c r="M183" s="326">
        <v>21.65</v>
      </c>
      <c r="N183" s="333">
        <v>-2.2000000000000001E-3</v>
      </c>
      <c r="O183" s="333">
        <v>0.38929999999999998</v>
      </c>
      <c r="P183" s="327">
        <f t="shared" si="107"/>
        <v>2.1875550950567202E-3</v>
      </c>
      <c r="Q183" s="327">
        <f t="shared" si="108"/>
        <v>6.0408921933085037E-3</v>
      </c>
      <c r="R183" s="327">
        <f t="shared" si="109"/>
        <v>4.9999999999999992E-3</v>
      </c>
      <c r="S183" s="392">
        <f t="shared" si="104"/>
        <v>3.0000000000000027E-3</v>
      </c>
      <c r="T183" s="186"/>
    </row>
    <row r="184" spans="1:21" s="112" customFormat="1" ht="12" customHeight="1">
      <c r="A184" s="402">
        <v>3</v>
      </c>
      <c r="B184" s="381" t="s">
        <v>183</v>
      </c>
      <c r="C184" s="382" t="s">
        <v>54</v>
      </c>
      <c r="D184" s="322">
        <v>286927810.92000002</v>
      </c>
      <c r="E184" s="191">
        <f t="shared" si="105"/>
        <v>3.0343093038615921E-2</v>
      </c>
      <c r="F184" s="326">
        <v>19.149999999999999</v>
      </c>
      <c r="G184" s="326">
        <v>19.25</v>
      </c>
      <c r="H184" s="333">
        <v>1.6499290473954899E-2</v>
      </c>
      <c r="I184" s="333">
        <v>0.51209356164000797</v>
      </c>
      <c r="J184" s="322">
        <v>297583151.73000002</v>
      </c>
      <c r="K184" s="191">
        <f t="shared" si="106"/>
        <v>3.1648627781878887E-2</v>
      </c>
      <c r="L184" s="326">
        <v>19.25</v>
      </c>
      <c r="M184" s="326">
        <v>19.350000000000001</v>
      </c>
      <c r="N184" s="333">
        <v>3.8300000000000001E-2</v>
      </c>
      <c r="O184" s="333">
        <v>0.56820000000000004</v>
      </c>
      <c r="P184" s="327">
        <f t="shared" si="107"/>
        <v>3.7135963836460867E-2</v>
      </c>
      <c r="Q184" s="327">
        <f t="shared" si="108"/>
        <v>5.1948051948052685E-3</v>
      </c>
      <c r="R184" s="327">
        <f t="shared" si="109"/>
        <v>2.1800709526045101E-2</v>
      </c>
      <c r="S184" s="392">
        <f t="shared" si="104"/>
        <v>5.6106438359992072E-2</v>
      </c>
      <c r="T184" s="186"/>
      <c r="U184" s="390"/>
    </row>
    <row r="185" spans="1:21" s="112" customFormat="1" ht="12" customHeight="1">
      <c r="A185" s="402">
        <v>4</v>
      </c>
      <c r="B185" s="381" t="s">
        <v>182</v>
      </c>
      <c r="C185" s="382" t="s">
        <v>54</v>
      </c>
      <c r="D185" s="322">
        <v>404605814.07999998</v>
      </c>
      <c r="E185" s="191">
        <f t="shared" si="105"/>
        <v>4.2787737519167819E-2</v>
      </c>
      <c r="F185" s="326">
        <v>27.7</v>
      </c>
      <c r="G185" s="326">
        <v>27.8</v>
      </c>
      <c r="H185" s="333">
        <v>4.7172579447980902E-2</v>
      </c>
      <c r="I185" s="333">
        <v>0.74108747509158202</v>
      </c>
      <c r="J185" s="322">
        <v>393235014.62</v>
      </c>
      <c r="K185" s="191">
        <f t="shared" si="106"/>
        <v>4.1821415413335845E-2</v>
      </c>
      <c r="L185" s="326">
        <v>27.8</v>
      </c>
      <c r="M185" s="326">
        <v>27.9</v>
      </c>
      <c r="N185" s="333">
        <v>3.5999999999999999E-3</v>
      </c>
      <c r="O185" s="333">
        <v>0.69220000000000004</v>
      </c>
      <c r="P185" s="327">
        <f t="shared" si="107"/>
        <v>-2.8103401049377176E-2</v>
      </c>
      <c r="Q185" s="327">
        <f t="shared" si="108"/>
        <v>3.5971223021581968E-3</v>
      </c>
      <c r="R185" s="327">
        <f t="shared" si="109"/>
        <v>-4.3572579447980903E-2</v>
      </c>
      <c r="S185" s="392">
        <f t="shared" si="104"/>
        <v>-4.8887475091581978E-2</v>
      </c>
      <c r="T185" s="186"/>
    </row>
    <row r="186" spans="1:21" s="112" customFormat="1" ht="12" customHeight="1">
      <c r="A186" s="402">
        <v>5</v>
      </c>
      <c r="B186" s="381" t="s">
        <v>32</v>
      </c>
      <c r="C186" s="382" t="s">
        <v>31</v>
      </c>
      <c r="D186" s="322">
        <v>630380600</v>
      </c>
      <c r="E186" s="191">
        <f t="shared" si="105"/>
        <v>6.6663796493647079E-2</v>
      </c>
      <c r="F186" s="326">
        <v>14200</v>
      </c>
      <c r="G186" s="326">
        <v>14200</v>
      </c>
      <c r="H186" s="333">
        <v>0</v>
      </c>
      <c r="I186" s="333">
        <v>0</v>
      </c>
      <c r="J186" s="322">
        <v>577109000</v>
      </c>
      <c r="K186" s="191">
        <f t="shared" si="106"/>
        <v>6.1376821316631809E-2</v>
      </c>
      <c r="L186" s="326">
        <v>13000</v>
      </c>
      <c r="M186" s="326">
        <v>13000</v>
      </c>
      <c r="N186" s="333">
        <v>0</v>
      </c>
      <c r="O186" s="333">
        <v>0</v>
      </c>
      <c r="P186" s="327">
        <f t="shared" si="107"/>
        <v>-8.4507042253521125E-2</v>
      </c>
      <c r="Q186" s="327">
        <f t="shared" si="108"/>
        <v>-8.4507042253521125E-2</v>
      </c>
      <c r="R186" s="327">
        <f t="shared" si="109"/>
        <v>0</v>
      </c>
      <c r="S186" s="392">
        <f t="shared" si="104"/>
        <v>0</v>
      </c>
      <c r="T186" s="186"/>
    </row>
    <row r="187" spans="1:21" s="112" customFormat="1" ht="12" customHeight="1">
      <c r="A187" s="406">
        <v>6</v>
      </c>
      <c r="B187" s="381" t="s">
        <v>94</v>
      </c>
      <c r="C187" s="382" t="s">
        <v>39</v>
      </c>
      <c r="D187" s="322">
        <v>877612571.36000001</v>
      </c>
      <c r="E187" s="191">
        <f t="shared" si="105"/>
        <v>9.2808988502199083E-2</v>
      </c>
      <c r="F187" s="326">
        <v>205</v>
      </c>
      <c r="G187" s="326">
        <v>205</v>
      </c>
      <c r="H187" s="333">
        <v>-9.4000000000000004E-3</v>
      </c>
      <c r="I187" s="333">
        <v>0.53680000000000005</v>
      </c>
      <c r="J187" s="322">
        <v>883939863.95000005</v>
      </c>
      <c r="K187" s="191">
        <f t="shared" si="106"/>
        <v>9.4008963790734479E-2</v>
      </c>
      <c r="L187" s="326">
        <v>205</v>
      </c>
      <c r="M187" s="326">
        <v>205</v>
      </c>
      <c r="N187" s="333">
        <v>7.1999999999999998E-3</v>
      </c>
      <c r="O187" s="333">
        <v>0.54749999999999999</v>
      </c>
      <c r="P187" s="327">
        <f t="shared" si="107"/>
        <v>7.2096649438315235E-3</v>
      </c>
      <c r="Q187" s="327">
        <f t="shared" si="108"/>
        <v>0</v>
      </c>
      <c r="R187" s="327">
        <f t="shared" si="109"/>
        <v>1.66E-2</v>
      </c>
      <c r="S187" s="392">
        <f t="shared" si="104"/>
        <v>1.0699999999999932E-2</v>
      </c>
      <c r="T187" s="186"/>
    </row>
    <row r="188" spans="1:21" s="112" customFormat="1" ht="12" customHeight="1">
      <c r="A188" s="406">
        <v>7</v>
      </c>
      <c r="B188" s="381" t="s">
        <v>40</v>
      </c>
      <c r="C188" s="382" t="s">
        <v>39</v>
      </c>
      <c r="D188" s="322">
        <v>589894658.48000002</v>
      </c>
      <c r="E188" s="191">
        <f t="shared" si="105"/>
        <v>6.2382340867723665E-2</v>
      </c>
      <c r="F188" s="326">
        <v>280</v>
      </c>
      <c r="G188" s="326">
        <v>280</v>
      </c>
      <c r="H188" s="333">
        <v>-1.14E-2</v>
      </c>
      <c r="I188" s="333">
        <v>0.34699999999999998</v>
      </c>
      <c r="J188" s="322">
        <v>588610293.54999995</v>
      </c>
      <c r="K188" s="191">
        <f t="shared" si="106"/>
        <v>6.2600009378381796E-2</v>
      </c>
      <c r="L188" s="326">
        <v>288</v>
      </c>
      <c r="M188" s="326">
        <v>288</v>
      </c>
      <c r="N188" s="333">
        <v>-2.0999999999999999E-3</v>
      </c>
      <c r="O188" s="333">
        <v>0.3453</v>
      </c>
      <c r="P188" s="327">
        <f t="shared" si="107"/>
        <v>-2.1772784539353688E-3</v>
      </c>
      <c r="Q188" s="327">
        <f t="shared" si="108"/>
        <v>2.8571428571428571E-2</v>
      </c>
      <c r="R188" s="327">
        <f t="shared" si="109"/>
        <v>9.300000000000001E-3</v>
      </c>
      <c r="S188" s="392">
        <f t="shared" si="104"/>
        <v>-1.6999999999999793E-3</v>
      </c>
      <c r="T188" s="186"/>
    </row>
    <row r="189" spans="1:21" s="112" customFormat="1" ht="12" customHeight="1">
      <c r="A189" s="400">
        <v>8</v>
      </c>
      <c r="B189" s="381" t="s">
        <v>50</v>
      </c>
      <c r="C189" s="382" t="s">
        <v>29</v>
      </c>
      <c r="D189" s="322">
        <v>244398156.22</v>
      </c>
      <c r="E189" s="191">
        <f t="shared" si="105"/>
        <v>2.5845511346117959E-2</v>
      </c>
      <c r="F189" s="326">
        <v>10.77</v>
      </c>
      <c r="G189" s="326">
        <v>10.87</v>
      </c>
      <c r="H189" s="333">
        <v>-1.4500000000000001E-2</v>
      </c>
      <c r="I189" s="333">
        <v>0.84860000000000002</v>
      </c>
      <c r="J189" s="322">
        <v>251661465.49000001</v>
      </c>
      <c r="K189" s="191">
        <f t="shared" si="106"/>
        <v>2.6764754664476611E-2</v>
      </c>
      <c r="L189" s="326">
        <v>11.1</v>
      </c>
      <c r="M189" s="326">
        <v>11.2</v>
      </c>
      <c r="N189" s="333">
        <v>2.58E-2</v>
      </c>
      <c r="O189" s="333">
        <v>0.89629999999999999</v>
      </c>
      <c r="P189" s="327">
        <f t="shared" si="107"/>
        <v>2.9719165571207479E-2</v>
      </c>
      <c r="Q189" s="327">
        <f t="shared" si="108"/>
        <v>3.0358785648574065E-2</v>
      </c>
      <c r="R189" s="327">
        <f t="shared" si="109"/>
        <v>4.0300000000000002E-2</v>
      </c>
      <c r="S189" s="392">
        <f t="shared" si="104"/>
        <v>4.7699999999999965E-2</v>
      </c>
      <c r="T189" s="186"/>
    </row>
    <row r="190" spans="1:21" s="112" customFormat="1" ht="12" customHeight="1">
      <c r="A190" s="400">
        <v>9</v>
      </c>
      <c r="B190" s="381" t="s">
        <v>59</v>
      </c>
      <c r="C190" s="382" t="s">
        <v>29</v>
      </c>
      <c r="D190" s="75">
        <v>577269462.83000004</v>
      </c>
      <c r="E190" s="191">
        <f t="shared" si="105"/>
        <v>6.1047205437629405E-2</v>
      </c>
      <c r="F190" s="326">
        <v>6.86</v>
      </c>
      <c r="G190" s="326">
        <v>6.96</v>
      </c>
      <c r="H190" s="333">
        <v>-3.2399999999999998E-2</v>
      </c>
      <c r="I190" s="333">
        <v>0.62170000000000003</v>
      </c>
      <c r="J190" s="75">
        <v>581595539.76999998</v>
      </c>
      <c r="K190" s="191">
        <f t="shared" si="106"/>
        <v>6.1853974765621947E-2</v>
      </c>
      <c r="L190" s="326">
        <v>6.9</v>
      </c>
      <c r="M190" s="326">
        <v>7</v>
      </c>
      <c r="N190" s="333">
        <v>0.73</v>
      </c>
      <c r="O190" s="333">
        <v>0.63360000000000005</v>
      </c>
      <c r="P190" s="327">
        <f t="shared" si="107"/>
        <v>7.4940339279195916E-3</v>
      </c>
      <c r="Q190" s="327">
        <f t="shared" si="108"/>
        <v>5.7471264367816143E-3</v>
      </c>
      <c r="R190" s="327">
        <f t="shared" si="109"/>
        <v>0.76239999999999997</v>
      </c>
      <c r="S190" s="392">
        <f t="shared" si="104"/>
        <v>1.1900000000000022E-2</v>
      </c>
      <c r="T190" s="186"/>
    </row>
    <row r="191" spans="1:21" s="112" customFormat="1" ht="12" customHeight="1">
      <c r="A191" s="400">
        <v>10</v>
      </c>
      <c r="B191" s="381" t="s">
        <v>92</v>
      </c>
      <c r="C191" s="382" t="s">
        <v>29</v>
      </c>
      <c r="D191" s="322">
        <v>493812313.94</v>
      </c>
      <c r="E191" s="191">
        <f t="shared" si="105"/>
        <v>5.2221473190249064E-2</v>
      </c>
      <c r="F191" s="326">
        <v>139.27000000000001</v>
      </c>
      <c r="G191" s="326">
        <v>141.27000000000001</v>
      </c>
      <c r="H191" s="333">
        <v>0</v>
      </c>
      <c r="I191" s="333">
        <v>-0.1031</v>
      </c>
      <c r="J191" s="322">
        <v>494643556.45999998</v>
      </c>
      <c r="K191" s="191">
        <f t="shared" si="106"/>
        <v>5.2606438610849418E-2</v>
      </c>
      <c r="L191" s="326">
        <v>139.51</v>
      </c>
      <c r="M191" s="326">
        <v>141.51</v>
      </c>
      <c r="N191" s="333">
        <v>0</v>
      </c>
      <c r="O191" s="333">
        <v>-0.1031</v>
      </c>
      <c r="P191" s="327">
        <f t="shared" si="107"/>
        <v>1.6833167106905722E-3</v>
      </c>
      <c r="Q191" s="327">
        <f t="shared" si="108"/>
        <v>1.6988744956464971E-3</v>
      </c>
      <c r="R191" s="327">
        <f t="shared" si="109"/>
        <v>0</v>
      </c>
      <c r="S191" s="392">
        <f t="shared" si="104"/>
        <v>0</v>
      </c>
      <c r="T191" s="186"/>
    </row>
    <row r="192" spans="1:21" s="112" customFormat="1" ht="12" customHeight="1">
      <c r="A192" s="400">
        <v>11</v>
      </c>
      <c r="B192" s="381" t="s">
        <v>30</v>
      </c>
      <c r="C192" s="382" t="s">
        <v>29</v>
      </c>
      <c r="D192" s="322">
        <v>3644999523.2199998</v>
      </c>
      <c r="E192" s="191">
        <f t="shared" si="105"/>
        <v>0.38546475959980159</v>
      </c>
      <c r="F192" s="326">
        <v>25.06</v>
      </c>
      <c r="G192" s="326">
        <v>25.26</v>
      </c>
      <c r="H192" s="333">
        <v>0</v>
      </c>
      <c r="I192" s="333">
        <v>0.3533</v>
      </c>
      <c r="J192" s="322">
        <v>3640501585.79</v>
      </c>
      <c r="K192" s="191">
        <f t="shared" si="106"/>
        <v>0.38717541284912826</v>
      </c>
      <c r="L192" s="326">
        <v>25.03</v>
      </c>
      <c r="M192" s="326">
        <v>25.26</v>
      </c>
      <c r="N192" s="333">
        <v>-1.04E-2</v>
      </c>
      <c r="O192" s="333">
        <v>0.33910000000000001</v>
      </c>
      <c r="P192" s="327">
        <f t="shared" si="107"/>
        <v>-1.2340021998209596E-3</v>
      </c>
      <c r="Q192" s="327">
        <f t="shared" si="108"/>
        <v>0</v>
      </c>
      <c r="R192" s="327">
        <f t="shared" si="109"/>
        <v>-1.04E-2</v>
      </c>
      <c r="S192" s="392">
        <f t="shared" si="104"/>
        <v>-1.419999999999999E-2</v>
      </c>
      <c r="T192" s="186"/>
    </row>
    <row r="193" spans="1:20" s="112" customFormat="1" ht="12" customHeight="1">
      <c r="A193" s="400">
        <v>12</v>
      </c>
      <c r="B193" s="381" t="s">
        <v>51</v>
      </c>
      <c r="C193" s="382" t="s">
        <v>29</v>
      </c>
      <c r="D193" s="75">
        <v>302641865.83999997</v>
      </c>
      <c r="E193" s="191">
        <f t="shared" si="105"/>
        <v>3.2004880471917123E-2</v>
      </c>
      <c r="F193" s="326">
        <v>28.75</v>
      </c>
      <c r="G193" s="326">
        <v>28.95</v>
      </c>
      <c r="H193" s="333">
        <v>-2.8E-3</v>
      </c>
      <c r="I193" s="333">
        <v>0.2026</v>
      </c>
      <c r="J193" s="75">
        <v>289745068.94</v>
      </c>
      <c r="K193" s="191">
        <v>0.24610000000000001</v>
      </c>
      <c r="L193" s="326">
        <v>27.36</v>
      </c>
      <c r="M193" s="326">
        <v>27.56</v>
      </c>
      <c r="N193" s="333">
        <v>-4.7800000000000002E-2</v>
      </c>
      <c r="O193" s="333">
        <v>0.14510000000000001</v>
      </c>
      <c r="P193" s="327">
        <f t="shared" si="107"/>
        <v>-4.2614054285596517E-2</v>
      </c>
      <c r="Q193" s="327">
        <f t="shared" si="108"/>
        <v>-4.8013816925734046E-2</v>
      </c>
      <c r="R193" s="327">
        <f t="shared" si="109"/>
        <v>-4.5000000000000005E-2</v>
      </c>
      <c r="S193" s="392">
        <f t="shared" si="104"/>
        <v>-5.7499999999999996E-2</v>
      </c>
      <c r="T193" s="188"/>
    </row>
    <row r="194" spans="1:20" s="112" customFormat="1" ht="12" customHeight="1">
      <c r="A194" s="372"/>
      <c r="B194" s="373"/>
      <c r="C194" s="373" t="s">
        <v>33</v>
      </c>
      <c r="D194" s="366">
        <f>SUM(D182:D193)</f>
        <v>9456116110.3399506</v>
      </c>
      <c r="E194" s="366"/>
      <c r="F194" s="369"/>
      <c r="G194" s="367"/>
      <c r="H194" s="368"/>
      <c r="I194" s="368"/>
      <c r="J194" s="366">
        <f>SUM(J182:J193)</f>
        <v>9402718935.5864506</v>
      </c>
      <c r="K194" s="369"/>
      <c r="L194" s="369"/>
      <c r="M194" s="367"/>
      <c r="N194" s="368"/>
      <c r="O194" s="368"/>
      <c r="P194" s="370">
        <f t="shared" ref="P194" si="110">((J194-D194)/D194)</f>
        <v>-5.6468400060265692E-3</v>
      </c>
      <c r="Q194" s="371"/>
      <c r="R194" s="370">
        <f t="shared" ref="R194" si="111">N194-H194</f>
        <v>0</v>
      </c>
      <c r="S194" s="393">
        <f t="shared" si="104"/>
        <v>0</v>
      </c>
      <c r="T194" s="137" t="s">
        <v>255</v>
      </c>
    </row>
    <row r="195" spans="1:20" s="112" customFormat="1" ht="12" customHeight="1" thickBot="1">
      <c r="A195" s="244"/>
      <c r="B195" s="245"/>
      <c r="C195" s="245" t="s">
        <v>43</v>
      </c>
      <c r="D195" s="246">
        <f>SUM(D170,D177,D194)</f>
        <v>2034041060421.5012</v>
      </c>
      <c r="E195" s="246"/>
      <c r="F195" s="246"/>
      <c r="G195" s="247"/>
      <c r="H195" s="248"/>
      <c r="I195" s="248"/>
      <c r="J195" s="246">
        <f>SUM(J170,J177,J194)</f>
        <v>2031524247517.2651</v>
      </c>
      <c r="K195" s="226"/>
      <c r="L195" s="226"/>
      <c r="M195" s="227"/>
      <c r="N195" s="228"/>
      <c r="O195" s="228"/>
      <c r="P195" s="209"/>
      <c r="Q195" s="213"/>
      <c r="R195" s="213"/>
      <c r="S195" s="210"/>
      <c r="T195" s="138">
        <f>((J194-D194)/D194)</f>
        <v>-5.6468400060265692E-3</v>
      </c>
    </row>
    <row r="196" spans="1:20" ht="12" customHeight="1">
      <c r="A196" s="229"/>
      <c r="B196" s="92"/>
      <c r="C196" s="230"/>
      <c r="D196" s="66"/>
      <c r="E196" s="66"/>
      <c r="F196" s="66"/>
      <c r="G196" s="231"/>
      <c r="H196" s="232"/>
      <c r="I196" s="232"/>
      <c r="J196" s="7"/>
      <c r="K196" s="66"/>
      <c r="L196" s="66"/>
      <c r="M196" s="233"/>
      <c r="N196" s="234"/>
      <c r="O196" s="234"/>
    </row>
    <row r="197" spans="1:20" ht="12" customHeight="1">
      <c r="A197" s="234"/>
      <c r="B197" s="233"/>
      <c r="C197" s="236"/>
      <c r="D197" s="233"/>
      <c r="E197" s="233"/>
      <c r="F197" s="233"/>
      <c r="G197" s="233"/>
      <c r="H197" s="235"/>
      <c r="I197" s="235"/>
      <c r="J197" s="237"/>
      <c r="K197" s="233"/>
      <c r="L197" s="233"/>
      <c r="M197" s="233"/>
      <c r="N197" s="234"/>
      <c r="O197" s="234"/>
    </row>
    <row r="198" spans="1:20" ht="12" customHeight="1">
      <c r="A198" s="234"/>
      <c r="B198" s="236"/>
      <c r="C198" s="233"/>
      <c r="D198" s="233"/>
      <c r="E198" s="233"/>
      <c r="F198" s="233"/>
      <c r="G198" s="233"/>
      <c r="H198" s="235"/>
      <c r="I198" s="235"/>
      <c r="J198" s="237"/>
      <c r="K198" s="233"/>
      <c r="L198" s="233"/>
      <c r="M198" s="233"/>
      <c r="N198" s="234"/>
      <c r="O198" s="234"/>
    </row>
    <row r="199" spans="1:20" ht="12" customHeight="1">
      <c r="A199" s="234"/>
      <c r="B199" s="239"/>
      <c r="C199" s="238"/>
      <c r="D199" s="233"/>
      <c r="E199" s="233"/>
      <c r="F199" s="233"/>
      <c r="G199" s="233"/>
      <c r="H199" s="235"/>
      <c r="I199" s="235"/>
      <c r="J199" s="237"/>
      <c r="K199" s="233"/>
      <c r="L199" s="233"/>
      <c r="M199" s="233"/>
      <c r="N199" s="234"/>
      <c r="O199" s="234"/>
    </row>
    <row r="200" spans="1:20" ht="12" customHeight="1">
      <c r="A200" s="234"/>
      <c r="B200" s="238"/>
      <c r="C200" s="238"/>
      <c r="D200" s="233"/>
      <c r="E200" s="233"/>
      <c r="F200" s="233"/>
      <c r="G200" s="233"/>
      <c r="H200" s="235"/>
      <c r="I200" s="235"/>
      <c r="J200" s="237"/>
      <c r="K200" s="233"/>
      <c r="L200" s="233"/>
      <c r="M200" s="233"/>
      <c r="N200" s="234"/>
      <c r="O200" s="234"/>
    </row>
    <row r="201" spans="1:20" ht="12" customHeight="1">
      <c r="A201" s="234"/>
      <c r="B201" s="238"/>
      <c r="C201" s="238"/>
      <c r="D201" s="233"/>
      <c r="E201" s="233"/>
      <c r="F201" s="233"/>
      <c r="G201" s="233"/>
      <c r="H201" s="235"/>
      <c r="I201" s="235"/>
      <c r="J201" s="237"/>
      <c r="K201" s="233"/>
      <c r="L201" s="233"/>
      <c r="M201" s="233"/>
      <c r="N201" s="234"/>
      <c r="O201" s="234"/>
    </row>
    <row r="202" spans="1:20" ht="12" customHeight="1">
      <c r="A202" s="234"/>
      <c r="B202" s="238"/>
      <c r="C202" s="238"/>
      <c r="D202" s="233"/>
      <c r="E202" s="233"/>
      <c r="F202" s="233"/>
      <c r="G202" s="233"/>
      <c r="H202" s="235"/>
      <c r="I202" s="235"/>
      <c r="J202" s="237"/>
      <c r="K202" s="233"/>
      <c r="L202" s="233"/>
      <c r="M202" s="233"/>
      <c r="N202" s="234"/>
      <c r="O202" s="234"/>
    </row>
    <row r="203" spans="1:20" ht="12" customHeight="1">
      <c r="A203" s="234"/>
      <c r="B203" s="239"/>
      <c r="C203" s="238"/>
      <c r="D203" s="233"/>
      <c r="E203" s="233"/>
      <c r="F203" s="233"/>
      <c r="G203" s="233"/>
      <c r="H203" s="235"/>
      <c r="I203" s="235"/>
      <c r="J203" s="237"/>
      <c r="K203" s="233"/>
      <c r="L203" s="233"/>
      <c r="M203" s="233"/>
      <c r="N203" s="234"/>
      <c r="O203" s="234"/>
    </row>
    <row r="204" spans="1:20" ht="12" customHeight="1">
      <c r="B204" s="238"/>
      <c r="C204" s="238"/>
      <c r="D204" s="233"/>
      <c r="E204" s="233"/>
      <c r="F204" s="233"/>
      <c r="G204" s="233"/>
      <c r="H204" s="235"/>
      <c r="I204" s="235"/>
      <c r="J204" s="237"/>
      <c r="K204" s="233"/>
      <c r="L204" s="233"/>
      <c r="M204" s="233"/>
      <c r="N204" s="234"/>
      <c r="O204" s="234"/>
    </row>
    <row r="205" spans="1:20" ht="12" customHeight="1">
      <c r="B205" s="4"/>
      <c r="C205" s="4"/>
    </row>
    <row r="206" spans="1:20" ht="12" customHeight="1">
      <c r="B206" s="4"/>
      <c r="C206" s="4"/>
    </row>
    <row r="207" spans="1:20" ht="12" customHeight="1">
      <c r="B207" s="6"/>
      <c r="C207" s="4"/>
    </row>
    <row r="208" spans="1:20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4"/>
      <c r="C237" s="4"/>
    </row>
    <row r="238" spans="2:3" ht="12" customHeight="1">
      <c r="B238" s="4"/>
      <c r="C238" s="4"/>
    </row>
    <row r="239" spans="2:3" ht="12" customHeight="1">
      <c r="B239" s="4"/>
      <c r="C239" s="4"/>
    </row>
    <row r="240" spans="2:3" ht="12" customHeight="1">
      <c r="B240" s="5"/>
      <c r="C240" s="5"/>
    </row>
    <row r="241" spans="2:3" ht="12" customHeight="1">
      <c r="B241" s="5"/>
      <c r="C241" s="5"/>
    </row>
    <row r="242" spans="2:3" ht="12" customHeight="1">
      <c r="B242" s="5"/>
      <c r="C242" s="5"/>
    </row>
  </sheetData>
  <protectedRanges>
    <protectedRange password="CADF" sqref="E47" name="Yield_1_1_2_1_1_1"/>
    <protectedRange password="CADF" sqref="E52" name="Yield_1_1_1_1"/>
    <protectedRange password="CADF" sqref="J10 D10" name="Fund Name_1_1_1_3_1_1"/>
    <protectedRange password="CADF" sqref="N10:O10 H10:I10" name="Yield_1_1_2_1_3"/>
    <protectedRange password="CADF" sqref="L10:M10 F10:G10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M76 G76" name="BidOffer Prices_2_1_1_1_1_1_1_1_1_1"/>
    <protectedRange password="CADF" sqref="J136 J144:J145 D136 D144:D145" name="Fund Name_1_1_1_2"/>
    <protectedRange password="CADF" sqref="N136:O136 N144:O145 H136:I136 H144:I145" name="Yield_1_1_2_2"/>
    <protectedRange password="CADF" sqref="L136:M136 L144:M145 F136:G136 F144:G145" name="Fund Name_1_1_1_1_2"/>
    <protectedRange password="CADF" sqref="N47:O47 H47:I47" name="Yield_1_1_2_1_1_1_1_1"/>
    <protectedRange password="CADF" sqref="J93:J94 D93:D94" name="Yield_2_1_2_6_3"/>
    <protectedRange password="CADF" sqref="J17 D17" name="Yield_2_1_2_5"/>
  </protectedRanges>
  <mergeCells count="41">
    <mergeCell ref="W119:W121"/>
    <mergeCell ref="V72:V82"/>
    <mergeCell ref="T122:T123"/>
    <mergeCell ref="P180:R180"/>
    <mergeCell ref="P173:R173"/>
    <mergeCell ref="A171:R171"/>
    <mergeCell ref="A114:S114"/>
    <mergeCell ref="A154:S154"/>
    <mergeCell ref="A155:S155"/>
    <mergeCell ref="A153:S153"/>
    <mergeCell ref="A102:S102"/>
    <mergeCell ref="A101:S101"/>
    <mergeCell ref="A113:S113"/>
    <mergeCell ref="A121:S121"/>
    <mergeCell ref="A120:S120"/>
    <mergeCell ref="A148:S148"/>
    <mergeCell ref="U71:V71"/>
    <mergeCell ref="V29:W29"/>
    <mergeCell ref="P2:Q2"/>
    <mergeCell ref="R2:S2"/>
    <mergeCell ref="V30:W30"/>
    <mergeCell ref="V31:W31"/>
    <mergeCell ref="V34:W34"/>
    <mergeCell ref="A4:S4"/>
    <mergeCell ref="A5:S5"/>
    <mergeCell ref="A24:S24"/>
    <mergeCell ref="A23:S23"/>
    <mergeCell ref="A1:S1"/>
    <mergeCell ref="A56:S56"/>
    <mergeCell ref="A55:S55"/>
    <mergeCell ref="A88:S88"/>
    <mergeCell ref="A89:S89"/>
    <mergeCell ref="A87:S87"/>
    <mergeCell ref="D2:I2"/>
    <mergeCell ref="J2:O2"/>
    <mergeCell ref="A147:S147"/>
    <mergeCell ref="A179:S179"/>
    <mergeCell ref="A159:S159"/>
    <mergeCell ref="A158:S158"/>
    <mergeCell ref="A172:S172"/>
    <mergeCell ref="A178:S178"/>
  </mergeCells>
  <pageMargins left="0.44" right="0.49" top="0.17" bottom="0.69" header="0.33" footer="0.55000000000000004"/>
  <pageSetup paperSize="9" scale="89" orientation="landscape" r:id="rId1"/>
  <rowBreaks count="3" manualBreakCount="3">
    <brk id="45" max="16383" man="1"/>
    <brk id="88" max="16383" man="1"/>
    <brk id="100" max="16383" man="1"/>
  </rowBreaks>
  <colBreaks count="1" manualBreakCount="1">
    <brk id="11" max="19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Normal="10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2"/>
      <c r="F3" s="102"/>
      <c r="G3" s="102"/>
    </row>
    <row r="4" spans="1:7">
      <c r="E4" s="102"/>
      <c r="F4" s="102"/>
      <c r="G4" s="102"/>
    </row>
    <row r="5" spans="1:7">
      <c r="E5" s="102"/>
      <c r="F5" s="102"/>
      <c r="G5" s="102"/>
    </row>
    <row r="6" spans="1:7">
      <c r="E6" s="99" t="s">
        <v>64</v>
      </c>
      <c r="F6" s="100" t="s">
        <v>151</v>
      </c>
      <c r="G6" s="102"/>
    </row>
    <row r="7" spans="1:7">
      <c r="E7" s="192" t="s">
        <v>0</v>
      </c>
      <c r="F7" s="101">
        <f>'NAV Trend'!J2</f>
        <v>22684841502.700001</v>
      </c>
      <c r="G7" s="102"/>
    </row>
    <row r="8" spans="1:7">
      <c r="E8" s="192" t="s">
        <v>44</v>
      </c>
      <c r="F8" s="101">
        <f>'NAV Trend'!J3</f>
        <v>842959336565.12207</v>
      </c>
      <c r="G8" s="102"/>
    </row>
    <row r="9" spans="1:7">
      <c r="A9" s="102"/>
      <c r="B9" s="102"/>
      <c r="E9" s="192" t="s">
        <v>191</v>
      </c>
      <c r="F9" s="101">
        <f>'NAV Trend'!J4</f>
        <v>320326205967.90063</v>
      </c>
      <c r="G9" s="102"/>
    </row>
    <row r="10" spans="1:7">
      <c r="A10" s="456"/>
      <c r="B10" s="456"/>
      <c r="E10" s="192" t="s">
        <v>193</v>
      </c>
      <c r="F10" s="101">
        <f>'NAV Trend'!J5</f>
        <v>579242821265.46704</v>
      </c>
      <c r="G10" s="102"/>
    </row>
    <row r="11" spans="1:7">
      <c r="A11" s="95"/>
      <c r="B11" s="95"/>
      <c r="E11" s="192" t="s">
        <v>209</v>
      </c>
      <c r="F11" s="101">
        <f>'NAV Trend'!J6</f>
        <v>92900265036.520004</v>
      </c>
      <c r="G11" s="102"/>
    </row>
    <row r="12" spans="1:7">
      <c r="A12" s="96"/>
      <c r="B12" s="97"/>
      <c r="E12" s="192" t="s">
        <v>60</v>
      </c>
      <c r="F12" s="101">
        <f>'NAV Trend'!J7</f>
        <v>39999967409.311623</v>
      </c>
      <c r="G12" s="102"/>
    </row>
    <row r="13" spans="1:7">
      <c r="A13" s="96"/>
      <c r="B13" s="97"/>
      <c r="E13" s="192" t="s">
        <v>66</v>
      </c>
      <c r="F13" s="101">
        <f>'NAV Trend'!J8</f>
        <v>3887178325.5900002</v>
      </c>
      <c r="G13" s="102"/>
    </row>
    <row r="14" spans="1:7">
      <c r="A14" s="96"/>
      <c r="B14" s="97"/>
      <c r="E14" s="192" t="s">
        <v>206</v>
      </c>
      <c r="F14" s="193">
        <f>'NAV Trend'!J9</f>
        <v>28033788286.160004</v>
      </c>
      <c r="G14" s="102"/>
    </row>
    <row r="15" spans="1:7">
      <c r="A15" s="96"/>
      <c r="B15" s="97"/>
      <c r="E15" s="102"/>
      <c r="F15" s="102"/>
      <c r="G15" s="102"/>
    </row>
    <row r="16" spans="1:7">
      <c r="A16" s="96"/>
      <c r="B16" s="97"/>
      <c r="E16" s="102"/>
      <c r="F16" s="102"/>
      <c r="G16" s="102"/>
    </row>
    <row r="17" spans="1:13">
      <c r="A17" s="96"/>
      <c r="B17" s="97"/>
      <c r="E17" s="102"/>
      <c r="F17" s="102"/>
      <c r="G17" s="102"/>
    </row>
    <row r="18" spans="1:13">
      <c r="A18" s="96"/>
      <c r="B18" s="97"/>
      <c r="E18" s="102"/>
      <c r="F18" s="102"/>
      <c r="G18" s="102"/>
    </row>
    <row r="19" spans="1:13">
      <c r="A19" s="96"/>
      <c r="B19" s="97"/>
      <c r="E19" s="102"/>
      <c r="F19" s="102"/>
      <c r="G19" s="102"/>
    </row>
    <row r="24" spans="1:13" s="93" customFormat="1" ht="21.75" customHeight="1"/>
    <row r="25" spans="1:13" ht="30.75" customHeight="1">
      <c r="B25" s="374" t="s">
        <v>153</v>
      </c>
      <c r="M25" s="94"/>
    </row>
    <row r="26" spans="1:13" ht="43.5" customHeight="1">
      <c r="B26" s="457" t="s">
        <v>288</v>
      </c>
      <c r="C26" s="457"/>
      <c r="D26" s="457"/>
      <c r="E26" s="457"/>
      <c r="F26" s="457"/>
      <c r="G26" s="457"/>
      <c r="H26" s="457"/>
      <c r="I26" s="457"/>
      <c r="J26" s="457"/>
      <c r="K26" s="457"/>
      <c r="L26" s="457"/>
      <c r="M26" s="98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H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44" t="s">
        <v>64</v>
      </c>
      <c r="C1" s="338">
        <v>45135</v>
      </c>
      <c r="D1" s="338">
        <v>45142</v>
      </c>
      <c r="E1" s="338">
        <v>45149</v>
      </c>
      <c r="F1" s="338">
        <v>45156</v>
      </c>
      <c r="G1" s="338">
        <v>45163</v>
      </c>
      <c r="H1" s="338">
        <v>45170</v>
      </c>
      <c r="I1" s="338">
        <v>45177</v>
      </c>
      <c r="J1" s="338">
        <v>45184</v>
      </c>
      <c r="K1" s="338">
        <v>45191</v>
      </c>
      <c r="L1" s="302"/>
    </row>
    <row r="2" spans="2:24" s="108" customFormat="1" ht="16.5">
      <c r="B2" s="345" t="s">
        <v>0</v>
      </c>
      <c r="C2" s="339">
        <v>21710538133.900002</v>
      </c>
      <c r="D2" s="339">
        <v>21798118395</v>
      </c>
      <c r="E2" s="339">
        <v>21799255745.139996</v>
      </c>
      <c r="F2" s="339">
        <v>21756530204.330006</v>
      </c>
      <c r="G2" s="339">
        <v>21948547893.360001</v>
      </c>
      <c r="H2" s="339">
        <v>22687921199.809998</v>
      </c>
      <c r="I2" s="339">
        <v>23086923138.879997</v>
      </c>
      <c r="J2" s="339">
        <v>22684841502.700001</v>
      </c>
      <c r="K2" s="339">
        <v>22617340342.240005</v>
      </c>
    </row>
    <row r="3" spans="2:24" s="108" customFormat="1" ht="16.5">
      <c r="B3" s="345" t="s">
        <v>44</v>
      </c>
      <c r="C3" s="340">
        <v>849994179796.46228</v>
      </c>
      <c r="D3" s="340">
        <v>856179741726.49231</v>
      </c>
      <c r="E3" s="340">
        <v>857163632618.47339</v>
      </c>
      <c r="F3" s="340">
        <v>855610980289.1698</v>
      </c>
      <c r="G3" s="340">
        <v>852824801464.56006</v>
      </c>
      <c r="H3" s="340">
        <v>854338532735.88501</v>
      </c>
      <c r="I3" s="340">
        <v>842459027080.45435</v>
      </c>
      <c r="J3" s="340">
        <v>842959336565.12207</v>
      </c>
      <c r="K3" s="340">
        <v>849677574373.34802</v>
      </c>
    </row>
    <row r="4" spans="2:24" s="108" customFormat="1" ht="16.5">
      <c r="B4" s="345" t="s">
        <v>191</v>
      </c>
      <c r="C4" s="339">
        <v>320399612573.65601</v>
      </c>
      <c r="D4" s="339">
        <v>320872331713.32611</v>
      </c>
      <c r="E4" s="339">
        <v>321156453816.64587</v>
      </c>
      <c r="F4" s="339">
        <v>320687160580.93243</v>
      </c>
      <c r="G4" s="339">
        <v>319581951019.79437</v>
      </c>
      <c r="H4" s="339">
        <v>319127187068.50275</v>
      </c>
      <c r="I4" s="339">
        <v>320114444673.33032</v>
      </c>
      <c r="J4" s="339">
        <v>320326205967.90063</v>
      </c>
      <c r="K4" s="339">
        <v>299618437754.16949</v>
      </c>
    </row>
    <row r="5" spans="2:24" s="108" customFormat="1" ht="16.5">
      <c r="B5" s="345" t="s">
        <v>193</v>
      </c>
      <c r="C5" s="340">
        <v>569956762301.13733</v>
      </c>
      <c r="D5" s="340">
        <v>553123134779.05676</v>
      </c>
      <c r="E5" s="340">
        <v>554621583051.02319</v>
      </c>
      <c r="F5" s="340">
        <v>555450233256.58521</v>
      </c>
      <c r="G5" s="340">
        <v>584920699343.90466</v>
      </c>
      <c r="H5" s="340">
        <v>561324750435.97546</v>
      </c>
      <c r="I5" s="340">
        <v>554560757841.43372</v>
      </c>
      <c r="J5" s="340">
        <v>579242821265.46704</v>
      </c>
      <c r="K5" s="340">
        <v>573412197469.83374</v>
      </c>
    </row>
    <row r="6" spans="2:24" s="108" customFormat="1" ht="16.5">
      <c r="B6" s="345" t="s">
        <v>210</v>
      </c>
      <c r="C6" s="339">
        <v>93558457831.729996</v>
      </c>
      <c r="D6" s="339">
        <v>93574800912.410004</v>
      </c>
      <c r="E6" s="339">
        <v>93594876666.309998</v>
      </c>
      <c r="F6" s="339">
        <v>93626727218.01001</v>
      </c>
      <c r="G6" s="339">
        <v>93509583223.449997</v>
      </c>
      <c r="H6" s="339">
        <v>93504922541.330002</v>
      </c>
      <c r="I6" s="339">
        <v>92863739575.880005</v>
      </c>
      <c r="J6" s="339">
        <v>92900265036.520004</v>
      </c>
      <c r="K6" s="339">
        <v>92930445555.669998</v>
      </c>
    </row>
    <row r="7" spans="2:24" s="108" customFormat="1" ht="16.5">
      <c r="B7" s="345" t="s">
        <v>219</v>
      </c>
      <c r="C7" s="341">
        <v>38690467865.717575</v>
      </c>
      <c r="D7" s="341">
        <v>38884096485.686134</v>
      </c>
      <c r="E7" s="341">
        <v>38936521066.392647</v>
      </c>
      <c r="F7" s="341">
        <v>38811275853.394905</v>
      </c>
      <c r="G7" s="341">
        <v>39079043179.509552</v>
      </c>
      <c r="H7" s="341">
        <v>39909523580.55719</v>
      </c>
      <c r="I7" s="341">
        <v>40429036765.108025</v>
      </c>
      <c r="J7" s="341">
        <v>39999967409.311623</v>
      </c>
      <c r="K7" s="341">
        <v>40017994182.737228</v>
      </c>
    </row>
    <row r="8" spans="2:24" s="283" customFormat="1" ht="16.5">
      <c r="B8" s="345" t="s">
        <v>66</v>
      </c>
      <c r="C8" s="339">
        <v>3765883383.1199999</v>
      </c>
      <c r="D8" s="339">
        <v>3796886715.4300003</v>
      </c>
      <c r="E8" s="339">
        <v>3821769493.7000003</v>
      </c>
      <c r="F8" s="339">
        <v>3802289133.5500002</v>
      </c>
      <c r="G8" s="339">
        <v>3833193790.9099998</v>
      </c>
      <c r="H8" s="339">
        <v>3950705160.4500003</v>
      </c>
      <c r="I8" s="339">
        <v>3988679154.2799997</v>
      </c>
      <c r="J8" s="339">
        <v>3887178325.5900002</v>
      </c>
      <c r="K8" s="339">
        <v>3868880759.98</v>
      </c>
    </row>
    <row r="9" spans="2:24" ht="16.5">
      <c r="B9" s="345" t="s">
        <v>206</v>
      </c>
      <c r="C9" s="339">
        <v>27315712442.810001</v>
      </c>
      <c r="D9" s="339">
        <v>27962550206.07</v>
      </c>
      <c r="E9" s="339">
        <v>27781533807.059998</v>
      </c>
      <c r="F9" s="339">
        <v>27801303893.869999</v>
      </c>
      <c r="G9" s="339">
        <v>27709525793.34</v>
      </c>
      <c r="H9" s="339">
        <v>27966500870.759998</v>
      </c>
      <c r="I9" s="339">
        <v>28062421939.949997</v>
      </c>
      <c r="J9" s="339">
        <v>28033788286.160004</v>
      </c>
      <c r="K9" s="339">
        <v>45442767297.869995</v>
      </c>
    </row>
    <row r="10" spans="2:24" s="1" customFormat="1" ht="15.75">
      <c r="B10" s="346" t="s">
        <v>244</v>
      </c>
      <c r="C10" s="347">
        <f t="shared" ref="C10:J10" si="0">SUM(C2:C9)</f>
        <v>1925391614328.5334</v>
      </c>
      <c r="D10" s="347">
        <f t="shared" si="0"/>
        <v>1916191660933.4709</v>
      </c>
      <c r="E10" s="347">
        <f t="shared" si="0"/>
        <v>1918875626264.7451</v>
      </c>
      <c r="F10" s="347">
        <f t="shared" si="0"/>
        <v>1917546500429.8425</v>
      </c>
      <c r="G10" s="347">
        <f t="shared" si="0"/>
        <v>1943407345708.8286</v>
      </c>
      <c r="H10" s="347">
        <f t="shared" si="0"/>
        <v>1922810043593.2705</v>
      </c>
      <c r="I10" s="347">
        <f t="shared" si="0"/>
        <v>1905565030169.3159</v>
      </c>
      <c r="J10" s="347">
        <f t="shared" si="0"/>
        <v>1930034404358.7712</v>
      </c>
      <c r="K10" s="347">
        <f t="shared" ref="K10" si="1">SUM(K2:K9)</f>
        <v>1927585637735.8486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2:24" ht="6.75" customHeight="1">
      <c r="B11" s="342"/>
      <c r="C11" s="343"/>
      <c r="D11" s="343"/>
      <c r="E11" s="343"/>
      <c r="F11" s="343"/>
      <c r="G11" s="343"/>
      <c r="H11" s="343"/>
      <c r="I11" s="343"/>
      <c r="J11" s="342"/>
      <c r="K11" s="342"/>
    </row>
    <row r="12" spans="2:24" ht="15.75">
      <c r="B12" s="348" t="s">
        <v>114</v>
      </c>
      <c r="C12" s="349" t="s">
        <v>113</v>
      </c>
      <c r="D12" s="350">
        <f>(C10+D10)/2</f>
        <v>1920791637631.0022</v>
      </c>
      <c r="E12" s="351">
        <f t="shared" ref="E12:K12" si="2">(D10+E10)/2</f>
        <v>1917533643599.1079</v>
      </c>
      <c r="F12" s="351">
        <f t="shared" si="2"/>
        <v>1918211063347.2939</v>
      </c>
      <c r="G12" s="351">
        <f t="shared" si="2"/>
        <v>1930476923069.3354</v>
      </c>
      <c r="H12" s="351">
        <f>(G10+H10)/2</f>
        <v>1933108694651.0496</v>
      </c>
      <c r="I12" s="351">
        <f t="shared" si="2"/>
        <v>1914187536881.2932</v>
      </c>
      <c r="J12" s="351">
        <f t="shared" si="2"/>
        <v>1917799717264.0435</v>
      </c>
      <c r="K12" s="351">
        <f t="shared" si="2"/>
        <v>1928810021047.3101</v>
      </c>
    </row>
    <row r="13" spans="2:24">
      <c r="B13" s="8"/>
      <c r="C13" s="10"/>
      <c r="D13" s="10"/>
      <c r="E13" s="10"/>
      <c r="F13" s="10"/>
      <c r="G13" s="10"/>
      <c r="H13" s="10"/>
      <c r="I13" s="10"/>
    </row>
    <row r="14" spans="2:24">
      <c r="B14" s="8"/>
      <c r="C14" s="10"/>
      <c r="D14" s="10"/>
      <c r="E14" s="10"/>
      <c r="F14" s="10"/>
      <c r="G14" s="10"/>
      <c r="H14" s="285"/>
      <c r="I14" s="90"/>
      <c r="J14" s="89"/>
      <c r="L14" s="376"/>
    </row>
    <row r="15" spans="2:24" ht="16.5">
      <c r="B15" s="344" t="s">
        <v>64</v>
      </c>
      <c r="C15" s="338">
        <v>45184</v>
      </c>
      <c r="D15" s="338">
        <v>45191</v>
      </c>
      <c r="E15" s="10"/>
      <c r="F15" s="10"/>
      <c r="G15" s="10"/>
      <c r="H15" s="355"/>
      <c r="I15" s="355"/>
    </row>
    <row r="16" spans="2:24" ht="16.5">
      <c r="B16" s="345" t="s">
        <v>0</v>
      </c>
      <c r="C16" s="339">
        <v>22684841502.700001</v>
      </c>
      <c r="D16" s="339">
        <v>22617340342.240005</v>
      </c>
      <c r="E16" s="10"/>
      <c r="F16" s="10"/>
      <c r="G16" s="10"/>
      <c r="H16" s="357"/>
      <c r="I16" s="357"/>
      <c r="J16" s="90"/>
    </row>
    <row r="17" spans="2:10" ht="16.5">
      <c r="B17" s="345" t="s">
        <v>44</v>
      </c>
      <c r="C17" s="340">
        <v>842959336565.12207</v>
      </c>
      <c r="D17" s="340">
        <v>849677574373.34802</v>
      </c>
      <c r="E17" s="10"/>
      <c r="F17" s="10"/>
      <c r="G17" s="10"/>
      <c r="H17" s="358"/>
      <c r="I17" s="358"/>
    </row>
    <row r="18" spans="2:10" ht="16.5">
      <c r="B18" s="345" t="s">
        <v>191</v>
      </c>
      <c r="C18" s="339">
        <v>320326205967.90063</v>
      </c>
      <c r="D18" s="339">
        <v>299618437754.16949</v>
      </c>
      <c r="E18" s="9"/>
      <c r="F18" s="9"/>
      <c r="G18" s="9"/>
      <c r="H18" s="357"/>
      <c r="I18" s="357"/>
    </row>
    <row r="19" spans="2:10" ht="16.5">
      <c r="B19" s="345" t="s">
        <v>193</v>
      </c>
      <c r="C19" s="340">
        <v>579242821265.46704</v>
      </c>
      <c r="D19" s="340">
        <v>573412197469.83374</v>
      </c>
      <c r="E19" s="8"/>
      <c r="F19" s="8"/>
      <c r="G19" s="8"/>
      <c r="H19" s="358"/>
      <c r="I19" s="358"/>
    </row>
    <row r="20" spans="2:10" ht="16.5">
      <c r="B20" s="345" t="s">
        <v>210</v>
      </c>
      <c r="C20" s="339">
        <v>92900265036.520004</v>
      </c>
      <c r="D20" s="339">
        <v>92930445555.669998</v>
      </c>
      <c r="E20" s="8"/>
      <c r="F20" s="8"/>
      <c r="G20" s="8"/>
      <c r="H20" s="357"/>
      <c r="I20" s="357"/>
      <c r="J20" s="91"/>
    </row>
    <row r="21" spans="2:10" ht="16.5">
      <c r="B21" s="345" t="s">
        <v>219</v>
      </c>
      <c r="C21" s="341">
        <v>39999967409.311623</v>
      </c>
      <c r="D21" s="341">
        <v>40017994182.737228</v>
      </c>
      <c r="E21" s="8"/>
      <c r="F21" s="8"/>
      <c r="G21" s="8"/>
      <c r="H21" s="359"/>
      <c r="I21" s="359"/>
    </row>
    <row r="22" spans="2:10" ht="16.5">
      <c r="B22" s="345" t="s">
        <v>66</v>
      </c>
      <c r="C22" s="339">
        <v>3887178325.5900002</v>
      </c>
      <c r="D22" s="339">
        <v>3868880759.98</v>
      </c>
      <c r="E22" s="8"/>
      <c r="F22" s="8"/>
      <c r="G22" s="8"/>
      <c r="H22" s="357"/>
      <c r="I22" s="357"/>
    </row>
    <row r="23" spans="2:10" ht="16.5">
      <c r="B23" s="345" t="s">
        <v>206</v>
      </c>
      <c r="C23" s="339">
        <v>28033788286.160004</v>
      </c>
      <c r="D23" s="339">
        <v>45442767297.869995</v>
      </c>
      <c r="E23" s="8"/>
      <c r="F23" s="8"/>
      <c r="G23" s="8"/>
      <c r="H23" s="357"/>
      <c r="I23" s="357"/>
    </row>
    <row r="24" spans="2:10" ht="16.5">
      <c r="B24" s="356"/>
      <c r="C24" s="357"/>
      <c r="D24" s="8"/>
      <c r="E24" s="8"/>
      <c r="F24" s="8"/>
      <c r="G24" s="8"/>
      <c r="H24" s="357"/>
    </row>
    <row r="25" spans="2:10" ht="16.5">
      <c r="B25" s="356"/>
      <c r="C25" s="357"/>
      <c r="D25" s="8"/>
      <c r="E25" s="8"/>
      <c r="F25" s="8"/>
      <c r="G25" s="8"/>
      <c r="H25" s="357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0"/>
  <sheetViews>
    <sheetView zoomScale="120" zoomScaleNormal="120" workbookViewId="0">
      <pane xSplit="1" ySplit="8" topLeftCell="AE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44" customWidth="1"/>
    <col min="2" max="2" width="20.140625" style="365" customWidth="1"/>
    <col min="3" max="3" width="9.28515625" style="365" customWidth="1"/>
    <col min="4" max="4" width="20.42578125" style="365" customWidth="1"/>
    <col min="5" max="5" width="10" style="365" customWidth="1"/>
    <col min="6" max="7" width="9.28515625" style="365" customWidth="1"/>
    <col min="8" max="8" width="19.7109375" style="365" customWidth="1"/>
    <col min="9" max="11" width="9.28515625" style="365" customWidth="1"/>
    <col min="12" max="12" width="20.5703125" style="365" customWidth="1"/>
    <col min="13" max="15" width="9.28515625" style="365" customWidth="1"/>
    <col min="16" max="16" width="22.7109375" style="365" customWidth="1"/>
    <col min="17" max="19" width="9.28515625" style="365" customWidth="1"/>
    <col min="20" max="20" width="21.28515625" style="365" customWidth="1"/>
    <col min="21" max="21" width="9.5703125" style="365" customWidth="1"/>
    <col min="22" max="23" width="9.28515625" style="365" customWidth="1"/>
    <col min="24" max="24" width="20" style="365" customWidth="1"/>
    <col min="25" max="25" width="10.42578125" style="365" customWidth="1"/>
    <col min="26" max="27" width="9.28515625" style="365" customWidth="1"/>
    <col min="28" max="28" width="20.28515625" style="365" customWidth="1"/>
    <col min="29" max="29" width="10" style="365" customWidth="1"/>
    <col min="30" max="31" width="9.28515625" style="365" customWidth="1"/>
    <col min="32" max="32" width="19.85546875" style="365" customWidth="1"/>
    <col min="33" max="35" width="9.28515625" style="365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8.7109375" customWidth="1"/>
    <col min="41" max="41" width="8.140625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  <col min="48" max="48" width="15.7109375" bestFit="1" customWidth="1"/>
  </cols>
  <sheetData>
    <row r="1" spans="1:49" s="108" customFormat="1" ht="37.5" customHeight="1" thickBot="1">
      <c r="A1" s="459" t="s">
        <v>71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  <c r="AD1" s="460"/>
      <c r="AE1" s="460"/>
      <c r="AF1" s="460"/>
      <c r="AG1" s="460"/>
      <c r="AH1" s="460"/>
      <c r="AI1" s="460"/>
      <c r="AJ1" s="460"/>
      <c r="AK1" s="460"/>
      <c r="AL1" s="460"/>
      <c r="AM1" s="460"/>
      <c r="AN1" s="460"/>
      <c r="AO1" s="461"/>
    </row>
    <row r="2" spans="1:49" ht="30.75" customHeight="1">
      <c r="A2" s="197"/>
      <c r="B2" s="458" t="s">
        <v>268</v>
      </c>
      <c r="C2" s="458"/>
      <c r="D2" s="458" t="s">
        <v>269</v>
      </c>
      <c r="E2" s="458"/>
      <c r="F2" s="458" t="s">
        <v>62</v>
      </c>
      <c r="G2" s="458"/>
      <c r="H2" s="458" t="s">
        <v>270</v>
      </c>
      <c r="I2" s="458"/>
      <c r="J2" s="458" t="s">
        <v>62</v>
      </c>
      <c r="K2" s="458"/>
      <c r="L2" s="458" t="s">
        <v>272</v>
      </c>
      <c r="M2" s="458"/>
      <c r="N2" s="458" t="s">
        <v>62</v>
      </c>
      <c r="O2" s="458"/>
      <c r="P2" s="458" t="s">
        <v>273</v>
      </c>
      <c r="Q2" s="458"/>
      <c r="R2" s="458" t="s">
        <v>62</v>
      </c>
      <c r="S2" s="458"/>
      <c r="T2" s="458" t="s">
        <v>274</v>
      </c>
      <c r="U2" s="458"/>
      <c r="V2" s="458" t="s">
        <v>62</v>
      </c>
      <c r="W2" s="458"/>
      <c r="X2" s="458" t="s">
        <v>277</v>
      </c>
      <c r="Y2" s="458"/>
      <c r="Z2" s="458" t="s">
        <v>62</v>
      </c>
      <c r="AA2" s="458"/>
      <c r="AB2" s="458" t="s">
        <v>284</v>
      </c>
      <c r="AC2" s="458"/>
      <c r="AD2" s="458" t="s">
        <v>62</v>
      </c>
      <c r="AE2" s="458"/>
      <c r="AF2" s="458" t="s">
        <v>287</v>
      </c>
      <c r="AG2" s="458"/>
      <c r="AH2" s="458" t="s">
        <v>62</v>
      </c>
      <c r="AI2" s="458"/>
      <c r="AJ2" s="458" t="s">
        <v>78</v>
      </c>
      <c r="AK2" s="458"/>
      <c r="AL2" s="458" t="s">
        <v>79</v>
      </c>
      <c r="AM2" s="458"/>
      <c r="AN2" s="458" t="s">
        <v>70</v>
      </c>
      <c r="AO2" s="462"/>
      <c r="AP2" s="14"/>
      <c r="AQ2" s="463" t="s">
        <v>83</v>
      </c>
      <c r="AR2" s="464"/>
      <c r="AS2" s="14"/>
      <c r="AT2" s="14"/>
    </row>
    <row r="3" spans="1:49" ht="27.75" customHeight="1">
      <c r="A3" s="198" t="s">
        <v>2</v>
      </c>
      <c r="B3" s="189" t="s">
        <v>58</v>
      </c>
      <c r="C3" s="190" t="s">
        <v>3</v>
      </c>
      <c r="D3" s="189" t="s">
        <v>58</v>
      </c>
      <c r="E3" s="190" t="s">
        <v>3</v>
      </c>
      <c r="F3" s="194" t="s">
        <v>58</v>
      </c>
      <c r="G3" s="195" t="s">
        <v>3</v>
      </c>
      <c r="H3" s="189" t="s">
        <v>58</v>
      </c>
      <c r="I3" s="190" t="s">
        <v>3</v>
      </c>
      <c r="J3" s="194" t="s">
        <v>58</v>
      </c>
      <c r="K3" s="195" t="s">
        <v>3</v>
      </c>
      <c r="L3" s="189" t="s">
        <v>58</v>
      </c>
      <c r="M3" s="190" t="s">
        <v>3</v>
      </c>
      <c r="N3" s="194" t="s">
        <v>58</v>
      </c>
      <c r="O3" s="195" t="s">
        <v>3</v>
      </c>
      <c r="P3" s="189" t="s">
        <v>58</v>
      </c>
      <c r="Q3" s="190" t="s">
        <v>3</v>
      </c>
      <c r="R3" s="194" t="s">
        <v>58</v>
      </c>
      <c r="S3" s="195" t="s">
        <v>3</v>
      </c>
      <c r="T3" s="189" t="s">
        <v>58</v>
      </c>
      <c r="U3" s="190" t="s">
        <v>3</v>
      </c>
      <c r="V3" s="194" t="s">
        <v>58</v>
      </c>
      <c r="W3" s="195" t="s">
        <v>3</v>
      </c>
      <c r="X3" s="189" t="s">
        <v>58</v>
      </c>
      <c r="Y3" s="190" t="s">
        <v>3</v>
      </c>
      <c r="Z3" s="194" t="s">
        <v>58</v>
      </c>
      <c r="AA3" s="195" t="s">
        <v>3</v>
      </c>
      <c r="AB3" s="189" t="s">
        <v>58</v>
      </c>
      <c r="AC3" s="190" t="s">
        <v>3</v>
      </c>
      <c r="AD3" s="194" t="s">
        <v>58</v>
      </c>
      <c r="AE3" s="195" t="s">
        <v>3</v>
      </c>
      <c r="AF3" s="189" t="s">
        <v>58</v>
      </c>
      <c r="AG3" s="190" t="s">
        <v>3</v>
      </c>
      <c r="AH3" s="194" t="s">
        <v>58</v>
      </c>
      <c r="AI3" s="195" t="s">
        <v>3</v>
      </c>
      <c r="AJ3" s="194" t="s">
        <v>58</v>
      </c>
      <c r="AK3" s="195" t="s">
        <v>3</v>
      </c>
      <c r="AL3" s="194" t="s">
        <v>58</v>
      </c>
      <c r="AM3" s="195" t="s">
        <v>3</v>
      </c>
      <c r="AN3" s="194" t="s">
        <v>58</v>
      </c>
      <c r="AO3" s="377" t="s">
        <v>3</v>
      </c>
      <c r="AP3" s="14"/>
      <c r="AQ3" s="17" t="s">
        <v>58</v>
      </c>
      <c r="AR3" s="18" t="s">
        <v>3</v>
      </c>
      <c r="AS3" s="14"/>
      <c r="AT3" s="14"/>
    </row>
    <row r="4" spans="1:49">
      <c r="A4" s="199" t="s">
        <v>0</v>
      </c>
      <c r="B4" s="67" t="s">
        <v>4</v>
      </c>
      <c r="C4" s="67" t="s">
        <v>4</v>
      </c>
      <c r="D4" s="67" t="s">
        <v>4</v>
      </c>
      <c r="E4" s="67" t="s">
        <v>4</v>
      </c>
      <c r="F4" s="19" t="s">
        <v>77</v>
      </c>
      <c r="G4" s="19" t="s">
        <v>77</v>
      </c>
      <c r="H4" s="67" t="s">
        <v>4</v>
      </c>
      <c r="I4" s="67" t="s">
        <v>4</v>
      </c>
      <c r="J4" s="19" t="s">
        <v>77</v>
      </c>
      <c r="K4" s="19" t="s">
        <v>77</v>
      </c>
      <c r="L4" s="67" t="s">
        <v>4</v>
      </c>
      <c r="M4" s="67" t="s">
        <v>4</v>
      </c>
      <c r="N4" s="19" t="s">
        <v>77</v>
      </c>
      <c r="O4" s="19" t="s">
        <v>77</v>
      </c>
      <c r="P4" s="67" t="s">
        <v>4</v>
      </c>
      <c r="Q4" s="67" t="s">
        <v>4</v>
      </c>
      <c r="R4" s="19" t="s">
        <v>77</v>
      </c>
      <c r="S4" s="19" t="s">
        <v>77</v>
      </c>
      <c r="T4" s="67" t="s">
        <v>4</v>
      </c>
      <c r="U4" s="67" t="s">
        <v>4</v>
      </c>
      <c r="V4" s="19" t="s">
        <v>77</v>
      </c>
      <c r="W4" s="19" t="s">
        <v>77</v>
      </c>
      <c r="X4" s="67" t="s">
        <v>4</v>
      </c>
      <c r="Y4" s="67" t="s">
        <v>4</v>
      </c>
      <c r="Z4" s="19" t="s">
        <v>77</v>
      </c>
      <c r="AA4" s="19" t="s">
        <v>77</v>
      </c>
      <c r="AB4" s="67" t="s">
        <v>4</v>
      </c>
      <c r="AC4" s="67" t="s">
        <v>4</v>
      </c>
      <c r="AD4" s="19" t="s">
        <v>77</v>
      </c>
      <c r="AE4" s="19" t="s">
        <v>77</v>
      </c>
      <c r="AF4" s="67" t="s">
        <v>4</v>
      </c>
      <c r="AG4" s="67" t="s">
        <v>4</v>
      </c>
      <c r="AH4" s="19" t="s">
        <v>77</v>
      </c>
      <c r="AI4" s="19" t="s">
        <v>77</v>
      </c>
      <c r="AJ4" s="20" t="s">
        <v>77</v>
      </c>
      <c r="AK4" s="20" t="s">
        <v>77</v>
      </c>
      <c r="AL4" s="21" t="s">
        <v>77</v>
      </c>
      <c r="AM4" s="21" t="s">
        <v>77</v>
      </c>
      <c r="AN4" s="15" t="s">
        <v>77</v>
      </c>
      <c r="AO4" s="16" t="s">
        <v>77</v>
      </c>
      <c r="AP4" s="14"/>
      <c r="AQ4" s="22" t="s">
        <v>4</v>
      </c>
      <c r="AR4" s="22" t="s">
        <v>4</v>
      </c>
      <c r="AS4" s="14"/>
      <c r="AT4" s="14"/>
    </row>
    <row r="5" spans="1:49">
      <c r="A5" s="200" t="s">
        <v>13</v>
      </c>
      <c r="B5" s="324">
        <v>612427190.11000001</v>
      </c>
      <c r="C5" s="323">
        <v>260.09980000000002</v>
      </c>
      <c r="D5" s="324">
        <v>621969400.20000005</v>
      </c>
      <c r="E5" s="323">
        <v>259.68880000000001</v>
      </c>
      <c r="F5" s="23">
        <f t="shared" ref="F5:F20" si="0">((D5-B5)/B5)</f>
        <v>1.5580970675528182E-2</v>
      </c>
      <c r="G5" s="23">
        <f t="shared" ref="G5:G20" si="1">((E5-C5)/C5)</f>
        <v>-1.5801626913976917E-3</v>
      </c>
      <c r="H5" s="324">
        <v>628602252.70000005</v>
      </c>
      <c r="I5" s="323">
        <v>260.66609999999997</v>
      </c>
      <c r="J5" s="23">
        <f t="shared" ref="J5:J20" si="2">((H5-D5)/D5)</f>
        <v>1.0664274637734821E-2</v>
      </c>
      <c r="K5" s="23">
        <f t="shared" ref="K5:K20" si="3">((I5-E5)/E5)</f>
        <v>3.7633505950197196E-3</v>
      </c>
      <c r="L5" s="324">
        <v>623207876.88</v>
      </c>
      <c r="M5" s="323">
        <v>259.41590000000002</v>
      </c>
      <c r="N5" s="23">
        <f t="shared" ref="N5:N20" si="4">((L5-H5)/H5)</f>
        <v>-8.5815407069094844E-3</v>
      </c>
      <c r="O5" s="23">
        <f t="shared" ref="O5:O20" si="5">((M5-I5)/I5)</f>
        <v>-4.7961741093297131E-3</v>
      </c>
      <c r="P5" s="324">
        <v>631067890.95000005</v>
      </c>
      <c r="Q5" s="323">
        <v>264.0881</v>
      </c>
      <c r="R5" s="23">
        <f t="shared" ref="R5:R20" si="6">((P5-L5)/L5)</f>
        <v>1.2612186658086022E-2</v>
      </c>
      <c r="S5" s="23">
        <f t="shared" ref="S5:S20" si="7">((Q5-M5)/M5)</f>
        <v>1.8010461193781781E-2</v>
      </c>
      <c r="T5" s="324">
        <v>663599274.85000002</v>
      </c>
      <c r="U5" s="323">
        <v>276.63319999999999</v>
      </c>
      <c r="V5" s="23">
        <f t="shared" ref="V5:V20" si="8">((T5-P5)/P5)</f>
        <v>5.154973714639121E-2</v>
      </c>
      <c r="W5" s="23">
        <f t="shared" ref="W5:W20" si="9">((U5-Q5)/Q5)</f>
        <v>4.7503465699514635E-2</v>
      </c>
      <c r="X5" s="324">
        <v>676823035.13</v>
      </c>
      <c r="Y5" s="323">
        <v>281.70780000000002</v>
      </c>
      <c r="Z5" s="23">
        <f t="shared" ref="Z5:Z20" si="10">((X5-T5)/T5)</f>
        <v>1.992732780334799E-2</v>
      </c>
      <c r="AA5" s="23">
        <f t="shared" ref="AA5:AA20" si="11">((Y5-U5)/U5)</f>
        <v>1.8344146689551481E-2</v>
      </c>
      <c r="AB5" s="324">
        <v>684549382</v>
      </c>
      <c r="AC5" s="323">
        <v>275.67899999999997</v>
      </c>
      <c r="AD5" s="23">
        <f t="shared" ref="AD5:AD20" si="12">((AB5-X5)/X5)</f>
        <v>1.141560861402416E-2</v>
      </c>
      <c r="AE5" s="23">
        <f t="shared" ref="AE5:AE20" si="13">((AC5-Y5)/Y5)</f>
        <v>-2.1400898377680867E-2</v>
      </c>
      <c r="AF5" s="324">
        <v>682126439.33000004</v>
      </c>
      <c r="AG5" s="323">
        <v>276.96660000000003</v>
      </c>
      <c r="AH5" s="23">
        <f t="shared" ref="AH5:AH20" si="14">((AF5-AB5)/AB5)</f>
        <v>-3.539470977128071E-3</v>
      </c>
      <c r="AI5" s="23">
        <f t="shared" ref="AI5:AI20" si="15">((AG5-AC5)/AC5)</f>
        <v>4.6706495598143301E-3</v>
      </c>
      <c r="AJ5" s="24">
        <f>AVERAGE(F5,J5,N5,R5,V5,Z5,AD5,AH5)</f>
        <v>1.3703636731384352E-2</v>
      </c>
      <c r="AK5" s="24">
        <f>AVERAGE(G5,K5,O5,S5,W5,AA5,AE5,AI5)</f>
        <v>8.0643548199092075E-3</v>
      </c>
      <c r="AL5" s="25">
        <f>((AF5-D5)/D5)</f>
        <v>9.6720255225829346E-2</v>
      </c>
      <c r="AM5" s="25">
        <f>((AG5-E5)/E5)</f>
        <v>6.6532711460794661E-2</v>
      </c>
      <c r="AN5" s="378">
        <f>STDEV(F5,J5,N5,R5,V5,Z5,AD5,AH5)</f>
        <v>1.80641870826075E-2</v>
      </c>
      <c r="AO5" s="379">
        <f>STDEV(G5,K5,O5,S5,W5,AA5,AD5,AI5)</f>
        <v>1.6583485440808121E-2</v>
      </c>
      <c r="AP5" s="27"/>
      <c r="AQ5" s="28">
        <v>7877662528.1199999</v>
      </c>
      <c r="AR5" s="28">
        <v>7704.04</v>
      </c>
      <c r="AS5" s="29" t="e">
        <f>(#REF!/AQ5)-1</f>
        <v>#REF!</v>
      </c>
      <c r="AT5" s="29" t="e">
        <f>(#REF!/AR5)-1</f>
        <v>#REF!</v>
      </c>
    </row>
    <row r="6" spans="1:49">
      <c r="A6" s="200" t="s">
        <v>135</v>
      </c>
      <c r="B6" s="323">
        <v>518294394.38999999</v>
      </c>
      <c r="C6" s="323">
        <v>188.03749999999999</v>
      </c>
      <c r="D6" s="323">
        <v>510579594.36000001</v>
      </c>
      <c r="E6" s="323">
        <v>188.75640000000001</v>
      </c>
      <c r="F6" s="23">
        <f t="shared" si="0"/>
        <v>-1.4884976788297715E-2</v>
      </c>
      <c r="G6" s="23">
        <f t="shared" si="1"/>
        <v>3.8231735691020099E-3</v>
      </c>
      <c r="H6" s="323">
        <v>511617940.92000002</v>
      </c>
      <c r="I6" s="323">
        <v>189.21789999999999</v>
      </c>
      <c r="J6" s="23">
        <f t="shared" si="2"/>
        <v>2.0336624719629586E-3</v>
      </c>
      <c r="K6" s="23">
        <f t="shared" si="3"/>
        <v>2.4449502109595883E-3</v>
      </c>
      <c r="L6" s="323">
        <v>508348620.04000002</v>
      </c>
      <c r="M6" s="323">
        <v>188.1045</v>
      </c>
      <c r="N6" s="23">
        <f t="shared" si="4"/>
        <v>-6.3901607401043196E-3</v>
      </c>
      <c r="O6" s="23">
        <f t="shared" si="5"/>
        <v>-5.8842213130997885E-3</v>
      </c>
      <c r="P6" s="323">
        <v>506604063.85000002</v>
      </c>
      <c r="Q6" s="323">
        <v>187.60990000000001</v>
      </c>
      <c r="R6" s="23">
        <f t="shared" si="6"/>
        <v>-3.4318106142645281E-3</v>
      </c>
      <c r="S6" s="23">
        <f t="shared" si="7"/>
        <v>-2.6293895148706771E-3</v>
      </c>
      <c r="T6" s="323">
        <v>519049234.76999998</v>
      </c>
      <c r="U6" s="323">
        <v>192.2671</v>
      </c>
      <c r="V6" s="23">
        <f t="shared" si="8"/>
        <v>2.4565872656885826E-2</v>
      </c>
      <c r="W6" s="23">
        <f t="shared" si="9"/>
        <v>2.4823849914103621E-2</v>
      </c>
      <c r="X6" s="323">
        <v>531115431.49000001</v>
      </c>
      <c r="Y6" s="323">
        <v>196.2141</v>
      </c>
      <c r="Z6" s="23">
        <f t="shared" si="10"/>
        <v>2.3246728656380309E-2</v>
      </c>
      <c r="AA6" s="23">
        <f t="shared" si="11"/>
        <v>2.0528733205004927E-2</v>
      </c>
      <c r="AB6" s="323">
        <v>531115431.49000001</v>
      </c>
      <c r="AC6" s="323">
        <v>196.2141</v>
      </c>
      <c r="AD6" s="23">
        <f t="shared" si="12"/>
        <v>0</v>
      </c>
      <c r="AE6" s="23">
        <f t="shared" si="13"/>
        <v>0</v>
      </c>
      <c r="AF6" s="323">
        <v>500203459.44</v>
      </c>
      <c r="AG6" s="323">
        <v>185.44909999999999</v>
      </c>
      <c r="AH6" s="23">
        <f t="shared" si="14"/>
        <v>-5.8201984384598004E-2</v>
      </c>
      <c r="AI6" s="23">
        <f t="shared" si="15"/>
        <v>-5.4863539368475635E-2</v>
      </c>
      <c r="AJ6" s="24">
        <f t="shared" ref="AJ6:AJ69" si="16">AVERAGE(F6,J6,N6,R6,V6,Z6,AD6,AH6)</f>
        <v>-4.1328335927544348E-3</v>
      </c>
      <c r="AK6" s="24">
        <f t="shared" ref="AK6:AK69" si="17">AVERAGE(G6,K6,O6,S6,W6,AA6,AE6,AI6)</f>
        <v>-1.469555412159494E-3</v>
      </c>
      <c r="AL6" s="25">
        <f t="shared" ref="AL6:AL69" si="18">((AF6-D6)/D6)</f>
        <v>-2.0322267154068832E-2</v>
      </c>
      <c r="AM6" s="25">
        <f t="shared" ref="AM6:AM69" si="19">((AG6-E6)/E6)</f>
        <v>-1.7521525097957083E-2</v>
      </c>
      <c r="AN6" s="378">
        <f t="shared" ref="AN6:AN69" si="20">STDEV(F6,J6,N6,R6,V6,Z6,AD6,AH6)</f>
        <v>2.5837488727743975E-2</v>
      </c>
      <c r="AO6" s="379">
        <f t="shared" ref="AO6:AO69" si="21">STDEV(G6,K6,O6,S6,W6,AA6,AD6,AI6)</f>
        <v>2.4179435790644299E-2</v>
      </c>
      <c r="AP6" s="30"/>
      <c r="AQ6" s="31">
        <v>486981928.81999999</v>
      </c>
      <c r="AR6" s="32">
        <v>0.95</v>
      </c>
      <c r="AS6" s="29" t="e">
        <f>(#REF!/AQ6)-1</f>
        <v>#REF!</v>
      </c>
      <c r="AT6" s="29" t="e">
        <f>(#REF!/AR6)-1</f>
        <v>#REF!</v>
      </c>
    </row>
    <row r="7" spans="1:49">
      <c r="A7" s="200" t="s">
        <v>11</v>
      </c>
      <c r="B7" s="323">
        <v>3218728320.0500002</v>
      </c>
      <c r="C7" s="323">
        <v>29.732199999999999</v>
      </c>
      <c r="D7" s="323">
        <v>3206531932.8299999</v>
      </c>
      <c r="E7" s="323">
        <v>29.638500000000001</v>
      </c>
      <c r="F7" s="23">
        <f t="shared" si="0"/>
        <v>-3.7891943672371847E-3</v>
      </c>
      <c r="G7" s="23">
        <f t="shared" si="1"/>
        <v>-3.1514654146009491E-3</v>
      </c>
      <c r="H7" s="323">
        <v>3211342345.2600002</v>
      </c>
      <c r="I7" s="323">
        <v>29.691299999999998</v>
      </c>
      <c r="J7" s="23">
        <f t="shared" si="2"/>
        <v>1.5001916496601869E-3</v>
      </c>
      <c r="K7" s="23">
        <f t="shared" si="3"/>
        <v>1.7814666734145702E-3</v>
      </c>
      <c r="L7" s="323">
        <v>3208966322.8099999</v>
      </c>
      <c r="M7" s="323">
        <v>29.677700000000002</v>
      </c>
      <c r="N7" s="23">
        <f t="shared" si="4"/>
        <v>-7.3988450764439311E-4</v>
      </c>
      <c r="O7" s="23">
        <f t="shared" si="5"/>
        <v>-4.5804663318873629E-4</v>
      </c>
      <c r="P7" s="323">
        <v>3236722755.8800001</v>
      </c>
      <c r="Q7" s="323">
        <v>29.9483</v>
      </c>
      <c r="R7" s="23">
        <f t="shared" si="6"/>
        <v>8.6496492258898681E-3</v>
      </c>
      <c r="S7" s="23">
        <f t="shared" si="7"/>
        <v>9.117957254099817E-3</v>
      </c>
      <c r="T7" s="323">
        <v>3287674125.29</v>
      </c>
      <c r="U7" s="323">
        <v>30.401199999999999</v>
      </c>
      <c r="V7" s="23">
        <f t="shared" si="8"/>
        <v>1.5741653905154192E-2</v>
      </c>
      <c r="W7" s="23">
        <f t="shared" si="9"/>
        <v>1.512272816820987E-2</v>
      </c>
      <c r="X7" s="323">
        <v>3305314654.4299998</v>
      </c>
      <c r="Y7" s="323">
        <v>30.571899999999999</v>
      </c>
      <c r="Z7" s="23">
        <f t="shared" si="10"/>
        <v>5.365656226175952E-3</v>
      </c>
      <c r="AA7" s="23">
        <f t="shared" si="11"/>
        <v>5.6149099377656173E-3</v>
      </c>
      <c r="AB7" s="323">
        <v>3271006234.54</v>
      </c>
      <c r="AC7" s="323">
        <v>30.237500000000001</v>
      </c>
      <c r="AD7" s="23">
        <f t="shared" si="12"/>
        <v>-1.0379774235417336E-2</v>
      </c>
      <c r="AE7" s="23">
        <f t="shared" si="13"/>
        <v>-1.0938149084616877E-2</v>
      </c>
      <c r="AF7" s="323">
        <v>3263035357.75</v>
      </c>
      <c r="AG7" s="323">
        <v>30.177499999999998</v>
      </c>
      <c r="AH7" s="23">
        <f t="shared" si="14"/>
        <v>-2.4368271468980865E-3</v>
      </c>
      <c r="AI7" s="23">
        <f t="shared" si="15"/>
        <v>-1.9842910293510468E-3</v>
      </c>
      <c r="AJ7" s="24">
        <f t="shared" si="16"/>
        <v>1.7389338437104E-3</v>
      </c>
      <c r="AK7" s="24">
        <f t="shared" si="17"/>
        <v>1.8881387339665329E-3</v>
      </c>
      <c r="AL7" s="25">
        <f t="shared" si="18"/>
        <v>1.762135107450237E-2</v>
      </c>
      <c r="AM7" s="25">
        <f t="shared" si="19"/>
        <v>1.8185805624441113E-2</v>
      </c>
      <c r="AN7" s="378">
        <f t="shared" si="20"/>
        <v>8.0892263145922339E-3</v>
      </c>
      <c r="AO7" s="379">
        <f t="shared" si="21"/>
        <v>7.9073696159207407E-3</v>
      </c>
      <c r="AP7" s="30"/>
      <c r="AQ7" s="28">
        <v>204065067.03999999</v>
      </c>
      <c r="AR7" s="32">
        <v>105.02</v>
      </c>
      <c r="AS7" s="29" t="e">
        <f>(#REF!/AQ7)-1</f>
        <v>#REF!</v>
      </c>
      <c r="AT7" s="29" t="e">
        <f>(#REF!/AR7)-1</f>
        <v>#REF!</v>
      </c>
    </row>
    <row r="8" spans="1:49">
      <c r="A8" s="200" t="s">
        <v>81</v>
      </c>
      <c r="B8" s="323">
        <v>352680850.66000003</v>
      </c>
      <c r="C8" s="323">
        <v>173.42</v>
      </c>
      <c r="D8" s="323">
        <v>360548914.51999998</v>
      </c>
      <c r="E8" s="323">
        <v>174.23</v>
      </c>
      <c r="F8" s="23">
        <f t="shared" si="0"/>
        <v>2.2309302717388298E-2</v>
      </c>
      <c r="G8" s="23">
        <f t="shared" si="1"/>
        <v>4.6707415523007858E-3</v>
      </c>
      <c r="H8" s="323">
        <v>355115026.75999999</v>
      </c>
      <c r="I8" s="323">
        <v>175.14</v>
      </c>
      <c r="J8" s="23">
        <f t="shared" si="2"/>
        <v>-1.5071152737303741E-2</v>
      </c>
      <c r="K8" s="23">
        <f t="shared" si="3"/>
        <v>5.2229811169144042E-3</v>
      </c>
      <c r="L8" s="323">
        <v>362161349.74000001</v>
      </c>
      <c r="M8" s="323">
        <v>176.22</v>
      </c>
      <c r="N8" s="23">
        <f t="shared" si="4"/>
        <v>1.9842367821742975E-2</v>
      </c>
      <c r="O8" s="23">
        <f t="shared" si="5"/>
        <v>6.1664953751285403E-3</v>
      </c>
      <c r="P8" s="323">
        <v>390975487.38999999</v>
      </c>
      <c r="Q8" s="323">
        <v>180.24</v>
      </c>
      <c r="R8" s="23">
        <f t="shared" si="6"/>
        <v>7.956160333145984E-2</v>
      </c>
      <c r="S8" s="23">
        <f t="shared" si="7"/>
        <v>2.2812393598910512E-2</v>
      </c>
      <c r="T8" s="323">
        <v>415720670.63</v>
      </c>
      <c r="U8" s="323">
        <v>182.88</v>
      </c>
      <c r="V8" s="23">
        <f t="shared" si="8"/>
        <v>6.329088149538277E-2</v>
      </c>
      <c r="W8" s="23">
        <f t="shared" si="9"/>
        <v>1.4647137150465969E-2</v>
      </c>
      <c r="X8" s="323">
        <v>425086144.97000003</v>
      </c>
      <c r="Y8" s="323">
        <v>185.47</v>
      </c>
      <c r="Z8" s="23">
        <f t="shared" si="10"/>
        <v>2.2528286423206267E-2</v>
      </c>
      <c r="AA8" s="23">
        <f t="shared" si="11"/>
        <v>1.4162292213473334E-2</v>
      </c>
      <c r="AB8" s="323">
        <v>416547539.07999998</v>
      </c>
      <c r="AC8" s="323">
        <v>181.33</v>
      </c>
      <c r="AD8" s="23">
        <f t="shared" si="12"/>
        <v>-2.0086765920358678E-2</v>
      </c>
      <c r="AE8" s="23">
        <f t="shared" si="13"/>
        <v>-2.2321669272658579E-2</v>
      </c>
      <c r="AF8" s="323">
        <v>407475617.75999999</v>
      </c>
      <c r="AG8" s="323">
        <v>183.85</v>
      </c>
      <c r="AH8" s="23">
        <f t="shared" si="14"/>
        <v>-2.1778837872950887E-2</v>
      </c>
      <c r="AI8" s="23">
        <f t="shared" si="15"/>
        <v>1.3897314288865504E-2</v>
      </c>
      <c r="AJ8" s="24">
        <f t="shared" si="16"/>
        <v>1.8824460657320852E-2</v>
      </c>
      <c r="AK8" s="24">
        <f t="shared" si="17"/>
        <v>7.4072107529250591E-3</v>
      </c>
      <c r="AL8" s="25">
        <f t="shared" si="18"/>
        <v>0.13015350026077235</v>
      </c>
      <c r="AM8" s="25">
        <f t="shared" si="19"/>
        <v>5.5214371807381077E-2</v>
      </c>
      <c r="AN8" s="378">
        <f t="shared" si="20"/>
        <v>3.7805490303403431E-2</v>
      </c>
      <c r="AO8" s="379">
        <f t="shared" si="21"/>
        <v>1.2798335069342989E-2</v>
      </c>
      <c r="AP8" s="30"/>
      <c r="AQ8" s="33">
        <v>166618649</v>
      </c>
      <c r="AR8" s="34">
        <v>9.4</v>
      </c>
      <c r="AS8" s="29" t="e">
        <f>(#REF!/AQ8)-1</f>
        <v>#REF!</v>
      </c>
      <c r="AT8" s="29" t="e">
        <f>(#REF!/AR8)-1</f>
        <v>#REF!</v>
      </c>
      <c r="AU8" s="91"/>
    </row>
    <row r="9" spans="1:49" s="365" customFormat="1">
      <c r="A9" s="200" t="s">
        <v>283</v>
      </c>
      <c r="B9" s="74">
        <v>69684504.700000003</v>
      </c>
      <c r="C9" s="323">
        <v>130.1129</v>
      </c>
      <c r="D9" s="74">
        <v>71901495.480000004</v>
      </c>
      <c r="E9" s="323">
        <v>128.4442</v>
      </c>
      <c r="F9" s="23">
        <f t="shared" si="0"/>
        <v>3.1814688065078561E-2</v>
      </c>
      <c r="G9" s="23">
        <f t="shared" si="1"/>
        <v>-1.2825015813189939E-2</v>
      </c>
      <c r="H9" s="74">
        <v>72537474.200000003</v>
      </c>
      <c r="I9" s="323">
        <v>129.20670000000001</v>
      </c>
      <c r="J9" s="23">
        <f t="shared" ref="J9" si="22">((H9-D9)/D9)</f>
        <v>8.8451389745697502E-3</v>
      </c>
      <c r="K9" s="23">
        <f t="shared" ref="K9" si="23">((I9-E9)/E9)</f>
        <v>5.9364299828253602E-3</v>
      </c>
      <c r="L9" s="74">
        <v>72135357.400000006</v>
      </c>
      <c r="M9" s="323">
        <v>128.48689999999999</v>
      </c>
      <c r="N9" s="23">
        <f t="shared" ref="N9" si="24">((L9-H9)/H9)</f>
        <v>-5.5435732279743065E-3</v>
      </c>
      <c r="O9" s="23">
        <f t="shared" ref="O9" si="25">((M9-I9)/I9)</f>
        <v>-5.5709185359584341E-3</v>
      </c>
      <c r="P9" s="74">
        <v>71865969.430000007</v>
      </c>
      <c r="Q9" s="323">
        <v>128.00309999999999</v>
      </c>
      <c r="R9" s="23">
        <f t="shared" ref="R9" si="26">((P9-L9)/L9)</f>
        <v>-3.7344788978615194E-3</v>
      </c>
      <c r="S9" s="23">
        <f t="shared" ref="S9" si="27">((Q9-M9)/M9)</f>
        <v>-3.7653644067994654E-3</v>
      </c>
      <c r="T9" s="74">
        <v>73406882.510000005</v>
      </c>
      <c r="U9" s="323">
        <v>130.34989999999999</v>
      </c>
      <c r="V9" s="23">
        <f t="shared" ref="V9" si="28">((T9-P9)/P9)</f>
        <v>2.1441484644563264E-2</v>
      </c>
      <c r="W9" s="23">
        <f t="shared" ref="W9" si="29">((U9-Q9)/Q9)</f>
        <v>1.833393097510921E-2</v>
      </c>
      <c r="X9" s="74">
        <v>75819162.890000001</v>
      </c>
      <c r="Y9" s="323">
        <v>133.14189999999999</v>
      </c>
      <c r="Z9" s="23">
        <f t="shared" ref="Z9" si="30">((X9-T9)/T9)</f>
        <v>3.2861773957930676E-2</v>
      </c>
      <c r="AA9" s="23">
        <f t="shared" ref="AA9" si="31">((Y9-U9)/U9)</f>
        <v>2.1419272281758574E-2</v>
      </c>
      <c r="AB9" s="74">
        <v>74463521.510000005</v>
      </c>
      <c r="AC9" s="323">
        <v>130.54300000000001</v>
      </c>
      <c r="AD9" s="23">
        <f t="shared" si="12"/>
        <v>-1.7879930723671899E-2</v>
      </c>
      <c r="AE9" s="23">
        <f t="shared" si="13"/>
        <v>-1.9519775517699435E-2</v>
      </c>
      <c r="AF9" s="74">
        <v>123852080.36</v>
      </c>
      <c r="AG9" s="323">
        <v>129.8289</v>
      </c>
      <c r="AH9" s="23">
        <f t="shared" si="14"/>
        <v>0.66325843645962146</v>
      </c>
      <c r="AI9" s="23">
        <f t="shared" si="15"/>
        <v>-5.4702282006695259E-3</v>
      </c>
      <c r="AJ9" s="24">
        <f t="shared" si="16"/>
        <v>9.1382942406531997E-2</v>
      </c>
      <c r="AK9" s="24">
        <f t="shared" si="17"/>
        <v>-1.827086543279569E-4</v>
      </c>
      <c r="AL9" s="25">
        <f t="shared" si="18"/>
        <v>0.72252439998901663</v>
      </c>
      <c r="AM9" s="25">
        <f t="shared" si="19"/>
        <v>1.0780556848810685E-2</v>
      </c>
      <c r="AN9" s="378">
        <f t="shared" si="20"/>
        <v>0.23179406808720046</v>
      </c>
      <c r="AO9" s="379">
        <f t="shared" si="21"/>
        <v>1.4088825029659285E-2</v>
      </c>
      <c r="AP9" s="30"/>
      <c r="AQ9" s="33"/>
      <c r="AR9" s="34"/>
      <c r="AS9" s="29"/>
      <c r="AT9" s="29"/>
      <c r="AU9" s="91"/>
    </row>
    <row r="10" spans="1:49" s="86" customFormat="1">
      <c r="A10" s="200" t="s">
        <v>52</v>
      </c>
      <c r="B10" s="323">
        <v>572941963.38999999</v>
      </c>
      <c r="C10" s="323">
        <v>239.8</v>
      </c>
      <c r="D10" s="323">
        <v>565564799.84000003</v>
      </c>
      <c r="E10" s="323">
        <v>237.83</v>
      </c>
      <c r="F10" s="23">
        <f t="shared" si="0"/>
        <v>-1.2875935123254949E-2</v>
      </c>
      <c r="G10" s="23">
        <f t="shared" si="1"/>
        <v>-8.2151793160967421E-3</v>
      </c>
      <c r="H10" s="323">
        <v>589060642.75</v>
      </c>
      <c r="I10" s="323">
        <v>239.28</v>
      </c>
      <c r="J10" s="23">
        <f t="shared" si="2"/>
        <v>4.154403335682668E-2</v>
      </c>
      <c r="K10" s="23">
        <f t="shared" si="3"/>
        <v>6.0967918260942206E-3</v>
      </c>
      <c r="L10" s="323">
        <v>588294579.13</v>
      </c>
      <c r="M10" s="323">
        <v>237.84</v>
      </c>
      <c r="N10" s="23">
        <f t="shared" si="4"/>
        <v>-1.3004834551900723E-3</v>
      </c>
      <c r="O10" s="23">
        <f t="shared" si="5"/>
        <v>-6.0180541624874524E-3</v>
      </c>
      <c r="P10" s="323">
        <v>603953308.50999999</v>
      </c>
      <c r="Q10" s="323">
        <v>241.46</v>
      </c>
      <c r="R10" s="23">
        <f t="shared" si="6"/>
        <v>2.6617157348546236E-2</v>
      </c>
      <c r="S10" s="23">
        <f t="shared" si="7"/>
        <v>1.5220316178943847E-2</v>
      </c>
      <c r="T10" s="323">
        <v>663235844.59000003</v>
      </c>
      <c r="U10" s="323">
        <v>251.68</v>
      </c>
      <c r="V10" s="23">
        <f t="shared" si="8"/>
        <v>9.8157482117706571E-2</v>
      </c>
      <c r="W10" s="23">
        <f t="shared" si="9"/>
        <v>4.2325851072641425E-2</v>
      </c>
      <c r="X10" s="323">
        <v>685567088.65999997</v>
      </c>
      <c r="Y10" s="323">
        <v>257.08999999999997</v>
      </c>
      <c r="Z10" s="23">
        <f t="shared" si="10"/>
        <v>3.3670140497012328E-2</v>
      </c>
      <c r="AA10" s="23">
        <f t="shared" si="11"/>
        <v>2.1495549904640688E-2</v>
      </c>
      <c r="AB10" s="323">
        <v>682849073.95000005</v>
      </c>
      <c r="AC10" s="323">
        <v>253.82</v>
      </c>
      <c r="AD10" s="23">
        <f t="shared" si="12"/>
        <v>-3.9646225073501021E-3</v>
      </c>
      <c r="AE10" s="23">
        <f t="shared" si="13"/>
        <v>-1.2719281185576966E-2</v>
      </c>
      <c r="AF10" s="323">
        <v>687699632.98000002</v>
      </c>
      <c r="AG10" s="323">
        <v>253.86</v>
      </c>
      <c r="AH10" s="23">
        <f t="shared" si="14"/>
        <v>7.1034130601385888E-3</v>
      </c>
      <c r="AI10" s="23">
        <f t="shared" si="15"/>
        <v>1.5759199432676882E-4</v>
      </c>
      <c r="AJ10" s="24">
        <f t="shared" si="16"/>
        <v>2.3618898161804409E-2</v>
      </c>
      <c r="AK10" s="24">
        <f t="shared" si="17"/>
        <v>7.2929482890607238E-3</v>
      </c>
      <c r="AL10" s="25">
        <f t="shared" si="18"/>
        <v>0.21595197079901771</v>
      </c>
      <c r="AM10" s="25">
        <f t="shared" si="19"/>
        <v>6.7401084808476647E-2</v>
      </c>
      <c r="AN10" s="378">
        <f t="shared" si="20"/>
        <v>3.5804605246232059E-2</v>
      </c>
      <c r="AO10" s="379">
        <f t="shared" si="21"/>
        <v>1.7233864643032566E-2</v>
      </c>
      <c r="AP10" s="30"/>
      <c r="AQ10" s="33"/>
      <c r="AR10" s="34"/>
      <c r="AS10" s="29"/>
      <c r="AT10" s="29"/>
    </row>
    <row r="11" spans="1:49">
      <c r="A11" s="200" t="s">
        <v>8</v>
      </c>
      <c r="B11" s="324">
        <v>309368782.70999998</v>
      </c>
      <c r="C11" s="323">
        <v>163.79</v>
      </c>
      <c r="D11" s="324">
        <v>319107515.81</v>
      </c>
      <c r="E11" s="323">
        <v>165.09</v>
      </c>
      <c r="F11" s="23">
        <f t="shared" si="0"/>
        <v>3.1479365871019509E-2</v>
      </c>
      <c r="G11" s="23">
        <f t="shared" si="1"/>
        <v>7.9369924903840983E-3</v>
      </c>
      <c r="H11" s="324">
        <v>322785456.94</v>
      </c>
      <c r="I11" s="323">
        <v>166.94</v>
      </c>
      <c r="J11" s="23">
        <f t="shared" si="2"/>
        <v>1.1525711391234922E-2</v>
      </c>
      <c r="K11" s="23">
        <f t="shared" si="3"/>
        <v>1.1206008843660999E-2</v>
      </c>
      <c r="L11" s="324">
        <v>319891885.48000002</v>
      </c>
      <c r="M11" s="323">
        <v>165.37</v>
      </c>
      <c r="N11" s="23">
        <f t="shared" si="4"/>
        <v>-8.9643798931679924E-3</v>
      </c>
      <c r="O11" s="23">
        <f t="shared" si="5"/>
        <v>-9.4045764945488997E-3</v>
      </c>
      <c r="P11" s="324">
        <v>316963138.69999999</v>
      </c>
      <c r="Q11" s="323">
        <v>163.82</v>
      </c>
      <c r="R11" s="23">
        <f t="shared" si="6"/>
        <v>-9.1554269205842021E-3</v>
      </c>
      <c r="S11" s="23">
        <f t="shared" si="7"/>
        <v>-9.3729213279313741E-3</v>
      </c>
      <c r="T11" s="324">
        <v>327853460.63999999</v>
      </c>
      <c r="U11" s="323">
        <v>169.53</v>
      </c>
      <c r="V11" s="23">
        <f t="shared" si="8"/>
        <v>3.4358323130777343E-2</v>
      </c>
      <c r="W11" s="23">
        <f t="shared" si="9"/>
        <v>3.4855329019655767E-2</v>
      </c>
      <c r="X11" s="324">
        <v>327504561.19</v>
      </c>
      <c r="Y11" s="323">
        <v>169.35</v>
      </c>
      <c r="Z11" s="23">
        <f t="shared" si="10"/>
        <v>-1.0641932811046265E-3</v>
      </c>
      <c r="AA11" s="23">
        <f t="shared" si="11"/>
        <v>-1.0617589807114186E-3</v>
      </c>
      <c r="AB11" s="324">
        <v>316716491.19999999</v>
      </c>
      <c r="AC11" s="323">
        <v>163.76</v>
      </c>
      <c r="AD11" s="23">
        <f t="shared" si="12"/>
        <v>-3.2940212957038389E-2</v>
      </c>
      <c r="AE11" s="23">
        <f t="shared" si="13"/>
        <v>-3.3008562149394766E-2</v>
      </c>
      <c r="AF11" s="324">
        <v>320982722.70999998</v>
      </c>
      <c r="AG11" s="323">
        <v>165.68</v>
      </c>
      <c r="AH11" s="23">
        <f t="shared" si="14"/>
        <v>1.3470190623278762E-2</v>
      </c>
      <c r="AI11" s="23">
        <f t="shared" si="15"/>
        <v>1.1724474841231168E-2</v>
      </c>
      <c r="AJ11" s="24">
        <f t="shared" si="16"/>
        <v>4.8386722455519161E-3</v>
      </c>
      <c r="AK11" s="24">
        <f t="shared" si="17"/>
        <v>1.6093732802931967E-3</v>
      </c>
      <c r="AL11" s="25">
        <f t="shared" si="18"/>
        <v>5.8764109495825674E-3</v>
      </c>
      <c r="AM11" s="25">
        <f t="shared" si="19"/>
        <v>3.5738082258162419E-3</v>
      </c>
      <c r="AN11" s="378">
        <f t="shared" si="20"/>
        <v>2.2516035541887261E-2</v>
      </c>
      <c r="AO11" s="379">
        <f t="shared" si="21"/>
        <v>1.9937291651917786E-2</v>
      </c>
      <c r="AP11" s="30"/>
      <c r="AQ11" s="28">
        <v>1147996444.8800001</v>
      </c>
      <c r="AR11" s="32">
        <v>0.69840000000000002</v>
      </c>
      <c r="AS11" s="29" t="e">
        <f>(#REF!/AQ11)-1</f>
        <v>#REF!</v>
      </c>
      <c r="AT11" s="29" t="e">
        <f>(#REF!/AR11)-1</f>
        <v>#REF!</v>
      </c>
    </row>
    <row r="12" spans="1:49">
      <c r="A12" s="200" t="s">
        <v>215</v>
      </c>
      <c r="B12" s="74">
        <v>37600681.560000002</v>
      </c>
      <c r="C12" s="323">
        <v>150.88</v>
      </c>
      <c r="D12" s="74">
        <v>37284486.909999996</v>
      </c>
      <c r="E12" s="323">
        <v>149.61000000000001</v>
      </c>
      <c r="F12" s="23">
        <f t="shared" si="0"/>
        <v>-8.4092797492367043E-3</v>
      </c>
      <c r="G12" s="23">
        <f t="shared" si="1"/>
        <v>-8.417285259808999E-3</v>
      </c>
      <c r="H12" s="74">
        <v>37880552.880000003</v>
      </c>
      <c r="I12" s="323">
        <v>152.01</v>
      </c>
      <c r="J12" s="23">
        <f t="shared" si="2"/>
        <v>1.5986969900882199E-2</v>
      </c>
      <c r="K12" s="23">
        <f t="shared" si="3"/>
        <v>1.6041708441948913E-2</v>
      </c>
      <c r="L12" s="74">
        <v>37074334.420000002</v>
      </c>
      <c r="M12" s="323">
        <v>148.76</v>
      </c>
      <c r="N12" s="23">
        <f t="shared" si="4"/>
        <v>-2.1283175632467191E-2</v>
      </c>
      <c r="O12" s="23">
        <f t="shared" si="5"/>
        <v>-2.1380172357081773E-2</v>
      </c>
      <c r="P12" s="74">
        <v>32783864.77</v>
      </c>
      <c r="Q12" s="323">
        <v>131.75</v>
      </c>
      <c r="R12" s="23">
        <f t="shared" si="6"/>
        <v>-0.11572614093067789</v>
      </c>
      <c r="S12" s="23">
        <f t="shared" si="7"/>
        <v>-0.11434525410056462</v>
      </c>
      <c r="T12" s="74">
        <v>32783864.77</v>
      </c>
      <c r="U12" s="323">
        <v>131.75</v>
      </c>
      <c r="V12" s="23">
        <f t="shared" si="8"/>
        <v>0</v>
      </c>
      <c r="W12" s="23">
        <f t="shared" si="9"/>
        <v>0</v>
      </c>
      <c r="X12" s="74">
        <v>36302130.390000001</v>
      </c>
      <c r="Y12" s="323">
        <v>145.85</v>
      </c>
      <c r="Z12" s="23">
        <f t="shared" si="10"/>
        <v>0.10731698793546485</v>
      </c>
      <c r="AA12" s="23">
        <f t="shared" si="11"/>
        <v>0.1070208728652751</v>
      </c>
      <c r="AB12" s="74">
        <v>36302130.390000001</v>
      </c>
      <c r="AC12" s="323">
        <v>145.85</v>
      </c>
      <c r="AD12" s="23">
        <f t="shared" si="12"/>
        <v>0</v>
      </c>
      <c r="AE12" s="23">
        <f t="shared" si="13"/>
        <v>0</v>
      </c>
      <c r="AF12" s="74">
        <v>35868987.869999997</v>
      </c>
      <c r="AG12" s="323">
        <v>144.11000000000001</v>
      </c>
      <c r="AH12" s="23">
        <f t="shared" si="14"/>
        <v>-1.1931600579543929E-2</v>
      </c>
      <c r="AI12" s="23">
        <f t="shared" si="15"/>
        <v>-1.1930065135412964E-2</v>
      </c>
      <c r="AJ12" s="24">
        <f t="shared" si="16"/>
        <v>-4.2557798819473323E-3</v>
      </c>
      <c r="AK12" s="24">
        <f t="shared" si="17"/>
        <v>-4.1262744432055409E-3</v>
      </c>
      <c r="AL12" s="25">
        <f t="shared" si="18"/>
        <v>-3.7964825516221629E-2</v>
      </c>
      <c r="AM12" s="25">
        <f t="shared" si="19"/>
        <v>-3.6762248512799946E-2</v>
      </c>
      <c r="AN12" s="378">
        <f t="shared" si="20"/>
        <v>6.0576065694209126E-2</v>
      </c>
      <c r="AO12" s="379">
        <f t="shared" si="21"/>
        <v>6.0142355603729374E-2</v>
      </c>
      <c r="AP12" s="30"/>
      <c r="AQ12" s="28">
        <v>2845469436.1399999</v>
      </c>
      <c r="AR12" s="32">
        <v>13.0688</v>
      </c>
      <c r="AS12" s="29" t="e">
        <f>(#REF!/AQ12)-1</f>
        <v>#REF!</v>
      </c>
      <c r="AT12" s="29" t="e">
        <f>(#REF!/AR12)-1</f>
        <v>#REF!</v>
      </c>
    </row>
    <row r="13" spans="1:49" s="365" customFormat="1">
      <c r="A13" s="200" t="s">
        <v>263</v>
      </c>
      <c r="B13" s="324">
        <v>464858734.13</v>
      </c>
      <c r="C13" s="323">
        <v>1.7</v>
      </c>
      <c r="D13" s="324">
        <v>465808101.41000003</v>
      </c>
      <c r="E13" s="323">
        <v>1.66</v>
      </c>
      <c r="F13" s="23">
        <f t="shared" si="0"/>
        <v>2.0422705013315632E-3</v>
      </c>
      <c r="G13" s="23">
        <f t="shared" si="1"/>
        <v>-2.3529411764705903E-2</v>
      </c>
      <c r="H13" s="324">
        <v>479673295.69</v>
      </c>
      <c r="I13" s="323">
        <v>1.71</v>
      </c>
      <c r="J13" s="23">
        <f t="shared" si="2"/>
        <v>2.9765893375469556E-2</v>
      </c>
      <c r="K13" s="23">
        <f t="shared" si="3"/>
        <v>3.0120481927710871E-2</v>
      </c>
      <c r="L13" s="324">
        <v>478737717.83999997</v>
      </c>
      <c r="M13" s="323">
        <v>1.7</v>
      </c>
      <c r="N13" s="23">
        <f t="shared" si="4"/>
        <v>-1.9504480620590201E-3</v>
      </c>
      <c r="O13" s="23">
        <f t="shared" si="5"/>
        <v>-5.8479532163742748E-3</v>
      </c>
      <c r="P13" s="324">
        <v>506139694.81999999</v>
      </c>
      <c r="Q13" s="323">
        <v>1.69</v>
      </c>
      <c r="R13" s="23">
        <f t="shared" si="6"/>
        <v>5.7237973860998555E-2</v>
      </c>
      <c r="S13" s="23">
        <f t="shared" si="7"/>
        <v>-5.8823529411764757E-3</v>
      </c>
      <c r="T13" s="324">
        <v>504097381.72000003</v>
      </c>
      <c r="U13" s="323">
        <v>1.68</v>
      </c>
      <c r="V13" s="23">
        <f t="shared" si="8"/>
        <v>-4.0350779061624053E-3</v>
      </c>
      <c r="W13" s="23">
        <f t="shared" si="9"/>
        <v>-5.9171597633136145E-3</v>
      </c>
      <c r="X13" s="324">
        <v>516714253.85000002</v>
      </c>
      <c r="Y13" s="323">
        <v>1.71</v>
      </c>
      <c r="Z13" s="23">
        <f t="shared" si="10"/>
        <v>2.5028640472106269E-2</v>
      </c>
      <c r="AA13" s="23">
        <f t="shared" si="11"/>
        <v>1.7857142857142873E-2</v>
      </c>
      <c r="AB13" s="324">
        <v>505487024.75999999</v>
      </c>
      <c r="AC13" s="323">
        <v>1.67</v>
      </c>
      <c r="AD13" s="23">
        <f t="shared" si="12"/>
        <v>-2.1728119567723886E-2</v>
      </c>
      <c r="AE13" s="23">
        <f t="shared" si="13"/>
        <v>-2.3391812865497099E-2</v>
      </c>
      <c r="AF13" s="324">
        <v>518532601.69999999</v>
      </c>
      <c r="AG13" s="323">
        <v>1.71</v>
      </c>
      <c r="AH13" s="23">
        <f t="shared" si="14"/>
        <v>2.5807936308936717E-2</v>
      </c>
      <c r="AI13" s="23">
        <f t="shared" si="15"/>
        <v>2.3952095808383256E-2</v>
      </c>
      <c r="AJ13" s="24">
        <f t="shared" si="16"/>
        <v>1.4021133622862166E-2</v>
      </c>
      <c r="AK13" s="24">
        <f t="shared" si="17"/>
        <v>9.2012875527120418E-4</v>
      </c>
      <c r="AL13" s="25">
        <f t="shared" si="18"/>
        <v>0.11318931579421444</v>
      </c>
      <c r="AM13" s="25">
        <f t="shared" si="19"/>
        <v>3.0120481927710871E-2</v>
      </c>
      <c r="AN13" s="378">
        <f t="shared" si="20"/>
        <v>2.5009447146744152E-2</v>
      </c>
      <c r="AO13" s="379">
        <f t="shared" si="21"/>
        <v>2.0421280856792703E-2</v>
      </c>
      <c r="AP13" s="30"/>
      <c r="AQ13" s="28"/>
      <c r="AR13" s="32"/>
      <c r="AS13" s="29"/>
      <c r="AT13" s="29"/>
    </row>
    <row r="14" spans="1:49" ht="12.75" customHeight="1">
      <c r="A14" s="200" t="s">
        <v>45</v>
      </c>
      <c r="B14" s="324">
        <v>1312949517.6400001</v>
      </c>
      <c r="C14" s="323">
        <v>2.68</v>
      </c>
      <c r="D14" s="324">
        <v>1312949517.6400001</v>
      </c>
      <c r="E14" s="323">
        <v>2.67</v>
      </c>
      <c r="F14" s="23">
        <f t="shared" si="0"/>
        <v>0</v>
      </c>
      <c r="G14" s="23">
        <f t="shared" si="1"/>
        <v>-3.7313432835821753E-3</v>
      </c>
      <c r="H14" s="324">
        <v>1319364817.4000001</v>
      </c>
      <c r="I14" s="323">
        <v>2.69</v>
      </c>
      <c r="J14" s="23">
        <f t="shared" si="2"/>
        <v>4.8861739722722624E-3</v>
      </c>
      <c r="K14" s="23">
        <f t="shared" si="3"/>
        <v>7.4906367041198572E-3</v>
      </c>
      <c r="L14" s="324">
        <v>1304727065.6300001</v>
      </c>
      <c r="M14" s="323">
        <v>2.66</v>
      </c>
      <c r="N14" s="23">
        <f t="shared" si="4"/>
        <v>-1.1094544569443495E-2</v>
      </c>
      <c r="O14" s="23">
        <f t="shared" si="5"/>
        <v>-1.1152416356877252E-2</v>
      </c>
      <c r="P14" s="324">
        <v>1295094686.1099999</v>
      </c>
      <c r="Q14" s="323">
        <v>2.64</v>
      </c>
      <c r="R14" s="23">
        <f t="shared" si="6"/>
        <v>-7.3826777827661078E-3</v>
      </c>
      <c r="S14" s="23">
        <f t="shared" si="7"/>
        <v>-7.5187969924812095E-3</v>
      </c>
      <c r="T14" s="324">
        <v>1324910856.03</v>
      </c>
      <c r="U14" s="323">
        <v>2.7</v>
      </c>
      <c r="V14" s="23">
        <f t="shared" si="8"/>
        <v>2.3022386115687927E-2</v>
      </c>
      <c r="W14" s="23">
        <f t="shared" si="9"/>
        <v>2.2727272727272745E-2</v>
      </c>
      <c r="X14" s="324">
        <v>1338084482.5</v>
      </c>
      <c r="Y14" s="323">
        <v>2.73</v>
      </c>
      <c r="Z14" s="23">
        <f t="shared" si="10"/>
        <v>9.9430285517275122E-3</v>
      </c>
      <c r="AA14" s="23">
        <f t="shared" si="11"/>
        <v>1.1111111111111039E-2</v>
      </c>
      <c r="AB14" s="324">
        <v>1312765042.4200001</v>
      </c>
      <c r="AC14" s="323">
        <v>2.68</v>
      </c>
      <c r="AD14" s="23">
        <f t="shared" si="12"/>
        <v>-1.8922153579342418E-2</v>
      </c>
      <c r="AE14" s="23">
        <f t="shared" si="13"/>
        <v>-1.831501831501825E-2</v>
      </c>
      <c r="AF14" s="324">
        <v>1300152875.5799999</v>
      </c>
      <c r="AG14" s="323">
        <v>2.65</v>
      </c>
      <c r="AH14" s="23">
        <f t="shared" si="14"/>
        <v>-9.607329897169118E-3</v>
      </c>
      <c r="AI14" s="23">
        <f t="shared" si="15"/>
        <v>-1.119402985074636E-2</v>
      </c>
      <c r="AJ14" s="24">
        <f t="shared" si="16"/>
        <v>-1.1443896486291794E-3</v>
      </c>
      <c r="AK14" s="24">
        <f t="shared" si="17"/>
        <v>-1.3228230320252005E-3</v>
      </c>
      <c r="AL14" s="25">
        <f t="shared" si="18"/>
        <v>-9.7464844520464763E-3</v>
      </c>
      <c r="AM14" s="25">
        <f t="shared" si="19"/>
        <v>-7.4906367041198572E-3</v>
      </c>
      <c r="AN14" s="378">
        <f t="shared" si="20"/>
        <v>1.3470779425245168E-2</v>
      </c>
      <c r="AO14" s="379">
        <f t="shared" si="21"/>
        <v>1.3931618447662431E-2</v>
      </c>
      <c r="AP14" s="30"/>
      <c r="AQ14" s="33">
        <v>155057555.75</v>
      </c>
      <c r="AR14" s="33">
        <v>111.51</v>
      </c>
      <c r="AS14" s="29" t="e">
        <f>(#REF!/AQ14)-1</f>
        <v>#REF!</v>
      </c>
      <c r="AT14" s="29" t="e">
        <f>(#REF!/AR14)-1</f>
        <v>#REF!</v>
      </c>
      <c r="AU14" s="81"/>
      <c r="AV14" s="82"/>
      <c r="AW14" s="87"/>
    </row>
    <row r="15" spans="1:49" ht="12.75" customHeight="1">
      <c r="A15" s="200" t="s">
        <v>53</v>
      </c>
      <c r="B15" s="323">
        <v>408928035.31999999</v>
      </c>
      <c r="C15" s="323">
        <v>16.093239000000001</v>
      </c>
      <c r="D15" s="323">
        <v>408936246.33999997</v>
      </c>
      <c r="E15" s="323">
        <v>16.071612999999999</v>
      </c>
      <c r="F15" s="23">
        <f t="shared" si="0"/>
        <v>2.0079376542514446E-5</v>
      </c>
      <c r="G15" s="23">
        <f t="shared" si="1"/>
        <v>-1.3437941237311678E-3</v>
      </c>
      <c r="H15" s="323">
        <v>411222973.30000001</v>
      </c>
      <c r="I15" s="323">
        <v>16.169574000000001</v>
      </c>
      <c r="J15" s="23">
        <f t="shared" si="2"/>
        <v>5.5918911088619801E-3</v>
      </c>
      <c r="K15" s="23">
        <f t="shared" si="3"/>
        <v>6.0952811643735774E-3</v>
      </c>
      <c r="L15" s="323">
        <v>409404644.50999999</v>
      </c>
      <c r="M15" s="323">
        <v>16.053937000000001</v>
      </c>
      <c r="N15" s="23">
        <f t="shared" si="4"/>
        <v>-4.4217587733686604E-3</v>
      </c>
      <c r="O15" s="23">
        <f t="shared" si="5"/>
        <v>-7.1515180300977341E-3</v>
      </c>
      <c r="P15" s="323">
        <v>406811110.36000001</v>
      </c>
      <c r="Q15" s="323">
        <v>15.973378</v>
      </c>
      <c r="R15" s="23">
        <f t="shared" si="6"/>
        <v>-6.3348918601157378E-3</v>
      </c>
      <c r="S15" s="23">
        <f t="shared" si="7"/>
        <v>-5.0180214361125828E-3</v>
      </c>
      <c r="T15" s="323">
        <v>417854314.31</v>
      </c>
      <c r="U15" s="323">
        <v>16.429981000000002</v>
      </c>
      <c r="V15" s="23">
        <f t="shared" si="8"/>
        <v>2.7145777656434968E-2</v>
      </c>
      <c r="W15" s="23">
        <f t="shared" si="9"/>
        <v>2.8585249782481902E-2</v>
      </c>
      <c r="X15" s="323">
        <v>427742462.5</v>
      </c>
      <c r="Y15" s="323">
        <v>16.766660000000002</v>
      </c>
      <c r="Z15" s="23">
        <f t="shared" si="10"/>
        <v>2.366410457273423E-2</v>
      </c>
      <c r="AA15" s="23">
        <f t="shared" si="11"/>
        <v>2.0491746156005911E-2</v>
      </c>
      <c r="AB15" s="323">
        <v>427742462.5</v>
      </c>
      <c r="AC15" s="323">
        <v>16.766660000000002</v>
      </c>
      <c r="AD15" s="23">
        <f t="shared" si="12"/>
        <v>0</v>
      </c>
      <c r="AE15" s="23">
        <f t="shared" si="13"/>
        <v>0</v>
      </c>
      <c r="AF15" s="323">
        <v>427680140.57999998</v>
      </c>
      <c r="AG15" s="323">
        <v>16.494102000000002</v>
      </c>
      <c r="AH15" s="23">
        <f t="shared" si="14"/>
        <v>-1.4569963345646724E-4</v>
      </c>
      <c r="AI15" s="23">
        <f t="shared" si="15"/>
        <v>-1.6255950797594752E-2</v>
      </c>
      <c r="AJ15" s="24">
        <f t="shared" si="16"/>
        <v>5.6899378059541029E-3</v>
      </c>
      <c r="AK15" s="24">
        <f t="shared" si="17"/>
        <v>3.1753740894156441E-3</v>
      </c>
      <c r="AL15" s="25">
        <f t="shared" si="18"/>
        <v>4.5835737007317912E-2</v>
      </c>
      <c r="AM15" s="25">
        <f t="shared" si="19"/>
        <v>2.6287902776155843E-2</v>
      </c>
      <c r="AN15" s="378">
        <f t="shared" si="20"/>
        <v>1.2699008033161169E-2</v>
      </c>
      <c r="AO15" s="379">
        <f t="shared" si="21"/>
        <v>1.481265424999309E-2</v>
      </c>
      <c r="AP15" s="30"/>
      <c r="AQ15" s="38">
        <v>212579164.06</v>
      </c>
      <c r="AR15" s="38">
        <v>9.9</v>
      </c>
      <c r="AS15" s="29" t="e">
        <f>(#REF!/AQ15)-1</f>
        <v>#REF!</v>
      </c>
      <c r="AT15" s="29" t="e">
        <f>(#REF!/AR15)-1</f>
        <v>#REF!</v>
      </c>
    </row>
    <row r="16" spans="1:49" ht="12.75" customHeight="1">
      <c r="A16" s="200" t="s">
        <v>125</v>
      </c>
      <c r="B16" s="323">
        <v>379252284.41000003</v>
      </c>
      <c r="C16" s="323">
        <v>2.1379790000000001</v>
      </c>
      <c r="D16" s="323">
        <v>379915413.87</v>
      </c>
      <c r="E16" s="323">
        <v>2.1423709999999998</v>
      </c>
      <c r="F16" s="23">
        <f t="shared" si="0"/>
        <v>1.7485180373576501E-3</v>
      </c>
      <c r="G16" s="23">
        <f t="shared" si="1"/>
        <v>2.054276491957933E-3</v>
      </c>
      <c r="H16" s="323">
        <v>351599144.61000001</v>
      </c>
      <c r="I16" s="323">
        <v>2.1636139999999999</v>
      </c>
      <c r="J16" s="23">
        <f t="shared" si="2"/>
        <v>-7.4533088751406365E-2</v>
      </c>
      <c r="K16" s="23">
        <f t="shared" si="3"/>
        <v>9.9156495303568456E-3</v>
      </c>
      <c r="L16" s="323">
        <v>347394259.76999998</v>
      </c>
      <c r="M16" s="323">
        <v>1.96</v>
      </c>
      <c r="N16" s="23">
        <f t="shared" si="4"/>
        <v>-1.1959314760745979E-2</v>
      </c>
      <c r="O16" s="23">
        <f t="shared" si="5"/>
        <v>-9.4108283640242651E-2</v>
      </c>
      <c r="P16" s="323">
        <v>343596394.29000002</v>
      </c>
      <c r="Q16" s="323">
        <v>1.9431369999999999</v>
      </c>
      <c r="R16" s="23">
        <f t="shared" si="6"/>
        <v>-1.0932435908740748E-2</v>
      </c>
      <c r="S16" s="23">
        <f t="shared" si="7"/>
        <v>-8.6035714285714656E-3</v>
      </c>
      <c r="T16" s="323">
        <v>358116699.97000003</v>
      </c>
      <c r="U16" s="323">
        <v>2.0251769999999998</v>
      </c>
      <c r="V16" s="23">
        <f t="shared" si="8"/>
        <v>4.2259773156247592E-2</v>
      </c>
      <c r="W16" s="23">
        <f t="shared" si="9"/>
        <v>4.2220388989556525E-2</v>
      </c>
      <c r="X16" s="323">
        <v>364635999.43000001</v>
      </c>
      <c r="Y16" s="323">
        <v>2.0619619999999999</v>
      </c>
      <c r="Z16" s="23">
        <f t="shared" si="10"/>
        <v>1.8204399461254139E-2</v>
      </c>
      <c r="AA16" s="23">
        <f t="shared" si="11"/>
        <v>1.8163844444214046E-2</v>
      </c>
      <c r="AB16" s="323">
        <v>351576771.43000001</v>
      </c>
      <c r="AC16" s="323">
        <v>1.99</v>
      </c>
      <c r="AD16" s="23">
        <f t="shared" si="12"/>
        <v>-3.5814423206743766E-2</v>
      </c>
      <c r="AE16" s="23">
        <f t="shared" si="13"/>
        <v>-3.4899770218849747E-2</v>
      </c>
      <c r="AF16" s="323">
        <v>347630849.52999997</v>
      </c>
      <c r="AG16" s="323">
        <v>1.9507490000000001</v>
      </c>
      <c r="AH16" s="23">
        <f t="shared" si="14"/>
        <v>-1.122350001665477E-2</v>
      </c>
      <c r="AI16" s="23">
        <f t="shared" si="15"/>
        <v>-1.9724120603015038E-2</v>
      </c>
      <c r="AJ16" s="24">
        <f t="shared" si="16"/>
        <v>-1.0281258998679032E-2</v>
      </c>
      <c r="AK16" s="24">
        <f t="shared" si="17"/>
        <v>-1.0622698304324194E-2</v>
      </c>
      <c r="AL16" s="25">
        <f t="shared" si="18"/>
        <v>-8.4978295592521583E-2</v>
      </c>
      <c r="AM16" s="25">
        <f t="shared" si="19"/>
        <v>-8.9443891837594769E-2</v>
      </c>
      <c r="AN16" s="378">
        <f t="shared" si="20"/>
        <v>3.4848808454793004E-2</v>
      </c>
      <c r="AO16" s="379">
        <f t="shared" si="21"/>
        <v>4.1222151620916164E-2</v>
      </c>
      <c r="AP16" s="30"/>
      <c r="AQ16" s="28">
        <v>305162610.31</v>
      </c>
      <c r="AR16" s="28">
        <v>1481.86</v>
      </c>
      <c r="AS16" s="29" t="e">
        <f>(#REF!/AQ16)-1</f>
        <v>#REF!</v>
      </c>
      <c r="AT16" s="29" t="e">
        <f>(#REF!/AR16)-1</f>
        <v>#REF!</v>
      </c>
    </row>
    <row r="17" spans="1:46" s="86" customFormat="1" ht="12.75" customHeight="1">
      <c r="A17" s="200" t="s">
        <v>10</v>
      </c>
      <c r="B17" s="324">
        <v>997332344.42999995</v>
      </c>
      <c r="C17" s="323">
        <v>23.88</v>
      </c>
      <c r="D17" s="324">
        <v>1005680298.39</v>
      </c>
      <c r="E17" s="323">
        <v>24.67</v>
      </c>
      <c r="F17" s="23">
        <f t="shared" si="0"/>
        <v>8.370282992046247E-3</v>
      </c>
      <c r="G17" s="23">
        <f t="shared" si="1"/>
        <v>3.3082077051926416E-2</v>
      </c>
      <c r="H17" s="324">
        <v>999557046.71000004</v>
      </c>
      <c r="I17" s="323">
        <v>24.74</v>
      </c>
      <c r="J17" s="23">
        <f t="shared" si="2"/>
        <v>-6.0886662389655049E-3</v>
      </c>
      <c r="K17" s="23">
        <f t="shared" si="3"/>
        <v>2.8374543980541843E-3</v>
      </c>
      <c r="L17" s="324">
        <v>996431665.01999998</v>
      </c>
      <c r="M17" s="323">
        <v>24.52</v>
      </c>
      <c r="N17" s="23">
        <f t="shared" si="4"/>
        <v>-3.1267667015975921E-3</v>
      </c>
      <c r="O17" s="23">
        <f t="shared" si="5"/>
        <v>-8.8924818108326135E-3</v>
      </c>
      <c r="P17" s="324">
        <v>984257839.70000005</v>
      </c>
      <c r="Q17" s="323">
        <v>24.22</v>
      </c>
      <c r="R17" s="23">
        <f t="shared" si="6"/>
        <v>-1.2217421171330987E-2</v>
      </c>
      <c r="S17" s="23">
        <f t="shared" si="7"/>
        <v>-1.2234910277324661E-2</v>
      </c>
      <c r="T17" s="324">
        <v>1005757250.91</v>
      </c>
      <c r="U17" s="323">
        <v>24.74</v>
      </c>
      <c r="V17" s="23">
        <f t="shared" si="8"/>
        <v>2.1843271491292261E-2</v>
      </c>
      <c r="W17" s="23">
        <f t="shared" si="9"/>
        <v>2.1469859620148621E-2</v>
      </c>
      <c r="X17" s="324">
        <v>1029094116.39</v>
      </c>
      <c r="Y17" s="323">
        <v>25.39</v>
      </c>
      <c r="Z17" s="23">
        <f t="shared" si="10"/>
        <v>2.3203278384406414E-2</v>
      </c>
      <c r="AA17" s="23">
        <f t="shared" si="11"/>
        <v>2.6273241713823853E-2</v>
      </c>
      <c r="AB17" s="324">
        <v>1004741488.83</v>
      </c>
      <c r="AC17" s="323">
        <v>24.72</v>
      </c>
      <c r="AD17" s="23">
        <f t="shared" si="12"/>
        <v>-2.3664140307620735E-2</v>
      </c>
      <c r="AE17" s="23">
        <f t="shared" si="13"/>
        <v>-2.6388341866876788E-2</v>
      </c>
      <c r="AF17" s="324">
        <v>1012383543.1900001</v>
      </c>
      <c r="AG17" s="323">
        <v>24.27</v>
      </c>
      <c r="AH17" s="23">
        <f t="shared" si="14"/>
        <v>7.605990640337768E-3</v>
      </c>
      <c r="AI17" s="23">
        <f t="shared" si="15"/>
        <v>-1.8203883495145602E-2</v>
      </c>
      <c r="AJ17" s="24">
        <f t="shared" si="16"/>
        <v>1.9907286360709838E-3</v>
      </c>
      <c r="AK17" s="24">
        <f t="shared" si="17"/>
        <v>2.2428769167216764E-3</v>
      </c>
      <c r="AL17" s="25">
        <f t="shared" si="18"/>
        <v>6.6653834332156443E-3</v>
      </c>
      <c r="AM17" s="25">
        <f t="shared" si="19"/>
        <v>-1.621402513173904E-2</v>
      </c>
      <c r="AN17" s="378">
        <f t="shared" si="20"/>
        <v>1.6335040370525165E-2</v>
      </c>
      <c r="AO17" s="379">
        <f t="shared" si="21"/>
        <v>2.177962190765672E-2</v>
      </c>
      <c r="AP17" s="30"/>
      <c r="AQ17" s="28"/>
      <c r="AR17" s="28"/>
      <c r="AS17" s="29"/>
      <c r="AT17" s="29"/>
    </row>
    <row r="18" spans="1:46" s="365" customFormat="1" ht="12.75" customHeight="1">
      <c r="A18" s="201" t="s">
        <v>67</v>
      </c>
      <c r="B18" s="324">
        <v>454152055.87</v>
      </c>
      <c r="C18" s="323">
        <v>4714.97</v>
      </c>
      <c r="D18" s="324">
        <v>455991554.86000001</v>
      </c>
      <c r="E18" s="323">
        <v>4734.1099999999997</v>
      </c>
      <c r="F18" s="23">
        <f t="shared" si="0"/>
        <v>4.0504033092532378E-3</v>
      </c>
      <c r="G18" s="23">
        <f t="shared" si="1"/>
        <v>4.0594107703759335E-3</v>
      </c>
      <c r="H18" s="324">
        <v>458558410.11000001</v>
      </c>
      <c r="I18" s="323">
        <v>4726.08</v>
      </c>
      <c r="J18" s="23">
        <f t="shared" si="2"/>
        <v>5.6291727832285931E-3</v>
      </c>
      <c r="K18" s="23">
        <f t="shared" si="3"/>
        <v>-1.6962005530077979E-3</v>
      </c>
      <c r="L18" s="324">
        <v>457079062.67000002</v>
      </c>
      <c r="M18" s="323">
        <v>4653.3500000000004</v>
      </c>
      <c r="N18" s="23">
        <f t="shared" si="4"/>
        <v>-3.2260828879904927E-3</v>
      </c>
      <c r="O18" s="23">
        <f t="shared" si="5"/>
        <v>-1.5389075089714852E-2</v>
      </c>
      <c r="P18" s="324">
        <v>461584380.60000002</v>
      </c>
      <c r="Q18" s="323">
        <v>4757.37</v>
      </c>
      <c r="R18" s="23">
        <f t="shared" si="6"/>
        <v>9.8567584865569251E-3</v>
      </c>
      <c r="S18" s="23">
        <f t="shared" si="7"/>
        <v>2.2353788131131234E-2</v>
      </c>
      <c r="T18" s="324">
        <v>503313596.73000002</v>
      </c>
      <c r="U18" s="323">
        <v>4972.4799999999996</v>
      </c>
      <c r="V18" s="23">
        <f t="shared" si="8"/>
        <v>9.0404307172953752E-2</v>
      </c>
      <c r="W18" s="23">
        <f t="shared" si="9"/>
        <v>4.5216159348547551E-2</v>
      </c>
      <c r="X18" s="324">
        <v>518461516.25</v>
      </c>
      <c r="Y18" s="323">
        <v>5122.4399999999996</v>
      </c>
      <c r="Z18" s="23">
        <f t="shared" si="10"/>
        <v>3.0096384477620232E-2</v>
      </c>
      <c r="AA18" s="23">
        <f t="shared" si="11"/>
        <v>3.015798957461871E-2</v>
      </c>
      <c r="AB18" s="324">
        <v>504670079.80000001</v>
      </c>
      <c r="AC18" s="323">
        <v>4924.97</v>
      </c>
      <c r="AD18" s="23">
        <f t="shared" si="12"/>
        <v>-2.6600694589161783E-2</v>
      </c>
      <c r="AE18" s="23">
        <f t="shared" si="13"/>
        <v>-3.8549987896393002E-2</v>
      </c>
      <c r="AF18" s="324">
        <v>501034542.52999997</v>
      </c>
      <c r="AG18" s="323">
        <v>4950.68</v>
      </c>
      <c r="AH18" s="23">
        <f t="shared" si="14"/>
        <v>-7.2037899917522319E-3</v>
      </c>
      <c r="AI18" s="23">
        <f t="shared" si="15"/>
        <v>5.2203363675311799E-3</v>
      </c>
      <c r="AJ18" s="24">
        <f t="shared" si="16"/>
        <v>1.2875807345088528E-2</v>
      </c>
      <c r="AK18" s="24">
        <f t="shared" si="17"/>
        <v>6.4215525816361191E-3</v>
      </c>
      <c r="AL18" s="25">
        <f t="shared" si="18"/>
        <v>9.8780311148150973E-2</v>
      </c>
      <c r="AM18" s="25">
        <f t="shared" si="19"/>
        <v>4.5746719024272908E-2</v>
      </c>
      <c r="AN18" s="378">
        <f t="shared" si="20"/>
        <v>3.5188447760326341E-2</v>
      </c>
      <c r="AO18" s="379">
        <f t="shared" si="21"/>
        <v>2.3735208089972468E-2</v>
      </c>
      <c r="AP18" s="30"/>
      <c r="AQ18" s="28"/>
      <c r="AR18" s="28"/>
      <c r="AS18" s="29"/>
      <c r="AT18" s="29"/>
    </row>
    <row r="19" spans="1:46" s="86" customFormat="1" ht="12.75" customHeight="1">
      <c r="A19" s="200" t="s">
        <v>223</v>
      </c>
      <c r="B19" s="324">
        <v>9455283943.4599991</v>
      </c>
      <c r="C19" s="323">
        <v>16409.68</v>
      </c>
      <c r="D19" s="324">
        <v>9558347137.9400005</v>
      </c>
      <c r="E19" s="323">
        <v>16516.150000000001</v>
      </c>
      <c r="F19" s="23">
        <f t="shared" si="0"/>
        <v>1.0900063403308779E-2</v>
      </c>
      <c r="G19" s="23">
        <f t="shared" si="1"/>
        <v>6.4882435245538711E-3</v>
      </c>
      <c r="H19" s="324">
        <v>9559132163.5599995</v>
      </c>
      <c r="I19" s="323">
        <v>16585.96</v>
      </c>
      <c r="J19" s="23">
        <f t="shared" si="2"/>
        <v>8.2129850346502413E-5</v>
      </c>
      <c r="K19" s="23">
        <f t="shared" si="3"/>
        <v>4.226771977730746E-3</v>
      </c>
      <c r="L19" s="324">
        <v>9534981134.7900009</v>
      </c>
      <c r="M19" s="323">
        <v>16532.98</v>
      </c>
      <c r="N19" s="23">
        <f t="shared" si="4"/>
        <v>-2.5264875887022211E-3</v>
      </c>
      <c r="O19" s="23">
        <f t="shared" si="5"/>
        <v>-3.1942679229902621E-3</v>
      </c>
      <c r="P19" s="324">
        <v>9653440415.4500008</v>
      </c>
      <c r="Q19" s="323">
        <v>16719.23</v>
      </c>
      <c r="R19" s="23">
        <f t="shared" si="6"/>
        <v>1.2423651288389131E-2</v>
      </c>
      <c r="S19" s="23">
        <f t="shared" si="7"/>
        <v>1.1265361719423843E-2</v>
      </c>
      <c r="T19" s="324">
        <v>10013206518.469999</v>
      </c>
      <c r="U19" s="323">
        <v>17335.61</v>
      </c>
      <c r="V19" s="23">
        <f t="shared" si="8"/>
        <v>3.7268174613084598E-2</v>
      </c>
      <c r="W19" s="23">
        <f t="shared" si="9"/>
        <v>3.6866530336624417E-2</v>
      </c>
      <c r="X19" s="324">
        <v>10232929140.35</v>
      </c>
      <c r="Y19" s="323">
        <v>17698.47</v>
      </c>
      <c r="Z19" s="23">
        <f t="shared" si="10"/>
        <v>2.1943282751105617E-2</v>
      </c>
      <c r="AA19" s="23">
        <f t="shared" si="11"/>
        <v>2.0931481499641521E-2</v>
      </c>
      <c r="AB19" s="324">
        <v>10012748126.92</v>
      </c>
      <c r="AC19" s="323">
        <v>17282.53</v>
      </c>
      <c r="AD19" s="23">
        <f t="shared" si="12"/>
        <v>-2.1516909812440015E-2</v>
      </c>
      <c r="AE19" s="23">
        <f t="shared" si="13"/>
        <v>-2.350146651094712E-2</v>
      </c>
      <c r="AF19" s="324">
        <v>9947556245.6700001</v>
      </c>
      <c r="AG19" s="323">
        <v>17167.810000000001</v>
      </c>
      <c r="AH19" s="23">
        <f t="shared" si="14"/>
        <v>-6.5108879623893556E-3</v>
      </c>
      <c r="AI19" s="23">
        <f t="shared" si="15"/>
        <v>-6.6379170179364675E-3</v>
      </c>
      <c r="AJ19" s="24">
        <f t="shared" si="16"/>
        <v>6.5078770678378781E-3</v>
      </c>
      <c r="AK19" s="24">
        <f t="shared" si="17"/>
        <v>5.8055922007625698E-3</v>
      </c>
      <c r="AL19" s="25">
        <f t="shared" si="18"/>
        <v>4.0719289863946212E-2</v>
      </c>
      <c r="AM19" s="25">
        <f t="shared" si="19"/>
        <v>3.9455926471968335E-2</v>
      </c>
      <c r="AN19" s="378">
        <f t="shared" si="20"/>
        <v>1.8191529558564592E-2</v>
      </c>
      <c r="AO19" s="379">
        <f t="shared" si="21"/>
        <v>1.7761142926176286E-2</v>
      </c>
      <c r="AP19" s="30"/>
      <c r="AQ19" s="28"/>
      <c r="AR19" s="28"/>
      <c r="AS19" s="29"/>
      <c r="AT19" s="29"/>
    </row>
    <row r="20" spans="1:46" s="300" customFormat="1" ht="12.75" customHeight="1">
      <c r="A20" s="200" t="s">
        <v>75</v>
      </c>
      <c r="B20" s="323">
        <v>2546054531.0700002</v>
      </c>
      <c r="C20" s="308">
        <v>1.252</v>
      </c>
      <c r="D20" s="323">
        <v>2517001984.5999999</v>
      </c>
      <c r="E20" s="308">
        <v>1.2625</v>
      </c>
      <c r="F20" s="23">
        <f t="shared" si="0"/>
        <v>-1.1410810772301369E-2</v>
      </c>
      <c r="G20" s="23">
        <f t="shared" si="1"/>
        <v>8.3865814696485255E-3</v>
      </c>
      <c r="H20" s="323">
        <v>2491206201.3499999</v>
      </c>
      <c r="I20" s="308">
        <v>1.2504</v>
      </c>
      <c r="J20" s="23">
        <f t="shared" si="2"/>
        <v>-1.0248614585061381E-2</v>
      </c>
      <c r="K20" s="23">
        <f t="shared" si="3"/>
        <v>-9.584158415841584E-3</v>
      </c>
      <c r="L20" s="323">
        <v>2507694328.1999998</v>
      </c>
      <c r="M20" s="308">
        <v>1.2558</v>
      </c>
      <c r="N20" s="23">
        <f t="shared" si="4"/>
        <v>6.6185315535361496E-3</v>
      </c>
      <c r="O20" s="23">
        <f t="shared" si="5"/>
        <v>4.3186180422265449E-3</v>
      </c>
      <c r="P20" s="323">
        <v>2506686892.5500002</v>
      </c>
      <c r="Q20" s="308">
        <v>1.2544</v>
      </c>
      <c r="R20" s="23">
        <f t="shared" si="6"/>
        <v>-4.0173781894811185E-4</v>
      </c>
      <c r="S20" s="23">
        <f t="shared" si="7"/>
        <v>-1.1148272017837775E-3</v>
      </c>
      <c r="T20" s="323">
        <v>2577341223.6199999</v>
      </c>
      <c r="U20" s="308">
        <v>1.2544</v>
      </c>
      <c r="V20" s="23">
        <f t="shared" si="8"/>
        <v>2.8186340815036744E-2</v>
      </c>
      <c r="W20" s="23">
        <f t="shared" si="9"/>
        <v>0</v>
      </c>
      <c r="X20" s="323">
        <v>2595728958.46</v>
      </c>
      <c r="Y20" s="308">
        <v>1.3035000000000001</v>
      </c>
      <c r="Z20" s="23">
        <f t="shared" si="10"/>
        <v>7.1343812264693818E-3</v>
      </c>
      <c r="AA20" s="23">
        <f t="shared" si="11"/>
        <v>3.9142219387755216E-2</v>
      </c>
      <c r="AB20" s="323">
        <v>2551560701.8800001</v>
      </c>
      <c r="AC20" s="308">
        <v>1.2806999999999999</v>
      </c>
      <c r="AD20" s="23">
        <f t="shared" si="12"/>
        <v>-1.7015742894128733E-2</v>
      </c>
      <c r="AE20" s="23">
        <f t="shared" si="13"/>
        <v>-1.7491369390103685E-2</v>
      </c>
      <c r="AF20" s="323">
        <v>2541125245.2600002</v>
      </c>
      <c r="AG20" s="308">
        <v>1.2712000000000001</v>
      </c>
      <c r="AH20" s="23">
        <f t="shared" si="14"/>
        <v>-4.0898327883444044E-3</v>
      </c>
      <c r="AI20" s="23">
        <f t="shared" si="15"/>
        <v>-7.4178183805730007E-3</v>
      </c>
      <c r="AJ20" s="24">
        <f t="shared" si="16"/>
        <v>-1.5343565796771574E-4</v>
      </c>
      <c r="AK20" s="24">
        <f t="shared" si="17"/>
        <v>2.0299056889160299E-3</v>
      </c>
      <c r="AL20" s="25">
        <f t="shared" si="18"/>
        <v>9.5841246084015213E-3</v>
      </c>
      <c r="AM20" s="25">
        <f t="shared" si="19"/>
        <v>6.8910891089110117E-3</v>
      </c>
      <c r="AN20" s="378">
        <f t="shared" si="20"/>
        <v>1.4296104160061806E-2</v>
      </c>
      <c r="AO20" s="379">
        <f t="shared" si="21"/>
        <v>1.7003502365518421E-2</v>
      </c>
      <c r="AP20" s="30"/>
      <c r="AQ20" s="28"/>
      <c r="AR20" s="28"/>
      <c r="AS20" s="29"/>
      <c r="AT20" s="29"/>
    </row>
    <row r="21" spans="1:46">
      <c r="A21" s="202" t="s">
        <v>42</v>
      </c>
      <c r="B21" s="70">
        <f>SUM(B5:B20)</f>
        <v>21710538133.900002</v>
      </c>
      <c r="C21" s="85"/>
      <c r="D21" s="70">
        <f>SUM(D5:D20)</f>
        <v>21798118395</v>
      </c>
      <c r="E21" s="85"/>
      <c r="F21" s="23">
        <f>((D21-B21)/B21)</f>
        <v>4.0339977093080872E-3</v>
      </c>
      <c r="G21" s="23"/>
      <c r="H21" s="70">
        <f>SUM(H5:H20)</f>
        <v>21799255745.139999</v>
      </c>
      <c r="I21" s="85"/>
      <c r="J21" s="23">
        <f>((H21-D21)/D21)</f>
        <v>5.2176528239257217E-5</v>
      </c>
      <c r="K21" s="23"/>
      <c r="L21" s="70">
        <f>SUM(L5:L20)</f>
        <v>21756530204.330002</v>
      </c>
      <c r="M21" s="85"/>
      <c r="N21" s="23">
        <f>((L21-H21)/H21)</f>
        <v>-1.9599541062094716E-3</v>
      </c>
      <c r="O21" s="23"/>
      <c r="P21" s="70">
        <f>SUM(P5:P20)</f>
        <v>21948547893.360001</v>
      </c>
      <c r="Q21" s="85"/>
      <c r="R21" s="23">
        <f>((P21-L21)/L21)</f>
        <v>8.8257496589131332E-3</v>
      </c>
      <c r="S21" s="23"/>
      <c r="T21" s="70">
        <f>SUM(T5:T20)</f>
        <v>22687921199.810001</v>
      </c>
      <c r="U21" s="85"/>
      <c r="V21" s="23">
        <f>((T21-P21)/P21)</f>
        <v>3.3686661643510377E-2</v>
      </c>
      <c r="W21" s="23"/>
      <c r="X21" s="70">
        <f>SUM(X5:X20)</f>
        <v>23086923138.879997</v>
      </c>
      <c r="Y21" s="85"/>
      <c r="Z21" s="23">
        <f>((X21-T21)/T21)</f>
        <v>1.7586535829176686E-2</v>
      </c>
      <c r="AA21" s="23"/>
      <c r="AB21" s="70">
        <f>SUM(AB5:AB20)</f>
        <v>22684841502.700001</v>
      </c>
      <c r="AC21" s="85"/>
      <c r="AD21" s="23">
        <f>((AB21-X21)/X21)</f>
        <v>-1.7415990591784957E-2</v>
      </c>
      <c r="AE21" s="23"/>
      <c r="AF21" s="70">
        <f>SUM(AF5:AF20)</f>
        <v>22617340342.240005</v>
      </c>
      <c r="AG21" s="85"/>
      <c r="AH21" s="23">
        <f>((AF21-AB21)/AB21)</f>
        <v>-2.9756064397435233E-3</v>
      </c>
      <c r="AI21" s="23"/>
      <c r="AJ21" s="24">
        <f t="shared" si="16"/>
        <v>5.2291962789261983E-3</v>
      </c>
      <c r="AK21" s="24"/>
      <c r="AL21" s="25">
        <f t="shared" si="18"/>
        <v>3.7582232208992712E-2</v>
      </c>
      <c r="AM21" s="25"/>
      <c r="AN21" s="378">
        <f t="shared" si="20"/>
        <v>1.528539716009753E-2</v>
      </c>
      <c r="AO21" s="379"/>
      <c r="AP21" s="30"/>
      <c r="AQ21" s="40">
        <f>SUM(AQ5:AQ20)</f>
        <v>13401593384.119999</v>
      </c>
      <c r="AR21" s="41"/>
      <c r="AS21" s="29" t="e">
        <f>(#REF!/AQ21)-1</f>
        <v>#REF!</v>
      </c>
      <c r="AT21" s="29" t="e">
        <f>(#REF!/AR21)-1</f>
        <v>#REF!</v>
      </c>
    </row>
    <row r="22" spans="1:46" s="108" customFormat="1" ht="6" customHeight="1">
      <c r="A22" s="202"/>
      <c r="B22" s="85"/>
      <c r="C22" s="85"/>
      <c r="D22" s="85"/>
      <c r="E22" s="85"/>
      <c r="F22" s="23"/>
      <c r="G22" s="23"/>
      <c r="H22" s="85"/>
      <c r="I22" s="85"/>
      <c r="J22" s="23"/>
      <c r="K22" s="23"/>
      <c r="L22" s="85"/>
      <c r="M22" s="85"/>
      <c r="N22" s="23"/>
      <c r="O22" s="23"/>
      <c r="P22" s="85"/>
      <c r="Q22" s="85"/>
      <c r="R22" s="23"/>
      <c r="S22" s="23"/>
      <c r="T22" s="85"/>
      <c r="U22" s="85"/>
      <c r="V22" s="23"/>
      <c r="W22" s="23"/>
      <c r="X22" s="85"/>
      <c r="Y22" s="85"/>
      <c r="Z22" s="23"/>
      <c r="AA22" s="23"/>
      <c r="AB22" s="85"/>
      <c r="AC22" s="85"/>
      <c r="AD22" s="23"/>
      <c r="AE22" s="23"/>
      <c r="AF22" s="85"/>
      <c r="AG22" s="85"/>
      <c r="AH22" s="23"/>
      <c r="AI22" s="23"/>
      <c r="AJ22" s="24"/>
      <c r="AK22" s="24"/>
      <c r="AL22" s="25"/>
      <c r="AM22" s="25"/>
      <c r="AN22" s="378"/>
      <c r="AO22" s="379"/>
      <c r="AP22" s="30"/>
      <c r="AQ22" s="40"/>
      <c r="AR22" s="41"/>
      <c r="AS22" s="29"/>
      <c r="AT22" s="29"/>
    </row>
    <row r="23" spans="1:46">
      <c r="A23" s="199" t="s">
        <v>44</v>
      </c>
      <c r="B23" s="85"/>
      <c r="C23" s="85"/>
      <c r="D23" s="85"/>
      <c r="E23" s="85"/>
      <c r="F23" s="23"/>
      <c r="G23" s="23"/>
      <c r="H23" s="85"/>
      <c r="I23" s="85"/>
      <c r="J23" s="23"/>
      <c r="K23" s="23"/>
      <c r="L23" s="85"/>
      <c r="M23" s="85"/>
      <c r="N23" s="23"/>
      <c r="O23" s="23"/>
      <c r="P23" s="85"/>
      <c r="Q23" s="85"/>
      <c r="R23" s="23"/>
      <c r="S23" s="23"/>
      <c r="T23" s="85"/>
      <c r="U23" s="85"/>
      <c r="V23" s="23"/>
      <c r="W23" s="23"/>
      <c r="X23" s="85"/>
      <c r="Y23" s="85"/>
      <c r="Z23" s="23"/>
      <c r="AA23" s="23"/>
      <c r="AB23" s="85"/>
      <c r="AC23" s="85"/>
      <c r="AD23" s="23"/>
      <c r="AE23" s="23"/>
      <c r="AF23" s="85"/>
      <c r="AG23" s="85"/>
      <c r="AH23" s="23"/>
      <c r="AI23" s="23"/>
      <c r="AJ23" s="24"/>
      <c r="AK23" s="24"/>
      <c r="AL23" s="25"/>
      <c r="AM23" s="25"/>
      <c r="AN23" s="378"/>
      <c r="AO23" s="379"/>
      <c r="AP23" s="30"/>
      <c r="AQ23" s="40"/>
      <c r="AR23" s="13"/>
      <c r="AS23" s="29" t="e">
        <f>(#REF!/AQ23)-1</f>
        <v>#REF!</v>
      </c>
      <c r="AT23" s="29" t="e">
        <f>(#REF!/AR23)-1</f>
        <v>#REF!</v>
      </c>
    </row>
    <row r="24" spans="1:46">
      <c r="A24" s="200" t="s">
        <v>115</v>
      </c>
      <c r="B24" s="319">
        <v>835877117.96000004</v>
      </c>
      <c r="C24" s="308">
        <v>100</v>
      </c>
      <c r="D24" s="319">
        <v>813920925.62</v>
      </c>
      <c r="E24" s="308">
        <v>100</v>
      </c>
      <c r="F24" s="23">
        <f t="shared" ref="F24:F52" si="32">((D24-B24)/B24)</f>
        <v>-2.6267248939156537E-2</v>
      </c>
      <c r="G24" s="23">
        <f t="shared" ref="G24:G52" si="33">((E24-C24)/C24)</f>
        <v>0</v>
      </c>
      <c r="H24" s="319">
        <v>820355097.73000002</v>
      </c>
      <c r="I24" s="308">
        <v>100</v>
      </c>
      <c r="J24" s="23">
        <f t="shared" ref="J24:J52" si="34">((H24-D24)/D24)</f>
        <v>7.9051562719054287E-3</v>
      </c>
      <c r="K24" s="23">
        <f t="shared" ref="K24:K52" si="35">((I24-E24)/E24)</f>
        <v>0</v>
      </c>
      <c r="L24" s="319">
        <v>817264743.45000005</v>
      </c>
      <c r="M24" s="308">
        <v>100</v>
      </c>
      <c r="N24" s="23">
        <f t="shared" ref="N24:N52" si="36">((L24-H24)/H24)</f>
        <v>-3.7670934069298444E-3</v>
      </c>
      <c r="O24" s="23">
        <f t="shared" ref="O24:O52" si="37">((M24-I24)/I24)</f>
        <v>0</v>
      </c>
      <c r="P24" s="319">
        <v>778910456.5</v>
      </c>
      <c r="Q24" s="308">
        <v>100</v>
      </c>
      <c r="R24" s="23">
        <f t="shared" ref="R24:R52" si="38">((P24-L24)/L24)</f>
        <v>-4.6930064287480852E-2</v>
      </c>
      <c r="S24" s="23">
        <f t="shared" ref="S24:S52" si="39">((Q24-M24)/M24)</f>
        <v>0</v>
      </c>
      <c r="T24" s="319">
        <v>764393523.69000006</v>
      </c>
      <c r="U24" s="308">
        <v>100</v>
      </c>
      <c r="V24" s="23">
        <f t="shared" ref="V24:V52" si="40">((T24-P24)/P24)</f>
        <v>-1.8637486104925518E-2</v>
      </c>
      <c r="W24" s="23">
        <f t="shared" ref="W24:W52" si="41">((U24-Q24)/Q24)</f>
        <v>0</v>
      </c>
      <c r="X24" s="319">
        <v>771122352.47000003</v>
      </c>
      <c r="Y24" s="308">
        <v>100</v>
      </c>
      <c r="Z24" s="23">
        <f t="shared" ref="Z24:Z52" si="42">((X24-T24)/T24)</f>
        <v>8.8028333200908301E-3</v>
      </c>
      <c r="AA24" s="23">
        <f t="shared" ref="AA24:AA52" si="43">((Y24-U24)/U24)</f>
        <v>0</v>
      </c>
      <c r="AB24" s="319">
        <v>775235970.98000002</v>
      </c>
      <c r="AC24" s="308">
        <v>100</v>
      </c>
      <c r="AD24" s="23">
        <f t="shared" ref="AD24:AD52" si="44">((AB24-X24)/X24)</f>
        <v>5.3345860054809235E-3</v>
      </c>
      <c r="AE24" s="23">
        <f t="shared" ref="AE24:AE52" si="45">((AC24-Y24)/Y24)</f>
        <v>0</v>
      </c>
      <c r="AF24" s="319">
        <v>792650215.75</v>
      </c>
      <c r="AG24" s="308">
        <v>100</v>
      </c>
      <c r="AH24" s="23">
        <f t="shared" ref="AH24:AH52" si="46">((AF24-AB24)/AB24)</f>
        <v>2.2463153700138669E-2</v>
      </c>
      <c r="AI24" s="23">
        <f t="shared" ref="AI24:AI52" si="47">((AG24-AC24)/AC24)</f>
        <v>0</v>
      </c>
      <c r="AJ24" s="24">
        <f t="shared" si="16"/>
        <v>-6.3870204301096131E-3</v>
      </c>
      <c r="AK24" s="24">
        <f t="shared" si="17"/>
        <v>0</v>
      </c>
      <c r="AL24" s="25">
        <f t="shared" si="18"/>
        <v>-2.6133631905086052E-2</v>
      </c>
      <c r="AM24" s="25">
        <f t="shared" si="19"/>
        <v>0</v>
      </c>
      <c r="AN24" s="378">
        <f t="shared" si="20"/>
        <v>2.267984125120779E-2</v>
      </c>
      <c r="AO24" s="379">
        <f t="shared" si="21"/>
        <v>1.886060969649209E-3</v>
      </c>
      <c r="AP24" s="30"/>
      <c r="AQ24" s="28">
        <v>56630718400</v>
      </c>
      <c r="AR24" s="42">
        <v>100</v>
      </c>
      <c r="AS24" s="29" t="e">
        <f>(#REF!/AQ24)-1</f>
        <v>#REF!</v>
      </c>
      <c r="AT24" s="29" t="e">
        <f>(#REF!/AR24)-1</f>
        <v>#REF!</v>
      </c>
    </row>
    <row r="25" spans="1:46">
      <c r="A25" s="200" t="s">
        <v>37</v>
      </c>
      <c r="B25" s="319">
        <v>3341828994.2600002</v>
      </c>
      <c r="C25" s="308">
        <v>100</v>
      </c>
      <c r="D25" s="319">
        <v>3433386374.0999999</v>
      </c>
      <c r="E25" s="308">
        <v>100</v>
      </c>
      <c r="F25" s="23">
        <f t="shared" si="32"/>
        <v>2.7397386280764414E-2</v>
      </c>
      <c r="G25" s="23">
        <f t="shared" si="33"/>
        <v>0</v>
      </c>
      <c r="H25" s="319">
        <v>3478682817.5300002</v>
      </c>
      <c r="I25" s="308">
        <v>100</v>
      </c>
      <c r="J25" s="23">
        <f t="shared" si="34"/>
        <v>1.3192935048527402E-2</v>
      </c>
      <c r="K25" s="23">
        <f t="shared" si="35"/>
        <v>0</v>
      </c>
      <c r="L25" s="319">
        <v>3505742280.1999998</v>
      </c>
      <c r="M25" s="308">
        <v>100</v>
      </c>
      <c r="N25" s="23">
        <f t="shared" si="36"/>
        <v>7.7786518890540493E-3</v>
      </c>
      <c r="O25" s="23">
        <f t="shared" si="37"/>
        <v>0</v>
      </c>
      <c r="P25" s="319">
        <v>3549493180.1500001</v>
      </c>
      <c r="Q25" s="308">
        <v>100</v>
      </c>
      <c r="R25" s="23">
        <f t="shared" si="38"/>
        <v>1.2479782155436802E-2</v>
      </c>
      <c r="S25" s="23">
        <f t="shared" si="39"/>
        <v>0</v>
      </c>
      <c r="T25" s="319">
        <v>3564098875.8400002</v>
      </c>
      <c r="U25" s="308">
        <v>100</v>
      </c>
      <c r="V25" s="23">
        <f t="shared" si="40"/>
        <v>4.1148679399301809E-3</v>
      </c>
      <c r="W25" s="23">
        <f t="shared" si="41"/>
        <v>0</v>
      </c>
      <c r="X25" s="319">
        <v>3599877469.0100002</v>
      </c>
      <c r="Y25" s="308">
        <v>100</v>
      </c>
      <c r="Z25" s="23">
        <f t="shared" si="42"/>
        <v>1.0038608471985122E-2</v>
      </c>
      <c r="AA25" s="23">
        <f t="shared" si="43"/>
        <v>0</v>
      </c>
      <c r="AB25" s="319">
        <v>3643032341.1500001</v>
      </c>
      <c r="AC25" s="308">
        <v>100</v>
      </c>
      <c r="AD25" s="23">
        <f t="shared" si="44"/>
        <v>1.19878725071906E-2</v>
      </c>
      <c r="AE25" s="23">
        <f t="shared" si="45"/>
        <v>0</v>
      </c>
      <c r="AF25" s="319">
        <v>3683946875.2199998</v>
      </c>
      <c r="AG25" s="308">
        <v>100</v>
      </c>
      <c r="AH25" s="23">
        <f t="shared" si="46"/>
        <v>1.12309005901068E-2</v>
      </c>
      <c r="AI25" s="23">
        <f t="shared" si="47"/>
        <v>0</v>
      </c>
      <c r="AJ25" s="24">
        <f t="shared" si="16"/>
        <v>1.2277625610374421E-2</v>
      </c>
      <c r="AK25" s="24">
        <f t="shared" si="17"/>
        <v>0</v>
      </c>
      <c r="AL25" s="25">
        <f t="shared" si="18"/>
        <v>7.297765931912624E-2</v>
      </c>
      <c r="AM25" s="25">
        <f t="shared" si="19"/>
        <v>0</v>
      </c>
      <c r="AN25" s="378">
        <f t="shared" si="20"/>
        <v>6.788119733060349E-3</v>
      </c>
      <c r="AO25" s="379">
        <f t="shared" si="21"/>
        <v>4.2383529709171261E-3</v>
      </c>
      <c r="AP25" s="30"/>
      <c r="AQ25" s="28">
        <v>366113097.69999999</v>
      </c>
      <c r="AR25" s="32">
        <v>1.1357999999999999</v>
      </c>
      <c r="AS25" s="29" t="e">
        <f>(#REF!/AQ25)-1</f>
        <v>#REF!</v>
      </c>
      <c r="AT25" s="29" t="e">
        <f>(#REF!/AR25)-1</f>
        <v>#REF!</v>
      </c>
    </row>
    <row r="26" spans="1:46">
      <c r="A26" s="200" t="s">
        <v>138</v>
      </c>
      <c r="B26" s="319">
        <v>424945120.56</v>
      </c>
      <c r="C26" s="308">
        <v>100</v>
      </c>
      <c r="D26" s="319">
        <v>419760490.38999999</v>
      </c>
      <c r="E26" s="308">
        <v>100</v>
      </c>
      <c r="F26" s="23">
        <f t="shared" si="32"/>
        <v>-1.2200705265582581E-2</v>
      </c>
      <c r="G26" s="23">
        <f t="shared" si="33"/>
        <v>0</v>
      </c>
      <c r="H26" s="319">
        <v>460835854.98000002</v>
      </c>
      <c r="I26" s="308">
        <v>100</v>
      </c>
      <c r="J26" s="23">
        <f t="shared" si="34"/>
        <v>9.785428960176043E-2</v>
      </c>
      <c r="K26" s="23">
        <f t="shared" si="35"/>
        <v>0</v>
      </c>
      <c r="L26" s="319">
        <v>407435868.10000002</v>
      </c>
      <c r="M26" s="308">
        <v>100</v>
      </c>
      <c r="N26" s="23">
        <f t="shared" si="36"/>
        <v>-0.1158763718207593</v>
      </c>
      <c r="O26" s="23">
        <f t="shared" si="37"/>
        <v>0</v>
      </c>
      <c r="P26" s="319">
        <v>412686488.06999999</v>
      </c>
      <c r="Q26" s="308">
        <v>100</v>
      </c>
      <c r="R26" s="23">
        <f t="shared" si="38"/>
        <v>1.2886985121082344E-2</v>
      </c>
      <c r="S26" s="23">
        <f t="shared" si="39"/>
        <v>0</v>
      </c>
      <c r="T26" s="319">
        <v>392680518.31</v>
      </c>
      <c r="U26" s="308">
        <v>100</v>
      </c>
      <c r="V26" s="23">
        <f t="shared" si="40"/>
        <v>-4.8477404369504269E-2</v>
      </c>
      <c r="W26" s="23">
        <f t="shared" si="41"/>
        <v>0</v>
      </c>
      <c r="X26" s="319">
        <v>334301583.01999998</v>
      </c>
      <c r="Y26" s="308">
        <v>100</v>
      </c>
      <c r="Z26" s="23">
        <f t="shared" si="42"/>
        <v>-0.14866776569728629</v>
      </c>
      <c r="AA26" s="23">
        <f t="shared" si="43"/>
        <v>0</v>
      </c>
      <c r="AB26" s="319">
        <v>334301583.01999998</v>
      </c>
      <c r="AC26" s="308">
        <v>100</v>
      </c>
      <c r="AD26" s="23">
        <f t="shared" si="44"/>
        <v>0</v>
      </c>
      <c r="AE26" s="23">
        <f t="shared" si="45"/>
        <v>0</v>
      </c>
      <c r="AF26" s="319">
        <v>342215172.24000001</v>
      </c>
      <c r="AG26" s="308">
        <v>100</v>
      </c>
      <c r="AH26" s="23">
        <f t="shared" si="46"/>
        <v>2.3672006421598633E-2</v>
      </c>
      <c r="AI26" s="23">
        <f t="shared" si="47"/>
        <v>0</v>
      </c>
      <c r="AJ26" s="24">
        <f t="shared" si="16"/>
        <v>-2.3851120751086377E-2</v>
      </c>
      <c r="AK26" s="24">
        <f t="shared" si="17"/>
        <v>0</v>
      </c>
      <c r="AL26" s="25">
        <f t="shared" si="18"/>
        <v>-0.1847370582161092</v>
      </c>
      <c r="AM26" s="25">
        <f t="shared" si="19"/>
        <v>0</v>
      </c>
      <c r="AN26" s="378">
        <f t="shared" si="20"/>
        <v>7.9083361646777775E-2</v>
      </c>
      <c r="AO26" s="379">
        <f t="shared" si="21"/>
        <v>0</v>
      </c>
      <c r="AP26" s="30"/>
      <c r="AQ26" s="28">
        <v>691810420.35000002</v>
      </c>
      <c r="AR26" s="42">
        <v>100</v>
      </c>
      <c r="AS26" s="29" t="e">
        <f>(#REF!/AQ26)-1</f>
        <v>#REF!</v>
      </c>
      <c r="AT26" s="29" t="e">
        <f>(#REF!/AR26)-1</f>
        <v>#REF!</v>
      </c>
    </row>
    <row r="27" spans="1:46">
      <c r="A27" s="200" t="s">
        <v>15</v>
      </c>
      <c r="B27" s="319">
        <v>79461020448.75</v>
      </c>
      <c r="C27" s="308">
        <v>1</v>
      </c>
      <c r="D27" s="319">
        <v>79179387352.850006</v>
      </c>
      <c r="E27" s="308">
        <v>1</v>
      </c>
      <c r="F27" s="23">
        <f t="shared" si="32"/>
        <v>-3.5442924632668026E-3</v>
      </c>
      <c r="G27" s="23">
        <f t="shared" si="33"/>
        <v>0</v>
      </c>
      <c r="H27" s="319">
        <v>79269414960.279999</v>
      </c>
      <c r="I27" s="308">
        <v>1</v>
      </c>
      <c r="J27" s="23">
        <f t="shared" si="34"/>
        <v>1.1370081335537411E-3</v>
      </c>
      <c r="K27" s="23">
        <f t="shared" si="35"/>
        <v>0</v>
      </c>
      <c r="L27" s="319">
        <v>78401545605.860001</v>
      </c>
      <c r="M27" s="308">
        <v>1</v>
      </c>
      <c r="N27" s="23">
        <f t="shared" si="36"/>
        <v>-1.0948350695597624E-2</v>
      </c>
      <c r="O27" s="23">
        <f t="shared" si="37"/>
        <v>0</v>
      </c>
      <c r="P27" s="319">
        <v>78345275800.529999</v>
      </c>
      <c r="Q27" s="308">
        <v>1</v>
      </c>
      <c r="R27" s="23">
        <f t="shared" si="38"/>
        <v>-7.1771295954905297E-4</v>
      </c>
      <c r="S27" s="23">
        <f t="shared" si="39"/>
        <v>0</v>
      </c>
      <c r="T27" s="319">
        <v>78442219240.309998</v>
      </c>
      <c r="U27" s="308">
        <v>1</v>
      </c>
      <c r="V27" s="23">
        <f t="shared" si="40"/>
        <v>1.2373871786069196E-3</v>
      </c>
      <c r="W27" s="23">
        <f t="shared" si="41"/>
        <v>0</v>
      </c>
      <c r="X27" s="319">
        <v>79015930645.460007</v>
      </c>
      <c r="Y27" s="308">
        <v>1</v>
      </c>
      <c r="Z27" s="23">
        <f t="shared" si="42"/>
        <v>7.3138089501576667E-3</v>
      </c>
      <c r="AA27" s="23">
        <f t="shared" si="43"/>
        <v>0</v>
      </c>
      <c r="AB27" s="319">
        <v>78937493127.25</v>
      </c>
      <c r="AC27" s="308">
        <v>1</v>
      </c>
      <c r="AD27" s="23">
        <f t="shared" si="44"/>
        <v>-9.9267979974761557E-4</v>
      </c>
      <c r="AE27" s="23">
        <f t="shared" si="45"/>
        <v>0</v>
      </c>
      <c r="AF27" s="319">
        <v>78568540017.229996</v>
      </c>
      <c r="AG27" s="308">
        <v>1</v>
      </c>
      <c r="AH27" s="23">
        <f t="shared" si="46"/>
        <v>-4.6739907159863685E-3</v>
      </c>
      <c r="AI27" s="23">
        <f t="shared" si="47"/>
        <v>0</v>
      </c>
      <c r="AJ27" s="24">
        <f t="shared" si="16"/>
        <v>-1.398602796478642E-3</v>
      </c>
      <c r="AK27" s="24">
        <f t="shared" si="17"/>
        <v>0</v>
      </c>
      <c r="AL27" s="25">
        <f t="shared" si="18"/>
        <v>-7.7147267242403507E-3</v>
      </c>
      <c r="AM27" s="25">
        <f t="shared" si="19"/>
        <v>0</v>
      </c>
      <c r="AN27" s="378">
        <f t="shared" si="20"/>
        <v>5.2974671027851026E-3</v>
      </c>
      <c r="AO27" s="379">
        <f t="shared" si="21"/>
        <v>3.5096530897422155E-4</v>
      </c>
      <c r="AP27" s="30"/>
      <c r="AQ27" s="28">
        <v>13880602273.7041</v>
      </c>
      <c r="AR27" s="35">
        <v>1</v>
      </c>
      <c r="AS27" s="29" t="e">
        <f>(#REF!/AQ27)-1</f>
        <v>#REF!</v>
      </c>
      <c r="AT27" s="29" t="e">
        <f>(#REF!/AR27)-1</f>
        <v>#REF!</v>
      </c>
    </row>
    <row r="28" spans="1:46">
      <c r="A28" s="200" t="s">
        <v>82</v>
      </c>
      <c r="B28" s="319">
        <v>40095551080.629997</v>
      </c>
      <c r="C28" s="308">
        <v>1</v>
      </c>
      <c r="D28" s="319">
        <v>39990420892.980003</v>
      </c>
      <c r="E28" s="308">
        <v>1</v>
      </c>
      <c r="F28" s="23">
        <f t="shared" si="32"/>
        <v>-2.6219913386046931E-3</v>
      </c>
      <c r="G28" s="23">
        <f t="shared" si="33"/>
        <v>0</v>
      </c>
      <c r="H28" s="319">
        <v>39724226551.019997</v>
      </c>
      <c r="I28" s="308">
        <v>1</v>
      </c>
      <c r="J28" s="23">
        <f t="shared" si="34"/>
        <v>-6.6564526208008727E-3</v>
      </c>
      <c r="K28" s="23">
        <f t="shared" si="35"/>
        <v>0</v>
      </c>
      <c r="L28" s="319">
        <v>39885395596.620003</v>
      </c>
      <c r="M28" s="308">
        <v>1</v>
      </c>
      <c r="N28" s="23">
        <f t="shared" si="36"/>
        <v>4.0571978259415038E-3</v>
      </c>
      <c r="O28" s="23">
        <f t="shared" si="37"/>
        <v>0</v>
      </c>
      <c r="P28" s="319">
        <v>40957926644.699997</v>
      </c>
      <c r="Q28" s="308">
        <v>1</v>
      </c>
      <c r="R28" s="23">
        <f t="shared" si="38"/>
        <v>2.6890319928803297E-2</v>
      </c>
      <c r="S28" s="23">
        <f t="shared" si="39"/>
        <v>0</v>
      </c>
      <c r="T28" s="319">
        <v>40307316221.290001</v>
      </c>
      <c r="U28" s="308">
        <v>1</v>
      </c>
      <c r="V28" s="23">
        <f t="shared" si="40"/>
        <v>-1.5884847615795655E-2</v>
      </c>
      <c r="W28" s="23">
        <f t="shared" si="41"/>
        <v>0</v>
      </c>
      <c r="X28" s="319">
        <v>40934896304.379997</v>
      </c>
      <c r="Y28" s="308">
        <v>1</v>
      </c>
      <c r="Z28" s="23">
        <f t="shared" si="42"/>
        <v>1.5569880158841079E-2</v>
      </c>
      <c r="AA28" s="23">
        <f t="shared" si="43"/>
        <v>0</v>
      </c>
      <c r="AB28" s="319">
        <v>40720712051.089996</v>
      </c>
      <c r="AC28" s="308">
        <v>1</v>
      </c>
      <c r="AD28" s="23">
        <f t="shared" si="44"/>
        <v>-5.2323145439868478E-3</v>
      </c>
      <c r="AE28" s="23">
        <f t="shared" si="45"/>
        <v>0</v>
      </c>
      <c r="AF28" s="319">
        <v>41317233755.529999</v>
      </c>
      <c r="AG28" s="308">
        <v>1</v>
      </c>
      <c r="AH28" s="23">
        <f t="shared" si="46"/>
        <v>1.4649098073029275E-2</v>
      </c>
      <c r="AI28" s="23">
        <f t="shared" si="47"/>
        <v>0</v>
      </c>
      <c r="AJ28" s="24">
        <f t="shared" si="16"/>
        <v>3.8463612334283855E-3</v>
      </c>
      <c r="AK28" s="24">
        <f t="shared" si="17"/>
        <v>0</v>
      </c>
      <c r="AL28" s="25">
        <f t="shared" si="18"/>
        <v>3.3178267018012478E-2</v>
      </c>
      <c r="AM28" s="25">
        <f t="shared" si="19"/>
        <v>0</v>
      </c>
      <c r="AN28" s="378">
        <f t="shared" si="20"/>
        <v>1.4188023843161868E-2</v>
      </c>
      <c r="AO28" s="379">
        <f t="shared" si="21"/>
        <v>1.8499025476770492E-3</v>
      </c>
      <c r="AP28" s="30"/>
      <c r="AQ28" s="38">
        <v>246915130.99000001</v>
      </c>
      <c r="AR28" s="35">
        <v>10</v>
      </c>
      <c r="AS28" s="29" t="e">
        <f>(#REF!/AQ28)-1</f>
        <v>#REF!</v>
      </c>
      <c r="AT28" s="29" t="e">
        <f>(#REF!/AR28)-1</f>
        <v>#REF!</v>
      </c>
    </row>
    <row r="29" spans="1:46">
      <c r="A29" s="200" t="s">
        <v>97</v>
      </c>
      <c r="B29" s="319">
        <v>6073036021.4700003</v>
      </c>
      <c r="C29" s="308">
        <v>100</v>
      </c>
      <c r="D29" s="319">
        <v>6278151194.9899998</v>
      </c>
      <c r="E29" s="308">
        <v>100</v>
      </c>
      <c r="F29" s="23">
        <f t="shared" si="32"/>
        <v>3.377473355910552E-2</v>
      </c>
      <c r="G29" s="23">
        <f t="shared" si="33"/>
        <v>0</v>
      </c>
      <c r="H29" s="319">
        <v>6351808725.8100004</v>
      </c>
      <c r="I29" s="308">
        <v>100</v>
      </c>
      <c r="J29" s="23">
        <f t="shared" si="34"/>
        <v>1.173236013793038E-2</v>
      </c>
      <c r="K29" s="23">
        <f t="shared" si="35"/>
        <v>0</v>
      </c>
      <c r="L29" s="319">
        <v>6401922730.7700005</v>
      </c>
      <c r="M29" s="308">
        <v>100</v>
      </c>
      <c r="N29" s="23">
        <f t="shared" si="36"/>
        <v>7.889721986804531E-3</v>
      </c>
      <c r="O29" s="23">
        <f t="shared" si="37"/>
        <v>0</v>
      </c>
      <c r="P29" s="319">
        <v>6396492471.5900002</v>
      </c>
      <c r="Q29" s="308">
        <v>100</v>
      </c>
      <c r="R29" s="23">
        <f t="shared" si="38"/>
        <v>-8.4822316800239991E-4</v>
      </c>
      <c r="S29" s="23">
        <f t="shared" si="39"/>
        <v>0</v>
      </c>
      <c r="T29" s="319">
        <v>6519318026.6800003</v>
      </c>
      <c r="U29" s="308">
        <v>100</v>
      </c>
      <c r="V29" s="23">
        <f t="shared" si="40"/>
        <v>1.9202016673282966E-2</v>
      </c>
      <c r="W29" s="23">
        <f t="shared" si="41"/>
        <v>0</v>
      </c>
      <c r="X29" s="319">
        <v>6584038357.3299999</v>
      </c>
      <c r="Y29" s="308">
        <v>100</v>
      </c>
      <c r="Z29" s="23">
        <f t="shared" si="42"/>
        <v>9.9274694661519395E-3</v>
      </c>
      <c r="AA29" s="23">
        <f t="shared" si="43"/>
        <v>0</v>
      </c>
      <c r="AB29" s="319">
        <v>6708779236.3699999</v>
      </c>
      <c r="AC29" s="308">
        <v>100</v>
      </c>
      <c r="AD29" s="23">
        <f t="shared" si="44"/>
        <v>1.8945952661579824E-2</v>
      </c>
      <c r="AE29" s="23">
        <f t="shared" si="45"/>
        <v>0</v>
      </c>
      <c r="AF29" s="319">
        <v>6714028324.8000002</v>
      </c>
      <c r="AG29" s="308">
        <v>100</v>
      </c>
      <c r="AH29" s="23">
        <f t="shared" si="46"/>
        <v>7.8242080191633979E-4</v>
      </c>
      <c r="AI29" s="23">
        <f t="shared" si="47"/>
        <v>0</v>
      </c>
      <c r="AJ29" s="24">
        <f t="shared" si="16"/>
        <v>1.2675806514846137E-2</v>
      </c>
      <c r="AK29" s="24">
        <f t="shared" si="17"/>
        <v>0</v>
      </c>
      <c r="AL29" s="25">
        <f t="shared" si="18"/>
        <v>6.9427625470032145E-2</v>
      </c>
      <c r="AM29" s="25">
        <f t="shared" si="19"/>
        <v>0</v>
      </c>
      <c r="AN29" s="378">
        <f t="shared" si="20"/>
        <v>1.1229889513770536E-2</v>
      </c>
      <c r="AO29" s="379">
        <f t="shared" si="21"/>
        <v>6.6984058015212063E-3</v>
      </c>
      <c r="AP29" s="30"/>
      <c r="AQ29" s="38"/>
      <c r="AR29" s="35"/>
      <c r="AS29" s="29"/>
      <c r="AT29" s="29"/>
    </row>
    <row r="30" spans="1:46" ht="15.75" customHeight="1">
      <c r="A30" s="200" t="s">
        <v>228</v>
      </c>
      <c r="B30" s="319">
        <v>12818435327.519999</v>
      </c>
      <c r="C30" s="308">
        <v>100</v>
      </c>
      <c r="D30" s="319">
        <v>12742981407.68</v>
      </c>
      <c r="E30" s="308">
        <v>100</v>
      </c>
      <c r="F30" s="23">
        <f t="shared" si="32"/>
        <v>-5.8863595994439067E-3</v>
      </c>
      <c r="G30" s="23">
        <f t="shared" si="33"/>
        <v>0</v>
      </c>
      <c r="H30" s="319">
        <v>12822705616.629999</v>
      </c>
      <c r="I30" s="308">
        <v>100</v>
      </c>
      <c r="J30" s="23">
        <f t="shared" si="34"/>
        <v>6.2563231004912467E-3</v>
      </c>
      <c r="K30" s="23">
        <f t="shared" si="35"/>
        <v>0</v>
      </c>
      <c r="L30" s="319">
        <v>12722309306.74</v>
      </c>
      <c r="M30" s="308">
        <v>100</v>
      </c>
      <c r="N30" s="23">
        <f t="shared" si="36"/>
        <v>-7.8295730161498517E-3</v>
      </c>
      <c r="O30" s="23">
        <f t="shared" si="37"/>
        <v>0</v>
      </c>
      <c r="P30" s="319">
        <v>12482804303.57</v>
      </c>
      <c r="Q30" s="308">
        <v>100</v>
      </c>
      <c r="R30" s="23">
        <f t="shared" si="38"/>
        <v>-1.8825591910669518E-2</v>
      </c>
      <c r="S30" s="23">
        <f t="shared" si="39"/>
        <v>0</v>
      </c>
      <c r="T30" s="319">
        <v>12481388892.640001</v>
      </c>
      <c r="U30" s="308">
        <v>100</v>
      </c>
      <c r="V30" s="23">
        <f t="shared" si="40"/>
        <v>-1.1338885843092162E-4</v>
      </c>
      <c r="W30" s="23">
        <f t="shared" si="41"/>
        <v>0</v>
      </c>
      <c r="X30" s="319">
        <v>12518887422.59</v>
      </c>
      <c r="Y30" s="308">
        <v>100</v>
      </c>
      <c r="Z30" s="23">
        <f t="shared" si="42"/>
        <v>3.0043555466900728E-3</v>
      </c>
      <c r="AA30" s="23">
        <f t="shared" si="43"/>
        <v>0</v>
      </c>
      <c r="AB30" s="319">
        <v>12664877324.02</v>
      </c>
      <c r="AC30" s="308">
        <v>100</v>
      </c>
      <c r="AD30" s="23">
        <f t="shared" si="44"/>
        <v>1.1661571552002729E-2</v>
      </c>
      <c r="AE30" s="23">
        <f t="shared" si="45"/>
        <v>0</v>
      </c>
      <c r="AF30" s="319">
        <v>12651789489.790001</v>
      </c>
      <c r="AG30" s="308">
        <v>100</v>
      </c>
      <c r="AH30" s="23">
        <f t="shared" si="46"/>
        <v>-1.033396052338965E-3</v>
      </c>
      <c r="AI30" s="23">
        <f t="shared" si="47"/>
        <v>0</v>
      </c>
      <c r="AJ30" s="24">
        <f t="shared" si="16"/>
        <v>-1.5957574047311396E-3</v>
      </c>
      <c r="AK30" s="24">
        <f t="shared" si="17"/>
        <v>0</v>
      </c>
      <c r="AL30" s="25">
        <f t="shared" si="18"/>
        <v>-7.1562466406047973E-3</v>
      </c>
      <c r="AM30" s="25">
        <f t="shared" si="19"/>
        <v>0</v>
      </c>
      <c r="AN30" s="378">
        <f t="shared" si="20"/>
        <v>9.3749176504083955E-3</v>
      </c>
      <c r="AO30" s="379">
        <f t="shared" si="21"/>
        <v>4.1229881618566307E-3</v>
      </c>
      <c r="AP30" s="30"/>
      <c r="AQ30" s="38"/>
      <c r="AR30" s="35"/>
      <c r="AS30" s="29"/>
      <c r="AT30" s="29"/>
    </row>
    <row r="31" spans="1:46">
      <c r="A31" s="200" t="s">
        <v>89</v>
      </c>
      <c r="B31" s="319">
        <v>5360735339.1700001</v>
      </c>
      <c r="C31" s="308">
        <v>100</v>
      </c>
      <c r="D31" s="319">
        <v>5563436722.6800003</v>
      </c>
      <c r="E31" s="308">
        <v>100</v>
      </c>
      <c r="F31" s="23">
        <f t="shared" si="32"/>
        <v>3.7812234830713429E-2</v>
      </c>
      <c r="G31" s="23">
        <f t="shared" si="33"/>
        <v>0</v>
      </c>
      <c r="H31" s="319">
        <v>5739491026.8999996</v>
      </c>
      <c r="I31" s="308">
        <v>100</v>
      </c>
      <c r="J31" s="23">
        <f t="shared" si="34"/>
        <v>3.1644883009506221E-2</v>
      </c>
      <c r="K31" s="23">
        <f t="shared" si="35"/>
        <v>0</v>
      </c>
      <c r="L31" s="319">
        <v>5817272654.2399998</v>
      </c>
      <c r="M31" s="308">
        <v>100</v>
      </c>
      <c r="N31" s="23">
        <f t="shared" si="36"/>
        <v>1.3552007830563921E-2</v>
      </c>
      <c r="O31" s="23">
        <f t="shared" si="37"/>
        <v>0</v>
      </c>
      <c r="P31" s="319">
        <v>5695909796.8400002</v>
      </c>
      <c r="Q31" s="308">
        <v>100</v>
      </c>
      <c r="R31" s="23">
        <f t="shared" si="38"/>
        <v>-2.0862501143305123E-2</v>
      </c>
      <c r="S31" s="23">
        <f t="shared" si="39"/>
        <v>0</v>
      </c>
      <c r="T31" s="319">
        <v>5656213747.3999996</v>
      </c>
      <c r="U31" s="308">
        <v>100</v>
      </c>
      <c r="V31" s="23">
        <f t="shared" si="40"/>
        <v>-6.9692201695369669E-3</v>
      </c>
      <c r="W31" s="23">
        <f t="shared" si="41"/>
        <v>0</v>
      </c>
      <c r="X31" s="319">
        <v>6053981270.9899998</v>
      </c>
      <c r="Y31" s="308">
        <v>100</v>
      </c>
      <c r="Z31" s="23">
        <f t="shared" si="42"/>
        <v>7.0323990809725415E-2</v>
      </c>
      <c r="AA31" s="23">
        <f t="shared" si="43"/>
        <v>0</v>
      </c>
      <c r="AB31" s="319">
        <v>6112797574.9899998</v>
      </c>
      <c r="AC31" s="308">
        <v>100</v>
      </c>
      <c r="AD31" s="23">
        <f t="shared" si="44"/>
        <v>9.7153098708516235E-3</v>
      </c>
      <c r="AE31" s="23">
        <f t="shared" si="45"/>
        <v>0</v>
      </c>
      <c r="AF31" s="319">
        <v>6480590642.1199999</v>
      </c>
      <c r="AG31" s="308">
        <v>100</v>
      </c>
      <c r="AH31" s="23">
        <f t="shared" si="46"/>
        <v>6.0167715782834801E-2</v>
      </c>
      <c r="AI31" s="23">
        <f t="shared" si="47"/>
        <v>0</v>
      </c>
      <c r="AJ31" s="24">
        <f t="shared" si="16"/>
        <v>2.4423052602669165E-2</v>
      </c>
      <c r="AK31" s="24">
        <f t="shared" si="17"/>
        <v>0</v>
      </c>
      <c r="AL31" s="25">
        <f t="shared" si="18"/>
        <v>0.16485384217656587</v>
      </c>
      <c r="AM31" s="25">
        <f t="shared" si="19"/>
        <v>0</v>
      </c>
      <c r="AN31" s="378">
        <f t="shared" si="20"/>
        <v>3.1592846360029368E-2</v>
      </c>
      <c r="AO31" s="379">
        <f t="shared" si="21"/>
        <v>3.4348807455038921E-3</v>
      </c>
      <c r="AP31" s="30"/>
      <c r="AQ31" s="38"/>
      <c r="AR31" s="35"/>
      <c r="AS31" s="29"/>
      <c r="AT31" s="29"/>
    </row>
    <row r="32" spans="1:46">
      <c r="A32" s="200" t="s">
        <v>178</v>
      </c>
      <c r="B32" s="319">
        <v>44514190.369999997</v>
      </c>
      <c r="C32" s="308">
        <v>100</v>
      </c>
      <c r="D32" s="319">
        <v>44514190.369999997</v>
      </c>
      <c r="E32" s="308">
        <v>100</v>
      </c>
      <c r="F32" s="23">
        <f t="shared" si="32"/>
        <v>0</v>
      </c>
      <c r="G32" s="23">
        <f t="shared" si="33"/>
        <v>0</v>
      </c>
      <c r="H32" s="319">
        <v>44514190.369999997</v>
      </c>
      <c r="I32" s="308">
        <v>100</v>
      </c>
      <c r="J32" s="23">
        <f t="shared" si="34"/>
        <v>0</v>
      </c>
      <c r="K32" s="23">
        <f t="shared" si="35"/>
        <v>0</v>
      </c>
      <c r="L32" s="319">
        <v>44514190.369999997</v>
      </c>
      <c r="M32" s="308">
        <v>100</v>
      </c>
      <c r="N32" s="23">
        <f t="shared" si="36"/>
        <v>0</v>
      </c>
      <c r="O32" s="23">
        <f t="shared" si="37"/>
        <v>0</v>
      </c>
      <c r="P32" s="319">
        <v>44514190.369999997</v>
      </c>
      <c r="Q32" s="308">
        <v>100</v>
      </c>
      <c r="R32" s="23">
        <f t="shared" si="38"/>
        <v>0</v>
      </c>
      <c r="S32" s="23">
        <f t="shared" si="39"/>
        <v>0</v>
      </c>
      <c r="T32" s="319">
        <v>44514190.369999997</v>
      </c>
      <c r="U32" s="308">
        <v>100</v>
      </c>
      <c r="V32" s="23">
        <f t="shared" si="40"/>
        <v>0</v>
      </c>
      <c r="W32" s="23">
        <f t="shared" si="41"/>
        <v>0</v>
      </c>
      <c r="X32" s="319">
        <v>44514190.369999997</v>
      </c>
      <c r="Y32" s="308">
        <v>100</v>
      </c>
      <c r="Z32" s="23">
        <f t="shared" si="42"/>
        <v>0</v>
      </c>
      <c r="AA32" s="23">
        <f t="shared" si="43"/>
        <v>0</v>
      </c>
      <c r="AB32" s="319">
        <v>44514190.369999997</v>
      </c>
      <c r="AC32" s="308">
        <v>100</v>
      </c>
      <c r="AD32" s="23">
        <f t="shared" si="44"/>
        <v>0</v>
      </c>
      <c r="AE32" s="23">
        <f t="shared" si="45"/>
        <v>0</v>
      </c>
      <c r="AF32" s="319">
        <v>44514190.369999997</v>
      </c>
      <c r="AG32" s="308">
        <v>100</v>
      </c>
      <c r="AH32" s="23">
        <f t="shared" si="46"/>
        <v>0</v>
      </c>
      <c r="AI32" s="23">
        <f t="shared" si="47"/>
        <v>0</v>
      </c>
      <c r="AJ32" s="24">
        <f t="shared" si="16"/>
        <v>0</v>
      </c>
      <c r="AK32" s="24">
        <f t="shared" si="17"/>
        <v>0</v>
      </c>
      <c r="AL32" s="25">
        <f t="shared" si="18"/>
        <v>0</v>
      </c>
      <c r="AM32" s="25">
        <f t="shared" si="19"/>
        <v>0</v>
      </c>
      <c r="AN32" s="378">
        <f t="shared" si="20"/>
        <v>0</v>
      </c>
      <c r="AO32" s="379">
        <f t="shared" si="21"/>
        <v>0</v>
      </c>
      <c r="AP32" s="30"/>
      <c r="AQ32" s="38"/>
      <c r="AR32" s="35"/>
      <c r="AS32" s="29"/>
      <c r="AT32" s="29"/>
    </row>
    <row r="33" spans="1:47">
      <c r="A33" s="200" t="s">
        <v>108</v>
      </c>
      <c r="B33" s="319">
        <v>4745469606.2600002</v>
      </c>
      <c r="C33" s="308">
        <v>1</v>
      </c>
      <c r="D33" s="319">
        <v>4754926961.3400002</v>
      </c>
      <c r="E33" s="308">
        <v>1</v>
      </c>
      <c r="F33" s="23">
        <f t="shared" si="32"/>
        <v>1.992922906412513E-3</v>
      </c>
      <c r="G33" s="23">
        <f t="shared" si="33"/>
        <v>0</v>
      </c>
      <c r="H33" s="319">
        <v>4801181951.0500002</v>
      </c>
      <c r="I33" s="308">
        <v>1</v>
      </c>
      <c r="J33" s="23">
        <f t="shared" si="34"/>
        <v>9.7278023587064281E-3</v>
      </c>
      <c r="K33" s="23">
        <f t="shared" si="35"/>
        <v>0</v>
      </c>
      <c r="L33" s="319">
        <v>4849586512.3000002</v>
      </c>
      <c r="M33" s="308">
        <v>1</v>
      </c>
      <c r="N33" s="23">
        <f t="shared" si="36"/>
        <v>1.0081801053054052E-2</v>
      </c>
      <c r="O33" s="23">
        <f t="shared" si="37"/>
        <v>0</v>
      </c>
      <c r="P33" s="319">
        <v>4956810236.1300001</v>
      </c>
      <c r="Q33" s="308">
        <v>1</v>
      </c>
      <c r="R33" s="23">
        <f t="shared" si="38"/>
        <v>2.2109869276081277E-2</v>
      </c>
      <c r="S33" s="23">
        <f t="shared" si="39"/>
        <v>0</v>
      </c>
      <c r="T33" s="319">
        <v>5117027630.4200001</v>
      </c>
      <c r="U33" s="308">
        <v>1</v>
      </c>
      <c r="V33" s="23">
        <f t="shared" si="40"/>
        <v>3.2322680646957494E-2</v>
      </c>
      <c r="W33" s="23">
        <f t="shared" si="41"/>
        <v>0</v>
      </c>
      <c r="X33" s="319">
        <v>5124692682.4300003</v>
      </c>
      <c r="Y33" s="308">
        <v>1</v>
      </c>
      <c r="Z33" s="23">
        <f t="shared" si="42"/>
        <v>1.4979500920480841E-3</v>
      </c>
      <c r="AA33" s="23">
        <f t="shared" si="43"/>
        <v>0</v>
      </c>
      <c r="AB33" s="319">
        <v>5210909185.3500004</v>
      </c>
      <c r="AC33" s="308">
        <v>1</v>
      </c>
      <c r="AD33" s="23">
        <f t="shared" si="44"/>
        <v>1.6823741102679816E-2</v>
      </c>
      <c r="AE33" s="23">
        <f t="shared" si="45"/>
        <v>0</v>
      </c>
      <c r="AF33" s="319">
        <v>5018064961.79</v>
      </c>
      <c r="AG33" s="308">
        <v>1</v>
      </c>
      <c r="AH33" s="23">
        <f t="shared" si="46"/>
        <v>-3.7007788219024139E-2</v>
      </c>
      <c r="AI33" s="23">
        <f t="shared" si="47"/>
        <v>0</v>
      </c>
      <c r="AJ33" s="24">
        <f t="shared" si="16"/>
        <v>7.19362240211444E-3</v>
      </c>
      <c r="AK33" s="24">
        <f t="shared" si="17"/>
        <v>0</v>
      </c>
      <c r="AL33" s="25">
        <f t="shared" si="18"/>
        <v>5.5340072011504482E-2</v>
      </c>
      <c r="AM33" s="25">
        <f t="shared" si="19"/>
        <v>0</v>
      </c>
      <c r="AN33" s="378">
        <f t="shared" si="20"/>
        <v>2.0614556155589631E-2</v>
      </c>
      <c r="AO33" s="379">
        <f t="shared" si="21"/>
        <v>5.9480907093158713E-3</v>
      </c>
      <c r="AP33" s="30"/>
      <c r="AQ33" s="38"/>
      <c r="AR33" s="35"/>
      <c r="AS33" s="29"/>
      <c r="AT33" s="29"/>
    </row>
    <row r="34" spans="1:47">
      <c r="A34" s="200" t="s">
        <v>100</v>
      </c>
      <c r="B34" s="319">
        <v>13539988654.25</v>
      </c>
      <c r="C34" s="69">
        <v>100</v>
      </c>
      <c r="D34" s="319">
        <v>14527961910.5</v>
      </c>
      <c r="E34" s="69">
        <v>100</v>
      </c>
      <c r="F34" s="23">
        <f t="shared" si="32"/>
        <v>7.2967066773714756E-2</v>
      </c>
      <c r="G34" s="23">
        <f t="shared" si="33"/>
        <v>0</v>
      </c>
      <c r="H34" s="319">
        <v>13879060473.77</v>
      </c>
      <c r="I34" s="69">
        <v>100</v>
      </c>
      <c r="J34" s="23">
        <f t="shared" si="34"/>
        <v>-4.4665689566614972E-2</v>
      </c>
      <c r="K34" s="23">
        <f t="shared" si="35"/>
        <v>0</v>
      </c>
      <c r="L34" s="319">
        <v>14105826545.83</v>
      </c>
      <c r="M34" s="69">
        <v>100</v>
      </c>
      <c r="N34" s="23">
        <f t="shared" si="36"/>
        <v>1.6338719215797357E-2</v>
      </c>
      <c r="O34" s="23">
        <f t="shared" si="37"/>
        <v>0</v>
      </c>
      <c r="P34" s="319">
        <v>13889082591.969999</v>
      </c>
      <c r="Q34" s="69">
        <v>100</v>
      </c>
      <c r="R34" s="23">
        <f t="shared" si="38"/>
        <v>-1.5365562106963169E-2</v>
      </c>
      <c r="S34" s="23">
        <f t="shared" si="39"/>
        <v>0</v>
      </c>
      <c r="T34" s="319">
        <v>14189585200.16</v>
      </c>
      <c r="U34" s="69">
        <v>100</v>
      </c>
      <c r="V34" s="23">
        <f t="shared" si="40"/>
        <v>2.1635886042159238E-2</v>
      </c>
      <c r="W34" s="23">
        <f t="shared" si="41"/>
        <v>0</v>
      </c>
      <c r="X34" s="319">
        <v>14061388982.280001</v>
      </c>
      <c r="Y34" s="69">
        <v>100</v>
      </c>
      <c r="Z34" s="23">
        <f t="shared" si="42"/>
        <v>-9.034528921856971E-3</v>
      </c>
      <c r="AA34" s="23">
        <f t="shared" si="43"/>
        <v>0</v>
      </c>
      <c r="AB34" s="319">
        <v>14176719275.27</v>
      </c>
      <c r="AC34" s="69">
        <v>100</v>
      </c>
      <c r="AD34" s="23">
        <f t="shared" si="44"/>
        <v>8.2019132772258602E-3</v>
      </c>
      <c r="AE34" s="23">
        <f t="shared" si="45"/>
        <v>0</v>
      </c>
      <c r="AF34" s="319">
        <v>14227020793.049999</v>
      </c>
      <c r="AG34" s="69">
        <v>100</v>
      </c>
      <c r="AH34" s="23">
        <f t="shared" si="46"/>
        <v>3.548177600423055E-3</v>
      </c>
      <c r="AI34" s="23">
        <f t="shared" si="47"/>
        <v>0</v>
      </c>
      <c r="AJ34" s="24">
        <f t="shared" si="16"/>
        <v>6.7032477892356437E-3</v>
      </c>
      <c r="AK34" s="24">
        <f t="shared" si="17"/>
        <v>0</v>
      </c>
      <c r="AL34" s="25">
        <f t="shared" si="18"/>
        <v>-2.0714613605401687E-2</v>
      </c>
      <c r="AM34" s="25">
        <f t="shared" si="19"/>
        <v>0</v>
      </c>
      <c r="AN34" s="378">
        <f t="shared" si="20"/>
        <v>3.4000835868855349E-2</v>
      </c>
      <c r="AO34" s="379">
        <f t="shared" si="21"/>
        <v>2.8998142485151925E-3</v>
      </c>
      <c r="AP34" s="30"/>
      <c r="AQ34" s="38"/>
      <c r="AR34" s="35"/>
      <c r="AS34" s="29"/>
      <c r="AT34" s="29"/>
    </row>
    <row r="35" spans="1:47">
      <c r="A35" s="200" t="s">
        <v>99</v>
      </c>
      <c r="B35" s="319">
        <v>1080347151.77</v>
      </c>
      <c r="C35" s="69">
        <v>1000000</v>
      </c>
      <c r="D35" s="319">
        <v>1081979680.1500001</v>
      </c>
      <c r="E35" s="69">
        <v>1000000</v>
      </c>
      <c r="F35" s="23">
        <f t="shared" si="32"/>
        <v>1.5111146239664183E-3</v>
      </c>
      <c r="G35" s="23">
        <f t="shared" si="33"/>
        <v>0</v>
      </c>
      <c r="H35" s="319">
        <v>1121619605.54</v>
      </c>
      <c r="I35" s="69">
        <v>1000000</v>
      </c>
      <c r="J35" s="23">
        <f t="shared" si="34"/>
        <v>3.6636478593114051E-2</v>
      </c>
      <c r="K35" s="23">
        <f t="shared" si="35"/>
        <v>0</v>
      </c>
      <c r="L35" s="319">
        <v>1123251933.9200001</v>
      </c>
      <c r="M35" s="69">
        <v>1000000</v>
      </c>
      <c r="N35" s="23">
        <f t="shared" si="36"/>
        <v>1.4553315330238326E-3</v>
      </c>
      <c r="O35" s="23">
        <f t="shared" si="37"/>
        <v>0</v>
      </c>
      <c r="P35" s="319">
        <v>1124632940.49</v>
      </c>
      <c r="Q35" s="69">
        <v>1000000</v>
      </c>
      <c r="R35" s="23">
        <f t="shared" si="38"/>
        <v>1.2294717937234292E-3</v>
      </c>
      <c r="S35" s="23">
        <f t="shared" si="39"/>
        <v>0</v>
      </c>
      <c r="T35" s="319">
        <v>1126503090.6099999</v>
      </c>
      <c r="U35" s="69">
        <v>1000000</v>
      </c>
      <c r="V35" s="23">
        <f t="shared" si="40"/>
        <v>1.6628982245398801E-3</v>
      </c>
      <c r="W35" s="23">
        <f t="shared" si="41"/>
        <v>0</v>
      </c>
      <c r="X35" s="319">
        <v>1228392489.0999999</v>
      </c>
      <c r="Y35" s="69">
        <v>1000000</v>
      </c>
      <c r="Z35" s="23">
        <f t="shared" si="42"/>
        <v>9.0447509056390638E-2</v>
      </c>
      <c r="AA35" s="23">
        <f t="shared" si="43"/>
        <v>0</v>
      </c>
      <c r="AB35" s="319">
        <v>1230331119.48</v>
      </c>
      <c r="AC35" s="69">
        <v>1000000</v>
      </c>
      <c r="AD35" s="23">
        <f t="shared" si="44"/>
        <v>1.5781848205702405E-3</v>
      </c>
      <c r="AE35" s="23">
        <f t="shared" si="45"/>
        <v>0</v>
      </c>
      <c r="AF35" s="319">
        <v>1232438547.01</v>
      </c>
      <c r="AG35" s="69">
        <v>1000000</v>
      </c>
      <c r="AH35" s="23">
        <f t="shared" si="46"/>
        <v>1.7128945993747412E-3</v>
      </c>
      <c r="AI35" s="23">
        <f t="shared" si="47"/>
        <v>0</v>
      </c>
      <c r="AJ35" s="24">
        <f t="shared" si="16"/>
        <v>1.7029235405587904E-2</v>
      </c>
      <c r="AK35" s="24">
        <f t="shared" si="17"/>
        <v>0</v>
      </c>
      <c r="AL35" s="25">
        <f t="shared" si="18"/>
        <v>0.13905886554093239</v>
      </c>
      <c r="AM35" s="25">
        <f t="shared" si="19"/>
        <v>0</v>
      </c>
      <c r="AN35" s="378">
        <f t="shared" si="20"/>
        <v>3.21094724655894E-2</v>
      </c>
      <c r="AO35" s="379">
        <f t="shared" si="21"/>
        <v>5.5797259429544587E-4</v>
      </c>
      <c r="AP35" s="30"/>
      <c r="AQ35" s="38"/>
      <c r="AR35" s="35"/>
      <c r="AS35" s="29"/>
      <c r="AT35" s="29"/>
    </row>
    <row r="36" spans="1:47">
      <c r="A36" s="200" t="s">
        <v>168</v>
      </c>
      <c r="B36" s="319">
        <v>2370574483</v>
      </c>
      <c r="C36" s="308">
        <v>1</v>
      </c>
      <c r="D36" s="319">
        <v>2489458643.8299999</v>
      </c>
      <c r="E36" s="308">
        <v>1</v>
      </c>
      <c r="F36" s="23">
        <f t="shared" si="32"/>
        <v>5.0149936938302865E-2</v>
      </c>
      <c r="G36" s="23">
        <f t="shared" si="33"/>
        <v>0</v>
      </c>
      <c r="H36" s="319">
        <v>2522730068.8200002</v>
      </c>
      <c r="I36" s="308">
        <v>1</v>
      </c>
      <c r="J36" s="23">
        <f t="shared" si="34"/>
        <v>1.3364923764635267E-2</v>
      </c>
      <c r="K36" s="23">
        <f t="shared" si="35"/>
        <v>0</v>
      </c>
      <c r="L36" s="319">
        <v>2575467291.23</v>
      </c>
      <c r="M36" s="308">
        <v>1</v>
      </c>
      <c r="N36" s="23">
        <f t="shared" si="36"/>
        <v>2.0904821749188382E-2</v>
      </c>
      <c r="O36" s="23">
        <f t="shared" si="37"/>
        <v>0</v>
      </c>
      <c r="P36" s="319">
        <v>2636152448.2399998</v>
      </c>
      <c r="Q36" s="308">
        <v>1</v>
      </c>
      <c r="R36" s="23">
        <f t="shared" si="38"/>
        <v>2.3562775274469722E-2</v>
      </c>
      <c r="S36" s="23">
        <f t="shared" si="39"/>
        <v>0</v>
      </c>
      <c r="T36" s="319">
        <v>2633343876.3299999</v>
      </c>
      <c r="U36" s="308">
        <v>1</v>
      </c>
      <c r="V36" s="23">
        <f t="shared" si="40"/>
        <v>-1.0654057248756467E-3</v>
      </c>
      <c r="W36" s="23">
        <f t="shared" si="41"/>
        <v>0</v>
      </c>
      <c r="X36" s="319">
        <v>2616061714.6500001</v>
      </c>
      <c r="Y36" s="308">
        <v>1</v>
      </c>
      <c r="Z36" s="23">
        <f t="shared" si="42"/>
        <v>-6.5628199322320859E-3</v>
      </c>
      <c r="AA36" s="23">
        <f t="shared" si="43"/>
        <v>0</v>
      </c>
      <c r="AB36" s="319">
        <v>2612554028.3499999</v>
      </c>
      <c r="AC36" s="308">
        <v>1</v>
      </c>
      <c r="AD36" s="23">
        <f t="shared" si="44"/>
        <v>-1.3408270456148166E-3</v>
      </c>
      <c r="AE36" s="23">
        <f t="shared" si="45"/>
        <v>0</v>
      </c>
      <c r="AF36" s="319">
        <v>2630334513.5300002</v>
      </c>
      <c r="AG36" s="308">
        <v>1</v>
      </c>
      <c r="AH36" s="23">
        <f t="shared" si="46"/>
        <v>6.8057865931407564E-3</v>
      </c>
      <c r="AI36" s="23">
        <f t="shared" si="47"/>
        <v>0</v>
      </c>
      <c r="AJ36" s="24">
        <f t="shared" si="16"/>
        <v>1.3227398952126804E-2</v>
      </c>
      <c r="AK36" s="24">
        <f t="shared" si="17"/>
        <v>0</v>
      </c>
      <c r="AL36" s="25">
        <f t="shared" si="18"/>
        <v>5.6588957623037506E-2</v>
      </c>
      <c r="AM36" s="25">
        <f t="shared" si="19"/>
        <v>0</v>
      </c>
      <c r="AN36" s="378">
        <f t="shared" si="20"/>
        <v>1.8433133568116232E-2</v>
      </c>
      <c r="AO36" s="379">
        <f t="shared" si="21"/>
        <v>4.7405394817628054E-4</v>
      </c>
      <c r="AP36" s="30"/>
      <c r="AQ36" s="38"/>
      <c r="AR36" s="35"/>
      <c r="AS36" s="29"/>
      <c r="AT36" s="29"/>
      <c r="AU36" s="88"/>
    </row>
    <row r="37" spans="1:47" s="84" customFormat="1">
      <c r="A37" s="200" t="s">
        <v>14</v>
      </c>
      <c r="B37" s="319">
        <v>202577681162.17001</v>
      </c>
      <c r="C37" s="308">
        <v>100</v>
      </c>
      <c r="D37" s="319">
        <v>205188776678.94</v>
      </c>
      <c r="E37" s="308">
        <v>100</v>
      </c>
      <c r="F37" s="23">
        <f t="shared" si="32"/>
        <v>1.2889354354291983E-2</v>
      </c>
      <c r="G37" s="23">
        <f t="shared" si="33"/>
        <v>0</v>
      </c>
      <c r="H37" s="319">
        <v>205180309926.07999</v>
      </c>
      <c r="I37" s="308">
        <v>100</v>
      </c>
      <c r="J37" s="23">
        <f t="shared" si="34"/>
        <v>-4.126323572396868E-5</v>
      </c>
      <c r="K37" s="23">
        <f t="shared" si="35"/>
        <v>0</v>
      </c>
      <c r="L37" s="319">
        <v>203955960526.35001</v>
      </c>
      <c r="M37" s="308">
        <v>100</v>
      </c>
      <c r="N37" s="23">
        <f t="shared" si="36"/>
        <v>-5.9671875930544949E-3</v>
      </c>
      <c r="O37" s="23">
        <f t="shared" si="37"/>
        <v>0</v>
      </c>
      <c r="P37" s="319">
        <v>203061336001.59</v>
      </c>
      <c r="Q37" s="308">
        <v>100</v>
      </c>
      <c r="R37" s="23">
        <f t="shared" si="38"/>
        <v>-4.3863612637318784E-3</v>
      </c>
      <c r="S37" s="23">
        <f t="shared" si="39"/>
        <v>0</v>
      </c>
      <c r="T37" s="319">
        <v>203435732498.82001</v>
      </c>
      <c r="U37" s="308">
        <v>100</v>
      </c>
      <c r="V37" s="23">
        <f t="shared" si="40"/>
        <v>1.8437606321425927E-3</v>
      </c>
      <c r="W37" s="23">
        <f t="shared" si="41"/>
        <v>0</v>
      </c>
      <c r="X37" s="319">
        <v>200705395227.67001</v>
      </c>
      <c r="Y37" s="308">
        <v>100</v>
      </c>
      <c r="Z37" s="23">
        <f t="shared" si="42"/>
        <v>-1.3421129305127509E-2</v>
      </c>
      <c r="AA37" s="23">
        <f t="shared" si="43"/>
        <v>0</v>
      </c>
      <c r="AB37" s="319">
        <v>197035337241.79999</v>
      </c>
      <c r="AC37" s="308">
        <v>100</v>
      </c>
      <c r="AD37" s="23">
        <f t="shared" si="44"/>
        <v>-1.8285796361910939E-2</v>
      </c>
      <c r="AE37" s="23">
        <f t="shared" si="45"/>
        <v>0</v>
      </c>
      <c r="AF37" s="319">
        <v>192471295990.45999</v>
      </c>
      <c r="AG37" s="308">
        <v>100</v>
      </c>
      <c r="AH37" s="23">
        <f t="shared" si="46"/>
        <v>-2.3163567080046389E-2</v>
      </c>
      <c r="AI37" s="23">
        <f t="shared" si="47"/>
        <v>0</v>
      </c>
      <c r="AJ37" s="24">
        <f t="shared" si="16"/>
        <v>-6.3165237316450754E-3</v>
      </c>
      <c r="AK37" s="24">
        <f t="shared" si="17"/>
        <v>0</v>
      </c>
      <c r="AL37" s="25">
        <f t="shared" si="18"/>
        <v>-6.1979416683102126E-2</v>
      </c>
      <c r="AM37" s="25">
        <f t="shared" si="19"/>
        <v>0</v>
      </c>
      <c r="AN37" s="378">
        <f t="shared" si="20"/>
        <v>1.1687870564741106E-2</v>
      </c>
      <c r="AO37" s="379">
        <f t="shared" si="21"/>
        <v>6.4650053034517622E-3</v>
      </c>
      <c r="AP37" s="30"/>
      <c r="AQ37" s="38"/>
      <c r="AR37" s="35"/>
      <c r="AS37" s="29"/>
      <c r="AT37" s="29"/>
    </row>
    <row r="38" spans="1:47" s="365" customFormat="1">
      <c r="A38" s="200" t="s">
        <v>257</v>
      </c>
      <c r="B38" s="319">
        <v>268706599.25999999</v>
      </c>
      <c r="C38" s="308">
        <v>1</v>
      </c>
      <c r="D38" s="319">
        <v>268855979.88</v>
      </c>
      <c r="E38" s="308">
        <v>1</v>
      </c>
      <c r="F38" s="23">
        <f t="shared" si="32"/>
        <v>5.5592464201247385E-4</v>
      </c>
      <c r="G38" s="23">
        <f t="shared" si="33"/>
        <v>0</v>
      </c>
      <c r="H38" s="375">
        <v>238133032.34999999</v>
      </c>
      <c r="I38" s="308">
        <v>1</v>
      </c>
      <c r="J38" s="23">
        <f t="shared" si="34"/>
        <v>-0.1142728815022554</v>
      </c>
      <c r="K38" s="23">
        <f t="shared" si="35"/>
        <v>0</v>
      </c>
      <c r="L38" s="319">
        <v>270827759.00999999</v>
      </c>
      <c r="M38" s="308">
        <v>1</v>
      </c>
      <c r="N38" s="23">
        <f t="shared" si="36"/>
        <v>0.13729605816275994</v>
      </c>
      <c r="O38" s="23">
        <f t="shared" si="37"/>
        <v>0</v>
      </c>
      <c r="P38" s="319">
        <v>316090651.86000001</v>
      </c>
      <c r="Q38" s="308">
        <v>1</v>
      </c>
      <c r="R38" s="23">
        <f t="shared" si="38"/>
        <v>0.16712796729351789</v>
      </c>
      <c r="S38" s="23">
        <f t="shared" si="39"/>
        <v>0</v>
      </c>
      <c r="T38" s="375">
        <v>282212950.04000002</v>
      </c>
      <c r="U38" s="308">
        <v>1</v>
      </c>
      <c r="V38" s="23">
        <f t="shared" si="40"/>
        <v>-0.10717717091805927</v>
      </c>
      <c r="W38" s="23">
        <f t="shared" si="41"/>
        <v>0</v>
      </c>
      <c r="X38" s="319">
        <v>292233591.13999999</v>
      </c>
      <c r="Y38" s="308">
        <v>1</v>
      </c>
      <c r="Z38" s="23">
        <f t="shared" si="42"/>
        <v>3.5507375188061602E-2</v>
      </c>
      <c r="AA38" s="23">
        <f t="shared" si="43"/>
        <v>0</v>
      </c>
      <c r="AB38" s="375">
        <v>282092191.77999997</v>
      </c>
      <c r="AC38" s="308">
        <v>1</v>
      </c>
      <c r="AD38" s="23">
        <f t="shared" si="44"/>
        <v>-3.4703058332337937E-2</v>
      </c>
      <c r="AE38" s="23">
        <f t="shared" si="45"/>
        <v>0</v>
      </c>
      <c r="AF38" s="319">
        <v>282469840.45999998</v>
      </c>
      <c r="AG38" s="308">
        <v>1</v>
      </c>
      <c r="AH38" s="23">
        <f t="shared" si="46"/>
        <v>1.3387420531459815E-3</v>
      </c>
      <c r="AI38" s="23">
        <f t="shared" si="47"/>
        <v>0</v>
      </c>
      <c r="AJ38" s="24">
        <f t="shared" si="16"/>
        <v>1.0709119573355663E-2</v>
      </c>
      <c r="AK38" s="24">
        <f t="shared" si="17"/>
        <v>0</v>
      </c>
      <c r="AL38" s="25">
        <f t="shared" si="18"/>
        <v>5.0636257322884667E-2</v>
      </c>
      <c r="AM38" s="25">
        <f t="shared" si="19"/>
        <v>0</v>
      </c>
      <c r="AN38" s="378">
        <f t="shared" si="20"/>
        <v>0.10203423637477696</v>
      </c>
      <c r="AO38" s="379">
        <f t="shared" si="21"/>
        <v>1.2269383937354236E-2</v>
      </c>
      <c r="AP38" s="30"/>
      <c r="AQ38" s="38"/>
      <c r="AR38" s="35"/>
      <c r="AS38" s="29"/>
      <c r="AT38" s="29"/>
    </row>
    <row r="39" spans="1:47" s="86" customFormat="1">
      <c r="A39" s="200" t="s">
        <v>122</v>
      </c>
      <c r="B39" s="319">
        <v>618707415.85000002</v>
      </c>
      <c r="C39" s="308">
        <v>10</v>
      </c>
      <c r="D39" s="319">
        <v>627642877.64999998</v>
      </c>
      <c r="E39" s="308">
        <v>10</v>
      </c>
      <c r="F39" s="23">
        <f t="shared" si="32"/>
        <v>1.4442144333641337E-2</v>
      </c>
      <c r="G39" s="23">
        <f t="shared" si="33"/>
        <v>0</v>
      </c>
      <c r="H39" s="319">
        <v>603439230.46000004</v>
      </c>
      <c r="I39" s="308">
        <v>10</v>
      </c>
      <c r="J39" s="23">
        <f t="shared" si="34"/>
        <v>-3.8562768816277251E-2</v>
      </c>
      <c r="K39" s="23">
        <f t="shared" si="35"/>
        <v>0</v>
      </c>
      <c r="L39" s="319">
        <v>603439230.46000004</v>
      </c>
      <c r="M39" s="308">
        <v>10</v>
      </c>
      <c r="N39" s="23">
        <f t="shared" si="36"/>
        <v>0</v>
      </c>
      <c r="O39" s="23">
        <f t="shared" si="37"/>
        <v>0</v>
      </c>
      <c r="P39" s="319">
        <v>607579274.76999998</v>
      </c>
      <c r="Q39" s="308">
        <v>10</v>
      </c>
      <c r="R39" s="23">
        <f t="shared" si="38"/>
        <v>6.8607476959096584E-3</v>
      </c>
      <c r="S39" s="23">
        <f t="shared" si="39"/>
        <v>0</v>
      </c>
      <c r="T39" s="319">
        <v>612928918.5</v>
      </c>
      <c r="U39" s="308">
        <v>10</v>
      </c>
      <c r="V39" s="23">
        <f t="shared" si="40"/>
        <v>8.804848934363561E-3</v>
      </c>
      <c r="W39" s="23">
        <f t="shared" si="41"/>
        <v>0</v>
      </c>
      <c r="X39" s="319">
        <v>614828792.12</v>
      </c>
      <c r="Y39" s="308">
        <v>10</v>
      </c>
      <c r="Z39" s="23">
        <f t="shared" si="42"/>
        <v>3.0996638642038633E-3</v>
      </c>
      <c r="AA39" s="23">
        <f t="shared" si="43"/>
        <v>0</v>
      </c>
      <c r="AB39" s="319">
        <v>582641695.84000003</v>
      </c>
      <c r="AC39" s="308">
        <v>10</v>
      </c>
      <c r="AD39" s="23">
        <f t="shared" si="44"/>
        <v>-5.2351315833819662E-2</v>
      </c>
      <c r="AE39" s="23">
        <f t="shared" si="45"/>
        <v>0</v>
      </c>
      <c r="AF39" s="319">
        <v>580975656.15999997</v>
      </c>
      <c r="AG39" s="308">
        <v>10</v>
      </c>
      <c r="AH39" s="23">
        <f t="shared" si="46"/>
        <v>-2.8594583805028263E-3</v>
      </c>
      <c r="AI39" s="23">
        <f t="shared" si="47"/>
        <v>0</v>
      </c>
      <c r="AJ39" s="24">
        <f t="shared" si="16"/>
        <v>-7.5707672753101644E-3</v>
      </c>
      <c r="AK39" s="24">
        <f t="shared" si="17"/>
        <v>0</v>
      </c>
      <c r="AL39" s="25">
        <f t="shared" si="18"/>
        <v>-7.435314436249145E-2</v>
      </c>
      <c r="AM39" s="25">
        <f t="shared" si="19"/>
        <v>0</v>
      </c>
      <c r="AN39" s="378">
        <f t="shared" si="20"/>
        <v>2.4260992931550561E-2</v>
      </c>
      <c r="AO39" s="379">
        <f t="shared" si="21"/>
        <v>1.8508985215066279E-2</v>
      </c>
      <c r="AP39" s="30"/>
      <c r="AQ39" s="38"/>
      <c r="AR39" s="35"/>
      <c r="AS39" s="29"/>
      <c r="AT39" s="29"/>
    </row>
    <row r="40" spans="1:47" s="86" customFormat="1">
      <c r="A40" s="200" t="s">
        <v>86</v>
      </c>
      <c r="B40" s="319">
        <v>3139377470.432292</v>
      </c>
      <c r="C40" s="308">
        <v>100</v>
      </c>
      <c r="D40" s="319">
        <v>3139377470.432292</v>
      </c>
      <c r="E40" s="308">
        <v>100</v>
      </c>
      <c r="F40" s="23">
        <f t="shared" si="32"/>
        <v>0</v>
      </c>
      <c r="G40" s="23">
        <f t="shared" si="33"/>
        <v>0</v>
      </c>
      <c r="H40" s="319">
        <v>3437109711.7933283</v>
      </c>
      <c r="I40" s="308">
        <v>100</v>
      </c>
      <c r="J40" s="23">
        <f t="shared" si="34"/>
        <v>9.4837987519875586E-2</v>
      </c>
      <c r="K40" s="23">
        <f t="shared" si="35"/>
        <v>0</v>
      </c>
      <c r="L40" s="319">
        <v>3445072577.5697169</v>
      </c>
      <c r="M40" s="308">
        <v>100</v>
      </c>
      <c r="N40" s="23">
        <f t="shared" si="36"/>
        <v>2.3167330821785093E-3</v>
      </c>
      <c r="O40" s="23">
        <f t="shared" si="37"/>
        <v>0</v>
      </c>
      <c r="P40" s="319">
        <v>2945831507.4202838</v>
      </c>
      <c r="Q40" s="308">
        <v>100</v>
      </c>
      <c r="R40" s="23">
        <f t="shared" si="38"/>
        <v>-0.14491452905808344</v>
      </c>
      <c r="S40" s="23">
        <f t="shared" si="39"/>
        <v>0</v>
      </c>
      <c r="T40" s="319">
        <v>2943431124.5049682</v>
      </c>
      <c r="U40" s="308">
        <v>100</v>
      </c>
      <c r="V40" s="23">
        <f t="shared" si="40"/>
        <v>-8.1484053289174218E-4</v>
      </c>
      <c r="W40" s="23">
        <f t="shared" si="41"/>
        <v>0</v>
      </c>
      <c r="X40" s="319">
        <v>3671206553.7942152</v>
      </c>
      <c r="Y40" s="308">
        <v>100</v>
      </c>
      <c r="Z40" s="23">
        <f t="shared" si="42"/>
        <v>0.24725410532976058</v>
      </c>
      <c r="AA40" s="23">
        <f t="shared" si="43"/>
        <v>0</v>
      </c>
      <c r="AB40" s="319">
        <v>3664356200.4320264</v>
      </c>
      <c r="AC40" s="308">
        <v>100</v>
      </c>
      <c r="AD40" s="23">
        <f t="shared" si="44"/>
        <v>-1.8659678396762865E-3</v>
      </c>
      <c r="AE40" s="23">
        <f t="shared" si="45"/>
        <v>0</v>
      </c>
      <c r="AF40" s="319">
        <v>3676866131.9580865</v>
      </c>
      <c r="AG40" s="308">
        <v>100</v>
      </c>
      <c r="AH40" s="23">
        <f t="shared" si="46"/>
        <v>3.4139507301678769E-3</v>
      </c>
      <c r="AI40" s="23">
        <f t="shared" si="47"/>
        <v>0</v>
      </c>
      <c r="AJ40" s="24">
        <f t="shared" si="16"/>
        <v>2.5028429903916384E-2</v>
      </c>
      <c r="AK40" s="24">
        <f t="shared" si="17"/>
        <v>0</v>
      </c>
      <c r="AL40" s="25">
        <f t="shared" si="18"/>
        <v>0.17120867642965609</v>
      </c>
      <c r="AM40" s="25">
        <f t="shared" si="19"/>
        <v>0</v>
      </c>
      <c r="AN40" s="378">
        <f t="shared" si="20"/>
        <v>0.11093038157624506</v>
      </c>
      <c r="AO40" s="379">
        <f t="shared" si="21"/>
        <v>6.5971925645555733E-4</v>
      </c>
      <c r="AP40" s="30"/>
      <c r="AQ40" s="38"/>
      <c r="AR40" s="35"/>
      <c r="AS40" s="29"/>
      <c r="AT40" s="29"/>
    </row>
    <row r="41" spans="1:47" s="365" customFormat="1">
      <c r="A41" s="200" t="s">
        <v>264</v>
      </c>
      <c r="B41" s="319">
        <v>20964679811.240002</v>
      </c>
      <c r="C41" s="308">
        <v>100</v>
      </c>
      <c r="D41" s="319">
        <v>21087722544.799999</v>
      </c>
      <c r="E41" s="308">
        <v>100</v>
      </c>
      <c r="F41" s="23">
        <f t="shared" si="32"/>
        <v>5.86904902282502E-3</v>
      </c>
      <c r="G41" s="23">
        <f t="shared" si="33"/>
        <v>0</v>
      </c>
      <c r="H41" s="319">
        <v>20698333560.200001</v>
      </c>
      <c r="I41" s="308">
        <v>100</v>
      </c>
      <c r="J41" s="23">
        <f t="shared" si="34"/>
        <v>-1.8465198589973742E-2</v>
      </c>
      <c r="K41" s="23">
        <f t="shared" si="35"/>
        <v>0</v>
      </c>
      <c r="L41" s="319">
        <v>20606333065.869999</v>
      </c>
      <c r="M41" s="308">
        <v>100</v>
      </c>
      <c r="N41" s="23">
        <f t="shared" si="36"/>
        <v>-4.4448261529085563E-3</v>
      </c>
      <c r="O41" s="23">
        <f t="shared" si="37"/>
        <v>0</v>
      </c>
      <c r="P41" s="319">
        <v>20603590791.360001</v>
      </c>
      <c r="Q41" s="308">
        <v>100</v>
      </c>
      <c r="R41" s="23">
        <f t="shared" si="38"/>
        <v>-1.3307920925243681E-4</v>
      </c>
      <c r="S41" s="23">
        <f t="shared" si="39"/>
        <v>0</v>
      </c>
      <c r="T41" s="319">
        <v>20576158727.080002</v>
      </c>
      <c r="U41" s="308">
        <v>100</v>
      </c>
      <c r="V41" s="23">
        <f t="shared" si="40"/>
        <v>-1.331421525392664E-3</v>
      </c>
      <c r="W41" s="23">
        <f t="shared" si="41"/>
        <v>0</v>
      </c>
      <c r="X41" s="319">
        <v>20633982628.639999</v>
      </c>
      <c r="Y41" s="308">
        <v>100</v>
      </c>
      <c r="Z41" s="23">
        <f t="shared" si="42"/>
        <v>2.8102379227808111E-3</v>
      </c>
      <c r="AA41" s="23">
        <f t="shared" si="43"/>
        <v>0</v>
      </c>
      <c r="AB41" s="319">
        <v>20727741540.740002</v>
      </c>
      <c r="AC41" s="308">
        <v>100</v>
      </c>
      <c r="AD41" s="23">
        <f t="shared" si="44"/>
        <v>4.5439076782910915E-3</v>
      </c>
      <c r="AE41" s="23">
        <f t="shared" si="45"/>
        <v>0</v>
      </c>
      <c r="AF41" s="319">
        <v>20819675331.599998</v>
      </c>
      <c r="AG41" s="308">
        <v>100</v>
      </c>
      <c r="AH41" s="23">
        <f t="shared" si="46"/>
        <v>4.4353018720974784E-3</v>
      </c>
      <c r="AI41" s="23">
        <f t="shared" si="47"/>
        <v>0</v>
      </c>
      <c r="AJ41" s="24">
        <f t="shared" si="16"/>
        <v>-8.3950362269162452E-4</v>
      </c>
      <c r="AK41" s="24">
        <f t="shared" si="17"/>
        <v>0</v>
      </c>
      <c r="AL41" s="25">
        <f t="shared" si="18"/>
        <v>-1.2711055574187563E-2</v>
      </c>
      <c r="AM41" s="25">
        <f t="shared" si="19"/>
        <v>0</v>
      </c>
      <c r="AN41" s="378">
        <f t="shared" si="20"/>
        <v>7.9240544680763587E-3</v>
      </c>
      <c r="AO41" s="379">
        <f t="shared" si="21"/>
        <v>1.6065139662026261E-3</v>
      </c>
      <c r="AP41" s="30"/>
      <c r="AQ41" s="38"/>
      <c r="AR41" s="35"/>
      <c r="AS41" s="29"/>
      <c r="AT41" s="29"/>
    </row>
    <row r="42" spans="1:47" s="86" customFormat="1">
      <c r="A42" s="200" t="s">
        <v>121</v>
      </c>
      <c r="B42" s="319">
        <v>3317170674.1900001</v>
      </c>
      <c r="C42" s="308">
        <v>1</v>
      </c>
      <c r="D42" s="319">
        <v>3307850359.5</v>
      </c>
      <c r="E42" s="308">
        <v>1</v>
      </c>
      <c r="F42" s="23">
        <f t="shared" si="32"/>
        <v>-2.8097181620827904E-3</v>
      </c>
      <c r="G42" s="23">
        <f t="shared" si="33"/>
        <v>0</v>
      </c>
      <c r="H42" s="319">
        <v>3308995362.3699999</v>
      </c>
      <c r="I42" s="308">
        <v>1</v>
      </c>
      <c r="J42" s="23">
        <f t="shared" si="34"/>
        <v>3.4614711838807581E-4</v>
      </c>
      <c r="K42" s="23">
        <f t="shared" si="35"/>
        <v>0</v>
      </c>
      <c r="L42" s="319">
        <v>3266987392.04</v>
      </c>
      <c r="M42" s="308">
        <v>1</v>
      </c>
      <c r="N42" s="23">
        <f t="shared" si="36"/>
        <v>-1.269508286645424E-2</v>
      </c>
      <c r="O42" s="23">
        <f t="shared" si="37"/>
        <v>0</v>
      </c>
      <c r="P42" s="319">
        <v>3238069703.6799998</v>
      </c>
      <c r="Q42" s="308">
        <v>1</v>
      </c>
      <c r="R42" s="23">
        <f t="shared" si="38"/>
        <v>-8.8514845298937953E-3</v>
      </c>
      <c r="S42" s="23">
        <f t="shared" si="39"/>
        <v>0</v>
      </c>
      <c r="T42" s="319">
        <v>3190831257.6599998</v>
      </c>
      <c r="U42" s="308">
        <v>1</v>
      </c>
      <c r="V42" s="23">
        <f t="shared" si="40"/>
        <v>-1.4588458662985066E-2</v>
      </c>
      <c r="W42" s="23">
        <f t="shared" si="41"/>
        <v>0</v>
      </c>
      <c r="X42" s="319">
        <v>3162708156.3899999</v>
      </c>
      <c r="Y42" s="308">
        <v>1</v>
      </c>
      <c r="Z42" s="23">
        <f t="shared" si="42"/>
        <v>-8.8137225064744071E-3</v>
      </c>
      <c r="AA42" s="23">
        <f t="shared" si="43"/>
        <v>0</v>
      </c>
      <c r="AB42" s="319">
        <v>3120431897.5</v>
      </c>
      <c r="AC42" s="308">
        <v>1</v>
      </c>
      <c r="AD42" s="23">
        <f t="shared" si="44"/>
        <v>-1.3367107175091085E-2</v>
      </c>
      <c r="AE42" s="23">
        <f t="shared" si="45"/>
        <v>0</v>
      </c>
      <c r="AF42" s="319">
        <v>3120959746.6900001</v>
      </c>
      <c r="AG42" s="308">
        <v>1</v>
      </c>
      <c r="AH42" s="23">
        <f t="shared" si="46"/>
        <v>1.6915901623200134E-4</v>
      </c>
      <c r="AI42" s="23">
        <f t="shared" si="47"/>
        <v>0</v>
      </c>
      <c r="AJ42" s="24">
        <f t="shared" si="16"/>
        <v>-7.5762834710451626E-3</v>
      </c>
      <c r="AK42" s="24">
        <f t="shared" si="17"/>
        <v>0</v>
      </c>
      <c r="AL42" s="25">
        <f t="shared" si="18"/>
        <v>-5.649911347206453E-2</v>
      </c>
      <c r="AM42" s="25">
        <f t="shared" si="19"/>
        <v>0</v>
      </c>
      <c r="AN42" s="378">
        <f t="shared" si="20"/>
        <v>6.065601737477614E-3</v>
      </c>
      <c r="AO42" s="379">
        <f t="shared" si="21"/>
        <v>4.7259860641771312E-3</v>
      </c>
      <c r="AP42" s="30"/>
      <c r="AQ42" s="38"/>
      <c r="AR42" s="35"/>
      <c r="AS42" s="29"/>
      <c r="AT42" s="29"/>
    </row>
    <row r="43" spans="1:47" s="86" customFormat="1">
      <c r="A43" s="200" t="s">
        <v>55</v>
      </c>
      <c r="B43" s="314">
        <v>3218146936.1100001</v>
      </c>
      <c r="C43" s="308">
        <v>10</v>
      </c>
      <c r="D43" s="314">
        <v>3291678950.0100002</v>
      </c>
      <c r="E43" s="308">
        <v>10</v>
      </c>
      <c r="F43" s="23">
        <f t="shared" si="32"/>
        <v>2.2849178536541094E-2</v>
      </c>
      <c r="G43" s="23">
        <f t="shared" si="33"/>
        <v>0</v>
      </c>
      <c r="H43" s="314">
        <v>3272362488.4099998</v>
      </c>
      <c r="I43" s="308">
        <v>10</v>
      </c>
      <c r="J43" s="23">
        <f t="shared" si="34"/>
        <v>-5.8682702333232402E-3</v>
      </c>
      <c r="K43" s="23">
        <f t="shared" si="35"/>
        <v>0</v>
      </c>
      <c r="L43" s="314">
        <v>3234712239.6900001</v>
      </c>
      <c r="M43" s="308">
        <v>10</v>
      </c>
      <c r="N43" s="23">
        <f t="shared" si="36"/>
        <v>-1.1505525091840781E-2</v>
      </c>
      <c r="O43" s="23">
        <f t="shared" si="37"/>
        <v>0</v>
      </c>
      <c r="P43" s="314">
        <v>3273308949.3600001</v>
      </c>
      <c r="Q43" s="308">
        <v>10</v>
      </c>
      <c r="R43" s="23">
        <f t="shared" si="38"/>
        <v>1.1932038094893724E-2</v>
      </c>
      <c r="S43" s="23">
        <f t="shared" si="39"/>
        <v>0</v>
      </c>
      <c r="T43" s="314">
        <v>3305960850.2199998</v>
      </c>
      <c r="U43" s="308">
        <v>10</v>
      </c>
      <c r="V43" s="23">
        <f t="shared" si="40"/>
        <v>9.9751967703457321E-3</v>
      </c>
      <c r="W43" s="23">
        <f t="shared" si="41"/>
        <v>0</v>
      </c>
      <c r="X43" s="314">
        <v>3256369220.0500002</v>
      </c>
      <c r="Y43" s="308">
        <v>10</v>
      </c>
      <c r="Z43" s="23">
        <f t="shared" si="42"/>
        <v>-1.5000670732897353E-2</v>
      </c>
      <c r="AA43" s="23">
        <f t="shared" si="43"/>
        <v>0</v>
      </c>
      <c r="AB43" s="314">
        <v>3256369220.0500002</v>
      </c>
      <c r="AC43" s="308">
        <v>10</v>
      </c>
      <c r="AD43" s="23">
        <f t="shared" si="44"/>
        <v>0</v>
      </c>
      <c r="AE43" s="23">
        <f t="shared" si="45"/>
        <v>0</v>
      </c>
      <c r="AF43" s="314">
        <v>3358708338.1300001</v>
      </c>
      <c r="AG43" s="308">
        <v>10</v>
      </c>
      <c r="AH43" s="23">
        <f t="shared" si="46"/>
        <v>3.1427369307473231E-2</v>
      </c>
      <c r="AI43" s="23">
        <f t="shared" si="47"/>
        <v>0</v>
      </c>
      <c r="AJ43" s="24">
        <f t="shared" si="16"/>
        <v>5.4761645813990508E-3</v>
      </c>
      <c r="AK43" s="24">
        <f t="shared" si="17"/>
        <v>0</v>
      </c>
      <c r="AL43" s="25">
        <f t="shared" si="18"/>
        <v>2.0363282427587979E-2</v>
      </c>
      <c r="AM43" s="25">
        <f t="shared" si="19"/>
        <v>0</v>
      </c>
      <c r="AN43" s="378">
        <f t="shared" si="20"/>
        <v>1.6490557395563786E-2</v>
      </c>
      <c r="AO43" s="379">
        <f t="shared" si="21"/>
        <v>0</v>
      </c>
      <c r="AP43" s="30"/>
      <c r="AQ43" s="38"/>
      <c r="AR43" s="35"/>
      <c r="AS43" s="29"/>
      <c r="AT43" s="29"/>
    </row>
    <row r="44" spans="1:47" s="86" customFormat="1">
      <c r="A44" s="200" t="s">
        <v>187</v>
      </c>
      <c r="B44" s="319">
        <v>4486353598.1300001</v>
      </c>
      <c r="C44" s="308">
        <v>100</v>
      </c>
      <c r="D44" s="319">
        <v>4547333981.5799999</v>
      </c>
      <c r="E44" s="308">
        <v>100</v>
      </c>
      <c r="F44" s="23">
        <f t="shared" si="32"/>
        <v>1.3592415781809447E-2</v>
      </c>
      <c r="G44" s="23">
        <f t="shared" si="33"/>
        <v>0</v>
      </c>
      <c r="H44" s="319">
        <v>4673306983.1400003</v>
      </c>
      <c r="I44" s="308">
        <v>100</v>
      </c>
      <c r="J44" s="23">
        <f t="shared" si="34"/>
        <v>2.7702605981940721E-2</v>
      </c>
      <c r="K44" s="23">
        <f t="shared" si="35"/>
        <v>0</v>
      </c>
      <c r="L44" s="319">
        <v>4751906089.3000002</v>
      </c>
      <c r="M44" s="308">
        <v>100</v>
      </c>
      <c r="N44" s="23">
        <f t="shared" si="36"/>
        <v>1.6818733809604997E-2</v>
      </c>
      <c r="O44" s="23">
        <f t="shared" si="37"/>
        <v>0</v>
      </c>
      <c r="P44" s="319">
        <v>4871521801.3699999</v>
      </c>
      <c r="Q44" s="308">
        <v>100</v>
      </c>
      <c r="R44" s="23">
        <f t="shared" si="38"/>
        <v>2.5172154041373365E-2</v>
      </c>
      <c r="S44" s="23">
        <f t="shared" si="39"/>
        <v>0</v>
      </c>
      <c r="T44" s="319">
        <v>4962422555.4399996</v>
      </c>
      <c r="U44" s="308">
        <v>100</v>
      </c>
      <c r="V44" s="23">
        <f t="shared" si="40"/>
        <v>1.8659621731434317E-2</v>
      </c>
      <c r="W44" s="23">
        <f t="shared" si="41"/>
        <v>0</v>
      </c>
      <c r="X44" s="319">
        <v>5028188588.3800001</v>
      </c>
      <c r="Y44" s="308">
        <v>100</v>
      </c>
      <c r="Z44" s="23">
        <f t="shared" si="42"/>
        <v>1.3252807918967978E-2</v>
      </c>
      <c r="AA44" s="23">
        <f t="shared" si="43"/>
        <v>0</v>
      </c>
      <c r="AB44" s="319">
        <v>5124066632.3999996</v>
      </c>
      <c r="AC44" s="308">
        <v>100</v>
      </c>
      <c r="AD44" s="23">
        <f t="shared" si="44"/>
        <v>1.9068108193390144E-2</v>
      </c>
      <c r="AE44" s="23">
        <f t="shared" si="45"/>
        <v>0</v>
      </c>
      <c r="AF44" s="319">
        <v>5218311559.0299997</v>
      </c>
      <c r="AG44" s="308">
        <v>100</v>
      </c>
      <c r="AH44" s="23">
        <f t="shared" si="46"/>
        <v>1.8392603646892443E-2</v>
      </c>
      <c r="AI44" s="23">
        <f t="shared" si="47"/>
        <v>0</v>
      </c>
      <c r="AJ44" s="24">
        <f t="shared" si="16"/>
        <v>1.9082381388176677E-2</v>
      </c>
      <c r="AK44" s="24">
        <f t="shared" si="17"/>
        <v>0</v>
      </c>
      <c r="AL44" s="25">
        <f t="shared" si="18"/>
        <v>0.14755405698546567</v>
      </c>
      <c r="AM44" s="25">
        <f t="shared" si="19"/>
        <v>0</v>
      </c>
      <c r="AN44" s="378">
        <f t="shared" si="20"/>
        <v>5.0891491760180537E-3</v>
      </c>
      <c r="AO44" s="379">
        <f t="shared" si="21"/>
        <v>6.7415943039724696E-3</v>
      </c>
      <c r="AP44" s="30"/>
      <c r="AQ44" s="38"/>
      <c r="AR44" s="35"/>
      <c r="AS44" s="29"/>
      <c r="AT44" s="29"/>
    </row>
    <row r="45" spans="1:47" s="86" customFormat="1">
      <c r="A45" s="200" t="s">
        <v>161</v>
      </c>
      <c r="B45" s="319">
        <v>143812692.97</v>
      </c>
      <c r="C45" s="308">
        <v>1</v>
      </c>
      <c r="D45" s="319">
        <v>143692693.72</v>
      </c>
      <c r="E45" s="308">
        <v>1</v>
      </c>
      <c r="F45" s="23">
        <f t="shared" si="32"/>
        <v>-8.3441348271694215E-4</v>
      </c>
      <c r="G45" s="23">
        <f t="shared" si="33"/>
        <v>0</v>
      </c>
      <c r="H45" s="319">
        <v>143692693.59999999</v>
      </c>
      <c r="I45" s="308">
        <v>1</v>
      </c>
      <c r="J45" s="23">
        <f t="shared" si="34"/>
        <v>-8.3511556267574707E-10</v>
      </c>
      <c r="K45" s="23">
        <f t="shared" si="35"/>
        <v>0</v>
      </c>
      <c r="L45" s="319">
        <v>143622694.03</v>
      </c>
      <c r="M45" s="308">
        <v>1</v>
      </c>
      <c r="N45" s="23">
        <f t="shared" si="36"/>
        <v>-4.87147733446016E-4</v>
      </c>
      <c r="O45" s="23">
        <f t="shared" si="37"/>
        <v>0</v>
      </c>
      <c r="P45" s="319">
        <v>143622693.86000001</v>
      </c>
      <c r="Q45" s="308">
        <v>1</v>
      </c>
      <c r="R45" s="23">
        <f t="shared" si="38"/>
        <v>-1.1836568589325337E-9</v>
      </c>
      <c r="S45" s="23">
        <f t="shared" si="39"/>
        <v>0</v>
      </c>
      <c r="T45" s="319">
        <v>162642550.00999999</v>
      </c>
      <c r="U45" s="308">
        <v>1</v>
      </c>
      <c r="V45" s="23">
        <f t="shared" si="40"/>
        <v>0.13242932324149329</v>
      </c>
      <c r="W45" s="23">
        <f t="shared" si="41"/>
        <v>0</v>
      </c>
      <c r="X45" s="319">
        <v>161220534.56</v>
      </c>
      <c r="Y45" s="308">
        <v>1</v>
      </c>
      <c r="Z45" s="23">
        <f t="shared" si="42"/>
        <v>-8.7431945079104838E-3</v>
      </c>
      <c r="AA45" s="23">
        <f t="shared" si="43"/>
        <v>0</v>
      </c>
      <c r="AB45" s="319">
        <v>160860537.30000001</v>
      </c>
      <c r="AC45" s="308">
        <v>1</v>
      </c>
      <c r="AD45" s="23">
        <f t="shared" si="44"/>
        <v>-2.232949177240282E-3</v>
      </c>
      <c r="AE45" s="23">
        <f t="shared" si="45"/>
        <v>0</v>
      </c>
      <c r="AF45" s="319">
        <v>160591347.16999999</v>
      </c>
      <c r="AG45" s="308">
        <v>1</v>
      </c>
      <c r="AH45" s="23">
        <f t="shared" si="46"/>
        <v>-1.6734379638307041E-3</v>
      </c>
      <c r="AI45" s="23">
        <f t="shared" si="47"/>
        <v>0</v>
      </c>
      <c r="AJ45" s="24">
        <f t="shared" si="16"/>
        <v>1.4807272294697055E-2</v>
      </c>
      <c r="AK45" s="24">
        <f t="shared" si="17"/>
        <v>0</v>
      </c>
      <c r="AL45" s="25">
        <f t="shared" si="18"/>
        <v>0.11760273269654721</v>
      </c>
      <c r="AM45" s="25">
        <f t="shared" si="19"/>
        <v>0</v>
      </c>
      <c r="AN45" s="378">
        <f t="shared" si="20"/>
        <v>4.7612493284476018E-2</v>
      </c>
      <c r="AO45" s="379">
        <f t="shared" si="21"/>
        <v>7.8946675263576269E-4</v>
      </c>
      <c r="AP45" s="30"/>
      <c r="AQ45" s="38"/>
      <c r="AR45" s="35"/>
      <c r="AS45" s="29"/>
      <c r="AT45" s="29"/>
    </row>
    <row r="46" spans="1:47" s="86" customFormat="1">
      <c r="A46" s="200" t="s">
        <v>95</v>
      </c>
      <c r="B46" s="314">
        <v>739073419.46000004</v>
      </c>
      <c r="C46" s="308">
        <v>10</v>
      </c>
      <c r="D46" s="314">
        <v>729188172.07000005</v>
      </c>
      <c r="E46" s="308">
        <v>10</v>
      </c>
      <c r="F46" s="23">
        <f t="shared" si="32"/>
        <v>-1.3375189973984706E-2</v>
      </c>
      <c r="G46" s="23">
        <f t="shared" si="33"/>
        <v>0</v>
      </c>
      <c r="H46" s="314">
        <v>740865324.75999999</v>
      </c>
      <c r="I46" s="308">
        <v>10</v>
      </c>
      <c r="J46" s="23">
        <f t="shared" si="34"/>
        <v>1.6013908531800711E-2</v>
      </c>
      <c r="K46" s="23">
        <f t="shared" si="35"/>
        <v>0</v>
      </c>
      <c r="L46" s="314">
        <v>790149065.83000004</v>
      </c>
      <c r="M46" s="308">
        <v>10</v>
      </c>
      <c r="N46" s="23">
        <f t="shared" si="36"/>
        <v>6.6521862237195806E-2</v>
      </c>
      <c r="O46" s="23">
        <f t="shared" si="37"/>
        <v>0</v>
      </c>
      <c r="P46" s="314">
        <v>781578474.37</v>
      </c>
      <c r="Q46" s="308">
        <v>10</v>
      </c>
      <c r="R46" s="23">
        <f t="shared" si="38"/>
        <v>-1.0846803256037759E-2</v>
      </c>
      <c r="S46" s="23">
        <f t="shared" si="39"/>
        <v>0</v>
      </c>
      <c r="T46" s="314">
        <v>787700205.16999996</v>
      </c>
      <c r="U46" s="308">
        <v>10</v>
      </c>
      <c r="V46" s="23">
        <f t="shared" si="40"/>
        <v>7.8325222619960739E-3</v>
      </c>
      <c r="W46" s="23">
        <f t="shared" si="41"/>
        <v>0</v>
      </c>
      <c r="X46" s="314">
        <v>677429034.36000001</v>
      </c>
      <c r="Y46" s="308">
        <v>10</v>
      </c>
      <c r="Z46" s="23">
        <f t="shared" si="42"/>
        <v>-0.1399912937514107</v>
      </c>
      <c r="AA46" s="23">
        <f t="shared" si="43"/>
        <v>0</v>
      </c>
      <c r="AB46" s="314">
        <v>444577124.85000002</v>
      </c>
      <c r="AC46" s="308">
        <v>10</v>
      </c>
      <c r="AD46" s="23">
        <f t="shared" si="44"/>
        <v>-0.34372885970260553</v>
      </c>
      <c r="AE46" s="23">
        <f t="shared" si="45"/>
        <v>0</v>
      </c>
      <c r="AF46" s="314">
        <v>379388552.99000001</v>
      </c>
      <c r="AG46" s="308">
        <v>10</v>
      </c>
      <c r="AH46" s="23">
        <f t="shared" si="46"/>
        <v>-0.14663051294417045</v>
      </c>
      <c r="AI46" s="23">
        <f t="shared" si="47"/>
        <v>0</v>
      </c>
      <c r="AJ46" s="24">
        <f t="shared" si="16"/>
        <v>-7.0525545824652064E-2</v>
      </c>
      <c r="AK46" s="24">
        <f t="shared" si="17"/>
        <v>0</v>
      </c>
      <c r="AL46" s="25">
        <f t="shared" si="18"/>
        <v>-0.47971104370357265</v>
      </c>
      <c r="AM46" s="25">
        <f t="shared" si="19"/>
        <v>0</v>
      </c>
      <c r="AN46" s="378">
        <f t="shared" si="20"/>
        <v>0.13336109863753179</v>
      </c>
      <c r="AO46" s="379">
        <f t="shared" si="21"/>
        <v>0.12152650379261588</v>
      </c>
      <c r="AP46" s="30"/>
      <c r="AQ46" s="38"/>
      <c r="AR46" s="35"/>
      <c r="AS46" s="29"/>
      <c r="AT46" s="29"/>
    </row>
    <row r="47" spans="1:47" s="93" customFormat="1">
      <c r="A47" s="200" t="s">
        <v>34</v>
      </c>
      <c r="B47" s="319">
        <v>363736924253.53998</v>
      </c>
      <c r="C47" s="308">
        <v>100</v>
      </c>
      <c r="D47" s="319">
        <v>367815111680.13</v>
      </c>
      <c r="E47" s="308">
        <v>100</v>
      </c>
      <c r="F47" s="23">
        <f t="shared" si="32"/>
        <v>1.1211914861157616E-2</v>
      </c>
      <c r="G47" s="23">
        <f t="shared" si="33"/>
        <v>0</v>
      </c>
      <c r="H47" s="319">
        <v>371110503640.84003</v>
      </c>
      <c r="I47" s="308">
        <v>100</v>
      </c>
      <c r="J47" s="23">
        <f t="shared" si="34"/>
        <v>8.959370770975434E-3</v>
      </c>
      <c r="K47" s="23">
        <f t="shared" si="35"/>
        <v>0</v>
      </c>
      <c r="L47" s="319">
        <v>370747418001.91998</v>
      </c>
      <c r="M47" s="308">
        <v>100</v>
      </c>
      <c r="N47" s="23">
        <f t="shared" si="36"/>
        <v>-9.7837607763168427E-4</v>
      </c>
      <c r="O47" s="23">
        <f t="shared" si="37"/>
        <v>0</v>
      </c>
      <c r="P47" s="319">
        <v>368203375485.37</v>
      </c>
      <c r="Q47" s="308">
        <v>100</v>
      </c>
      <c r="R47" s="23">
        <f t="shared" si="38"/>
        <v>-6.8619291545189212E-3</v>
      </c>
      <c r="S47" s="23">
        <f t="shared" si="39"/>
        <v>0</v>
      </c>
      <c r="T47" s="319">
        <v>368704616512.65002</v>
      </c>
      <c r="U47" s="308">
        <v>100</v>
      </c>
      <c r="V47" s="23">
        <f t="shared" si="40"/>
        <v>1.3613156767487194E-3</v>
      </c>
      <c r="W47" s="23">
        <f t="shared" si="41"/>
        <v>0</v>
      </c>
      <c r="X47" s="319">
        <v>356507879773.73999</v>
      </c>
      <c r="Y47" s="308">
        <v>100</v>
      </c>
      <c r="Z47" s="23">
        <f t="shared" si="42"/>
        <v>-3.30799675205357E-2</v>
      </c>
      <c r="AA47" s="23">
        <f t="shared" si="43"/>
        <v>0</v>
      </c>
      <c r="AB47" s="319">
        <v>359487869924.65002</v>
      </c>
      <c r="AC47" s="308">
        <v>100</v>
      </c>
      <c r="AD47" s="23">
        <f t="shared" si="44"/>
        <v>8.3588338995516844E-3</v>
      </c>
      <c r="AE47" s="23">
        <f t="shared" si="45"/>
        <v>0</v>
      </c>
      <c r="AF47" s="319">
        <v>368495914199.96002</v>
      </c>
      <c r="AG47" s="308">
        <v>100</v>
      </c>
      <c r="AH47" s="23">
        <f t="shared" si="46"/>
        <v>2.5057992296647218E-2</v>
      </c>
      <c r="AI47" s="23">
        <f t="shared" si="47"/>
        <v>0</v>
      </c>
      <c r="AJ47" s="24">
        <f t="shared" si="16"/>
        <v>1.7536443440492957E-3</v>
      </c>
      <c r="AK47" s="24">
        <f t="shared" si="17"/>
        <v>0</v>
      </c>
      <c r="AL47" s="25">
        <f t="shared" si="18"/>
        <v>1.8509367837558459E-3</v>
      </c>
      <c r="AM47" s="25">
        <f t="shared" si="19"/>
        <v>0</v>
      </c>
      <c r="AN47" s="378">
        <f t="shared" si="20"/>
        <v>1.7001382366837244E-2</v>
      </c>
      <c r="AO47" s="379">
        <f t="shared" si="21"/>
        <v>2.9552940665924943E-3</v>
      </c>
      <c r="AP47" s="30"/>
      <c r="AQ47" s="38"/>
      <c r="AR47" s="35"/>
      <c r="AS47" s="29"/>
      <c r="AT47" s="29"/>
    </row>
    <row r="48" spans="1:47" s="93" customFormat="1">
      <c r="A48" s="200" t="s">
        <v>150</v>
      </c>
      <c r="B48" s="319">
        <v>2066333206.0599999</v>
      </c>
      <c r="C48" s="308">
        <v>1</v>
      </c>
      <c r="D48" s="319">
        <v>2204045949.0900002</v>
      </c>
      <c r="E48" s="308">
        <v>1</v>
      </c>
      <c r="F48" s="23">
        <f t="shared" si="32"/>
        <v>6.6645951691685426E-2</v>
      </c>
      <c r="G48" s="23">
        <f t="shared" si="33"/>
        <v>0</v>
      </c>
      <c r="H48" s="319">
        <v>2217937381.2800002</v>
      </c>
      <c r="I48" s="308">
        <v>1</v>
      </c>
      <c r="J48" s="23">
        <f t="shared" si="34"/>
        <v>6.302696273521661E-3</v>
      </c>
      <c r="K48" s="23">
        <f t="shared" si="35"/>
        <v>0</v>
      </c>
      <c r="L48" s="319">
        <v>2220382480.3699999</v>
      </c>
      <c r="M48" s="308">
        <v>1</v>
      </c>
      <c r="N48" s="23">
        <f t="shared" si="36"/>
        <v>1.1024202534467306E-3</v>
      </c>
      <c r="O48" s="23">
        <f t="shared" si="37"/>
        <v>0</v>
      </c>
      <c r="P48" s="319">
        <v>2267497561.25</v>
      </c>
      <c r="Q48" s="308">
        <v>1</v>
      </c>
      <c r="R48" s="23">
        <f t="shared" si="38"/>
        <v>2.1219353555766193E-2</v>
      </c>
      <c r="S48" s="23">
        <f t="shared" si="39"/>
        <v>0</v>
      </c>
      <c r="T48" s="319">
        <v>2354870884.7600002</v>
      </c>
      <c r="U48" s="308">
        <v>1</v>
      </c>
      <c r="V48" s="23">
        <f t="shared" si="40"/>
        <v>3.8532929429848678E-2</v>
      </c>
      <c r="W48" s="23">
        <f t="shared" si="41"/>
        <v>0</v>
      </c>
      <c r="X48" s="319">
        <v>2384849989.5300002</v>
      </c>
      <c r="Y48" s="308">
        <v>1</v>
      </c>
      <c r="Z48" s="23">
        <f t="shared" si="42"/>
        <v>1.2730678766303292E-2</v>
      </c>
      <c r="AA48" s="23">
        <f t="shared" si="43"/>
        <v>0</v>
      </c>
      <c r="AB48" s="319">
        <v>2465904567.0599999</v>
      </c>
      <c r="AC48" s="308">
        <v>1</v>
      </c>
      <c r="AD48" s="23">
        <f t="shared" si="44"/>
        <v>3.3987285525650085E-2</v>
      </c>
      <c r="AE48" s="23">
        <f t="shared" si="45"/>
        <v>0</v>
      </c>
      <c r="AF48" s="319">
        <v>2501180309.77</v>
      </c>
      <c r="AG48" s="308">
        <v>1</v>
      </c>
      <c r="AH48" s="23">
        <f t="shared" si="46"/>
        <v>1.4305396559631625E-2</v>
      </c>
      <c r="AI48" s="23">
        <f t="shared" si="47"/>
        <v>0</v>
      </c>
      <c r="AJ48" s="24">
        <f t="shared" si="16"/>
        <v>2.4353339006981709E-2</v>
      </c>
      <c r="AK48" s="24">
        <f t="shared" si="17"/>
        <v>0</v>
      </c>
      <c r="AL48" s="25">
        <f t="shared" si="18"/>
        <v>0.1348131425312071</v>
      </c>
      <c r="AM48" s="25">
        <f t="shared" si="19"/>
        <v>0</v>
      </c>
      <c r="AN48" s="378">
        <f t="shared" si="20"/>
        <v>2.1363650594481479E-2</v>
      </c>
      <c r="AO48" s="379">
        <f t="shared" si="21"/>
        <v>1.2016320034655284E-2</v>
      </c>
      <c r="AP48" s="30"/>
      <c r="AQ48" s="38"/>
      <c r="AR48" s="35"/>
      <c r="AS48" s="29"/>
      <c r="AT48" s="29"/>
    </row>
    <row r="49" spans="1:48" s="103" customFormat="1">
      <c r="A49" s="200" t="s">
        <v>76</v>
      </c>
      <c r="B49" s="319">
        <v>45367611149.040001</v>
      </c>
      <c r="C49" s="308">
        <v>1</v>
      </c>
      <c r="D49" s="319">
        <v>43700670576.059998</v>
      </c>
      <c r="E49" s="308">
        <v>1</v>
      </c>
      <c r="F49" s="23">
        <f t="shared" si="32"/>
        <v>-3.6742965537767278E-2</v>
      </c>
      <c r="G49" s="23">
        <f t="shared" si="33"/>
        <v>0</v>
      </c>
      <c r="H49" s="319">
        <v>41624918409.989998</v>
      </c>
      <c r="I49" s="308">
        <v>1</v>
      </c>
      <c r="J49" s="23">
        <f t="shared" si="34"/>
        <v>-4.7499320690221482E-2</v>
      </c>
      <c r="K49" s="23">
        <f t="shared" si="35"/>
        <v>0</v>
      </c>
      <c r="L49" s="319">
        <v>41299684175.300003</v>
      </c>
      <c r="M49" s="308">
        <v>1</v>
      </c>
      <c r="N49" s="23">
        <f t="shared" si="36"/>
        <v>-7.8134503829306833E-3</v>
      </c>
      <c r="O49" s="23">
        <f t="shared" si="37"/>
        <v>0</v>
      </c>
      <c r="P49" s="319">
        <v>41366140057.080002</v>
      </c>
      <c r="Q49" s="308">
        <v>1</v>
      </c>
      <c r="R49" s="23">
        <f t="shared" si="38"/>
        <v>1.6091135587846426E-3</v>
      </c>
      <c r="S49" s="23">
        <f t="shared" si="39"/>
        <v>0</v>
      </c>
      <c r="T49" s="319">
        <v>43139073604.129997</v>
      </c>
      <c r="U49" s="308">
        <v>1</v>
      </c>
      <c r="V49" s="23">
        <f t="shared" si="40"/>
        <v>4.2859535470400986E-2</v>
      </c>
      <c r="W49" s="23">
        <f t="shared" si="41"/>
        <v>0</v>
      </c>
      <c r="X49" s="319">
        <v>43803472232.389999</v>
      </c>
      <c r="Y49" s="308">
        <v>1</v>
      </c>
      <c r="Z49" s="23">
        <f t="shared" si="42"/>
        <v>1.5401318868293795E-2</v>
      </c>
      <c r="AA49" s="23">
        <f t="shared" si="43"/>
        <v>0</v>
      </c>
      <c r="AB49" s="319">
        <v>44142719365.25</v>
      </c>
      <c r="AC49" s="308">
        <v>1</v>
      </c>
      <c r="AD49" s="23">
        <f t="shared" si="44"/>
        <v>7.7447543669642701E-3</v>
      </c>
      <c r="AE49" s="23">
        <f t="shared" si="45"/>
        <v>0</v>
      </c>
      <c r="AF49" s="319">
        <v>44998669499.120003</v>
      </c>
      <c r="AG49" s="308">
        <v>1</v>
      </c>
      <c r="AH49" s="23">
        <f t="shared" si="46"/>
        <v>1.939051662829416E-2</v>
      </c>
      <c r="AI49" s="23">
        <f t="shared" si="47"/>
        <v>0</v>
      </c>
      <c r="AJ49" s="24">
        <f t="shared" si="16"/>
        <v>-6.3131221477270025E-4</v>
      </c>
      <c r="AK49" s="24">
        <f t="shared" si="17"/>
        <v>0</v>
      </c>
      <c r="AL49" s="25">
        <f t="shared" si="18"/>
        <v>2.9702036741080858E-2</v>
      </c>
      <c r="AM49" s="25">
        <f t="shared" si="19"/>
        <v>0</v>
      </c>
      <c r="AN49" s="378">
        <f t="shared" si="20"/>
        <v>2.9705207705796682E-2</v>
      </c>
      <c r="AO49" s="379">
        <f t="shared" si="21"/>
        <v>2.7381841657522815E-3</v>
      </c>
      <c r="AP49" s="30"/>
      <c r="AQ49" s="38"/>
      <c r="AR49" s="35"/>
      <c r="AS49" s="29"/>
      <c r="AT49" s="29"/>
    </row>
    <row r="50" spans="1:48" s="103" customFormat="1">
      <c r="A50" s="200" t="s">
        <v>158</v>
      </c>
      <c r="B50" s="319">
        <v>1922732430.3199999</v>
      </c>
      <c r="C50" s="308">
        <v>1</v>
      </c>
      <c r="D50" s="319">
        <v>1812692246.1099999</v>
      </c>
      <c r="E50" s="308">
        <v>1</v>
      </c>
      <c r="F50" s="23">
        <f t="shared" si="32"/>
        <v>-5.7231147961490446E-2</v>
      </c>
      <c r="G50" s="23">
        <f t="shared" si="33"/>
        <v>0</v>
      </c>
      <c r="H50" s="319">
        <v>1825603714.75</v>
      </c>
      <c r="I50" s="308">
        <v>1</v>
      </c>
      <c r="J50" s="23">
        <f t="shared" si="34"/>
        <v>7.1228134106646347E-3</v>
      </c>
      <c r="K50" s="23">
        <f t="shared" si="35"/>
        <v>0</v>
      </c>
      <c r="L50" s="319">
        <v>1835379862.0699999</v>
      </c>
      <c r="M50" s="308">
        <v>1</v>
      </c>
      <c r="N50" s="23">
        <f t="shared" si="36"/>
        <v>5.3550215969727522E-3</v>
      </c>
      <c r="O50" s="23">
        <f t="shared" si="37"/>
        <v>0</v>
      </c>
      <c r="P50" s="319">
        <v>1837960263.51</v>
      </c>
      <c r="Q50" s="308">
        <v>1</v>
      </c>
      <c r="R50" s="23">
        <f t="shared" si="38"/>
        <v>1.4059222798106753E-3</v>
      </c>
      <c r="S50" s="23">
        <f t="shared" si="39"/>
        <v>0</v>
      </c>
      <c r="T50" s="319">
        <v>1966527852.01</v>
      </c>
      <c r="U50" s="308">
        <v>1</v>
      </c>
      <c r="V50" s="23">
        <f t="shared" si="40"/>
        <v>6.9951234013335611E-2</v>
      </c>
      <c r="W50" s="23">
        <f t="shared" si="41"/>
        <v>0</v>
      </c>
      <c r="X50" s="319">
        <v>1961246177.6400001</v>
      </c>
      <c r="Y50" s="308">
        <v>1</v>
      </c>
      <c r="Z50" s="23">
        <f t="shared" si="42"/>
        <v>-2.6857867101152187E-3</v>
      </c>
      <c r="AA50" s="23">
        <f t="shared" si="43"/>
        <v>0</v>
      </c>
      <c r="AB50" s="319">
        <v>1967988588.8</v>
      </c>
      <c r="AC50" s="308">
        <v>1</v>
      </c>
      <c r="AD50" s="23">
        <f t="shared" si="44"/>
        <v>3.4378199110695539E-3</v>
      </c>
      <c r="AE50" s="23">
        <f t="shared" si="45"/>
        <v>0</v>
      </c>
      <c r="AF50" s="319">
        <v>1979283363.6099999</v>
      </c>
      <c r="AG50" s="308">
        <v>1</v>
      </c>
      <c r="AH50" s="23">
        <f t="shared" si="46"/>
        <v>5.7392481207866356E-3</v>
      </c>
      <c r="AI50" s="23">
        <f t="shared" si="47"/>
        <v>0</v>
      </c>
      <c r="AJ50" s="24">
        <f t="shared" si="16"/>
        <v>4.1368905826292745E-3</v>
      </c>
      <c r="AK50" s="24">
        <f t="shared" si="17"/>
        <v>0</v>
      </c>
      <c r="AL50" s="25">
        <f t="shared" si="18"/>
        <v>9.190259287394266E-2</v>
      </c>
      <c r="AM50" s="25">
        <f t="shared" si="19"/>
        <v>0</v>
      </c>
      <c r="AN50" s="378">
        <f t="shared" si="20"/>
        <v>3.4153073271180702E-2</v>
      </c>
      <c r="AO50" s="379">
        <f t="shared" si="21"/>
        <v>1.2154528858077077E-3</v>
      </c>
      <c r="AP50" s="30"/>
      <c r="AQ50" s="38"/>
      <c r="AR50" s="35"/>
      <c r="AS50" s="29"/>
      <c r="AT50" s="29"/>
    </row>
    <row r="51" spans="1:48" s="108" customFormat="1">
      <c r="A51" s="200" t="s">
        <v>131</v>
      </c>
      <c r="B51" s="319">
        <v>1468513939</v>
      </c>
      <c r="C51" s="308">
        <v>1</v>
      </c>
      <c r="D51" s="319">
        <v>1554579584.01</v>
      </c>
      <c r="E51" s="308">
        <v>1</v>
      </c>
      <c r="F51" s="23">
        <f t="shared" si="32"/>
        <v>5.8607305470050421E-2</v>
      </c>
      <c r="G51" s="23">
        <f t="shared" si="33"/>
        <v>0</v>
      </c>
      <c r="H51" s="319">
        <v>1560718698.23</v>
      </c>
      <c r="I51" s="308">
        <v>1</v>
      </c>
      <c r="J51" s="23">
        <f t="shared" si="34"/>
        <v>3.9490511023979446E-3</v>
      </c>
      <c r="K51" s="23">
        <f t="shared" si="35"/>
        <v>0</v>
      </c>
      <c r="L51" s="319">
        <v>1562465172.55</v>
      </c>
      <c r="M51" s="308">
        <v>1</v>
      </c>
      <c r="N51" s="23">
        <f t="shared" si="36"/>
        <v>1.1190192838597996E-3</v>
      </c>
      <c r="O51" s="23">
        <f t="shared" si="37"/>
        <v>0</v>
      </c>
      <c r="P51" s="319">
        <v>1518842420.6900001</v>
      </c>
      <c r="Q51" s="308">
        <v>1</v>
      </c>
      <c r="R51" s="23">
        <f t="shared" si="38"/>
        <v>-2.7919183496938994E-2</v>
      </c>
      <c r="S51" s="23">
        <f t="shared" si="39"/>
        <v>0</v>
      </c>
      <c r="T51" s="319">
        <v>1061752178.8</v>
      </c>
      <c r="U51" s="308">
        <v>1</v>
      </c>
      <c r="V51" s="23">
        <f t="shared" si="40"/>
        <v>-0.30094645478913279</v>
      </c>
      <c r="W51" s="23">
        <f t="shared" si="41"/>
        <v>0</v>
      </c>
      <c r="X51" s="319">
        <v>1016768939.3099999</v>
      </c>
      <c r="Y51" s="308">
        <v>1</v>
      </c>
      <c r="Z51" s="23">
        <f t="shared" si="42"/>
        <v>-4.2366985807215762E-2</v>
      </c>
      <c r="AA51" s="23">
        <f t="shared" si="43"/>
        <v>0</v>
      </c>
      <c r="AB51" s="319">
        <v>1015207083.27</v>
      </c>
      <c r="AC51" s="308">
        <v>1</v>
      </c>
      <c r="AD51" s="23">
        <f t="shared" si="44"/>
        <v>-1.5360973173117081E-3</v>
      </c>
      <c r="AE51" s="23">
        <f t="shared" si="45"/>
        <v>0</v>
      </c>
      <c r="AF51" s="319">
        <v>1004353231.09</v>
      </c>
      <c r="AG51" s="308">
        <v>1</v>
      </c>
      <c r="AH51" s="23">
        <f t="shared" si="46"/>
        <v>-1.0691269159627509E-2</v>
      </c>
      <c r="AI51" s="23">
        <f t="shared" si="47"/>
        <v>0</v>
      </c>
      <c r="AJ51" s="24">
        <f t="shared" si="16"/>
        <v>-3.9973076839239827E-2</v>
      </c>
      <c r="AK51" s="24">
        <f t="shared" si="17"/>
        <v>0</v>
      </c>
      <c r="AL51" s="25">
        <f t="shared" si="18"/>
        <v>-0.35393900613354545</v>
      </c>
      <c r="AM51" s="25">
        <f t="shared" si="19"/>
        <v>0</v>
      </c>
      <c r="AN51" s="378">
        <f t="shared" si="20"/>
        <v>0.10949805103428267</v>
      </c>
      <c r="AO51" s="379">
        <f t="shared" si="21"/>
        <v>5.4309241481678629E-4</v>
      </c>
      <c r="AP51" s="30"/>
      <c r="AQ51" s="38"/>
      <c r="AR51" s="35"/>
      <c r="AS51" s="29"/>
      <c r="AT51" s="29"/>
    </row>
    <row r="52" spans="1:48">
      <c r="A52" s="200" t="s">
        <v>112</v>
      </c>
      <c r="B52" s="319">
        <v>25766031502.720001</v>
      </c>
      <c r="C52" s="308">
        <v>1</v>
      </c>
      <c r="D52" s="319">
        <v>25440235235.029999</v>
      </c>
      <c r="E52" s="308">
        <v>1</v>
      </c>
      <c r="F52" s="23">
        <f t="shared" si="32"/>
        <v>-1.2644410050325742E-2</v>
      </c>
      <c r="G52" s="23">
        <f t="shared" si="33"/>
        <v>0</v>
      </c>
      <c r="H52" s="319">
        <v>25728908552.139999</v>
      </c>
      <c r="I52" s="308">
        <v>1</v>
      </c>
      <c r="J52" s="23">
        <f t="shared" si="34"/>
        <v>1.1347116661583032E-2</v>
      </c>
      <c r="K52" s="23">
        <f t="shared" si="35"/>
        <v>0</v>
      </c>
      <c r="L52" s="319">
        <v>26219104697.18</v>
      </c>
      <c r="M52" s="308">
        <v>1</v>
      </c>
      <c r="N52" s="23">
        <f t="shared" si="36"/>
        <v>1.9052348996717504E-2</v>
      </c>
      <c r="O52" s="23">
        <f t="shared" si="37"/>
        <v>0</v>
      </c>
      <c r="P52" s="319">
        <v>26517764277.869999</v>
      </c>
      <c r="Q52" s="308">
        <v>1</v>
      </c>
      <c r="R52" s="23">
        <f t="shared" si="38"/>
        <v>1.1390914531193775E-2</v>
      </c>
      <c r="S52" s="23">
        <f t="shared" si="39"/>
        <v>0</v>
      </c>
      <c r="T52" s="319">
        <v>25613067032.040001</v>
      </c>
      <c r="U52" s="308">
        <v>1</v>
      </c>
      <c r="V52" s="23">
        <f t="shared" si="40"/>
        <v>-3.4116648611474364E-2</v>
      </c>
      <c r="W52" s="23">
        <f t="shared" si="41"/>
        <v>0</v>
      </c>
      <c r="X52" s="319">
        <v>25693162176.66</v>
      </c>
      <c r="Y52" s="308">
        <v>1</v>
      </c>
      <c r="Z52" s="23">
        <f t="shared" si="42"/>
        <v>3.1271204077124382E-3</v>
      </c>
      <c r="AA52" s="23">
        <f t="shared" si="43"/>
        <v>0</v>
      </c>
      <c r="AB52" s="319">
        <v>26308915745.709999</v>
      </c>
      <c r="AC52" s="308">
        <v>1</v>
      </c>
      <c r="AD52" s="23">
        <f t="shared" si="44"/>
        <v>2.3965659221555753E-2</v>
      </c>
      <c r="AE52" s="23">
        <f t="shared" si="45"/>
        <v>0</v>
      </c>
      <c r="AF52" s="319">
        <v>26925563776.720001</v>
      </c>
      <c r="AG52" s="308">
        <v>1</v>
      </c>
      <c r="AH52" s="23">
        <f t="shared" si="46"/>
        <v>2.3438747418184816E-2</v>
      </c>
      <c r="AI52" s="23">
        <f t="shared" si="47"/>
        <v>0</v>
      </c>
      <c r="AJ52" s="24">
        <f t="shared" si="16"/>
        <v>5.6951060718934011E-3</v>
      </c>
      <c r="AK52" s="24">
        <f t="shared" si="17"/>
        <v>0</v>
      </c>
      <c r="AL52" s="25">
        <f t="shared" si="18"/>
        <v>5.8385016017649685E-2</v>
      </c>
      <c r="AM52" s="25">
        <f t="shared" si="19"/>
        <v>0</v>
      </c>
      <c r="AN52" s="378">
        <f t="shared" si="20"/>
        <v>2.0069029195046686E-2</v>
      </c>
      <c r="AO52" s="379">
        <f t="shared" si="21"/>
        <v>8.4731400755839945E-3</v>
      </c>
      <c r="AP52" s="30"/>
      <c r="AQ52" s="39">
        <v>2266908745.4000001</v>
      </c>
      <c r="AR52" s="35">
        <v>1</v>
      </c>
      <c r="AS52" s="29" t="e">
        <f>(#REF!/AQ52)-1</f>
        <v>#REF!</v>
      </c>
      <c r="AT52" s="29" t="e">
        <f>(#REF!/AR52)-1</f>
        <v>#REF!</v>
      </c>
    </row>
    <row r="53" spans="1:48">
      <c r="A53" s="202" t="s">
        <v>42</v>
      </c>
      <c r="B53" s="76">
        <f>SUM(B24:B52)</f>
        <v>849994179796.46228</v>
      </c>
      <c r="C53" s="85"/>
      <c r="D53" s="76">
        <f>SUM(D24:D52)</f>
        <v>856179741726.49231</v>
      </c>
      <c r="E53" s="85"/>
      <c r="F53" s="23">
        <f>((D53-B53)/B53)</f>
        <v>7.2771815114207137E-3</v>
      </c>
      <c r="G53" s="23"/>
      <c r="H53" s="76">
        <f>SUM(H24:H52)</f>
        <v>857401765650.82336</v>
      </c>
      <c r="I53" s="85"/>
      <c r="J53" s="23">
        <f>((H53-D53)/D53)</f>
        <v>1.427298340260697E-3</v>
      </c>
      <c r="K53" s="23"/>
      <c r="L53" s="76">
        <f>SUM(L24:L52)</f>
        <v>855610980289.1698</v>
      </c>
      <c r="M53" s="85"/>
      <c r="N53" s="23">
        <f>((L53-H53)/H53)</f>
        <v>-2.0886187005857665E-3</v>
      </c>
      <c r="O53" s="23"/>
      <c r="P53" s="76">
        <f>SUM(P24:P52)</f>
        <v>852824801464.56006</v>
      </c>
      <c r="Q53" s="85"/>
      <c r="R53" s="23">
        <f>((P53-L53)/L53)</f>
        <v>-3.2563616980091814E-3</v>
      </c>
      <c r="S53" s="23"/>
      <c r="T53" s="76">
        <f>SUM(T24:T52)</f>
        <v>854338532735.88501</v>
      </c>
      <c r="U53" s="85"/>
      <c r="V53" s="23">
        <f>((T53-P53)/P53)</f>
        <v>1.7749615967141356E-3</v>
      </c>
      <c r="W53" s="23"/>
      <c r="X53" s="76">
        <f>SUM(X24:X52)</f>
        <v>842459027080.45435</v>
      </c>
      <c r="Y53" s="85"/>
      <c r="Z53" s="23">
        <f>((X53-T53)/T53)</f>
        <v>-1.3904916143005293E-2</v>
      </c>
      <c r="AA53" s="23"/>
      <c r="AB53" s="76">
        <f>SUM(AB24:AB52)</f>
        <v>842959336565.12207</v>
      </c>
      <c r="AC53" s="85"/>
      <c r="AD53" s="23">
        <f>((AB53-X53)/X53)</f>
        <v>5.9386803225499219E-4</v>
      </c>
      <c r="AE53" s="23"/>
      <c r="AF53" s="76">
        <f>SUM(AF24:AF52)</f>
        <v>849677574373.34802</v>
      </c>
      <c r="AG53" s="85"/>
      <c r="AH53" s="23">
        <f>((AF53-AB53)/AB53)</f>
        <v>7.9698243044573486E-3</v>
      </c>
      <c r="AI53" s="23"/>
      <c r="AJ53" s="24">
        <f t="shared" si="16"/>
        <v>-2.5845344561544262E-5</v>
      </c>
      <c r="AK53" s="24"/>
      <c r="AL53" s="25">
        <f t="shared" si="18"/>
        <v>-7.5943952376549134E-3</v>
      </c>
      <c r="AM53" s="25"/>
      <c r="AN53" s="378">
        <f t="shared" si="20"/>
        <v>6.8694290397982105E-3</v>
      </c>
      <c r="AO53" s="379"/>
      <c r="AP53" s="30"/>
      <c r="AQ53" s="43">
        <f>SUM(AQ24:AQ52)</f>
        <v>74083068068.144089</v>
      </c>
      <c r="AR53" s="44"/>
      <c r="AS53" s="29" t="e">
        <f>(#REF!/AQ53)-1</f>
        <v>#REF!</v>
      </c>
      <c r="AT53" s="29" t="e">
        <f>(#REF!/AR53)-1</f>
        <v>#REF!</v>
      </c>
    </row>
    <row r="54" spans="1:48" s="108" customFormat="1" ht="8.25" customHeight="1">
      <c r="A54" s="202"/>
      <c r="B54" s="85"/>
      <c r="C54" s="85"/>
      <c r="D54" s="85"/>
      <c r="E54" s="85"/>
      <c r="F54" s="23"/>
      <c r="G54" s="23"/>
      <c r="H54" s="85"/>
      <c r="I54" s="85"/>
      <c r="J54" s="23"/>
      <c r="K54" s="23"/>
      <c r="L54" s="85"/>
      <c r="M54" s="85"/>
      <c r="N54" s="23"/>
      <c r="O54" s="23"/>
      <c r="P54" s="85"/>
      <c r="Q54" s="85"/>
      <c r="R54" s="23"/>
      <c r="S54" s="23"/>
      <c r="T54" s="85"/>
      <c r="U54" s="85"/>
      <c r="V54" s="23"/>
      <c r="W54" s="23"/>
      <c r="X54" s="85"/>
      <c r="Y54" s="85"/>
      <c r="Z54" s="23"/>
      <c r="AA54" s="23"/>
      <c r="AB54" s="85"/>
      <c r="AC54" s="85"/>
      <c r="AD54" s="23"/>
      <c r="AE54" s="23"/>
      <c r="AF54" s="85"/>
      <c r="AG54" s="85"/>
      <c r="AH54" s="23"/>
      <c r="AI54" s="23"/>
      <c r="AJ54" s="24"/>
      <c r="AK54" s="24"/>
      <c r="AL54" s="25"/>
      <c r="AM54" s="25"/>
      <c r="AN54" s="378"/>
      <c r="AO54" s="379"/>
      <c r="AP54" s="30"/>
      <c r="AQ54" s="43"/>
      <c r="AR54" s="44"/>
      <c r="AS54" s="29"/>
      <c r="AT54" s="29"/>
    </row>
    <row r="55" spans="1:48">
      <c r="A55" s="203" t="s">
        <v>191</v>
      </c>
      <c r="B55" s="85"/>
      <c r="C55" s="85"/>
      <c r="D55" s="85"/>
      <c r="E55" s="85"/>
      <c r="F55" s="23"/>
      <c r="G55" s="23"/>
      <c r="H55" s="85"/>
      <c r="I55" s="85"/>
      <c r="J55" s="23"/>
      <c r="K55" s="23"/>
      <c r="L55" s="85"/>
      <c r="M55" s="85"/>
      <c r="N55" s="23"/>
      <c r="O55" s="23"/>
      <c r="P55" s="85"/>
      <c r="Q55" s="85"/>
      <c r="R55" s="23"/>
      <c r="S55" s="23"/>
      <c r="T55" s="85"/>
      <c r="U55" s="85"/>
      <c r="V55" s="23"/>
      <c r="W55" s="23"/>
      <c r="X55" s="85"/>
      <c r="Y55" s="85"/>
      <c r="Z55" s="23"/>
      <c r="AA55" s="23"/>
      <c r="AB55" s="85"/>
      <c r="AC55" s="85"/>
      <c r="AD55" s="23"/>
      <c r="AE55" s="23"/>
      <c r="AF55" s="85"/>
      <c r="AG55" s="85"/>
      <c r="AH55" s="23"/>
      <c r="AI55" s="23"/>
      <c r="AJ55" s="24"/>
      <c r="AK55" s="24"/>
      <c r="AL55" s="25"/>
      <c r="AM55" s="25"/>
      <c r="AN55" s="378"/>
      <c r="AO55" s="379"/>
      <c r="AP55" s="30"/>
      <c r="AQ55" s="40"/>
      <c r="AR55" s="13"/>
      <c r="AS55" s="29" t="e">
        <f>(#REF!/AQ55)-1</f>
        <v>#REF!</v>
      </c>
      <c r="AT55" s="29" t="e">
        <f>(#REF!/AR55)-1</f>
        <v>#REF!</v>
      </c>
    </row>
    <row r="56" spans="1:48">
      <c r="A56" s="200" t="s">
        <v>137</v>
      </c>
      <c r="B56" s="324">
        <v>477880682.05000001</v>
      </c>
      <c r="C56" s="325">
        <v>1.3258000000000001</v>
      </c>
      <c r="D56" s="324">
        <v>473172465.54000002</v>
      </c>
      <c r="E56" s="325">
        <v>1.3137000000000001</v>
      </c>
      <c r="F56" s="23">
        <f t="shared" ref="F56:F84" si="48">((D56-B56)/B56)</f>
        <v>-9.852284653572534E-3</v>
      </c>
      <c r="G56" s="23">
        <f t="shared" ref="G56:G84" si="49">((E56-C56)/C56)</f>
        <v>-9.1265650927741734E-3</v>
      </c>
      <c r="H56" s="324">
        <v>470593172.81</v>
      </c>
      <c r="I56" s="325">
        <v>1.3069999999999999</v>
      </c>
      <c r="J56" s="23">
        <f t="shared" ref="J56:J81" si="50">((H56-D56)/D56)</f>
        <v>-5.4510625994613725E-3</v>
      </c>
      <c r="K56" s="23">
        <f t="shared" ref="K56:K81" si="51">((I56-E56)/E56)</f>
        <v>-5.1000989571440584E-3</v>
      </c>
      <c r="L56" s="324">
        <v>459467449.86000001</v>
      </c>
      <c r="M56" s="325">
        <v>1.2759</v>
      </c>
      <c r="N56" s="23">
        <f t="shared" ref="N56:N81" si="52">((L56-H56)/H56)</f>
        <v>-2.3641913212565775E-2</v>
      </c>
      <c r="O56" s="23">
        <f t="shared" ref="O56:O81" si="53">((M56-I56)/I56)</f>
        <v>-2.3794950267788759E-2</v>
      </c>
      <c r="P56" s="324">
        <v>458213460.79000002</v>
      </c>
      <c r="Q56" s="325">
        <v>1.2724</v>
      </c>
      <c r="R56" s="23">
        <f t="shared" ref="R56:R81" si="54">((P56-L56)/L56)</f>
        <v>-2.7292228652586467E-3</v>
      </c>
      <c r="S56" s="23">
        <f t="shared" ref="S56:S81" si="55">((Q56-M56)/M56)</f>
        <v>-2.7431616897876467E-3</v>
      </c>
      <c r="T56" s="324">
        <v>462174838.54000002</v>
      </c>
      <c r="U56" s="325">
        <v>1.2790999999999999</v>
      </c>
      <c r="V56" s="23">
        <f t="shared" ref="V56:V81" si="56">((T56-P56)/P56)</f>
        <v>8.6452670839705127E-3</v>
      </c>
      <c r="W56" s="23">
        <f t="shared" ref="W56:W81" si="57">((U56-Q56)/Q56)</f>
        <v>5.2656397359320409E-3</v>
      </c>
      <c r="X56" s="324">
        <v>460243201.17000002</v>
      </c>
      <c r="Y56" s="325">
        <v>1.2744</v>
      </c>
      <c r="Z56" s="23">
        <f t="shared" ref="Z56:Z81" si="58">((X56-T56)/T56)</f>
        <v>-4.179451603427837E-3</v>
      </c>
      <c r="AA56" s="23">
        <f t="shared" ref="AA56:AA81" si="59">((Y56-U56)/U56)</f>
        <v>-3.6744586037056734E-3</v>
      </c>
      <c r="AB56" s="324">
        <v>460243201.17000002</v>
      </c>
      <c r="AC56" s="325">
        <v>1.2744</v>
      </c>
      <c r="AD56" s="23">
        <f t="shared" ref="AD56:AD81" si="60">((AB56-X56)/X56)</f>
        <v>0</v>
      </c>
      <c r="AE56" s="23">
        <f t="shared" ref="AE56:AE64" si="61">((AC56-Y56)/Y56)</f>
        <v>0</v>
      </c>
      <c r="AF56" s="324">
        <v>459244336.80000001</v>
      </c>
      <c r="AG56" s="325">
        <v>1.2742</v>
      </c>
      <c r="AH56" s="23">
        <f t="shared" ref="AH56:AH84" si="62">((AF56-AB56)/AB56)</f>
        <v>-2.170296850579775E-3</v>
      </c>
      <c r="AI56" s="23">
        <f t="shared" ref="AI56:AI64" si="63">((AG56-AC56)/AC56)</f>
        <v>-1.5693659761454643E-4</v>
      </c>
      <c r="AJ56" s="24">
        <f t="shared" si="16"/>
        <v>-4.9223705876119284E-3</v>
      </c>
      <c r="AK56" s="24">
        <f t="shared" si="17"/>
        <v>-4.9163164341103523E-3</v>
      </c>
      <c r="AL56" s="25">
        <f t="shared" si="18"/>
        <v>-2.9435628136359901E-2</v>
      </c>
      <c r="AM56" s="25">
        <f t="shared" si="19"/>
        <v>-3.0067747583162129E-2</v>
      </c>
      <c r="AN56" s="378">
        <f t="shared" si="20"/>
        <v>9.2292323130748147E-3</v>
      </c>
      <c r="AO56" s="379">
        <f t="shared" si="21"/>
        <v>8.7089583826932444E-3</v>
      </c>
      <c r="AP56" s="30"/>
      <c r="AQ56" s="28">
        <v>1092437778.4100001</v>
      </c>
      <c r="AR56" s="32">
        <v>143.21</v>
      </c>
      <c r="AS56" s="29" t="e">
        <f>(#REF!/AQ56)-1</f>
        <v>#REF!</v>
      </c>
      <c r="AT56" s="29" t="e">
        <f>(#REF!/AR56)-1</f>
        <v>#REF!</v>
      </c>
    </row>
    <row r="57" spans="1:48">
      <c r="A57" s="200" t="s">
        <v>143</v>
      </c>
      <c r="B57" s="324">
        <v>623338591.72000003</v>
      </c>
      <c r="C57" s="325">
        <v>1.1334</v>
      </c>
      <c r="D57" s="324">
        <v>661378218.15999997</v>
      </c>
      <c r="E57" s="325">
        <v>1.1339999999999999</v>
      </c>
      <c r="F57" s="23">
        <f t="shared" si="48"/>
        <v>6.1025623866855193E-2</v>
      </c>
      <c r="G57" s="23">
        <f t="shared" si="49"/>
        <v>5.2938062466907881E-4</v>
      </c>
      <c r="H57" s="324">
        <v>661827691.75</v>
      </c>
      <c r="I57" s="325">
        <v>1.1347</v>
      </c>
      <c r="J57" s="23">
        <f t="shared" si="50"/>
        <v>6.7960144083743801E-4</v>
      </c>
      <c r="K57" s="23">
        <f t="shared" si="51"/>
        <v>6.1728395061741187E-4</v>
      </c>
      <c r="L57" s="324">
        <v>661196282.23000002</v>
      </c>
      <c r="M57" s="325">
        <v>1.1356999999999999</v>
      </c>
      <c r="N57" s="23">
        <f t="shared" si="52"/>
        <v>-9.5403913718148064E-4</v>
      </c>
      <c r="O57" s="23">
        <f t="shared" si="53"/>
        <v>8.8129020886568241E-4</v>
      </c>
      <c r="P57" s="324">
        <v>661125277.86000001</v>
      </c>
      <c r="Q57" s="325">
        <v>1.1366000000000001</v>
      </c>
      <c r="R57" s="23">
        <f t="shared" si="54"/>
        <v>-1.0738773327722008E-4</v>
      </c>
      <c r="S57" s="23">
        <f t="shared" si="55"/>
        <v>7.9246279827430047E-4</v>
      </c>
      <c r="T57" s="324">
        <v>660789415.90999997</v>
      </c>
      <c r="U57" s="325">
        <v>1.1366000000000001</v>
      </c>
      <c r="V57" s="23">
        <f t="shared" si="56"/>
        <v>-5.0801559288006807E-4</v>
      </c>
      <c r="W57" s="23">
        <f t="shared" si="57"/>
        <v>0</v>
      </c>
      <c r="X57" s="324">
        <v>660102436.40999997</v>
      </c>
      <c r="Y57" s="325">
        <v>1.1375999999999999</v>
      </c>
      <c r="Z57" s="23">
        <f t="shared" si="58"/>
        <v>-1.0396345393243512E-3</v>
      </c>
      <c r="AA57" s="23">
        <f t="shared" si="59"/>
        <v>8.7981699806430563E-4</v>
      </c>
      <c r="AB57" s="324">
        <v>861675753.65999997</v>
      </c>
      <c r="AC57" s="325">
        <v>1.1385000000000001</v>
      </c>
      <c r="AD57" s="23">
        <f t="shared" si="60"/>
        <v>0.30536672208978133</v>
      </c>
      <c r="AE57" s="23">
        <f t="shared" si="61"/>
        <v>7.911392405064372E-4</v>
      </c>
      <c r="AF57" s="324">
        <v>861863561.69000006</v>
      </c>
      <c r="AG57" s="325">
        <v>1.1393</v>
      </c>
      <c r="AH57" s="23">
        <f t="shared" si="62"/>
        <v>2.1795673047822104E-4</v>
      </c>
      <c r="AI57" s="23">
        <f t="shared" si="63"/>
        <v>7.026789635484513E-4</v>
      </c>
      <c r="AJ57" s="24">
        <f t="shared" si="16"/>
        <v>4.558510339066113E-2</v>
      </c>
      <c r="AK57" s="24">
        <f t="shared" si="17"/>
        <v>6.4925659806820842E-4</v>
      </c>
      <c r="AL57" s="25">
        <f t="shared" si="18"/>
        <v>0.30313266754953649</v>
      </c>
      <c r="AM57" s="25">
        <f t="shared" si="19"/>
        <v>4.6737213403880802E-3</v>
      </c>
      <c r="AN57" s="378">
        <f t="shared" si="20"/>
        <v>0.10713924086038142</v>
      </c>
      <c r="AO57" s="379">
        <f t="shared" si="21"/>
        <v>0.10774143343704556</v>
      </c>
      <c r="AP57" s="30"/>
      <c r="AQ57" s="31">
        <v>1186217562.8099999</v>
      </c>
      <c r="AR57" s="35">
        <v>212.98</v>
      </c>
      <c r="AS57" s="29" t="e">
        <f>(#REF!/AQ57)-1</f>
        <v>#REF!</v>
      </c>
      <c r="AT57" s="29" t="e">
        <f>(#REF!/AR57)-1</f>
        <v>#REF!</v>
      </c>
      <c r="AU57" s="83"/>
      <c r="AV57" s="83"/>
    </row>
    <row r="58" spans="1:48">
      <c r="A58" s="200" t="s">
        <v>224</v>
      </c>
      <c r="B58" s="324">
        <v>713060097.32000005</v>
      </c>
      <c r="C58" s="325">
        <v>1.0341</v>
      </c>
      <c r="D58" s="324">
        <v>861113040.15999997</v>
      </c>
      <c r="E58" s="325">
        <v>1.0356000000000001</v>
      </c>
      <c r="F58" s="23">
        <f t="shared" si="48"/>
        <v>0.20763038542816986</v>
      </c>
      <c r="G58" s="23">
        <f t="shared" si="49"/>
        <v>1.4505366985785289E-3</v>
      </c>
      <c r="H58" s="324">
        <v>862677742.75</v>
      </c>
      <c r="I58" s="325">
        <v>1.0369999999999999</v>
      </c>
      <c r="J58" s="23">
        <f t="shared" si="50"/>
        <v>1.8170699049096994E-3</v>
      </c>
      <c r="K58" s="23">
        <f t="shared" si="51"/>
        <v>1.3518733101582133E-3</v>
      </c>
      <c r="L58" s="324">
        <v>863835392.26999998</v>
      </c>
      <c r="M58" s="325">
        <v>1.0385</v>
      </c>
      <c r="N58" s="23">
        <f t="shared" si="52"/>
        <v>1.341925799904939E-3</v>
      </c>
      <c r="O58" s="23">
        <f t="shared" si="53"/>
        <v>1.446480231436892E-3</v>
      </c>
      <c r="P58" s="324">
        <v>857853958.87</v>
      </c>
      <c r="Q58" s="325">
        <v>1.0399</v>
      </c>
      <c r="R58" s="23">
        <f t="shared" si="54"/>
        <v>-6.9242745244344215E-3</v>
      </c>
      <c r="S58" s="23">
        <f t="shared" si="55"/>
        <v>1.3480982185845622E-3</v>
      </c>
      <c r="T58" s="324">
        <v>859134898.64999998</v>
      </c>
      <c r="U58" s="325">
        <v>1.0412999999999999</v>
      </c>
      <c r="V58" s="23">
        <f t="shared" si="56"/>
        <v>1.4931909642140922E-3</v>
      </c>
      <c r="W58" s="23">
        <f t="shared" si="57"/>
        <v>1.3462832964706661E-3</v>
      </c>
      <c r="X58" s="324">
        <v>859068256.92999995</v>
      </c>
      <c r="Y58" s="325">
        <v>1.0427</v>
      </c>
      <c r="Z58" s="23">
        <f t="shared" si="58"/>
        <v>-7.7568400614089767E-5</v>
      </c>
      <c r="AA58" s="23">
        <f t="shared" si="59"/>
        <v>1.3444732545856795E-3</v>
      </c>
      <c r="AB58" s="324">
        <v>935116612.34000003</v>
      </c>
      <c r="AC58" s="325">
        <v>1.0439000000000001</v>
      </c>
      <c r="AD58" s="23">
        <f t="shared" si="60"/>
        <v>8.8524229357245104E-2</v>
      </c>
      <c r="AE58" s="23">
        <f t="shared" si="61"/>
        <v>1.1508583485183561E-3</v>
      </c>
      <c r="AF58" s="324">
        <v>1006389302.11</v>
      </c>
      <c r="AG58" s="325">
        <v>1.0452999999999999</v>
      </c>
      <c r="AH58" s="23">
        <f t="shared" si="62"/>
        <v>7.6217969854743495E-2</v>
      </c>
      <c r="AI58" s="23">
        <f t="shared" si="63"/>
        <v>1.3411246287957138E-3</v>
      </c>
      <c r="AJ58" s="24">
        <f t="shared" si="16"/>
        <v>4.6252866048017337E-2</v>
      </c>
      <c r="AK58" s="24">
        <f t="shared" si="17"/>
        <v>1.3474659983910766E-3</v>
      </c>
      <c r="AL58" s="25">
        <f t="shared" si="18"/>
        <v>0.16870753916699119</v>
      </c>
      <c r="AM58" s="25">
        <f t="shared" si="19"/>
        <v>9.3665507918113348E-3</v>
      </c>
      <c r="AN58" s="378">
        <f t="shared" si="20"/>
        <v>7.5305812567889097E-2</v>
      </c>
      <c r="AO58" s="379">
        <f t="shared" si="21"/>
        <v>3.0811744797646354E-2</v>
      </c>
      <c r="AP58" s="30"/>
      <c r="AQ58" s="31">
        <v>4662655514.79</v>
      </c>
      <c r="AR58" s="35">
        <v>1067.58</v>
      </c>
      <c r="AS58" s="29" t="e">
        <f>(#REF!/AQ58)-1</f>
        <v>#REF!</v>
      </c>
      <c r="AT58" s="29" t="e">
        <f>(#REF!/AR58)-1</f>
        <v>#REF!</v>
      </c>
    </row>
    <row r="59" spans="1:48" s="103" customFormat="1">
      <c r="A59" s="200" t="s">
        <v>166</v>
      </c>
      <c r="B59" s="324">
        <v>260835562.18000001</v>
      </c>
      <c r="C59" s="74">
        <v>1137.06</v>
      </c>
      <c r="D59" s="324">
        <v>268855979.88</v>
      </c>
      <c r="E59" s="74">
        <v>1137.8599999999999</v>
      </c>
      <c r="F59" s="23">
        <f t="shared" si="48"/>
        <v>3.0748942486857594E-2</v>
      </c>
      <c r="G59" s="23">
        <f t="shared" si="49"/>
        <v>7.0356885300683738E-4</v>
      </c>
      <c r="H59" s="324">
        <v>258755565.19999999</v>
      </c>
      <c r="I59" s="74">
        <v>1131.47</v>
      </c>
      <c r="J59" s="23">
        <f t="shared" si="50"/>
        <v>-3.7568123589842344E-2</v>
      </c>
      <c r="K59" s="23">
        <f t="shared" si="51"/>
        <v>-5.6158051078338926E-3</v>
      </c>
      <c r="L59" s="324">
        <v>258900164.36000001</v>
      </c>
      <c r="M59" s="74">
        <v>1131.1099999999999</v>
      </c>
      <c r="N59" s="23">
        <f t="shared" si="52"/>
        <v>5.5882531410778036E-4</v>
      </c>
      <c r="O59" s="23">
        <f t="shared" si="53"/>
        <v>-3.1817016801163737E-4</v>
      </c>
      <c r="P59" s="324">
        <v>255082567.96000001</v>
      </c>
      <c r="Q59" s="74">
        <v>1114.1400000000001</v>
      </c>
      <c r="R59" s="23">
        <f t="shared" si="54"/>
        <v>-1.4745438302200721E-2</v>
      </c>
      <c r="S59" s="23">
        <f t="shared" si="55"/>
        <v>-1.5002961692496576E-2</v>
      </c>
      <c r="T59" s="324">
        <v>257266645.24000001</v>
      </c>
      <c r="U59" s="74">
        <v>1116.46</v>
      </c>
      <c r="V59" s="23">
        <f t="shared" si="56"/>
        <v>8.5622365239105269E-3</v>
      </c>
      <c r="W59" s="23">
        <f t="shared" si="57"/>
        <v>2.0823235859047662E-3</v>
      </c>
      <c r="X59" s="324">
        <v>256994167.81999999</v>
      </c>
      <c r="Y59" s="74">
        <v>1115.18</v>
      </c>
      <c r="Z59" s="23">
        <f t="shared" si="58"/>
        <v>-1.0591245505060588E-3</v>
      </c>
      <c r="AA59" s="23">
        <f t="shared" si="59"/>
        <v>-1.1464808412302927E-3</v>
      </c>
      <c r="AB59" s="324">
        <v>254744993.72</v>
      </c>
      <c r="AC59" s="74">
        <v>1115.69</v>
      </c>
      <c r="AD59" s="23">
        <f t="shared" si="60"/>
        <v>-8.7518488029476489E-3</v>
      </c>
      <c r="AE59" s="23">
        <f t="shared" si="61"/>
        <v>4.5732527484351483E-4</v>
      </c>
      <c r="AF59" s="324">
        <v>255214836.13999999</v>
      </c>
      <c r="AG59" s="74">
        <v>1118.0899999999999</v>
      </c>
      <c r="AH59" s="23">
        <f t="shared" si="62"/>
        <v>1.8443637032428152E-3</v>
      </c>
      <c r="AI59" s="23">
        <f t="shared" si="63"/>
        <v>2.1511351719562454E-3</v>
      </c>
      <c r="AJ59" s="24">
        <f t="shared" si="16"/>
        <v>-2.5512709021722566E-3</v>
      </c>
      <c r="AK59" s="24">
        <f t="shared" si="17"/>
        <v>-2.0861331154826295E-3</v>
      </c>
      <c r="AL59" s="25">
        <f t="shared" si="18"/>
        <v>-5.073773604027159E-2</v>
      </c>
      <c r="AM59" s="25">
        <f t="shared" si="19"/>
        <v>-1.7374720967430073E-2</v>
      </c>
      <c r="AN59" s="378">
        <f t="shared" si="20"/>
        <v>1.9555634624218894E-2</v>
      </c>
      <c r="AO59" s="379">
        <f t="shared" si="21"/>
        <v>6.0974848427445445E-3</v>
      </c>
      <c r="AP59" s="30"/>
      <c r="AQ59" s="31"/>
      <c r="AR59" s="31"/>
      <c r="AS59" s="29"/>
      <c r="AT59" s="29"/>
    </row>
    <row r="60" spans="1:48">
      <c r="A60" s="200" t="s">
        <v>175</v>
      </c>
      <c r="B60" s="324">
        <v>1396131107.73</v>
      </c>
      <c r="C60" s="74">
        <v>1.0163</v>
      </c>
      <c r="D60" s="324">
        <v>1410950897.8699999</v>
      </c>
      <c r="E60" s="74">
        <v>1.0163</v>
      </c>
      <c r="F60" s="23">
        <f t="shared" si="48"/>
        <v>1.0614898599384184E-2</v>
      </c>
      <c r="G60" s="23">
        <f t="shared" si="49"/>
        <v>0</v>
      </c>
      <c r="H60" s="324">
        <v>1401472994.8900001</v>
      </c>
      <c r="I60" s="74">
        <v>1.0182</v>
      </c>
      <c r="J60" s="23">
        <f t="shared" si="50"/>
        <v>-6.7173868306174339E-3</v>
      </c>
      <c r="K60" s="23">
        <f t="shared" si="51"/>
        <v>1.8695267145528022E-3</v>
      </c>
      <c r="L60" s="324">
        <v>1406660666.28</v>
      </c>
      <c r="M60" s="74">
        <v>1.0196000000000001</v>
      </c>
      <c r="N60" s="23">
        <f t="shared" si="52"/>
        <v>3.7015849815979084E-3</v>
      </c>
      <c r="O60" s="23">
        <f t="shared" si="53"/>
        <v>1.3749754468670868E-3</v>
      </c>
      <c r="P60" s="324">
        <v>1423892073.73</v>
      </c>
      <c r="Q60" s="74">
        <v>1.0209999999999999</v>
      </c>
      <c r="R60" s="23">
        <f t="shared" si="54"/>
        <v>1.2249867976737813E-2</v>
      </c>
      <c r="S60" s="23">
        <f t="shared" si="55"/>
        <v>1.373087485288197E-3</v>
      </c>
      <c r="T60" s="324">
        <v>1417694377.5799999</v>
      </c>
      <c r="U60" s="74">
        <v>1.0221</v>
      </c>
      <c r="V60" s="23">
        <f t="shared" si="56"/>
        <v>-4.3526446030173697E-3</v>
      </c>
      <c r="W60" s="23">
        <f t="shared" si="57"/>
        <v>1.0773751224290901E-3</v>
      </c>
      <c r="X60" s="324">
        <v>1394817955.4400001</v>
      </c>
      <c r="Y60" s="74">
        <v>1.0235000000000001</v>
      </c>
      <c r="Z60" s="23">
        <f t="shared" si="58"/>
        <v>-1.6136356680097618E-2</v>
      </c>
      <c r="AA60" s="23">
        <f t="shared" si="59"/>
        <v>1.3697289893357478E-3</v>
      </c>
      <c r="AB60" s="324">
        <v>1395601657.3800001</v>
      </c>
      <c r="AC60" s="74">
        <v>1.0244</v>
      </c>
      <c r="AD60" s="23">
        <f t="shared" si="60"/>
        <v>5.6186682781326526E-4</v>
      </c>
      <c r="AE60" s="23">
        <f t="shared" si="61"/>
        <v>8.7933561309223331E-4</v>
      </c>
      <c r="AF60" s="324">
        <v>1424626858.46</v>
      </c>
      <c r="AG60" s="74">
        <v>1.0258</v>
      </c>
      <c r="AH60" s="23">
        <f t="shared" si="62"/>
        <v>2.079762583149242E-2</v>
      </c>
      <c r="AI60" s="23">
        <f t="shared" si="63"/>
        <v>1.3666536509176765E-3</v>
      </c>
      <c r="AJ60" s="24">
        <f t="shared" si="16"/>
        <v>2.5899320129116462E-3</v>
      </c>
      <c r="AK60" s="24">
        <f t="shared" si="17"/>
        <v>1.1638353778103542E-3</v>
      </c>
      <c r="AL60" s="25">
        <f t="shared" si="18"/>
        <v>9.6927260974465235E-3</v>
      </c>
      <c r="AM60" s="25">
        <f t="shared" si="19"/>
        <v>9.3476335727640109E-3</v>
      </c>
      <c r="AN60" s="378">
        <f t="shared" si="20"/>
        <v>1.1832659577779309E-2</v>
      </c>
      <c r="AO60" s="379">
        <f t="shared" si="21"/>
        <v>5.8329730976548896E-4</v>
      </c>
      <c r="AP60" s="30"/>
      <c r="AQ60" s="45">
        <v>1198249163.9190199</v>
      </c>
      <c r="AR60" s="45">
        <v>1987.7461478934799</v>
      </c>
      <c r="AS60" s="29" t="e">
        <f>(#REF!/AQ60)-1</f>
        <v>#REF!</v>
      </c>
      <c r="AT60" s="29" t="e">
        <f>(#REF!/AR60)-1</f>
        <v>#REF!</v>
      </c>
    </row>
    <row r="61" spans="1:48">
      <c r="A61" s="200" t="s">
        <v>105</v>
      </c>
      <c r="B61" s="324">
        <v>431078132.06999999</v>
      </c>
      <c r="C61" s="74">
        <v>2.2252000000000001</v>
      </c>
      <c r="D61" s="324">
        <v>431820071.91000003</v>
      </c>
      <c r="E61" s="74">
        <v>2.2288999999999999</v>
      </c>
      <c r="F61" s="23">
        <f t="shared" si="48"/>
        <v>1.7211261365481527E-3</v>
      </c>
      <c r="G61" s="23">
        <f t="shared" si="49"/>
        <v>1.6627718856731144E-3</v>
      </c>
      <c r="H61" s="324">
        <v>432624499.88</v>
      </c>
      <c r="I61" s="74">
        <v>2.2330999999999999</v>
      </c>
      <c r="J61" s="23">
        <f t="shared" si="50"/>
        <v>1.8628776713455505E-3</v>
      </c>
      <c r="K61" s="23">
        <f t="shared" si="51"/>
        <v>1.8843375656153179E-3</v>
      </c>
      <c r="L61" s="324">
        <v>433207287.08999997</v>
      </c>
      <c r="M61" s="74">
        <v>2.2361</v>
      </c>
      <c r="N61" s="23">
        <f t="shared" si="52"/>
        <v>1.3470971019016033E-3</v>
      </c>
      <c r="O61" s="23">
        <f t="shared" si="53"/>
        <v>1.3434239398146584E-3</v>
      </c>
      <c r="P61" s="324">
        <v>434071209.89999998</v>
      </c>
      <c r="Q61" s="74">
        <v>2.2403</v>
      </c>
      <c r="R61" s="23">
        <f t="shared" si="54"/>
        <v>1.9942481018804287E-3</v>
      </c>
      <c r="S61" s="23">
        <f t="shared" si="55"/>
        <v>1.8782702025848493E-3</v>
      </c>
      <c r="T61" s="324">
        <v>434413059.51999998</v>
      </c>
      <c r="U61" s="74">
        <v>2.2446999999999999</v>
      </c>
      <c r="V61" s="23">
        <f t="shared" si="56"/>
        <v>7.875427169628667E-4</v>
      </c>
      <c r="W61" s="23">
        <f t="shared" si="57"/>
        <v>1.9640226755345087E-3</v>
      </c>
      <c r="X61" s="324">
        <v>433191603.01999998</v>
      </c>
      <c r="Y61" s="74">
        <v>2.2490000000000001</v>
      </c>
      <c r="Z61" s="23">
        <f t="shared" si="58"/>
        <v>-2.8117398251093907E-3</v>
      </c>
      <c r="AA61" s="23">
        <f t="shared" si="59"/>
        <v>1.9156234686150456E-3</v>
      </c>
      <c r="AB61" s="324">
        <v>441185862.17000002</v>
      </c>
      <c r="AC61" s="74">
        <v>2.2905000000000002</v>
      </c>
      <c r="AD61" s="23">
        <f t="shared" si="60"/>
        <v>1.8454326201773005E-2</v>
      </c>
      <c r="AE61" s="23">
        <f t="shared" si="61"/>
        <v>1.845264562027572E-2</v>
      </c>
      <c r="AF61" s="324">
        <v>434950434.17000002</v>
      </c>
      <c r="AG61" s="74">
        <v>2.2578999999999998</v>
      </c>
      <c r="AH61" s="23">
        <f t="shared" si="62"/>
        <v>-1.4133335935405229E-2</v>
      </c>
      <c r="AI61" s="23">
        <f t="shared" si="63"/>
        <v>-1.423270028378101E-2</v>
      </c>
      <c r="AJ61" s="24">
        <f t="shared" si="16"/>
        <v>1.1527677712371231E-3</v>
      </c>
      <c r="AK61" s="24">
        <f t="shared" si="17"/>
        <v>1.8585493842915254E-3</v>
      </c>
      <c r="AL61" s="25">
        <f t="shared" si="18"/>
        <v>7.2492282402574857E-3</v>
      </c>
      <c r="AM61" s="25">
        <f t="shared" si="19"/>
        <v>1.3010902238772451E-2</v>
      </c>
      <c r="AN61" s="378">
        <f t="shared" si="20"/>
        <v>8.8675390434880784E-3</v>
      </c>
      <c r="AO61" s="379">
        <f t="shared" si="21"/>
        <v>8.7396244015616742E-3</v>
      </c>
      <c r="AP61" s="30"/>
      <c r="AQ61" s="28">
        <v>609639394.97000003</v>
      </c>
      <c r="AR61" s="32">
        <v>1.1629</v>
      </c>
      <c r="AS61" s="29" t="e">
        <f>(#REF!/AQ61)-1</f>
        <v>#REF!</v>
      </c>
      <c r="AT61" s="29" t="e">
        <f>(#REF!/AR61)-1</f>
        <v>#REF!</v>
      </c>
    </row>
    <row r="62" spans="1:48">
      <c r="A62" s="201" t="s">
        <v>18</v>
      </c>
      <c r="B62" s="324">
        <v>3370302141.3460202</v>
      </c>
      <c r="C62" s="324">
        <v>3875.4492330304602</v>
      </c>
      <c r="D62" s="324">
        <v>3375017543.3560901</v>
      </c>
      <c r="E62" s="324">
        <v>3880.9153313414599</v>
      </c>
      <c r="F62" s="23">
        <f t="shared" si="48"/>
        <v>1.3991036448104991E-3</v>
      </c>
      <c r="G62" s="23">
        <f t="shared" si="49"/>
        <v>1.4104425015846432E-3</v>
      </c>
      <c r="H62" s="324">
        <v>3380141543.6657</v>
      </c>
      <c r="I62" s="324">
        <v>3886.3767302992701</v>
      </c>
      <c r="J62" s="23">
        <f t="shared" si="50"/>
        <v>1.5182144222321955E-3</v>
      </c>
      <c r="K62" s="23">
        <f t="shared" si="51"/>
        <v>1.407245067601719E-3</v>
      </c>
      <c r="L62" s="324">
        <v>2785469286.5824199</v>
      </c>
      <c r="M62" s="324">
        <v>3891.8491831138399</v>
      </c>
      <c r="N62" s="23">
        <f t="shared" si="52"/>
        <v>-0.17593117015992449</v>
      </c>
      <c r="O62" s="23">
        <f t="shared" si="53"/>
        <v>1.408111769480567E-3</v>
      </c>
      <c r="P62" s="324">
        <v>2784388646.39433</v>
      </c>
      <c r="Q62" s="324">
        <v>3896.9828473200701</v>
      </c>
      <c r="R62" s="23">
        <f t="shared" si="54"/>
        <v>-3.8795623893441637E-4</v>
      </c>
      <c r="S62" s="23">
        <f t="shared" si="55"/>
        <v>1.3190809727428193E-3</v>
      </c>
      <c r="T62" s="324">
        <v>2788765458.8727798</v>
      </c>
      <c r="U62" s="324">
        <v>3902.0575035516099</v>
      </c>
      <c r="V62" s="23">
        <f t="shared" si="56"/>
        <v>1.5719114801439863E-3</v>
      </c>
      <c r="W62" s="23">
        <f t="shared" si="57"/>
        <v>1.3022013260924809E-3</v>
      </c>
      <c r="X62" s="324">
        <v>2782742512.0703502</v>
      </c>
      <c r="Y62" s="324">
        <v>3907.2528530935701</v>
      </c>
      <c r="Z62" s="23">
        <f t="shared" si="58"/>
        <v>-2.1597179437471067E-3</v>
      </c>
      <c r="AA62" s="23">
        <f t="shared" si="59"/>
        <v>1.3314384878314813E-3</v>
      </c>
      <c r="AB62" s="324">
        <v>2348226752.8206201</v>
      </c>
      <c r="AC62" s="324">
        <v>3912.2057688055502</v>
      </c>
      <c r="AD62" s="23">
        <f t="shared" si="60"/>
        <v>-0.15614659184778543</v>
      </c>
      <c r="AE62" s="23">
        <f t="shared" si="61"/>
        <v>1.2676209854344507E-3</v>
      </c>
      <c r="AF62" s="324">
        <v>2349934232.31951</v>
      </c>
      <c r="AG62" s="324">
        <v>3917.1594085253</v>
      </c>
      <c r="AH62" s="23">
        <f t="shared" si="62"/>
        <v>7.2713569796398474E-4</v>
      </c>
      <c r="AI62" s="23">
        <f t="shared" si="63"/>
        <v>1.2662012206127538E-3</v>
      </c>
      <c r="AJ62" s="24">
        <f t="shared" si="16"/>
        <v>-4.1176133868155093E-2</v>
      </c>
      <c r="AK62" s="24">
        <f t="shared" si="17"/>
        <v>1.3390427914226142E-3</v>
      </c>
      <c r="AL62" s="25">
        <f t="shared" si="18"/>
        <v>-0.30372680967377891</v>
      </c>
      <c r="AM62" s="25">
        <f t="shared" si="19"/>
        <v>9.3390538286523567E-3</v>
      </c>
      <c r="AN62" s="378">
        <f t="shared" si="20"/>
        <v>7.7258212477563731E-2</v>
      </c>
      <c r="AO62" s="379">
        <f t="shared" si="21"/>
        <v>5.568321426600506E-2</v>
      </c>
      <c r="AP62" s="30"/>
      <c r="AQ62" s="28">
        <v>4056683843.0900002</v>
      </c>
      <c r="AR62" s="35">
        <v>1</v>
      </c>
      <c r="AS62" s="29" t="e">
        <f>(#REF!/AQ62)-1</f>
        <v>#REF!</v>
      </c>
      <c r="AT62" s="29" t="e">
        <f>(#REF!/AR62)-1</f>
        <v>#REF!</v>
      </c>
    </row>
    <row r="63" spans="1:48" ht="15" customHeight="1">
      <c r="A63" s="200" t="s">
        <v>220</v>
      </c>
      <c r="B63" s="324">
        <v>343654046.68000001</v>
      </c>
      <c r="C63" s="325">
        <v>104.34</v>
      </c>
      <c r="D63" s="324">
        <v>344472162.74000001</v>
      </c>
      <c r="E63" s="325">
        <v>107.1</v>
      </c>
      <c r="F63" s="23">
        <f t="shared" si="48"/>
        <v>2.3806385168564791E-3</v>
      </c>
      <c r="G63" s="23">
        <f t="shared" si="49"/>
        <v>2.645198389879232E-2</v>
      </c>
      <c r="H63" s="324">
        <v>345064318.92000002</v>
      </c>
      <c r="I63" s="325">
        <v>107.24</v>
      </c>
      <c r="J63" s="23">
        <f t="shared" si="50"/>
        <v>1.7190247690550065E-3</v>
      </c>
      <c r="K63" s="23">
        <f t="shared" si="51"/>
        <v>1.3071895424836655E-3</v>
      </c>
      <c r="L63" s="324">
        <v>345923420.13</v>
      </c>
      <c r="M63" s="325">
        <v>107.43</v>
      </c>
      <c r="N63" s="23">
        <f t="shared" si="52"/>
        <v>2.489684278829053E-3</v>
      </c>
      <c r="O63" s="23">
        <f t="shared" si="53"/>
        <v>1.7717269675495333E-3</v>
      </c>
      <c r="P63" s="324">
        <v>346627846.39999998</v>
      </c>
      <c r="Q63" s="325">
        <v>107.79</v>
      </c>
      <c r="R63" s="23">
        <f t="shared" si="54"/>
        <v>2.036364781937151E-3</v>
      </c>
      <c r="S63" s="23">
        <f t="shared" si="55"/>
        <v>3.3510192683607874E-3</v>
      </c>
      <c r="T63" s="324">
        <v>347006894.05000001</v>
      </c>
      <c r="U63" s="325">
        <v>107.86</v>
      </c>
      <c r="V63" s="23">
        <f t="shared" si="56"/>
        <v>1.0935291377676107E-3</v>
      </c>
      <c r="W63" s="23">
        <f t="shared" si="57"/>
        <v>6.4941089154831782E-4</v>
      </c>
      <c r="X63" s="324">
        <v>346662137.54000002</v>
      </c>
      <c r="Y63" s="325">
        <v>108.05</v>
      </c>
      <c r="Z63" s="23">
        <f t="shared" si="58"/>
        <v>-9.9351487221552054E-4</v>
      </c>
      <c r="AA63" s="23">
        <f t="shared" si="59"/>
        <v>1.7615427405896322E-3</v>
      </c>
      <c r="AB63" s="324">
        <v>336186984.89999998</v>
      </c>
      <c r="AC63" s="325">
        <v>109.51</v>
      </c>
      <c r="AD63" s="23">
        <f t="shared" si="60"/>
        <v>-3.0217181242619431E-2</v>
      </c>
      <c r="AE63" s="23">
        <f t="shared" si="61"/>
        <v>1.351226284127726E-2</v>
      </c>
      <c r="AF63" s="324">
        <v>336593170</v>
      </c>
      <c r="AG63" s="325">
        <v>108.48</v>
      </c>
      <c r="AH63" s="23">
        <f t="shared" si="62"/>
        <v>1.2082118530580388E-3</v>
      </c>
      <c r="AI63" s="23">
        <f t="shared" si="63"/>
        <v>-9.405533741210859E-3</v>
      </c>
      <c r="AJ63" s="24">
        <f t="shared" si="16"/>
        <v>-2.5354053471664515E-3</v>
      </c>
      <c r="AK63" s="24">
        <f t="shared" si="17"/>
        <v>4.9249503011738324E-3</v>
      </c>
      <c r="AL63" s="25">
        <f t="shared" si="18"/>
        <v>-2.2872654432593148E-2</v>
      </c>
      <c r="AM63" s="25">
        <f t="shared" si="19"/>
        <v>1.2885154061624741E-2</v>
      </c>
      <c r="AN63" s="378">
        <f t="shared" si="20"/>
        <v>1.1239358452395553E-2</v>
      </c>
      <c r="AO63" s="379">
        <f t="shared" si="21"/>
        <v>1.5668475979722474E-2</v>
      </c>
      <c r="AP63" s="30"/>
      <c r="AQ63" s="28">
        <v>739078842.02999997</v>
      </c>
      <c r="AR63" s="32">
        <v>16.871500000000001</v>
      </c>
      <c r="AS63" s="29" t="e">
        <f>(#REF!/AQ63)-1</f>
        <v>#REF!</v>
      </c>
      <c r="AT63" s="29" t="e">
        <f>(#REF!/AR63)-1</f>
        <v>#REF!</v>
      </c>
    </row>
    <row r="64" spans="1:48">
      <c r="A64" s="200" t="s">
        <v>110</v>
      </c>
      <c r="B64" s="324">
        <v>353572578.68000001</v>
      </c>
      <c r="C64" s="325">
        <v>1.4056</v>
      </c>
      <c r="D64" s="324">
        <v>352680830.77999997</v>
      </c>
      <c r="E64" s="325">
        <v>1.4020999999999999</v>
      </c>
      <c r="F64" s="23">
        <f t="shared" si="48"/>
        <v>-2.5221070687359778E-3</v>
      </c>
      <c r="G64" s="23">
        <f t="shared" si="49"/>
        <v>-2.4900398406374918E-3</v>
      </c>
      <c r="H64" s="324">
        <v>352216284.05000001</v>
      </c>
      <c r="I64" s="325">
        <v>1.4006000000000001</v>
      </c>
      <c r="J64" s="23">
        <f t="shared" si="50"/>
        <v>-1.3171873531446362E-3</v>
      </c>
      <c r="K64" s="23">
        <f t="shared" si="51"/>
        <v>-1.069823835674941E-3</v>
      </c>
      <c r="L64" s="324">
        <v>348751041.39999998</v>
      </c>
      <c r="M64" s="325">
        <v>1.3871</v>
      </c>
      <c r="N64" s="23">
        <f t="shared" si="52"/>
        <v>-9.8383942109505525E-3</v>
      </c>
      <c r="O64" s="23">
        <f t="shared" si="53"/>
        <v>-9.6387262601742591E-3</v>
      </c>
      <c r="P64" s="324">
        <v>348365262.30000001</v>
      </c>
      <c r="Q64" s="325">
        <v>1.3854</v>
      </c>
      <c r="R64" s="23">
        <f t="shared" si="54"/>
        <v>-1.1061733276876296E-3</v>
      </c>
      <c r="S64" s="23">
        <f t="shared" si="55"/>
        <v>-1.225578545166199E-3</v>
      </c>
      <c r="T64" s="324">
        <v>349676794.25</v>
      </c>
      <c r="U64" s="325">
        <v>1.3914</v>
      </c>
      <c r="V64" s="23">
        <f t="shared" si="56"/>
        <v>3.7648184016423041E-3</v>
      </c>
      <c r="W64" s="23">
        <f t="shared" si="57"/>
        <v>4.3308791684712033E-3</v>
      </c>
      <c r="X64" s="324">
        <v>349136292.39999998</v>
      </c>
      <c r="Y64" s="325">
        <v>1.3914</v>
      </c>
      <c r="Z64" s="23">
        <f t="shared" si="58"/>
        <v>-1.5457183859149493E-3</v>
      </c>
      <c r="AA64" s="23">
        <f t="shared" si="59"/>
        <v>0</v>
      </c>
      <c r="AB64" s="324">
        <v>348015758.39999998</v>
      </c>
      <c r="AC64" s="325">
        <v>1.3849</v>
      </c>
      <c r="AD64" s="23">
        <f t="shared" si="60"/>
        <v>-3.2094457791750327E-3</v>
      </c>
      <c r="AE64" s="23">
        <f t="shared" si="61"/>
        <v>-4.6715538306741052E-3</v>
      </c>
      <c r="AF64" s="324">
        <v>346516104.82999998</v>
      </c>
      <c r="AG64" s="325">
        <v>1.3849</v>
      </c>
      <c r="AH64" s="23">
        <f t="shared" si="62"/>
        <v>-4.3091542086905483E-3</v>
      </c>
      <c r="AI64" s="23">
        <f t="shared" si="63"/>
        <v>0</v>
      </c>
      <c r="AJ64" s="24">
        <f t="shared" si="16"/>
        <v>-2.5104202415821278E-3</v>
      </c>
      <c r="AK64" s="24">
        <f t="shared" si="17"/>
        <v>-1.8456053929819739E-3</v>
      </c>
      <c r="AL64" s="25">
        <f t="shared" si="18"/>
        <v>-1.7479617296936402E-2</v>
      </c>
      <c r="AM64" s="25">
        <f t="shared" si="19"/>
        <v>-1.2267313315740592E-2</v>
      </c>
      <c r="AN64" s="378">
        <f t="shared" si="20"/>
        <v>3.8009097310527941E-3</v>
      </c>
      <c r="AO64" s="379">
        <f t="shared" si="21"/>
        <v>3.9404245529143121E-3</v>
      </c>
      <c r="AP64" s="30"/>
      <c r="AQ64" s="36">
        <v>0</v>
      </c>
      <c r="AR64" s="37">
        <v>0</v>
      </c>
      <c r="AS64" s="29" t="e">
        <f>(#REF!/AQ64)-1</f>
        <v>#REF!</v>
      </c>
      <c r="AT64" s="29" t="e">
        <f>(#REF!/AR64)-1</f>
        <v>#REF!</v>
      </c>
    </row>
    <row r="65" spans="1:46" s="365" customFormat="1">
      <c r="A65" s="200" t="s">
        <v>282</v>
      </c>
      <c r="B65" s="324">
        <v>70376907.129999995</v>
      </c>
      <c r="C65" s="74">
        <v>106.9906</v>
      </c>
      <c r="D65" s="324">
        <v>70523055.129999995</v>
      </c>
      <c r="E65" s="74">
        <v>107.23560000000001</v>
      </c>
      <c r="F65" s="23">
        <f t="shared" si="48"/>
        <v>2.0766470986006234E-3</v>
      </c>
      <c r="G65" s="23">
        <f t="shared" si="49"/>
        <v>2.2899207967803205E-3</v>
      </c>
      <c r="H65" s="324">
        <v>70726143.450000003</v>
      </c>
      <c r="I65" s="74">
        <v>107.47580000000001</v>
      </c>
      <c r="J65" s="23">
        <f t="shared" ref="J65" si="64">((H65-D65)/D65)</f>
        <v>2.8797436473170525E-3</v>
      </c>
      <c r="K65" s="23">
        <f>((I65-E65)/E65)</f>
        <v>2.2399277851758324E-3</v>
      </c>
      <c r="L65" s="324">
        <v>70758634.269999996</v>
      </c>
      <c r="M65" s="74">
        <v>107.7166</v>
      </c>
      <c r="N65" s="23">
        <f t="shared" ref="N65" si="65">((L65-H65)/H65)</f>
        <v>4.5938910868174653E-4</v>
      </c>
      <c r="O65" s="23">
        <f>((M65-I65)/I65)</f>
        <v>2.2405043740078511E-3</v>
      </c>
      <c r="P65" s="324">
        <v>70885238.5</v>
      </c>
      <c r="Q65" s="74">
        <v>107.9577</v>
      </c>
      <c r="R65" s="23">
        <f t="shared" ref="R65" si="66">((P65-L65)/L65)</f>
        <v>1.7892407238515823E-3</v>
      </c>
      <c r="S65" s="23">
        <f>((Q65-M65)/M65)</f>
        <v>2.2382808220831607E-3</v>
      </c>
      <c r="T65" s="324">
        <v>71487402.939999998</v>
      </c>
      <c r="U65" s="74">
        <v>108.1883</v>
      </c>
      <c r="V65" s="23">
        <f t="shared" ref="V65" si="67">((T65-P65)/P65)</f>
        <v>8.4949201377095968E-3</v>
      </c>
      <c r="W65" s="23">
        <f>((U65-Q65)/Q65)</f>
        <v>2.1360217937210174E-3</v>
      </c>
      <c r="X65" s="324">
        <v>71718859.969999999</v>
      </c>
      <c r="Y65" s="74">
        <v>108.41589999999999</v>
      </c>
      <c r="Z65" s="23">
        <f t="shared" ref="Z65" si="68">((X65-T65)/T65)</f>
        <v>3.2377316909143433E-3</v>
      </c>
      <c r="AA65" s="23">
        <f>((Y65-U65)/U65)</f>
        <v>2.1037394986333584E-3</v>
      </c>
      <c r="AB65" s="324">
        <v>71914070.189999998</v>
      </c>
      <c r="AC65" s="74">
        <v>108.67319999999999</v>
      </c>
      <c r="AD65" s="23">
        <f t="shared" si="60"/>
        <v>2.7218812468806008E-3</v>
      </c>
      <c r="AE65" s="23">
        <f>((AC65-Y65)/Y65)</f>
        <v>2.373268127645491E-3</v>
      </c>
      <c r="AF65" s="324">
        <v>72028275.75</v>
      </c>
      <c r="AG65" s="74">
        <v>108.90130000000001</v>
      </c>
      <c r="AH65" s="23">
        <f t="shared" si="62"/>
        <v>1.5880836628808033E-3</v>
      </c>
      <c r="AI65" s="23">
        <f>((AG65-AC65)/AC65)</f>
        <v>2.0989535598474321E-3</v>
      </c>
      <c r="AJ65" s="24">
        <f t="shared" si="16"/>
        <v>2.9059546646045438E-3</v>
      </c>
      <c r="AK65" s="24">
        <f t="shared" si="17"/>
        <v>2.215077094736808E-3</v>
      </c>
      <c r="AL65" s="25">
        <f t="shared" si="18"/>
        <v>2.1343667219540164E-2</v>
      </c>
      <c r="AM65" s="25">
        <f t="shared" si="19"/>
        <v>1.5533087892453635E-2</v>
      </c>
      <c r="AN65" s="378">
        <f t="shared" si="20"/>
        <v>2.4212880030619675E-3</v>
      </c>
      <c r="AO65" s="379">
        <f t="shared" si="21"/>
        <v>2.0042584399654676E-4</v>
      </c>
      <c r="AP65" s="30"/>
      <c r="AQ65" s="36"/>
      <c r="AR65" s="37"/>
      <c r="AS65" s="29"/>
      <c r="AT65" s="29"/>
    </row>
    <row r="66" spans="1:46">
      <c r="A66" s="200" t="s">
        <v>236</v>
      </c>
      <c r="B66" s="324">
        <v>670873390.58000004</v>
      </c>
      <c r="C66" s="74">
        <v>1000</v>
      </c>
      <c r="D66" s="324">
        <v>680887582.63000011</v>
      </c>
      <c r="E66" s="74">
        <v>1000</v>
      </c>
      <c r="F66" s="23">
        <f t="shared" si="48"/>
        <v>1.4927096812324535E-2</v>
      </c>
      <c r="G66" s="23">
        <f t="shared" si="49"/>
        <v>0</v>
      </c>
      <c r="H66" s="324">
        <v>690280439.20020008</v>
      </c>
      <c r="I66" s="74">
        <v>1000</v>
      </c>
      <c r="J66" s="23">
        <f t="shared" si="50"/>
        <v>1.3795018164260049E-2</v>
      </c>
      <c r="K66" s="23">
        <f t="shared" si="51"/>
        <v>0</v>
      </c>
      <c r="L66" s="324">
        <v>684086957.47000003</v>
      </c>
      <c r="M66" s="74">
        <v>1000</v>
      </c>
      <c r="N66" s="23">
        <f t="shared" si="52"/>
        <v>-8.972413787903635E-3</v>
      </c>
      <c r="O66" s="23">
        <f t="shared" si="53"/>
        <v>0</v>
      </c>
      <c r="P66" s="324">
        <v>691368696.91000009</v>
      </c>
      <c r="Q66" s="74">
        <v>1000</v>
      </c>
      <c r="R66" s="23">
        <f t="shared" si="54"/>
        <v>1.0644464655386141E-2</v>
      </c>
      <c r="S66" s="23">
        <f t="shared" si="55"/>
        <v>0</v>
      </c>
      <c r="T66" s="324">
        <v>833956636.2700001</v>
      </c>
      <c r="U66" s="74">
        <v>1000</v>
      </c>
      <c r="V66" s="23">
        <f t="shared" si="56"/>
        <v>0.20624008578531522</v>
      </c>
      <c r="W66" s="23">
        <f t="shared" si="57"/>
        <v>0</v>
      </c>
      <c r="X66" s="324">
        <v>844789670.44000006</v>
      </c>
      <c r="Y66" s="74">
        <v>1000</v>
      </c>
      <c r="Z66" s="23">
        <f t="shared" si="58"/>
        <v>1.2989925013910048E-2</v>
      </c>
      <c r="AA66" s="23">
        <f t="shared" si="59"/>
        <v>0</v>
      </c>
      <c r="AB66" s="324">
        <v>846444700.48000002</v>
      </c>
      <c r="AC66" s="74">
        <v>1000</v>
      </c>
      <c r="AD66" s="23">
        <f t="shared" si="60"/>
        <v>1.9591030737129591E-3</v>
      </c>
      <c r="AE66" s="23">
        <f t="shared" ref="AE66:AE81" si="69">((AC66-Y66)/Y66)</f>
        <v>0</v>
      </c>
      <c r="AF66" s="324">
        <v>847333711.23000002</v>
      </c>
      <c r="AG66" s="74">
        <v>1000</v>
      </c>
      <c r="AH66" s="23">
        <f t="shared" si="62"/>
        <v>1.0502880453925245E-3</v>
      </c>
      <c r="AI66" s="23">
        <f t="shared" ref="AI66:AI84" si="70">((AG66-AC66)/AC66)</f>
        <v>0</v>
      </c>
      <c r="AJ66" s="24">
        <f t="shared" si="16"/>
        <v>3.1579195970299734E-2</v>
      </c>
      <c r="AK66" s="24">
        <f t="shared" si="17"/>
        <v>0</v>
      </c>
      <c r="AL66" s="25">
        <f t="shared" si="18"/>
        <v>0.24445463957072647</v>
      </c>
      <c r="AM66" s="25">
        <f t="shared" si="19"/>
        <v>0</v>
      </c>
      <c r="AN66" s="378">
        <f t="shared" si="20"/>
        <v>7.1050904250570396E-2</v>
      </c>
      <c r="AO66" s="379">
        <f t="shared" si="21"/>
        <v>6.9264753423292104E-4</v>
      </c>
      <c r="AP66" s="30"/>
      <c r="AQ66" s="28">
        <v>3320655667.8400002</v>
      </c>
      <c r="AR66" s="32">
        <v>177.09</v>
      </c>
      <c r="AS66" s="29" t="e">
        <f>(#REF!/AQ66)-1</f>
        <v>#REF!</v>
      </c>
      <c r="AT66" s="29" t="e">
        <f>(#REF!/AR66)-1</f>
        <v>#REF!</v>
      </c>
    </row>
    <row r="67" spans="1:46">
      <c r="A67" s="200" t="s">
        <v>101</v>
      </c>
      <c r="B67" s="324">
        <v>273870818.58999997</v>
      </c>
      <c r="C67" s="74">
        <v>1103.94</v>
      </c>
      <c r="D67" s="324">
        <v>269425882.17000002</v>
      </c>
      <c r="E67" s="74">
        <v>1102.8900000000001</v>
      </c>
      <c r="F67" s="23">
        <f t="shared" si="48"/>
        <v>-1.623004759281885E-2</v>
      </c>
      <c r="G67" s="23">
        <f t="shared" si="49"/>
        <v>-9.5113864883956956E-4</v>
      </c>
      <c r="H67" s="324">
        <v>269910887.70999998</v>
      </c>
      <c r="I67" s="74">
        <v>1105.45</v>
      </c>
      <c r="J67" s="23">
        <f t="shared" si="50"/>
        <v>1.8001445744323006E-3</v>
      </c>
      <c r="K67" s="23">
        <f t="shared" si="51"/>
        <v>2.3211743691573458E-3</v>
      </c>
      <c r="L67" s="324">
        <v>239434316.24000001</v>
      </c>
      <c r="M67" s="74">
        <v>1106.8599999999999</v>
      </c>
      <c r="N67" s="23">
        <f t="shared" si="52"/>
        <v>-0.11291345721016217</v>
      </c>
      <c r="O67" s="23">
        <f t="shared" si="53"/>
        <v>1.2754986657016187E-3</v>
      </c>
      <c r="P67" s="324">
        <v>238946689.84999999</v>
      </c>
      <c r="Q67" s="74">
        <v>1104.68</v>
      </c>
      <c r="R67" s="23">
        <f t="shared" si="54"/>
        <v>-2.0365768685856921E-3</v>
      </c>
      <c r="S67" s="23">
        <f t="shared" si="55"/>
        <v>-1.9695354426032528E-3</v>
      </c>
      <c r="T67" s="324">
        <v>239002728</v>
      </c>
      <c r="U67" s="74">
        <v>1107.31</v>
      </c>
      <c r="V67" s="23">
        <f t="shared" si="56"/>
        <v>2.3452155807299191E-4</v>
      </c>
      <c r="W67" s="23">
        <f t="shared" si="57"/>
        <v>2.3807799543758205E-3</v>
      </c>
      <c r="X67" s="324">
        <v>239002728</v>
      </c>
      <c r="Y67" s="74">
        <v>1109.25</v>
      </c>
      <c r="Z67" s="23">
        <f t="shared" si="58"/>
        <v>0</v>
      </c>
      <c r="AA67" s="23">
        <f t="shared" si="59"/>
        <v>1.7519935700030297E-3</v>
      </c>
      <c r="AB67" s="324">
        <v>238202618.88999999</v>
      </c>
      <c r="AC67" s="74">
        <v>1105.19</v>
      </c>
      <c r="AD67" s="23">
        <f t="shared" si="60"/>
        <v>-3.347698650535965E-3</v>
      </c>
      <c r="AE67" s="23">
        <f t="shared" si="69"/>
        <v>-3.6601307189541993E-3</v>
      </c>
      <c r="AF67" s="324">
        <v>238658192.91</v>
      </c>
      <c r="AG67" s="74">
        <v>1107.9100000000001</v>
      </c>
      <c r="AH67" s="23">
        <f t="shared" si="62"/>
        <v>1.9125483259711392E-3</v>
      </c>
      <c r="AI67" s="23">
        <f t="shared" si="70"/>
        <v>2.4611152833449697E-3</v>
      </c>
      <c r="AJ67" s="24">
        <f t="shared" si="16"/>
        <v>-1.6322570732953279E-2</v>
      </c>
      <c r="AK67" s="24">
        <f t="shared" si="17"/>
        <v>4.5121962902322033E-4</v>
      </c>
      <c r="AL67" s="25">
        <f t="shared" si="18"/>
        <v>-0.11419722935373555</v>
      </c>
      <c r="AM67" s="25">
        <f t="shared" si="19"/>
        <v>4.5516778645195632E-3</v>
      </c>
      <c r="AN67" s="378">
        <f t="shared" si="20"/>
        <v>3.9467456458099529E-2</v>
      </c>
      <c r="AO67" s="379">
        <f t="shared" si="21"/>
        <v>2.2639190205992815E-3</v>
      </c>
      <c r="AP67" s="30"/>
      <c r="AQ67" s="46">
        <v>1300500308</v>
      </c>
      <c r="AR67" s="32">
        <v>1.19</v>
      </c>
      <c r="AS67" s="29" t="e">
        <f>(#REF!/AQ67)-1</f>
        <v>#REF!</v>
      </c>
      <c r="AT67" s="29" t="e">
        <f>(#REF!/AR67)-1</f>
        <v>#REF!</v>
      </c>
    </row>
    <row r="68" spans="1:46">
      <c r="A68" s="200" t="s">
        <v>169</v>
      </c>
      <c r="B68" s="324">
        <v>726108153.88</v>
      </c>
      <c r="C68" s="309">
        <v>1.0680000000000001</v>
      </c>
      <c r="D68" s="324">
        <v>728153784.57000005</v>
      </c>
      <c r="E68" s="309">
        <v>1.0680000000000001</v>
      </c>
      <c r="F68" s="23">
        <f t="shared" si="48"/>
        <v>2.8172534340361196E-3</v>
      </c>
      <c r="G68" s="23">
        <f t="shared" si="49"/>
        <v>0</v>
      </c>
      <c r="H68" s="324">
        <v>730810674.30999994</v>
      </c>
      <c r="I68" s="309">
        <v>1.0749</v>
      </c>
      <c r="J68" s="23">
        <f t="shared" si="50"/>
        <v>3.6488030362554187E-3</v>
      </c>
      <c r="K68" s="23">
        <f t="shared" si="51"/>
        <v>6.4606741573032828E-3</v>
      </c>
      <c r="L68" s="324">
        <v>729960653.96000004</v>
      </c>
      <c r="M68" s="309">
        <v>1.0738000000000001</v>
      </c>
      <c r="N68" s="23">
        <f t="shared" si="52"/>
        <v>-1.1631197790076854E-3</v>
      </c>
      <c r="O68" s="23">
        <f t="shared" si="53"/>
        <v>-1.0233510093961102E-3</v>
      </c>
      <c r="P68" s="324">
        <v>732100806.80999994</v>
      </c>
      <c r="Q68" s="309">
        <v>1.0758000000000001</v>
      </c>
      <c r="R68" s="23">
        <f t="shared" si="54"/>
        <v>2.9318742570434205E-3</v>
      </c>
      <c r="S68" s="23">
        <f t="shared" si="55"/>
        <v>1.8625442354255929E-3</v>
      </c>
      <c r="T68" s="324">
        <v>733640783.86000001</v>
      </c>
      <c r="U68" s="309">
        <v>1.0779000000000001</v>
      </c>
      <c r="V68" s="23">
        <f t="shared" si="56"/>
        <v>2.1035041017237088E-3</v>
      </c>
      <c r="W68" s="23">
        <f t="shared" si="57"/>
        <v>1.952035694366974E-3</v>
      </c>
      <c r="X68" s="324">
        <v>733430710.14999998</v>
      </c>
      <c r="Y68" s="309">
        <v>1.08</v>
      </c>
      <c r="Z68" s="23">
        <f t="shared" si="58"/>
        <v>-2.863441000304671E-4</v>
      </c>
      <c r="AA68" s="23">
        <f t="shared" si="59"/>
        <v>1.9482326746451347E-3</v>
      </c>
      <c r="AB68" s="324">
        <v>734101319.90999997</v>
      </c>
      <c r="AC68" s="309">
        <v>1.0808</v>
      </c>
      <c r="AD68" s="23">
        <f t="shared" si="60"/>
        <v>9.1434644161932966E-4</v>
      </c>
      <c r="AE68" s="23">
        <f t="shared" si="69"/>
        <v>7.4074074074065906E-4</v>
      </c>
      <c r="AF68" s="324">
        <v>735367361.01999998</v>
      </c>
      <c r="AG68" s="309">
        <v>1.0828</v>
      </c>
      <c r="AH68" s="23">
        <f t="shared" si="62"/>
        <v>1.7246135862488705E-3</v>
      </c>
      <c r="AI68" s="23">
        <f t="shared" si="70"/>
        <v>1.8504811250925257E-3</v>
      </c>
      <c r="AJ68" s="24">
        <f t="shared" si="16"/>
        <v>1.5863663722360893E-3</v>
      </c>
      <c r="AK68" s="24">
        <f t="shared" si="17"/>
        <v>1.7239197022722575E-3</v>
      </c>
      <c r="AL68" s="25">
        <f t="shared" si="18"/>
        <v>9.9066661505574603E-3</v>
      </c>
      <c r="AM68" s="25">
        <f t="shared" si="19"/>
        <v>1.3857677902621652E-2</v>
      </c>
      <c r="AN68" s="378">
        <f t="shared" si="20"/>
        <v>1.6640738539363824E-3</v>
      </c>
      <c r="AO68" s="379">
        <f t="shared" si="21"/>
        <v>2.1956277181719242E-3</v>
      </c>
      <c r="AP68" s="30"/>
      <c r="AQ68" s="31">
        <v>776682398.99000001</v>
      </c>
      <c r="AR68" s="35">
        <v>2.4700000000000002</v>
      </c>
      <c r="AS68" s="29" t="e">
        <f>(#REF!/AQ68)-1</f>
        <v>#REF!</v>
      </c>
      <c r="AT68" s="29" t="e">
        <f>(#REF!/AR68)-1</f>
        <v>#REF!</v>
      </c>
    </row>
    <row r="69" spans="1:46">
      <c r="A69" s="200" t="s">
        <v>208</v>
      </c>
      <c r="B69" s="324">
        <v>67540567273.980003</v>
      </c>
      <c r="C69" s="324">
        <v>1570.83</v>
      </c>
      <c r="D69" s="324">
        <v>68124092493</v>
      </c>
      <c r="E69" s="324">
        <v>1574.21</v>
      </c>
      <c r="F69" s="23">
        <f t="shared" si="48"/>
        <v>8.6396256734550658E-3</v>
      </c>
      <c r="G69" s="23">
        <f t="shared" si="49"/>
        <v>2.1517287039336586E-3</v>
      </c>
      <c r="H69" s="324">
        <v>68422476999.220001</v>
      </c>
      <c r="I69" s="324">
        <v>1577.56</v>
      </c>
      <c r="J69" s="23">
        <f t="shared" si="50"/>
        <v>4.3800144016694431E-3</v>
      </c>
      <c r="K69" s="23">
        <f t="shared" si="51"/>
        <v>2.1280515306089463E-3</v>
      </c>
      <c r="L69" s="324">
        <v>68110525693.080002</v>
      </c>
      <c r="M69" s="324">
        <v>1580.96</v>
      </c>
      <c r="N69" s="23">
        <f t="shared" si="52"/>
        <v>-4.5591934086741054E-3</v>
      </c>
      <c r="O69" s="23">
        <f t="shared" si="53"/>
        <v>2.1552270595096802E-3</v>
      </c>
      <c r="P69" s="324">
        <v>68177845484.519997</v>
      </c>
      <c r="Q69" s="324">
        <v>1584.3</v>
      </c>
      <c r="R69" s="23">
        <f t="shared" si="54"/>
        <v>9.8839042504754102E-4</v>
      </c>
      <c r="S69" s="23">
        <f t="shared" si="55"/>
        <v>2.1126404210099676E-3</v>
      </c>
      <c r="T69" s="324">
        <v>68800750738.429993</v>
      </c>
      <c r="U69" s="324">
        <v>1587.65</v>
      </c>
      <c r="V69" s="23">
        <f t="shared" si="56"/>
        <v>9.1364760720024328E-3</v>
      </c>
      <c r="W69" s="23">
        <f t="shared" si="57"/>
        <v>2.1144985166951565E-3</v>
      </c>
      <c r="X69" s="324">
        <v>68878687281.509995</v>
      </c>
      <c r="Y69" s="324">
        <v>1591.03</v>
      </c>
      <c r="Z69" s="23">
        <f t="shared" si="58"/>
        <v>1.1327862304338035E-3</v>
      </c>
      <c r="AA69" s="23">
        <f t="shared" si="59"/>
        <v>2.1289326992724351E-3</v>
      </c>
      <c r="AB69" s="324">
        <v>68823037503.279999</v>
      </c>
      <c r="AC69" s="324">
        <v>1594.587</v>
      </c>
      <c r="AD69" s="23">
        <f t="shared" si="60"/>
        <v>-8.0793900735292505E-4</v>
      </c>
      <c r="AE69" s="23">
        <f t="shared" si="69"/>
        <v>2.2356586613703176E-3</v>
      </c>
      <c r="AF69" s="324">
        <v>67861706466.300003</v>
      </c>
      <c r="AG69" s="324">
        <v>1598.07</v>
      </c>
      <c r="AH69" s="23">
        <f t="shared" si="62"/>
        <v>-1.396815763811907E-2</v>
      </c>
      <c r="AI69" s="23">
        <f t="shared" si="70"/>
        <v>2.1842646403112198E-3</v>
      </c>
      <c r="AJ69" s="24">
        <f t="shared" si="16"/>
        <v>6.1775034355777362E-4</v>
      </c>
      <c r="AK69" s="24">
        <f t="shared" si="17"/>
        <v>2.1513752790889226E-3</v>
      </c>
      <c r="AL69" s="25">
        <f t="shared" si="18"/>
        <v>-3.8515893144111693E-3</v>
      </c>
      <c r="AM69" s="25">
        <f t="shared" si="19"/>
        <v>1.5156808812038991E-2</v>
      </c>
      <c r="AN69" s="378">
        <f t="shared" si="20"/>
        <v>7.4934112688760761E-3</v>
      </c>
      <c r="AO69" s="379">
        <f t="shared" si="21"/>
        <v>1.0422921048258969E-3</v>
      </c>
      <c r="AP69" s="30"/>
      <c r="AQ69" s="28">
        <v>8144502990.9799995</v>
      </c>
      <c r="AR69" s="28">
        <v>2263.5700000000002</v>
      </c>
      <c r="AS69" s="29" t="e">
        <f>(#REF!/AQ69)-1</f>
        <v>#REF!</v>
      </c>
      <c r="AT69" s="29" t="e">
        <f>(#REF!/AR69)-1</f>
        <v>#REF!</v>
      </c>
    </row>
    <row r="70" spans="1:46">
      <c r="A70" s="200" t="s">
        <v>173</v>
      </c>
      <c r="B70" s="324">
        <v>22002935.899999999</v>
      </c>
      <c r="C70" s="324">
        <v>0.65500000000000003</v>
      </c>
      <c r="D70" s="324">
        <v>22023612.440000001</v>
      </c>
      <c r="E70" s="324">
        <v>0.65700000000000003</v>
      </c>
      <c r="F70" s="23">
        <f t="shared" si="48"/>
        <v>9.3971732199623563E-4</v>
      </c>
      <c r="G70" s="23">
        <f t="shared" si="49"/>
        <v>3.0534351145038194E-3</v>
      </c>
      <c r="H70" s="324">
        <v>21811897.09</v>
      </c>
      <c r="I70" s="324">
        <v>0.65739999999999998</v>
      </c>
      <c r="J70" s="23">
        <f t="shared" si="50"/>
        <v>-9.6131073218250606E-3</v>
      </c>
      <c r="K70" s="23">
        <f t="shared" si="51"/>
        <v>6.08828006088213E-4</v>
      </c>
      <c r="L70" s="324">
        <v>24462461.300000001</v>
      </c>
      <c r="M70" s="324">
        <v>0.73729999999999996</v>
      </c>
      <c r="N70" s="23">
        <f t="shared" si="52"/>
        <v>0.12151919656796807</v>
      </c>
      <c r="O70" s="23">
        <f t="shared" si="53"/>
        <v>0.12153939762701547</v>
      </c>
      <c r="P70" s="324">
        <v>24501160.52</v>
      </c>
      <c r="Q70" s="324">
        <v>0.73850000000000005</v>
      </c>
      <c r="R70" s="23">
        <f t="shared" si="54"/>
        <v>1.5819839028217003E-3</v>
      </c>
      <c r="S70" s="23">
        <f t="shared" si="55"/>
        <v>1.6275600162757222E-3</v>
      </c>
      <c r="T70" s="324">
        <v>24320763.870000001</v>
      </c>
      <c r="U70" s="324">
        <v>0.74070000000000003</v>
      </c>
      <c r="V70" s="23">
        <f t="shared" si="56"/>
        <v>-7.3627798100723806E-3</v>
      </c>
      <c r="W70" s="23">
        <f t="shared" si="57"/>
        <v>2.9790115098171695E-3</v>
      </c>
      <c r="X70" s="324">
        <v>24359543.829999998</v>
      </c>
      <c r="Y70" s="324">
        <v>0.7419</v>
      </c>
      <c r="Z70" s="23">
        <f t="shared" si="58"/>
        <v>1.594520641180715E-3</v>
      </c>
      <c r="AA70" s="23">
        <f t="shared" si="59"/>
        <v>1.620089104900741E-3</v>
      </c>
      <c r="AB70" s="324">
        <v>24417764.789999999</v>
      </c>
      <c r="AC70" s="324">
        <v>0.74370000000000003</v>
      </c>
      <c r="AD70" s="23">
        <f t="shared" si="60"/>
        <v>2.390067745369635E-3</v>
      </c>
      <c r="AE70" s="23">
        <f t="shared" si="69"/>
        <v>2.4262029923170559E-3</v>
      </c>
      <c r="AF70" s="324">
        <v>24476051.5</v>
      </c>
      <c r="AG70" s="324">
        <v>0.74550000000000005</v>
      </c>
      <c r="AH70" s="23">
        <f t="shared" si="62"/>
        <v>2.3870616537297268E-3</v>
      </c>
      <c r="AI70" s="23">
        <f t="shared" si="70"/>
        <v>2.4203307785397657E-3</v>
      </c>
      <c r="AJ70" s="24">
        <f t="shared" ref="AJ70:AJ133" si="71">AVERAGE(F70,J70,N70,R70,V70,Z70,AD70,AH70)</f>
        <v>1.4179582587646082E-2</v>
      </c>
      <c r="AK70" s="24">
        <f t="shared" ref="AK70:AK133" si="72">AVERAGE(G70,K70,O70,S70,W70,AA70,AE70,AI70)</f>
        <v>1.7034356893682243E-2</v>
      </c>
      <c r="AL70" s="25">
        <f t="shared" ref="AL70:AL133" si="73">((AF70-D70)/D70)</f>
        <v>0.11135498623040602</v>
      </c>
      <c r="AM70" s="25">
        <f t="shared" ref="AM70:AM133" si="74">((AG70-E70)/E70)</f>
        <v>0.13470319634703198</v>
      </c>
      <c r="AN70" s="378">
        <f t="shared" ref="AN70:AN133" si="75">STDEV(F70,J70,N70,R70,V70,Z70,AD70,AH70)</f>
        <v>4.3625666952762293E-2</v>
      </c>
      <c r="AO70" s="379">
        <f t="shared" ref="AO70:AO133" si="76">STDEV(G70,K70,O70,S70,W70,AA70,AD70,AI70)</f>
        <v>4.2235926291298402E-2</v>
      </c>
      <c r="AP70" s="30"/>
      <c r="AQ70" s="28"/>
      <c r="AR70" s="28"/>
      <c r="AS70" s="29"/>
      <c r="AT70" s="29"/>
    </row>
    <row r="71" spans="1:46">
      <c r="A71" s="200" t="s">
        <v>104</v>
      </c>
      <c r="B71" s="324">
        <v>1086513646.5999999</v>
      </c>
      <c r="C71" s="324">
        <v>206.556569</v>
      </c>
      <c r="D71" s="324">
        <v>1095965859.5899999</v>
      </c>
      <c r="E71" s="324">
        <v>207.33063000000001</v>
      </c>
      <c r="F71" s="23">
        <f t="shared" si="48"/>
        <v>8.6995805525117743E-3</v>
      </c>
      <c r="G71" s="23">
        <f t="shared" si="49"/>
        <v>3.7474528345792647E-3</v>
      </c>
      <c r="H71" s="324">
        <v>1091884936.3</v>
      </c>
      <c r="I71" s="324">
        <v>206.661044</v>
      </c>
      <c r="J71" s="23">
        <f t="shared" si="50"/>
        <v>-3.7235861448518411E-3</v>
      </c>
      <c r="K71" s="23">
        <f t="shared" si="51"/>
        <v>-3.2295565783020557E-3</v>
      </c>
      <c r="L71" s="324">
        <v>1094730397.6700001</v>
      </c>
      <c r="M71" s="324">
        <v>207.24935199999999</v>
      </c>
      <c r="N71" s="23">
        <f t="shared" si="52"/>
        <v>2.60600844961041E-3</v>
      </c>
      <c r="O71" s="23">
        <f t="shared" si="53"/>
        <v>2.8467290622996352E-3</v>
      </c>
      <c r="P71" s="324">
        <v>1099016772.3099999</v>
      </c>
      <c r="Q71" s="324">
        <v>207.824196</v>
      </c>
      <c r="R71" s="23">
        <f t="shared" si="54"/>
        <v>3.9154614223948572E-3</v>
      </c>
      <c r="S71" s="23">
        <f t="shared" si="55"/>
        <v>2.7736829787531159E-3</v>
      </c>
      <c r="T71" s="324">
        <v>1105250811.5599999</v>
      </c>
      <c r="U71" s="324">
        <v>208.34323599999999</v>
      </c>
      <c r="V71" s="23">
        <f t="shared" si="56"/>
        <v>5.6723786270311471E-3</v>
      </c>
      <c r="W71" s="23">
        <f t="shared" si="57"/>
        <v>2.4974955274215988E-3</v>
      </c>
      <c r="X71" s="324">
        <v>1091257758.5799999</v>
      </c>
      <c r="Y71" s="324">
        <v>209.015716</v>
      </c>
      <c r="Z71" s="23">
        <f t="shared" si="58"/>
        <v>-1.2660522691903393E-2</v>
      </c>
      <c r="AA71" s="23">
        <f t="shared" si="59"/>
        <v>3.2277505759774573E-3</v>
      </c>
      <c r="AB71" s="324">
        <v>1077476702.75</v>
      </c>
      <c r="AC71" s="324">
        <v>209.32974899999999</v>
      </c>
      <c r="AD71" s="23">
        <f t="shared" si="60"/>
        <v>-1.2628598258886639E-2</v>
      </c>
      <c r="AE71" s="23">
        <f t="shared" si="69"/>
        <v>1.5024372617033013E-3</v>
      </c>
      <c r="AF71" s="324">
        <v>1078924488.9400001</v>
      </c>
      <c r="AG71" s="324">
        <v>209.91264899999999</v>
      </c>
      <c r="AH71" s="23">
        <f t="shared" si="62"/>
        <v>1.3436821290937718E-3</v>
      </c>
      <c r="AI71" s="23">
        <f t="shared" si="70"/>
        <v>2.7846018197824098E-3</v>
      </c>
      <c r="AJ71" s="24">
        <f t="shared" si="71"/>
        <v>-8.4694948937498904E-4</v>
      </c>
      <c r="AK71" s="24">
        <f t="shared" si="72"/>
        <v>2.0188241852768405E-3</v>
      </c>
      <c r="AL71" s="25">
        <f t="shared" si="73"/>
        <v>-1.5549180205645295E-2</v>
      </c>
      <c r="AM71" s="25">
        <f t="shared" si="74"/>
        <v>1.2453630223377867E-2</v>
      </c>
      <c r="AN71" s="378">
        <f t="shared" si="75"/>
        <v>8.1036412981718778E-3</v>
      </c>
      <c r="AO71" s="379">
        <f t="shared" si="76"/>
        <v>5.6524603269584549E-3</v>
      </c>
      <c r="AP71" s="30"/>
      <c r="AQ71" s="28">
        <v>421796041.39999998</v>
      </c>
      <c r="AR71" s="28">
        <v>2004.5</v>
      </c>
      <c r="AS71" s="29" t="e">
        <f>(#REF!/AQ71)-1</f>
        <v>#REF!</v>
      </c>
      <c r="AT71" s="29" t="e">
        <f>(#REF!/AR71)-1</f>
        <v>#REF!</v>
      </c>
    </row>
    <row r="72" spans="1:46">
      <c r="A72" s="200" t="s">
        <v>111</v>
      </c>
      <c r="B72" s="324">
        <v>1240272704.6199999</v>
      </c>
      <c r="C72" s="325">
        <v>3.52</v>
      </c>
      <c r="D72" s="324">
        <v>1238484713.2</v>
      </c>
      <c r="E72" s="325">
        <v>3.52</v>
      </c>
      <c r="F72" s="23">
        <f t="shared" si="48"/>
        <v>-1.4416115208692353E-3</v>
      </c>
      <c r="G72" s="23">
        <f t="shared" si="49"/>
        <v>0</v>
      </c>
      <c r="H72" s="324">
        <v>1239596559.1500001</v>
      </c>
      <c r="I72" s="325">
        <v>3.52</v>
      </c>
      <c r="J72" s="23">
        <f t="shared" si="50"/>
        <v>8.9774701144857674E-4</v>
      </c>
      <c r="K72" s="23">
        <f t="shared" si="51"/>
        <v>0</v>
      </c>
      <c r="L72" s="324">
        <v>1240391795.21</v>
      </c>
      <c r="M72" s="325">
        <v>3.53</v>
      </c>
      <c r="N72" s="23">
        <f t="shared" si="52"/>
        <v>6.4152812794611306E-4</v>
      </c>
      <c r="O72" s="23">
        <f t="shared" si="53"/>
        <v>2.8409090909090303E-3</v>
      </c>
      <c r="P72" s="324">
        <v>1238385041.6700001</v>
      </c>
      <c r="Q72" s="325">
        <v>3.52</v>
      </c>
      <c r="R72" s="23">
        <f t="shared" si="54"/>
        <v>-1.6178384505197536E-3</v>
      </c>
      <c r="S72" s="23">
        <f t="shared" si="55"/>
        <v>-2.8328611898016396E-3</v>
      </c>
      <c r="T72" s="324">
        <v>1239709590.02</v>
      </c>
      <c r="U72" s="325">
        <v>3.53</v>
      </c>
      <c r="V72" s="23">
        <f t="shared" si="56"/>
        <v>1.0695771552712804E-3</v>
      </c>
      <c r="W72" s="23">
        <f t="shared" si="57"/>
        <v>2.8409090909090303E-3</v>
      </c>
      <c r="X72" s="324">
        <v>1241073655.5699999</v>
      </c>
      <c r="Y72" s="325">
        <v>3.53</v>
      </c>
      <c r="Z72" s="23">
        <f t="shared" si="58"/>
        <v>1.1003105573926762E-3</v>
      </c>
      <c r="AA72" s="23">
        <f t="shared" si="59"/>
        <v>0</v>
      </c>
      <c r="AB72" s="324">
        <v>1241376514.55</v>
      </c>
      <c r="AC72" s="325">
        <v>3.53</v>
      </c>
      <c r="AD72" s="23">
        <f t="shared" si="60"/>
        <v>2.4402981937516198E-4</v>
      </c>
      <c r="AE72" s="23">
        <f t="shared" si="69"/>
        <v>0</v>
      </c>
      <c r="AF72" s="324">
        <v>1241735100.0599999</v>
      </c>
      <c r="AG72" s="325">
        <v>3.54</v>
      </c>
      <c r="AH72" s="23">
        <f t="shared" si="62"/>
        <v>2.8886120028618234E-4</v>
      </c>
      <c r="AI72" s="23">
        <f t="shared" si="70"/>
        <v>2.8328611898017653E-3</v>
      </c>
      <c r="AJ72" s="24">
        <f t="shared" si="71"/>
        <v>1.4782548754137525E-4</v>
      </c>
      <c r="AK72" s="24">
        <f t="shared" si="72"/>
        <v>7.1022727272727329E-4</v>
      </c>
      <c r="AL72" s="25">
        <f t="shared" si="73"/>
        <v>2.6244868631454779E-3</v>
      </c>
      <c r="AM72" s="25">
        <f t="shared" si="74"/>
        <v>5.6818181818181872E-3</v>
      </c>
      <c r="AN72" s="378">
        <f t="shared" si="75"/>
        <v>1.0846990383131451E-3</v>
      </c>
      <c r="AO72" s="379">
        <f t="shared" si="76"/>
        <v>1.9950590826581325E-3</v>
      </c>
      <c r="AP72" s="30"/>
      <c r="AQ72" s="28"/>
      <c r="AR72" s="28"/>
      <c r="AS72" s="29"/>
      <c r="AT72" s="29"/>
    </row>
    <row r="73" spans="1:46">
      <c r="A73" s="200" t="s">
        <v>17</v>
      </c>
      <c r="B73" s="324">
        <v>1438164301</v>
      </c>
      <c r="C73" s="325">
        <v>98.34</v>
      </c>
      <c r="D73" s="324">
        <v>1495093252</v>
      </c>
      <c r="E73" s="325">
        <v>98.54</v>
      </c>
      <c r="F73" s="23">
        <f t="shared" si="48"/>
        <v>3.9584455656711509E-2</v>
      </c>
      <c r="G73" s="23">
        <f t="shared" si="49"/>
        <v>2.0337604230221966E-3</v>
      </c>
      <c r="H73" s="324">
        <v>1498041425.8900001</v>
      </c>
      <c r="I73" s="325">
        <v>98.54</v>
      </c>
      <c r="J73" s="23">
        <f t="shared" si="50"/>
        <v>1.9718996698408647E-3</v>
      </c>
      <c r="K73" s="23">
        <f t="shared" si="51"/>
        <v>0</v>
      </c>
      <c r="L73" s="324">
        <v>1556105151.3299999</v>
      </c>
      <c r="M73" s="325">
        <v>98.89</v>
      </c>
      <c r="N73" s="23">
        <f t="shared" si="52"/>
        <v>3.8759759534355752E-2</v>
      </c>
      <c r="O73" s="23">
        <f t="shared" si="53"/>
        <v>3.551857113862333E-3</v>
      </c>
      <c r="P73" s="324">
        <v>1559497895.6099999</v>
      </c>
      <c r="Q73" s="325">
        <v>99.06</v>
      </c>
      <c r="R73" s="23">
        <f t="shared" si="54"/>
        <v>2.1802795762871164E-3</v>
      </c>
      <c r="S73" s="23">
        <f t="shared" si="55"/>
        <v>1.7190818080695894E-3</v>
      </c>
      <c r="T73" s="324">
        <v>1562880828</v>
      </c>
      <c r="U73" s="325">
        <v>99.23</v>
      </c>
      <c r="V73" s="23">
        <f t="shared" si="56"/>
        <v>2.1692446007930432E-3</v>
      </c>
      <c r="W73" s="23">
        <f t="shared" si="57"/>
        <v>1.7161316373914971E-3</v>
      </c>
      <c r="X73" s="324">
        <v>1628529503</v>
      </c>
      <c r="Y73" s="325">
        <v>99.4</v>
      </c>
      <c r="Z73" s="23">
        <f t="shared" si="58"/>
        <v>4.2004914145635674E-2</v>
      </c>
      <c r="AA73" s="23">
        <f t="shared" si="59"/>
        <v>1.7131915751285064E-3</v>
      </c>
      <c r="AB73" s="324">
        <v>1843111545</v>
      </c>
      <c r="AC73" s="325">
        <v>99.57</v>
      </c>
      <c r="AD73" s="23">
        <f t="shared" si="60"/>
        <v>0.13176429509241749</v>
      </c>
      <c r="AE73" s="23">
        <f t="shared" si="69"/>
        <v>1.710261569416373E-3</v>
      </c>
      <c r="AF73" s="324">
        <v>1902752887</v>
      </c>
      <c r="AG73" s="325">
        <v>99.75</v>
      </c>
      <c r="AH73" s="23">
        <f t="shared" si="62"/>
        <v>3.235905182287814E-2</v>
      </c>
      <c r="AI73" s="23">
        <f t="shared" si="70"/>
        <v>1.8077734257307104E-3</v>
      </c>
      <c r="AJ73" s="24">
        <f t="shared" si="71"/>
        <v>3.6349237512364949E-2</v>
      </c>
      <c r="AK73" s="24">
        <f t="shared" si="72"/>
        <v>1.7815071940776505E-3</v>
      </c>
      <c r="AL73" s="25">
        <f t="shared" si="73"/>
        <v>0.27266502236878531</v>
      </c>
      <c r="AM73" s="25">
        <f t="shared" si="74"/>
        <v>1.2279277450781344E-2</v>
      </c>
      <c r="AN73" s="378">
        <f t="shared" si="75"/>
        <v>4.2570629856901285E-2</v>
      </c>
      <c r="AO73" s="379">
        <f t="shared" si="76"/>
        <v>4.5962179734488622E-2</v>
      </c>
      <c r="AP73" s="30"/>
      <c r="AQ73" s="28"/>
      <c r="AR73" s="28"/>
      <c r="AS73" s="29"/>
      <c r="AT73" s="29"/>
    </row>
    <row r="74" spans="1:46">
      <c r="A74" s="200" t="s">
        <v>218</v>
      </c>
      <c r="B74" s="324">
        <v>1590575958.4400001</v>
      </c>
      <c r="C74" s="325">
        <v>331.60899999999998</v>
      </c>
      <c r="D74" s="324">
        <v>1593305292.3699999</v>
      </c>
      <c r="E74" s="325">
        <v>332.15899999999999</v>
      </c>
      <c r="F74" s="23">
        <f t="shared" si="48"/>
        <v>1.7159406411981076E-3</v>
      </c>
      <c r="G74" s="23">
        <f t="shared" si="49"/>
        <v>1.6585798334786191E-3</v>
      </c>
      <c r="H74" s="324">
        <v>1602138262.8</v>
      </c>
      <c r="I74" s="325">
        <v>333.03309999999999</v>
      </c>
      <c r="J74" s="23">
        <f t="shared" si="50"/>
        <v>5.5438028557987492E-3</v>
      </c>
      <c r="K74" s="23">
        <f t="shared" si="51"/>
        <v>2.6315710247200846E-3</v>
      </c>
      <c r="L74" s="324">
        <v>1605116985.9200001</v>
      </c>
      <c r="M74" s="325">
        <v>333.71339999999998</v>
      </c>
      <c r="N74" s="23">
        <f t="shared" si="52"/>
        <v>1.859217265552547E-3</v>
      </c>
      <c r="O74" s="23">
        <f t="shared" si="53"/>
        <v>2.0427398958241341E-3</v>
      </c>
      <c r="P74" s="324">
        <v>1608678919.3699999</v>
      </c>
      <c r="Q74" s="325">
        <v>334.36259999999999</v>
      </c>
      <c r="R74" s="23">
        <f t="shared" si="54"/>
        <v>2.2191114300358777E-3</v>
      </c>
      <c r="S74" s="23">
        <f t="shared" si="55"/>
        <v>1.9453818755854801E-3</v>
      </c>
      <c r="T74" s="324">
        <v>1612317551.0599999</v>
      </c>
      <c r="U74" s="325">
        <v>335.0718</v>
      </c>
      <c r="V74" s="23">
        <f t="shared" si="56"/>
        <v>2.2618756584595759E-3</v>
      </c>
      <c r="W74" s="23">
        <f t="shared" si="57"/>
        <v>2.1210506198959147E-3</v>
      </c>
      <c r="X74" s="324">
        <v>1615719154.46</v>
      </c>
      <c r="Y74" s="325">
        <v>335.75069999999999</v>
      </c>
      <c r="Z74" s="23">
        <f t="shared" si="58"/>
        <v>2.1097602006278165E-3</v>
      </c>
      <c r="AA74" s="23">
        <f t="shared" si="59"/>
        <v>2.0261329064397504E-3</v>
      </c>
      <c r="AB74" s="324">
        <v>1619868695.73</v>
      </c>
      <c r="AC74" s="325">
        <v>336.42939999999999</v>
      </c>
      <c r="AD74" s="23">
        <f t="shared" si="60"/>
        <v>2.5682317737867172E-3</v>
      </c>
      <c r="AE74" s="23">
        <f t="shared" si="69"/>
        <v>2.0214403127081851E-3</v>
      </c>
      <c r="AF74" s="324">
        <v>1630476177.47</v>
      </c>
      <c r="AG74" s="325">
        <v>337.14120000000003</v>
      </c>
      <c r="AH74" s="23">
        <f t="shared" si="62"/>
        <v>6.5483589922822154E-3</v>
      </c>
      <c r="AI74" s="23">
        <f t="shared" si="70"/>
        <v>2.1157485047384066E-3</v>
      </c>
      <c r="AJ74" s="24">
        <f t="shared" si="71"/>
        <v>3.1032873522177005E-3</v>
      </c>
      <c r="AK74" s="24">
        <f t="shared" si="72"/>
        <v>2.0703306216738222E-3</v>
      </c>
      <c r="AL74" s="25">
        <f t="shared" si="73"/>
        <v>2.3329417957753361E-2</v>
      </c>
      <c r="AM74" s="25">
        <f t="shared" si="74"/>
        <v>1.4999443037822352E-2</v>
      </c>
      <c r="AN74" s="378">
        <f t="shared" si="75"/>
        <v>1.8539609018154931E-3</v>
      </c>
      <c r="AO74" s="379">
        <f t="shared" si="76"/>
        <v>3.2027323686932698E-4</v>
      </c>
      <c r="AP74" s="30"/>
      <c r="AQ74" s="28"/>
      <c r="AR74" s="28"/>
      <c r="AS74" s="29"/>
      <c r="AT74" s="29"/>
    </row>
    <row r="75" spans="1:46" s="86" customFormat="1">
      <c r="A75" s="201" t="s">
        <v>91</v>
      </c>
      <c r="B75" s="324">
        <v>54337092.950000003</v>
      </c>
      <c r="C75" s="324">
        <v>12.185290999999999</v>
      </c>
      <c r="D75" s="324">
        <v>54436842.740000002</v>
      </c>
      <c r="E75" s="324">
        <v>12.210243</v>
      </c>
      <c r="F75" s="23">
        <f t="shared" si="48"/>
        <v>1.835758679467579E-3</v>
      </c>
      <c r="G75" s="23">
        <f t="shared" si="49"/>
        <v>2.0477147406656724E-3</v>
      </c>
      <c r="H75" s="324">
        <v>54516515.490000002</v>
      </c>
      <c r="I75" s="324">
        <v>12.235182</v>
      </c>
      <c r="J75" s="23">
        <f t="shared" si="50"/>
        <v>1.4635813906499163E-3</v>
      </c>
      <c r="K75" s="23">
        <f t="shared" si="51"/>
        <v>2.0424654939299588E-3</v>
      </c>
      <c r="L75" s="324">
        <v>54441154.880000003</v>
      </c>
      <c r="M75" s="324">
        <v>12.261231</v>
      </c>
      <c r="N75" s="23">
        <f t="shared" si="52"/>
        <v>-1.3823445853545582E-3</v>
      </c>
      <c r="O75" s="23">
        <f t="shared" si="53"/>
        <v>2.1290243169247857E-3</v>
      </c>
      <c r="P75" s="324">
        <v>53284003.439999998</v>
      </c>
      <c r="Q75" s="324">
        <v>12.019235</v>
      </c>
      <c r="R75" s="23">
        <f t="shared" si="54"/>
        <v>-2.1255086203637953E-2</v>
      </c>
      <c r="S75" s="23">
        <f t="shared" si="55"/>
        <v>-1.9736680599199242E-2</v>
      </c>
      <c r="T75" s="324">
        <v>53465315</v>
      </c>
      <c r="U75" s="324">
        <v>12.208850999999999</v>
      </c>
      <c r="V75" s="23">
        <f t="shared" si="56"/>
        <v>3.4027390641577209E-3</v>
      </c>
      <c r="W75" s="23">
        <f t="shared" si="57"/>
        <v>1.5776045646831858E-2</v>
      </c>
      <c r="X75" s="324">
        <v>54550546.329999998</v>
      </c>
      <c r="Y75" s="324">
        <v>12.456351</v>
      </c>
      <c r="Z75" s="23">
        <f t="shared" si="58"/>
        <v>2.0297857218273159E-2</v>
      </c>
      <c r="AA75" s="23">
        <f t="shared" si="59"/>
        <v>2.0272177946966549E-2</v>
      </c>
      <c r="AB75" s="324">
        <v>53822386.369999997</v>
      </c>
      <c r="AC75" s="324">
        <v>12.294418</v>
      </c>
      <c r="AD75" s="23">
        <f t="shared" si="60"/>
        <v>-1.3348353206126377E-2</v>
      </c>
      <c r="AE75" s="23">
        <f t="shared" si="69"/>
        <v>-1.3000035082505258E-2</v>
      </c>
      <c r="AF75" s="324">
        <v>54494158.990000002</v>
      </c>
      <c r="AG75" s="324">
        <v>12.317397</v>
      </c>
      <c r="AH75" s="23">
        <f t="shared" si="62"/>
        <v>1.2481286418293103E-2</v>
      </c>
      <c r="AI75" s="23">
        <f t="shared" si="70"/>
        <v>1.869059600869225E-3</v>
      </c>
      <c r="AJ75" s="24">
        <f t="shared" si="71"/>
        <v>4.3692984696532379E-4</v>
      </c>
      <c r="AK75" s="24">
        <f t="shared" si="72"/>
        <v>1.4249715080604439E-3</v>
      </c>
      <c r="AL75" s="25">
        <f t="shared" si="73"/>
        <v>1.0528944574128326E-3</v>
      </c>
      <c r="AM75" s="25">
        <f t="shared" si="74"/>
        <v>8.7757467234681179E-3</v>
      </c>
      <c r="AN75" s="378">
        <f t="shared" si="75"/>
        <v>1.3175827812035214E-2</v>
      </c>
      <c r="AO75" s="379">
        <f t="shared" si="76"/>
        <v>1.3248633403193643E-2</v>
      </c>
      <c r="AP75" s="30"/>
      <c r="AQ75" s="28"/>
      <c r="AR75" s="28"/>
      <c r="AS75" s="29"/>
      <c r="AT75" s="29"/>
    </row>
    <row r="76" spans="1:46" s="86" customFormat="1">
      <c r="A76" s="200" t="s">
        <v>35</v>
      </c>
      <c r="B76" s="324">
        <v>6929466173.9799995</v>
      </c>
      <c r="C76" s="325">
        <v>1.06</v>
      </c>
      <c r="D76" s="324">
        <v>6801706994.4700003</v>
      </c>
      <c r="E76" s="325">
        <v>1.07</v>
      </c>
      <c r="F76" s="23">
        <f t="shared" si="48"/>
        <v>-1.8437088269473385E-2</v>
      </c>
      <c r="G76" s="23">
        <f t="shared" si="49"/>
        <v>9.4339622641509517E-3</v>
      </c>
      <c r="H76" s="324">
        <v>6704579972.3500004</v>
      </c>
      <c r="I76" s="325">
        <v>1.07</v>
      </c>
      <c r="J76" s="23">
        <f t="shared" si="50"/>
        <v>-1.4279800967458196E-2</v>
      </c>
      <c r="K76" s="23">
        <f t="shared" si="51"/>
        <v>0</v>
      </c>
      <c r="L76" s="324">
        <v>6823983116.5</v>
      </c>
      <c r="M76" s="325">
        <v>1.07</v>
      </c>
      <c r="N76" s="23">
        <f t="shared" si="52"/>
        <v>1.780919082812402E-2</v>
      </c>
      <c r="O76" s="23">
        <f t="shared" si="53"/>
        <v>0</v>
      </c>
      <c r="P76" s="324">
        <v>6848328822.8699999</v>
      </c>
      <c r="Q76" s="325">
        <v>1.07</v>
      </c>
      <c r="R76" s="23">
        <f t="shared" si="54"/>
        <v>3.5676680253111065E-3</v>
      </c>
      <c r="S76" s="23">
        <f t="shared" si="55"/>
        <v>0</v>
      </c>
      <c r="T76" s="324">
        <v>6799734507.5799999</v>
      </c>
      <c r="U76" s="325">
        <v>1.07</v>
      </c>
      <c r="V76" s="23">
        <f t="shared" si="56"/>
        <v>-7.0957917686018824E-3</v>
      </c>
      <c r="W76" s="23">
        <f t="shared" si="57"/>
        <v>0</v>
      </c>
      <c r="X76" s="324">
        <v>6898544936.5</v>
      </c>
      <c r="Y76" s="325">
        <v>1.08</v>
      </c>
      <c r="Z76" s="23">
        <f t="shared" si="58"/>
        <v>1.4531512783308114E-2</v>
      </c>
      <c r="AA76" s="23">
        <f t="shared" si="59"/>
        <v>9.3457943925233725E-3</v>
      </c>
      <c r="AB76" s="324">
        <v>6916985113.8599997</v>
      </c>
      <c r="AC76" s="325">
        <v>1.08</v>
      </c>
      <c r="AD76" s="23">
        <f t="shared" si="60"/>
        <v>2.6730531626217606E-3</v>
      </c>
      <c r="AE76" s="23">
        <f t="shared" si="69"/>
        <v>0</v>
      </c>
      <c r="AF76" s="324">
        <v>6940211930.1499996</v>
      </c>
      <c r="AG76" s="325">
        <v>1.08</v>
      </c>
      <c r="AH76" s="23">
        <f t="shared" si="62"/>
        <v>3.3579393200455099E-3</v>
      </c>
      <c r="AI76" s="23">
        <f t="shared" si="70"/>
        <v>0</v>
      </c>
      <c r="AJ76" s="24">
        <f t="shared" si="71"/>
        <v>2.6583538923463082E-4</v>
      </c>
      <c r="AK76" s="24">
        <f t="shared" si="72"/>
        <v>2.3474695820842905E-3</v>
      </c>
      <c r="AL76" s="25">
        <f t="shared" si="73"/>
        <v>2.0363261133213791E-2</v>
      </c>
      <c r="AM76" s="25">
        <f t="shared" si="74"/>
        <v>9.3457943925233725E-3</v>
      </c>
      <c r="AN76" s="378">
        <f t="shared" si="75"/>
        <v>1.2834691933899288E-2</v>
      </c>
      <c r="AO76" s="379">
        <f t="shared" si="76"/>
        <v>4.2419814927879239E-3</v>
      </c>
      <c r="AP76" s="30"/>
      <c r="AQ76" s="28"/>
      <c r="AR76" s="28"/>
      <c r="AS76" s="29"/>
      <c r="AT76" s="29"/>
    </row>
    <row r="77" spans="1:46" s="86" customFormat="1">
      <c r="A77" s="201" t="s">
        <v>68</v>
      </c>
      <c r="B77" s="324">
        <v>23516963909.889999</v>
      </c>
      <c r="C77" s="324">
        <v>4807.91</v>
      </c>
      <c r="D77" s="324">
        <v>23516963909.889999</v>
      </c>
      <c r="E77" s="324">
        <v>4816.7299999999996</v>
      </c>
      <c r="F77" s="23">
        <f t="shared" si="48"/>
        <v>0</v>
      </c>
      <c r="G77" s="23">
        <f t="shared" si="49"/>
        <v>1.834476934884328E-3</v>
      </c>
      <c r="H77" s="324">
        <v>23855043896.099998</v>
      </c>
      <c r="I77" s="324">
        <v>4825.1899999999996</v>
      </c>
      <c r="J77" s="23">
        <f t="shared" si="50"/>
        <v>1.437600480680333E-2</v>
      </c>
      <c r="K77" s="23">
        <f t="shared" si="51"/>
        <v>1.7563782898356432E-3</v>
      </c>
      <c r="L77" s="324">
        <v>23689166145.139999</v>
      </c>
      <c r="M77" s="324">
        <v>4831.76</v>
      </c>
      <c r="N77" s="23">
        <f t="shared" si="52"/>
        <v>-6.9535713990917462E-3</v>
      </c>
      <c r="O77" s="23">
        <f t="shared" si="53"/>
        <v>1.3616044135050887E-3</v>
      </c>
      <c r="P77" s="324">
        <v>23580318049.25</v>
      </c>
      <c r="Q77" s="324">
        <v>4839.88</v>
      </c>
      <c r="R77" s="23">
        <f t="shared" si="54"/>
        <v>-4.594847080015535E-3</v>
      </c>
      <c r="S77" s="23">
        <f t="shared" si="55"/>
        <v>1.6805470470387376E-3</v>
      </c>
      <c r="T77" s="324">
        <v>23613181095.549999</v>
      </c>
      <c r="U77" s="324">
        <v>4849.05</v>
      </c>
      <c r="V77" s="23">
        <f t="shared" si="56"/>
        <v>1.3936642513201591E-3</v>
      </c>
      <c r="W77" s="23">
        <f t="shared" si="57"/>
        <v>1.8946750745886412E-3</v>
      </c>
      <c r="X77" s="324">
        <v>23286436958.360001</v>
      </c>
      <c r="Y77" s="324">
        <v>4857.97</v>
      </c>
      <c r="Z77" s="23">
        <f t="shared" si="58"/>
        <v>-1.3837362101609211E-2</v>
      </c>
      <c r="AA77" s="23">
        <f t="shared" si="59"/>
        <v>1.8395355791340721E-3</v>
      </c>
      <c r="AB77" s="324">
        <v>23343807338.52</v>
      </c>
      <c r="AC77" s="324">
        <v>4867</v>
      </c>
      <c r="AD77" s="23">
        <f t="shared" si="60"/>
        <v>2.4636821967477279E-3</v>
      </c>
      <c r="AE77" s="23">
        <f t="shared" si="69"/>
        <v>1.8588011041648558E-3</v>
      </c>
      <c r="AF77" s="324">
        <v>23208204023.669998</v>
      </c>
      <c r="AG77" s="324">
        <v>4876</v>
      </c>
      <c r="AH77" s="23">
        <f t="shared" si="62"/>
        <v>-5.8089630745984198E-3</v>
      </c>
      <c r="AI77" s="23">
        <f t="shared" si="70"/>
        <v>1.8491884117526197E-3</v>
      </c>
      <c r="AJ77" s="24">
        <f t="shared" si="71"/>
        <v>-1.620174050055462E-3</v>
      </c>
      <c r="AK77" s="24">
        <f t="shared" si="72"/>
        <v>1.7594008568629982E-3</v>
      </c>
      <c r="AL77" s="25">
        <f t="shared" si="73"/>
        <v>-1.3129240976984832E-2</v>
      </c>
      <c r="AM77" s="25">
        <f t="shared" si="74"/>
        <v>1.2305028515196086E-2</v>
      </c>
      <c r="AN77" s="378">
        <f t="shared" si="75"/>
        <v>8.3526150688744503E-3</v>
      </c>
      <c r="AO77" s="379">
        <f t="shared" si="76"/>
        <v>3.0546569680491958E-4</v>
      </c>
      <c r="AP77" s="30"/>
      <c r="AQ77" s="28"/>
      <c r="AR77" s="28"/>
      <c r="AS77" s="29"/>
      <c r="AT77" s="29"/>
    </row>
    <row r="78" spans="1:46" s="103" customFormat="1" ht="15.75" customHeight="1">
      <c r="A78" s="200" t="s">
        <v>16</v>
      </c>
      <c r="B78" s="324">
        <v>43147921227.25</v>
      </c>
      <c r="C78" s="325">
        <v>252.1</v>
      </c>
      <c r="D78" s="324">
        <v>42925703021.760002</v>
      </c>
      <c r="E78" s="325">
        <v>252.32</v>
      </c>
      <c r="F78" s="23">
        <f t="shared" si="48"/>
        <v>-5.1501485858293523E-3</v>
      </c>
      <c r="G78" s="23">
        <f t="shared" si="49"/>
        <v>8.7266957556524744E-4</v>
      </c>
      <c r="H78" s="324">
        <v>42821136887.169998</v>
      </c>
      <c r="I78" s="325">
        <v>252.53</v>
      </c>
      <c r="J78" s="23">
        <f t="shared" si="50"/>
        <v>-2.4359795467297773E-3</v>
      </c>
      <c r="K78" s="23">
        <f t="shared" si="51"/>
        <v>8.3227647431835744E-4</v>
      </c>
      <c r="L78" s="324">
        <v>42821136887.169998</v>
      </c>
      <c r="M78" s="325">
        <v>252.71</v>
      </c>
      <c r="N78" s="23">
        <f t="shared" si="52"/>
        <v>0</v>
      </c>
      <c r="O78" s="23">
        <f t="shared" si="53"/>
        <v>7.1278659961195436E-4</v>
      </c>
      <c r="P78" s="324">
        <v>42370756036.150002</v>
      </c>
      <c r="Q78" s="325">
        <v>252.91</v>
      </c>
      <c r="R78" s="23">
        <f t="shared" si="54"/>
        <v>-1.0517722876128005E-2</v>
      </c>
      <c r="S78" s="23">
        <f t="shared" si="55"/>
        <v>7.914209963989895E-4</v>
      </c>
      <c r="T78" s="324">
        <v>41184874137.290001</v>
      </c>
      <c r="U78" s="325">
        <v>253.22</v>
      </c>
      <c r="V78" s="23">
        <f t="shared" si="56"/>
        <v>-2.7988216633383332E-2</v>
      </c>
      <c r="W78" s="23">
        <f t="shared" si="57"/>
        <v>1.2257324740026186E-3</v>
      </c>
      <c r="X78" s="324">
        <v>41243661733.230003</v>
      </c>
      <c r="Y78" s="325">
        <v>253.44</v>
      </c>
      <c r="Z78" s="23">
        <f t="shared" si="58"/>
        <v>1.427407444394116E-3</v>
      </c>
      <c r="AA78" s="23">
        <f t="shared" si="59"/>
        <v>8.68809730668979E-4</v>
      </c>
      <c r="AB78" s="324">
        <v>41112024297.589996</v>
      </c>
      <c r="AC78" s="325">
        <v>253.63</v>
      </c>
      <c r="AD78" s="23">
        <f t="shared" si="60"/>
        <v>-3.1917009816309978E-3</v>
      </c>
      <c r="AE78" s="23">
        <f t="shared" si="69"/>
        <v>7.4968434343433449E-4</v>
      </c>
      <c r="AF78" s="324">
        <v>39018656370.849998</v>
      </c>
      <c r="AG78" s="325">
        <v>253.8</v>
      </c>
      <c r="AH78" s="23">
        <f t="shared" si="62"/>
        <v>-5.0918629342771429E-2</v>
      </c>
      <c r="AI78" s="23">
        <f t="shared" si="70"/>
        <v>6.7026771281006163E-4</v>
      </c>
      <c r="AJ78" s="24">
        <f t="shared" si="71"/>
        <v>-1.2346873815259847E-2</v>
      </c>
      <c r="AK78" s="24">
        <f t="shared" si="72"/>
        <v>8.4045598835131782E-4</v>
      </c>
      <c r="AL78" s="25">
        <f t="shared" si="73"/>
        <v>-9.1018815671567083E-2</v>
      </c>
      <c r="AM78" s="25">
        <f t="shared" si="74"/>
        <v>5.8655675332911312E-3</v>
      </c>
      <c r="AN78" s="378">
        <f t="shared" si="75"/>
        <v>1.8172937921378092E-2</v>
      </c>
      <c r="AO78" s="379">
        <f t="shared" si="76"/>
        <v>1.4399647576359895E-3</v>
      </c>
      <c r="AP78" s="30"/>
      <c r="AQ78" s="28"/>
      <c r="AR78" s="28"/>
      <c r="AS78" s="29"/>
      <c r="AT78" s="29"/>
    </row>
    <row r="79" spans="1:46" s="103" customFormat="1" ht="15.75" customHeight="1">
      <c r="A79" s="201" t="s">
        <v>69</v>
      </c>
      <c r="B79" s="324">
        <v>279807917.74000001</v>
      </c>
      <c r="C79" s="324">
        <v>4979.83</v>
      </c>
      <c r="D79" s="324">
        <v>262008535.52000001</v>
      </c>
      <c r="E79" s="324">
        <v>5006.29</v>
      </c>
      <c r="F79" s="23">
        <f t="shared" si="48"/>
        <v>-6.3612861150481606E-2</v>
      </c>
      <c r="G79" s="23">
        <f t="shared" si="49"/>
        <v>5.3134343943468023E-3</v>
      </c>
      <c r="H79" s="324">
        <v>261807491.52000001</v>
      </c>
      <c r="I79" s="324">
        <v>5006.32</v>
      </c>
      <c r="J79" s="23">
        <f t="shared" si="50"/>
        <v>-7.6731851350183829E-4</v>
      </c>
      <c r="K79" s="23">
        <f t="shared" si="51"/>
        <v>5.9924614834029471E-6</v>
      </c>
      <c r="L79" s="324">
        <v>261813984.41</v>
      </c>
      <c r="M79" s="324">
        <v>5006.41</v>
      </c>
      <c r="N79" s="23">
        <f t="shared" si="52"/>
        <v>2.4800245257648364E-5</v>
      </c>
      <c r="O79" s="23">
        <f t="shared" si="53"/>
        <v>1.7977276722252179E-5</v>
      </c>
      <c r="P79" s="324">
        <v>263397884.80000001</v>
      </c>
      <c r="Q79" s="324">
        <v>5036.78</v>
      </c>
      <c r="R79" s="23">
        <f t="shared" si="54"/>
        <v>6.0497165327870021E-3</v>
      </c>
      <c r="S79" s="23">
        <f t="shared" si="55"/>
        <v>6.066223101983236E-3</v>
      </c>
      <c r="T79" s="324">
        <v>267730392.02000001</v>
      </c>
      <c r="U79" s="324">
        <v>5119.99</v>
      </c>
      <c r="V79" s="23">
        <f t="shared" si="56"/>
        <v>1.6448527000471943E-2</v>
      </c>
      <c r="W79" s="23">
        <f t="shared" si="57"/>
        <v>1.6520475383082055E-2</v>
      </c>
      <c r="X79" s="324">
        <v>270331436.44999999</v>
      </c>
      <c r="Y79" s="324">
        <v>5169.93</v>
      </c>
      <c r="Z79" s="23">
        <f t="shared" si="58"/>
        <v>9.7151631175502635E-3</v>
      </c>
      <c r="AA79" s="23">
        <f t="shared" si="59"/>
        <v>9.7539253006354524E-3</v>
      </c>
      <c r="AB79" s="324">
        <v>267731573.99000001</v>
      </c>
      <c r="AC79" s="325">
        <v>5119.92</v>
      </c>
      <c r="AD79" s="23">
        <f t="shared" si="60"/>
        <v>-9.617314560753442E-3</v>
      </c>
      <c r="AE79" s="23">
        <f t="shared" si="69"/>
        <v>-9.6732450922933609E-3</v>
      </c>
      <c r="AF79" s="324">
        <v>267181736.63999999</v>
      </c>
      <c r="AG79" s="74">
        <v>5109.29</v>
      </c>
      <c r="AH79" s="23">
        <f t="shared" si="62"/>
        <v>-2.0536888563638771E-3</v>
      </c>
      <c r="AI79" s="23">
        <f t="shared" si="70"/>
        <v>-2.0762043156924538E-3</v>
      </c>
      <c r="AJ79" s="24">
        <f t="shared" si="71"/>
        <v>-5.4766220231292385E-3</v>
      </c>
      <c r="AK79" s="24">
        <f t="shared" si="72"/>
        <v>3.2410723137834231E-3</v>
      </c>
      <c r="AL79" s="25">
        <f t="shared" si="73"/>
        <v>1.9744399203380482E-2</v>
      </c>
      <c r="AM79" s="25">
        <f t="shared" si="74"/>
        <v>2.0574117759858099E-2</v>
      </c>
      <c r="AN79" s="378">
        <f t="shared" si="75"/>
        <v>2.4800594084250015E-2</v>
      </c>
      <c r="AO79" s="379">
        <f t="shared" si="76"/>
        <v>7.977658065627868E-3</v>
      </c>
      <c r="AP79" s="30"/>
      <c r="AQ79" s="28"/>
      <c r="AR79" s="28"/>
      <c r="AS79" s="29"/>
      <c r="AT79" s="29"/>
    </row>
    <row r="80" spans="1:46" s="283" customFormat="1" ht="15.75" customHeight="1">
      <c r="A80" s="200" t="s">
        <v>165</v>
      </c>
      <c r="B80" s="324">
        <v>18867007707.619999</v>
      </c>
      <c r="C80" s="325">
        <v>121.01</v>
      </c>
      <c r="D80" s="324">
        <v>18958218951.91</v>
      </c>
      <c r="E80" s="325">
        <v>121.23</v>
      </c>
      <c r="F80" s="23">
        <f t="shared" si="48"/>
        <v>4.8344308595985024E-3</v>
      </c>
      <c r="G80" s="23">
        <f t="shared" si="49"/>
        <v>1.8180315676390286E-3</v>
      </c>
      <c r="H80" s="324">
        <v>18740761800.119999</v>
      </c>
      <c r="I80" s="325">
        <v>121.52</v>
      </c>
      <c r="J80" s="23">
        <f t="shared" si="50"/>
        <v>-1.1470336551213456E-2</v>
      </c>
      <c r="K80" s="23">
        <f t="shared" si="51"/>
        <v>2.392147158294086E-3</v>
      </c>
      <c r="L80" s="324">
        <v>18839289251.779999</v>
      </c>
      <c r="M80" s="325">
        <v>121.52</v>
      </c>
      <c r="N80" s="23">
        <f t="shared" si="52"/>
        <v>5.2573877578108363E-3</v>
      </c>
      <c r="O80" s="23">
        <f t="shared" si="53"/>
        <v>0</v>
      </c>
      <c r="P80" s="324">
        <v>18858719498.150002</v>
      </c>
      <c r="Q80" s="325">
        <v>121.98</v>
      </c>
      <c r="R80" s="23">
        <f t="shared" si="54"/>
        <v>1.0313683340345185E-3</v>
      </c>
      <c r="S80" s="23">
        <f t="shared" si="55"/>
        <v>3.7853851217907173E-3</v>
      </c>
      <c r="T80" s="324">
        <v>18877390436.849998</v>
      </c>
      <c r="U80" s="325">
        <v>122.2</v>
      </c>
      <c r="V80" s="23">
        <f t="shared" si="56"/>
        <v>9.9004275989303132E-4</v>
      </c>
      <c r="W80" s="23">
        <f t="shared" si="57"/>
        <v>1.8035743564518681E-3</v>
      </c>
      <c r="X80" s="324">
        <v>18869627266.27</v>
      </c>
      <c r="Y80" s="325">
        <v>122.42</v>
      </c>
      <c r="Z80" s="23">
        <f t="shared" si="58"/>
        <v>-4.1124172358292488E-4</v>
      </c>
      <c r="AA80" s="23">
        <f t="shared" si="59"/>
        <v>1.8003273322422166E-3</v>
      </c>
      <c r="AB80" s="324">
        <v>18880456589</v>
      </c>
      <c r="AC80" s="325">
        <v>122.63</v>
      </c>
      <c r="AD80" s="23">
        <f t="shared" si="60"/>
        <v>5.7390231281130111E-4</v>
      </c>
      <c r="AE80" s="23">
        <f t="shared" si="69"/>
        <v>1.7154059794150772E-3</v>
      </c>
      <c r="AF80" s="324">
        <v>18987915481.41</v>
      </c>
      <c r="AG80" s="325">
        <v>122.85</v>
      </c>
      <c r="AH80" s="23">
        <f t="shared" si="62"/>
        <v>5.6915409806671093E-3</v>
      </c>
      <c r="AI80" s="23">
        <f t="shared" si="70"/>
        <v>1.7940145152083411E-3</v>
      </c>
      <c r="AJ80" s="24">
        <f t="shared" si="71"/>
        <v>8.1213684125236473E-4</v>
      </c>
      <c r="AK80" s="24">
        <f t="shared" si="72"/>
        <v>1.8886107538801668E-3</v>
      </c>
      <c r="AL80" s="25">
        <f t="shared" si="73"/>
        <v>1.5664197979424717E-3</v>
      </c>
      <c r="AM80" s="25">
        <f t="shared" si="74"/>
        <v>1.3363028953229319E-2</v>
      </c>
      <c r="AN80" s="378">
        <f t="shared" si="75"/>
        <v>5.5063595186489404E-3</v>
      </c>
      <c r="AO80" s="379">
        <f t="shared" si="76"/>
        <v>1.1346923416716706E-3</v>
      </c>
      <c r="AP80" s="30"/>
      <c r="AQ80" s="28"/>
      <c r="AR80" s="28"/>
      <c r="AS80" s="29"/>
      <c r="AT80" s="29"/>
    </row>
    <row r="81" spans="1:46" s="283" customFormat="1" ht="15.75" customHeight="1">
      <c r="A81" s="200" t="s">
        <v>63</v>
      </c>
      <c r="B81" s="324">
        <v>14186504237.68</v>
      </c>
      <c r="C81" s="325">
        <v>343.42</v>
      </c>
      <c r="D81" s="324">
        <v>14206345952.42</v>
      </c>
      <c r="E81" s="325">
        <v>343.83</v>
      </c>
      <c r="F81" s="23">
        <f t="shared" si="48"/>
        <v>1.398633123958704E-3</v>
      </c>
      <c r="G81" s="23">
        <f t="shared" si="49"/>
        <v>1.1938733911827154E-3</v>
      </c>
      <c r="H81" s="324">
        <v>14141833835.74</v>
      </c>
      <c r="I81" s="325">
        <v>344.25</v>
      </c>
      <c r="J81" s="23">
        <f t="shared" si="50"/>
        <v>-4.54107740977622E-3</v>
      </c>
      <c r="K81" s="23">
        <f t="shared" si="51"/>
        <v>1.2215338975657037E-3</v>
      </c>
      <c r="L81" s="324">
        <v>14154273427.059999</v>
      </c>
      <c r="M81" s="325">
        <v>344.67</v>
      </c>
      <c r="N81" s="23">
        <f t="shared" si="52"/>
        <v>8.7963070875303972E-4</v>
      </c>
      <c r="O81" s="23">
        <f t="shared" si="53"/>
        <v>1.2200435729847958E-3</v>
      </c>
      <c r="P81" s="324">
        <v>14078321615.389999</v>
      </c>
      <c r="Q81" s="325">
        <v>344.97</v>
      </c>
      <c r="R81" s="23">
        <f t="shared" si="54"/>
        <v>-5.3659986195261815E-3</v>
      </c>
      <c r="S81" s="23">
        <f t="shared" si="55"/>
        <v>8.7039777178173723E-4</v>
      </c>
      <c r="T81" s="324">
        <v>14017499811.58</v>
      </c>
      <c r="U81" s="325">
        <v>345.39</v>
      </c>
      <c r="V81" s="23">
        <f t="shared" si="56"/>
        <v>-4.3202453723965853E-3</v>
      </c>
      <c r="W81" s="23">
        <f t="shared" si="57"/>
        <v>1.2174971736671567E-3</v>
      </c>
      <c r="X81" s="324">
        <v>14035811980.889999</v>
      </c>
      <c r="Y81" s="325">
        <v>345.77</v>
      </c>
      <c r="Z81" s="23">
        <f t="shared" si="58"/>
        <v>1.3063791372318475E-3</v>
      </c>
      <c r="AA81" s="23">
        <f t="shared" si="59"/>
        <v>1.1002055647239221E-3</v>
      </c>
      <c r="AB81" s="324">
        <v>13994954141.469999</v>
      </c>
      <c r="AC81" s="325">
        <v>346.01</v>
      </c>
      <c r="AD81" s="23">
        <f t="shared" si="60"/>
        <v>-2.9109708419882462E-3</v>
      </c>
      <c r="AE81" s="23">
        <f t="shared" si="69"/>
        <v>6.9410301645605208E-4</v>
      </c>
      <c r="AF81" s="324">
        <v>14010626227.049999</v>
      </c>
      <c r="AG81" s="325">
        <v>346.35</v>
      </c>
      <c r="AH81" s="23">
        <f t="shared" si="62"/>
        <v>1.1198382946865277E-3</v>
      </c>
      <c r="AI81" s="23">
        <f t="shared" si="70"/>
        <v>9.8263055981050217E-4</v>
      </c>
      <c r="AJ81" s="24">
        <f t="shared" si="71"/>
        <v>-1.5542263723821389E-3</v>
      </c>
      <c r="AK81" s="24">
        <f t="shared" si="72"/>
        <v>1.0625356185215732E-3</v>
      </c>
      <c r="AL81" s="25">
        <f t="shared" si="73"/>
        <v>-1.3776922371558937E-2</v>
      </c>
      <c r="AM81" s="25">
        <f t="shared" si="74"/>
        <v>7.3292033853940572E-3</v>
      </c>
      <c r="AN81" s="378">
        <f t="shared" si="75"/>
        <v>2.9980762562909383E-3</v>
      </c>
      <c r="AO81" s="379">
        <f t="shared" si="76"/>
        <v>1.4292983592894054E-3</v>
      </c>
      <c r="AP81" s="30"/>
      <c r="AQ81" s="28"/>
      <c r="AR81" s="28"/>
      <c r="AS81" s="29"/>
      <c r="AT81" s="29"/>
    </row>
    <row r="82" spans="1:46" s="300" customFormat="1" ht="15.75" customHeight="1">
      <c r="A82" s="200" t="s">
        <v>156</v>
      </c>
      <c r="B82" s="324">
        <v>101994658862.53999</v>
      </c>
      <c r="C82" s="324">
        <v>1.8935</v>
      </c>
      <c r="D82" s="324">
        <v>101813213395.22</v>
      </c>
      <c r="E82" s="324">
        <v>1.8956</v>
      </c>
      <c r="F82" s="23">
        <f t="shared" si="48"/>
        <v>-1.7789702847531392E-3</v>
      </c>
      <c r="G82" s="23">
        <f t="shared" si="49"/>
        <v>1.1090573012938953E-3</v>
      </c>
      <c r="H82" s="324">
        <v>101904537531.50999</v>
      </c>
      <c r="I82" s="324">
        <v>1.8976999999999999</v>
      </c>
      <c r="J82" s="23">
        <f t="shared" ref="J82:K84" si="77">((H82-D82)/D82)</f>
        <v>8.9697725122858012E-4</v>
      </c>
      <c r="K82" s="23">
        <f t="shared" si="77"/>
        <v>1.1078286558345593E-3</v>
      </c>
      <c r="L82" s="324">
        <v>101996536870.88</v>
      </c>
      <c r="M82" s="324">
        <v>1.8997999999999999</v>
      </c>
      <c r="N82" s="23">
        <f t="shared" ref="N82:O84" si="78">((L82-H82)/H82)</f>
        <v>9.0279924327769186E-4</v>
      </c>
      <c r="O82" s="23">
        <f t="shared" si="78"/>
        <v>1.1066027296200616E-3</v>
      </c>
      <c r="P82" s="324">
        <v>101742635995.34</v>
      </c>
      <c r="Q82" s="324">
        <v>1.9018999999999999</v>
      </c>
      <c r="R82" s="23">
        <f t="shared" ref="R82:S84" si="79">((P82-L82)/L82)</f>
        <v>-2.4893087876250945E-3</v>
      </c>
      <c r="S82" s="23">
        <f t="shared" si="79"/>
        <v>1.1053795136330093E-3</v>
      </c>
      <c r="T82" s="324">
        <v>101623776829.39</v>
      </c>
      <c r="U82" s="324">
        <v>1.9039999999999999</v>
      </c>
      <c r="V82" s="23">
        <f t="shared" ref="V82:W84" si="80">((T82-P82)/P82)</f>
        <v>-1.1682336002719737E-3</v>
      </c>
      <c r="W82" s="23">
        <f t="shared" si="80"/>
        <v>1.1041589988958361E-3</v>
      </c>
      <c r="X82" s="324">
        <v>101696780471.91</v>
      </c>
      <c r="Y82" s="324">
        <v>1.9060999999999999</v>
      </c>
      <c r="Z82" s="23">
        <f t="shared" ref="Z82:AA84" si="81">((X82-T82)/T82)</f>
        <v>7.1837167243415543E-4</v>
      </c>
      <c r="AA82" s="23">
        <f t="shared" si="81"/>
        <v>1.1029411764705834E-3</v>
      </c>
      <c r="AB82" s="324">
        <v>101806771720.63</v>
      </c>
      <c r="AC82" s="324">
        <v>1.9081999999999999</v>
      </c>
      <c r="AD82" s="23">
        <f t="shared" ref="AD82:AE84" si="82">((AB82-X82)/X82)</f>
        <v>1.0815607751750043E-3</v>
      </c>
      <c r="AE82" s="23">
        <f t="shared" si="82"/>
        <v>1.1017260374586804E-3</v>
      </c>
      <c r="AF82" s="324">
        <v>102064240881.38</v>
      </c>
      <c r="AG82" s="324">
        <v>1.9103000000000001</v>
      </c>
      <c r="AH82" s="23">
        <f t="shared" si="62"/>
        <v>2.5289983799557684E-3</v>
      </c>
      <c r="AI82" s="23">
        <f t="shared" si="70"/>
        <v>1.1005135730008454E-3</v>
      </c>
      <c r="AJ82" s="24">
        <f t="shared" si="71"/>
        <v>8.6524331177624129E-5</v>
      </c>
      <c r="AK82" s="24">
        <f t="shared" si="72"/>
        <v>1.1047759982759338E-3</v>
      </c>
      <c r="AL82" s="25">
        <f t="shared" si="73"/>
        <v>2.4655688371759917E-3</v>
      </c>
      <c r="AM82" s="25">
        <f t="shared" si="74"/>
        <v>7.7548005908420333E-3</v>
      </c>
      <c r="AN82" s="378">
        <f t="shared" si="75"/>
        <v>1.7057696469318048E-3</v>
      </c>
      <c r="AO82" s="379">
        <f t="shared" si="76"/>
        <v>8.7943312802263829E-6</v>
      </c>
      <c r="AP82" s="30"/>
      <c r="AQ82" s="28"/>
      <c r="AR82" s="28"/>
      <c r="AS82" s="29"/>
      <c r="AT82" s="29"/>
    </row>
    <row r="83" spans="1:46" s="300" customFormat="1" ht="15.75" customHeight="1">
      <c r="A83" s="200" t="s">
        <v>49</v>
      </c>
      <c r="B83" s="324">
        <v>9511271456.8299999</v>
      </c>
      <c r="C83" s="325">
        <v>1</v>
      </c>
      <c r="D83" s="324">
        <v>9527980012.4899998</v>
      </c>
      <c r="E83" s="325">
        <v>1</v>
      </c>
      <c r="F83" s="23">
        <f t="shared" si="48"/>
        <v>1.7567110491838094E-3</v>
      </c>
      <c r="G83" s="23">
        <f t="shared" si="49"/>
        <v>0</v>
      </c>
      <c r="H83" s="324">
        <v>9517778858.0400009</v>
      </c>
      <c r="I83" s="325">
        <v>1</v>
      </c>
      <c r="J83" s="23">
        <f t="shared" si="77"/>
        <v>-1.0706523771698102E-3</v>
      </c>
      <c r="K83" s="23">
        <f t="shared" si="77"/>
        <v>0</v>
      </c>
      <c r="L83" s="324">
        <v>9511930024.4799995</v>
      </c>
      <c r="M83" s="325">
        <v>1</v>
      </c>
      <c r="N83" s="23">
        <f t="shared" si="78"/>
        <v>-6.1451664797408678E-4</v>
      </c>
      <c r="O83" s="23">
        <f t="shared" si="78"/>
        <v>0</v>
      </c>
      <c r="P83" s="324">
        <v>9486621842.1399994</v>
      </c>
      <c r="Q83" s="325">
        <v>1</v>
      </c>
      <c r="R83" s="23">
        <f t="shared" si="79"/>
        <v>-2.6606779354838355E-3</v>
      </c>
      <c r="S83" s="23">
        <f t="shared" si="79"/>
        <v>0</v>
      </c>
      <c r="T83" s="324">
        <v>9484506186.4699993</v>
      </c>
      <c r="U83" s="325">
        <v>1</v>
      </c>
      <c r="V83" s="23">
        <f t="shared" si="80"/>
        <v>-2.2301465212856266E-4</v>
      </c>
      <c r="W83" s="23">
        <f t="shared" si="80"/>
        <v>0</v>
      </c>
      <c r="X83" s="324">
        <v>9468515108.6200008</v>
      </c>
      <c r="Y83" s="325">
        <v>1</v>
      </c>
      <c r="Z83" s="23">
        <f t="shared" si="81"/>
        <v>-1.6860211312646242E-3</v>
      </c>
      <c r="AA83" s="23">
        <f t="shared" si="81"/>
        <v>0</v>
      </c>
      <c r="AB83" s="324">
        <v>9401978990.9200001</v>
      </c>
      <c r="AC83" s="325">
        <v>1</v>
      </c>
      <c r="AD83" s="23">
        <f t="shared" si="82"/>
        <v>-7.027091041912922E-3</v>
      </c>
      <c r="AE83" s="23">
        <f t="shared" si="82"/>
        <v>0</v>
      </c>
      <c r="AF83" s="324">
        <v>9386756657.3700008</v>
      </c>
      <c r="AG83" s="325">
        <v>1</v>
      </c>
      <c r="AH83" s="23">
        <f t="shared" si="62"/>
        <v>-1.6190563247057102E-3</v>
      </c>
      <c r="AI83" s="23">
        <f t="shared" si="70"/>
        <v>0</v>
      </c>
      <c r="AJ83" s="24">
        <f t="shared" si="71"/>
        <v>-1.6430398826819679E-3</v>
      </c>
      <c r="AK83" s="24">
        <f t="shared" si="72"/>
        <v>0</v>
      </c>
      <c r="AL83" s="25">
        <f t="shared" si="73"/>
        <v>-1.4821961731119569E-2</v>
      </c>
      <c r="AM83" s="25">
        <f t="shared" si="74"/>
        <v>0</v>
      </c>
      <c r="AN83" s="378">
        <f t="shared" si="75"/>
        <v>2.5350762807751209E-3</v>
      </c>
      <c r="AO83" s="379">
        <f t="shared" si="76"/>
        <v>2.4844518638759343E-3</v>
      </c>
      <c r="AP83" s="30"/>
      <c r="AQ83" s="28"/>
      <c r="AR83" s="28"/>
      <c r="AS83" s="29"/>
      <c r="AT83" s="29"/>
    </row>
    <row r="84" spans="1:46" s="108" customFormat="1" ht="15.75" customHeight="1">
      <c r="A84" s="200" t="s">
        <v>19</v>
      </c>
      <c r="B84" s="324">
        <v>2563055032.3699999</v>
      </c>
      <c r="C84" s="325">
        <v>24.530999999999999</v>
      </c>
      <c r="D84" s="324">
        <v>2562690636.1999998</v>
      </c>
      <c r="E84" s="325">
        <v>24.567499999999999</v>
      </c>
      <c r="F84" s="23">
        <f t="shared" si="48"/>
        <v>-1.4217258911648387E-4</v>
      </c>
      <c r="G84" s="23">
        <f t="shared" si="49"/>
        <v>1.487913252619143E-3</v>
      </c>
      <c r="H84" s="324">
        <v>2557018618.6500001</v>
      </c>
      <c r="I84" s="325">
        <v>24.635999999999999</v>
      </c>
      <c r="J84" s="23">
        <f t="shared" si="77"/>
        <v>-2.2133056053969414E-3</v>
      </c>
      <c r="K84" s="23">
        <f t="shared" si="77"/>
        <v>2.7882364912994906E-3</v>
      </c>
      <c r="L84" s="324">
        <v>2560466527.8400002</v>
      </c>
      <c r="M84" s="325">
        <v>24.665400000000002</v>
      </c>
      <c r="N84" s="23">
        <f t="shared" si="78"/>
        <v>1.348409888317673E-3</v>
      </c>
      <c r="O84" s="23">
        <f t="shared" si="78"/>
        <v>1.1933755479786709E-3</v>
      </c>
      <c r="P84" s="324">
        <v>2562410336.3200002</v>
      </c>
      <c r="Q84" s="325">
        <v>24.715399999999999</v>
      </c>
      <c r="R84" s="23">
        <f t="shared" si="79"/>
        <v>7.5916183979167604E-4</v>
      </c>
      <c r="S84" s="23">
        <f t="shared" si="79"/>
        <v>2.0271311229494416E-3</v>
      </c>
      <c r="T84" s="324">
        <v>2566096592.6100001</v>
      </c>
      <c r="U84" s="325">
        <v>24.743300000000001</v>
      </c>
      <c r="V84" s="23">
        <f t="shared" si="80"/>
        <v>1.4385893772556235E-3</v>
      </c>
      <c r="W84" s="23">
        <f t="shared" si="80"/>
        <v>1.128850837939199E-3</v>
      </c>
      <c r="X84" s="324">
        <v>2574301806.0999999</v>
      </c>
      <c r="Y84" s="325">
        <v>24.782699999999998</v>
      </c>
      <c r="Z84" s="23">
        <f t="shared" si="81"/>
        <v>3.1975466214442748E-3</v>
      </c>
      <c r="AA84" s="23">
        <f t="shared" si="81"/>
        <v>1.592350252391435E-3</v>
      </c>
      <c r="AB84" s="324">
        <v>2583011086.71</v>
      </c>
      <c r="AC84" s="325">
        <v>24.822099999999999</v>
      </c>
      <c r="AD84" s="23">
        <f t="shared" si="82"/>
        <v>3.3831622187277515E-3</v>
      </c>
      <c r="AE84" s="23">
        <f t="shared" si="82"/>
        <v>1.589818704176726E-3</v>
      </c>
      <c r="AF84" s="324">
        <v>2571358737.96</v>
      </c>
      <c r="AG84" s="325">
        <v>24.8537</v>
      </c>
      <c r="AH84" s="23">
        <f t="shared" si="62"/>
        <v>-4.5111493365062099E-3</v>
      </c>
      <c r="AI84" s="23">
        <f t="shared" si="70"/>
        <v>1.2730590884736167E-3</v>
      </c>
      <c r="AJ84" s="24">
        <f t="shared" si="71"/>
        <v>4.075303018146705E-4</v>
      </c>
      <c r="AK84" s="24">
        <f t="shared" si="72"/>
        <v>1.6350919122284655E-3</v>
      </c>
      <c r="AL84" s="25">
        <f t="shared" si="73"/>
        <v>3.382422223563213E-3</v>
      </c>
      <c r="AM84" s="25">
        <f t="shared" si="74"/>
        <v>1.1649536989925753E-2</v>
      </c>
      <c r="AN84" s="378">
        <f t="shared" si="75"/>
        <v>2.6746140396021584E-3</v>
      </c>
      <c r="AO84" s="379">
        <f t="shared" si="76"/>
        <v>8.2315823716168119E-4</v>
      </c>
      <c r="AP84" s="30"/>
      <c r="AQ84" s="28"/>
      <c r="AR84" s="28"/>
      <c r="AS84" s="29"/>
      <c r="AT84" s="29"/>
    </row>
    <row r="85" spans="1:46">
      <c r="A85" s="202" t="s">
        <v>42</v>
      </c>
      <c r="B85" s="76">
        <f>SUM(B56:B84)</f>
        <v>303680172649.34601</v>
      </c>
      <c r="C85" s="85"/>
      <c r="D85" s="76">
        <f>SUM(D56:D84)</f>
        <v>304126684990.11609</v>
      </c>
      <c r="E85" s="85"/>
      <c r="F85" s="23">
        <f>((D84-B85)/B85)</f>
        <v>-0.99156121845610545</v>
      </c>
      <c r="G85" s="23"/>
      <c r="H85" s="76">
        <f>SUM(H56:H84)</f>
        <v>304362067445.72583</v>
      </c>
      <c r="I85" s="85"/>
      <c r="J85" s="23">
        <f>((H84-D85)/D85)</f>
        <v>-0.99159225827640507</v>
      </c>
      <c r="K85" s="23"/>
      <c r="L85" s="76">
        <f>SUM(L56:L84)</f>
        <v>303632021426.79242</v>
      </c>
      <c r="M85" s="85"/>
      <c r="N85" s="23">
        <f>((L84-H85)/H85)</f>
        <v>-0.99158743220097023</v>
      </c>
      <c r="O85" s="23"/>
      <c r="P85" s="76">
        <f>SUM(P56:P84)</f>
        <v>302855641094.12433</v>
      </c>
      <c r="Q85" s="85"/>
      <c r="R85" s="23">
        <f>((P84-L85)/L85)</f>
        <v>-0.99156080335572305</v>
      </c>
      <c r="S85" s="23"/>
      <c r="T85" s="76">
        <f>SUM(T56:T84)</f>
        <v>302288495520.96271</v>
      </c>
      <c r="U85" s="73"/>
      <c r="V85" s="23">
        <f>((T84-P85)/P85)</f>
        <v>-0.99152699753803675</v>
      </c>
      <c r="W85" s="23"/>
      <c r="X85" s="76">
        <f>SUM(X56:X84)</f>
        <v>302310089672.97034</v>
      </c>
      <c r="Y85" s="85"/>
      <c r="Z85" s="23">
        <f>((X84-T85)/T85)</f>
        <v>-0.99148395706669734</v>
      </c>
      <c r="AA85" s="23"/>
      <c r="AB85" s="76">
        <f>SUM(AB56:AB84)</f>
        <v>302262492251.19061</v>
      </c>
      <c r="AC85" s="85"/>
      <c r="AD85" s="23">
        <f>((AB84-X85)/X85)</f>
        <v>-0.99145575627494187</v>
      </c>
      <c r="AE85" s="23"/>
      <c r="AF85" s="76">
        <f>SUM(AF56:AF84)</f>
        <v>299618437754.16949</v>
      </c>
      <c r="AG85" s="85"/>
      <c r="AH85" s="23">
        <f>((AF84-AB85)/AB85)</f>
        <v>-0.99149296123773389</v>
      </c>
      <c r="AI85" s="23"/>
      <c r="AJ85" s="24">
        <f t="shared" si="71"/>
        <v>-0.99153267305082671</v>
      </c>
      <c r="AK85" s="24"/>
      <c r="AL85" s="25">
        <f t="shared" si="73"/>
        <v>-1.4823583258052837E-2</v>
      </c>
      <c r="AM85" s="25"/>
      <c r="AN85" s="378">
        <f t="shared" si="75"/>
        <v>5.0784973754213751E-5</v>
      </c>
      <c r="AO85" s="379"/>
      <c r="AP85" s="30"/>
      <c r="AQ85" s="40"/>
      <c r="AR85" s="13"/>
      <c r="AS85" s="29" t="e">
        <f>(#REF!/AQ85)-1</f>
        <v>#REF!</v>
      </c>
      <c r="AT85" s="29" t="e">
        <f>(#REF!/AR85)-1</f>
        <v>#REF!</v>
      </c>
    </row>
    <row r="86" spans="1:46" s="108" customFormat="1" ht="7.5" customHeight="1">
      <c r="A86" s="202"/>
      <c r="B86" s="85"/>
      <c r="C86" s="85"/>
      <c r="D86" s="85"/>
      <c r="E86" s="85"/>
      <c r="F86" s="23"/>
      <c r="G86" s="23"/>
      <c r="H86" s="85"/>
      <c r="I86" s="85"/>
      <c r="J86" s="23"/>
      <c r="K86" s="23"/>
      <c r="L86" s="85"/>
      <c r="M86" s="85"/>
      <c r="N86" s="23"/>
      <c r="O86" s="23"/>
      <c r="P86" s="85"/>
      <c r="Q86" s="85"/>
      <c r="R86" s="23"/>
      <c r="S86" s="23"/>
      <c r="T86" s="85"/>
      <c r="U86" s="85"/>
      <c r="V86" s="23"/>
      <c r="W86" s="23"/>
      <c r="X86" s="85"/>
      <c r="Y86" s="85"/>
      <c r="Z86" s="23"/>
      <c r="AA86" s="23"/>
      <c r="AB86" s="85"/>
      <c r="AC86" s="85"/>
      <c r="AD86" s="23"/>
      <c r="AE86" s="23"/>
      <c r="AF86" s="85"/>
      <c r="AG86" s="85"/>
      <c r="AH86" s="23"/>
      <c r="AI86" s="23"/>
      <c r="AJ86" s="24"/>
      <c r="AK86" s="24"/>
      <c r="AL86" s="25"/>
      <c r="AM86" s="25"/>
      <c r="AN86" s="378"/>
      <c r="AO86" s="379"/>
      <c r="AP86" s="30"/>
      <c r="AQ86" s="40"/>
      <c r="AR86" s="13"/>
      <c r="AS86" s="29"/>
      <c r="AT86" s="29"/>
    </row>
    <row r="87" spans="1:46" s="108" customFormat="1">
      <c r="A87" s="199" t="s">
        <v>193</v>
      </c>
      <c r="B87" s="85"/>
      <c r="C87" s="85"/>
      <c r="D87" s="85"/>
      <c r="E87" s="85"/>
      <c r="F87" s="23"/>
      <c r="G87" s="23"/>
      <c r="H87" s="85"/>
      <c r="I87" s="85"/>
      <c r="J87" s="23"/>
      <c r="K87" s="23"/>
      <c r="L87" s="85"/>
      <c r="M87" s="85"/>
      <c r="N87" s="23"/>
      <c r="O87" s="23"/>
      <c r="P87" s="85"/>
      <c r="Q87" s="85"/>
      <c r="R87" s="23"/>
      <c r="S87" s="23"/>
      <c r="T87" s="85"/>
      <c r="U87" s="85"/>
      <c r="V87" s="23"/>
      <c r="W87" s="23"/>
      <c r="X87" s="85"/>
      <c r="Y87" s="85"/>
      <c r="Z87" s="23"/>
      <c r="AA87" s="23"/>
      <c r="AB87" s="85"/>
      <c r="AC87" s="85"/>
      <c r="AD87" s="23"/>
      <c r="AE87" s="23"/>
      <c r="AF87" s="85"/>
      <c r="AG87" s="85"/>
      <c r="AH87" s="23"/>
      <c r="AI87" s="23"/>
      <c r="AJ87" s="24"/>
      <c r="AK87" s="24"/>
      <c r="AL87" s="25"/>
      <c r="AM87" s="25"/>
      <c r="AN87" s="378"/>
      <c r="AO87" s="379"/>
      <c r="AP87" s="30"/>
      <c r="AQ87" s="40"/>
      <c r="AR87" s="13"/>
      <c r="AS87" s="29"/>
      <c r="AT87" s="29"/>
    </row>
    <row r="88" spans="1:46" s="108" customFormat="1">
      <c r="A88" s="198" t="s">
        <v>194</v>
      </c>
      <c r="B88" s="85"/>
      <c r="C88" s="85"/>
      <c r="D88" s="85"/>
      <c r="E88" s="85"/>
      <c r="F88" s="23"/>
      <c r="G88" s="23"/>
      <c r="H88" s="85"/>
      <c r="I88" s="85"/>
      <c r="J88" s="23"/>
      <c r="K88" s="23"/>
      <c r="L88" s="85"/>
      <c r="M88" s="85"/>
      <c r="N88" s="23"/>
      <c r="O88" s="23"/>
      <c r="P88" s="85"/>
      <c r="Q88" s="85"/>
      <c r="R88" s="23"/>
      <c r="S88" s="23"/>
      <c r="T88" s="85"/>
      <c r="U88" s="85"/>
      <c r="V88" s="23"/>
      <c r="W88" s="23"/>
      <c r="X88" s="85"/>
      <c r="Y88" s="85"/>
      <c r="Z88" s="23"/>
      <c r="AA88" s="23"/>
      <c r="AB88" s="85"/>
      <c r="AC88" s="85"/>
      <c r="AD88" s="23"/>
      <c r="AE88" s="23"/>
      <c r="AF88" s="85"/>
      <c r="AG88" s="85"/>
      <c r="AH88" s="23"/>
      <c r="AI88" s="23"/>
      <c r="AJ88" s="24"/>
      <c r="AK88" s="24"/>
      <c r="AL88" s="25"/>
      <c r="AM88" s="25"/>
      <c r="AN88" s="378"/>
      <c r="AO88" s="379"/>
      <c r="AP88" s="30"/>
      <c r="AQ88" s="40"/>
      <c r="AR88" s="13"/>
      <c r="AS88" s="29"/>
      <c r="AT88" s="29"/>
    </row>
    <row r="89" spans="1:46">
      <c r="A89" s="200" t="s">
        <v>144</v>
      </c>
      <c r="B89" s="324">
        <v>1327789872.3599999</v>
      </c>
      <c r="C89" s="324">
        <f>107.4889*759.9</f>
        <v>81680.815109999996</v>
      </c>
      <c r="D89" s="324">
        <v>1318076094.02</v>
      </c>
      <c r="E89" s="324">
        <f>107.5861*750.115</f>
        <v>80701.947401500001</v>
      </c>
      <c r="F89" s="23">
        <f>((D103-B89)/B89)</f>
        <v>2.442750129609371</v>
      </c>
      <c r="G89" s="23">
        <f t="shared" ref="G89:G99" si="83">((E89-C89)/C89)</f>
        <v>-1.1984059012899761E-2</v>
      </c>
      <c r="H89" s="324">
        <v>1313982164.6400001</v>
      </c>
      <c r="I89" s="324">
        <f>107.7065*746.949</f>
        <v>80451.262468500005</v>
      </c>
      <c r="J89" s="23">
        <f>((H103-D89)/D89)</f>
        <v>2.6218015345069023</v>
      </c>
      <c r="K89" s="23">
        <f t="shared" ref="K89:K99" si="84">((I89-E89)/E89)</f>
        <v>-3.1063058708213696E-3</v>
      </c>
      <c r="L89" s="324">
        <v>1298829726.47</v>
      </c>
      <c r="M89" s="324">
        <f>107.8258*744.135</f>
        <v>80236.951683000007</v>
      </c>
      <c r="N89" s="23">
        <f>((L103-H89)/H89)</f>
        <v>2.5293467148307633</v>
      </c>
      <c r="O89" s="23">
        <f t="shared" ref="O89:O99" si="85">((M89-I89)/I89)</f>
        <v>-2.6638585762890862E-3</v>
      </c>
      <c r="P89" s="324">
        <v>1331716751.5999999</v>
      </c>
      <c r="Q89" s="324">
        <f>108.022*774.896</f>
        <v>83705.815711999996</v>
      </c>
      <c r="R89" s="23">
        <f>((P103-L89)/L89)</f>
        <v>2.7890483633188627</v>
      </c>
      <c r="S89" s="23">
        <f t="shared" ref="S89:S99" si="86">((Q89-M89)/M89)</f>
        <v>4.323274945320419E-2</v>
      </c>
      <c r="T89" s="324">
        <v>1272123840.27</v>
      </c>
      <c r="U89" s="324">
        <f>108.1267*740.49</f>
        <v>80066.740082999997</v>
      </c>
      <c r="V89" s="23">
        <f>((T103-P89)/P89)</f>
        <v>2.5604524144003418</v>
      </c>
      <c r="W89" s="23">
        <f t="shared" ref="W89:W99" si="87">((U89-Q89)/Q89)</f>
        <v>-4.3474585344472121E-2</v>
      </c>
      <c r="X89" s="324">
        <v>1270288230.01</v>
      </c>
      <c r="Y89" s="324">
        <v>108.2513</v>
      </c>
      <c r="Z89" s="23">
        <f>((X103-T89)/T89)</f>
        <v>2.7106427553708978</v>
      </c>
      <c r="AA89" s="23">
        <f t="shared" ref="AA89:AA99" si="88">((Y89-U89)/U89)</f>
        <v>-0.9986479866685245</v>
      </c>
      <c r="AB89" s="324">
        <v>1310372163.98</v>
      </c>
      <c r="AC89" s="324">
        <f>108.2513*760.432</f>
        <v>82317.752561600006</v>
      </c>
      <c r="AD89" s="23">
        <f>((AB103-X89)/X89)</f>
        <v>2.7323224609888075</v>
      </c>
      <c r="AE89" s="23">
        <f t="shared" ref="AE89:AE99" si="89">((AC89-Y89)/Y89)</f>
        <v>759.43200000000002</v>
      </c>
      <c r="AF89" s="324">
        <v>1300471693.8599999</v>
      </c>
      <c r="AG89" s="324">
        <f>108.4975*756.955</f>
        <v>82127.725112500004</v>
      </c>
      <c r="AH89" s="23">
        <f>((AF103-AB89)/AB89)</f>
        <v>2.7032974797398603</v>
      </c>
      <c r="AI89" s="23">
        <f t="shared" ref="AI89:AI99" si="90">((AG89-AC89)/AC89)</f>
        <v>-2.3084625513530698E-3</v>
      </c>
      <c r="AJ89" s="24">
        <f t="shared" si="71"/>
        <v>2.6362077315957255</v>
      </c>
      <c r="AK89" s="24">
        <f t="shared" si="72"/>
        <v>94.801630936428609</v>
      </c>
      <c r="AL89" s="25">
        <f t="shared" si="73"/>
        <v>-1.3356133412835392E-2</v>
      </c>
      <c r="AM89" s="25">
        <f t="shared" si="74"/>
        <v>1.7667203294446172E-2</v>
      </c>
      <c r="AN89" s="378">
        <f t="shared" si="75"/>
        <v>0.11797786369277347</v>
      </c>
      <c r="AO89" s="379">
        <f t="shared" si="76"/>
        <v>1.075696057710321</v>
      </c>
      <c r="AP89" s="30"/>
      <c r="AQ89" s="49">
        <v>31507613595.857655</v>
      </c>
      <c r="AR89" s="49">
        <v>11.808257597614354</v>
      </c>
      <c r="AS89" s="29" t="e">
        <f>(#REF!/AQ89)-1</f>
        <v>#REF!</v>
      </c>
      <c r="AT89" s="29" t="e">
        <f>(#REF!/AR89)-1</f>
        <v>#REF!</v>
      </c>
    </row>
    <row r="90" spans="1:46">
      <c r="A90" s="200" t="s">
        <v>145</v>
      </c>
      <c r="B90" s="324">
        <f>10769596.39*759.39</f>
        <v>8178323802.6021004</v>
      </c>
      <c r="C90" s="324">
        <f>1.1458*759.39</f>
        <v>870.10906199999988</v>
      </c>
      <c r="D90" s="324">
        <f>10940376.08*750.11</f>
        <v>8206485501.3688002</v>
      </c>
      <c r="E90" s="324">
        <f>1.147*750.11</f>
        <v>860.37617</v>
      </c>
      <c r="F90" s="23">
        <f>((D104-B90)/B90)</f>
        <v>-6.0000228428822352E-3</v>
      </c>
      <c r="G90" s="23">
        <f t="shared" si="83"/>
        <v>-1.1185829943694898E-2</v>
      </c>
      <c r="H90" s="324">
        <f>10935802.98*747.45</f>
        <v>8173965937.401001</v>
      </c>
      <c r="I90" s="324">
        <f>1.1458*747.45</f>
        <v>856.42821000000004</v>
      </c>
      <c r="J90" s="23">
        <f>((H104-D90)/D90)</f>
        <v>3.4749014124698767E-2</v>
      </c>
      <c r="K90" s="23">
        <f t="shared" si="84"/>
        <v>-4.5886440578659518E-3</v>
      </c>
      <c r="L90" s="324">
        <f>10865061.28*744.14</f>
        <v>8085126700.8991995</v>
      </c>
      <c r="M90" s="324">
        <f>1.1471*744.14</f>
        <v>853.60299399999997</v>
      </c>
      <c r="N90" s="23">
        <f>((L104-H90)/H90)</f>
        <v>-1.9100196961506107E-2</v>
      </c>
      <c r="O90" s="23">
        <f t="shared" si="85"/>
        <v>-3.2988357541376043E-3</v>
      </c>
      <c r="P90" s="324">
        <f>10626339.97*774.39</f>
        <v>8228931409.3683004</v>
      </c>
      <c r="Q90" s="324">
        <f>1.1485*774.39</f>
        <v>889.38691500000004</v>
      </c>
      <c r="R90" s="23">
        <f>((P104-L90)/L90)</f>
        <v>3.4518469809478862E-2</v>
      </c>
      <c r="S90" s="23">
        <f t="shared" si="86"/>
        <v>4.1921035014551598E-2</v>
      </c>
      <c r="T90" s="324">
        <f>10648379.96*740.49</f>
        <v>7885018876.5804005</v>
      </c>
      <c r="U90" s="324">
        <f>1.1498*740.49</f>
        <v>851.41540199999997</v>
      </c>
      <c r="V90" s="23">
        <f>((T104-P90)/P90)</f>
        <v>3.2480690228223765E-3</v>
      </c>
      <c r="W90" s="23">
        <f t="shared" si="87"/>
        <v>-4.2694031539692791E-2</v>
      </c>
      <c r="X90" s="324">
        <f>10398532.36*738.043</f>
        <v>7674564018.5714798</v>
      </c>
      <c r="Y90" s="324">
        <f>1.1511*738.043</f>
        <v>849.56129729999998</v>
      </c>
      <c r="Z90" s="23">
        <f>((X104-T90)/T90)</f>
        <v>8.9161003987461296E-3</v>
      </c>
      <c r="AA90" s="23">
        <f t="shared" si="88"/>
        <v>-2.1776734313763255E-3</v>
      </c>
      <c r="AB90" s="324">
        <f>10413804.03*760.43</f>
        <v>7918968998.5328989</v>
      </c>
      <c r="AC90" s="324">
        <f>1.1524*760.43</f>
        <v>876.31953199999998</v>
      </c>
      <c r="AD90" s="23">
        <f>((AB104-X90)/X90)</f>
        <v>0.10209532777789843</v>
      </c>
      <c r="AE90" s="23">
        <f t="shared" si="89"/>
        <v>3.1496532133750255E-2</v>
      </c>
      <c r="AF90" s="324">
        <f>10261799.6*756.95</f>
        <v>7767669207.2200003</v>
      </c>
      <c r="AG90" s="324">
        <f>1.1535*756.95</f>
        <v>873.14182500000004</v>
      </c>
      <c r="AH90" s="23">
        <f>((AF104-AB90)/AB90)</f>
        <v>9.7097931942082411E-3</v>
      </c>
      <c r="AI90" s="23">
        <f t="shared" si="90"/>
        <v>-3.6261967056098222E-3</v>
      </c>
      <c r="AJ90" s="24">
        <f t="shared" si="71"/>
        <v>2.1017069315433054E-2</v>
      </c>
      <c r="AK90" s="24">
        <f t="shared" si="72"/>
        <v>7.3079446449055788E-4</v>
      </c>
      <c r="AL90" s="25">
        <f t="shared" si="73"/>
        <v>-5.3471890503627599E-2</v>
      </c>
      <c r="AM90" s="25">
        <f t="shared" si="74"/>
        <v>1.4837294947394972E-2</v>
      </c>
      <c r="AN90" s="378">
        <f t="shared" si="75"/>
        <v>3.7557349964479014E-2</v>
      </c>
      <c r="AO90" s="379">
        <f t="shared" si="76"/>
        <v>4.3830972645485904E-2</v>
      </c>
      <c r="AP90" s="30"/>
      <c r="AQ90" s="40">
        <f>SUM(AQ89:AQ89)</f>
        <v>31507613595.857655</v>
      </c>
      <c r="AR90" s="13"/>
      <c r="AS90" s="29" t="e">
        <f>(#REF!/AQ90)-1</f>
        <v>#REF!</v>
      </c>
      <c r="AT90" s="29" t="e">
        <f>(#REF!/AR90)-1</f>
        <v>#REF!</v>
      </c>
    </row>
    <row r="91" spans="1:46">
      <c r="A91" s="200" t="s">
        <v>170</v>
      </c>
      <c r="B91" s="324">
        <v>1912497976.0139999</v>
      </c>
      <c r="C91" s="324">
        <v>79551.043380000003</v>
      </c>
      <c r="D91" s="324">
        <v>1890950554.0209002</v>
      </c>
      <c r="E91" s="324">
        <v>78654.769066499997</v>
      </c>
      <c r="F91" s="23">
        <f t="shared" ref="F91:F96" si="91">((D91-B91)/B91)</f>
        <v>-1.1266637802152611E-2</v>
      </c>
      <c r="G91" s="23">
        <f t="shared" si="83"/>
        <v>-1.1266656921376579E-2</v>
      </c>
      <c r="H91" s="324">
        <v>1885244353.0813899</v>
      </c>
      <c r="I91" s="324">
        <v>78417.415916599988</v>
      </c>
      <c r="J91" s="23">
        <f>((H91-D91)/D91)</f>
        <v>-3.0176362503909638E-3</v>
      </c>
      <c r="K91" s="23">
        <f t="shared" si="84"/>
        <v>-3.0176574506160579E-3</v>
      </c>
      <c r="L91" s="324">
        <v>1946590839.30495</v>
      </c>
      <c r="M91" s="324">
        <v>78213.556323500001</v>
      </c>
      <c r="N91" s="23">
        <f>((L91-H91)/H91)</f>
        <v>3.2540336812727021E-2</v>
      </c>
      <c r="O91" s="23">
        <f t="shared" si="85"/>
        <v>-2.5996724160969541E-3</v>
      </c>
      <c r="P91" s="324">
        <v>1960058440.0016</v>
      </c>
      <c r="Q91" s="324">
        <v>81490.310558399986</v>
      </c>
      <c r="R91" s="23">
        <f>((P91-L91)/L91)</f>
        <v>6.9185575236030451E-3</v>
      </c>
      <c r="S91" s="23">
        <f t="shared" si="86"/>
        <v>4.1894965386140529E-2</v>
      </c>
      <c r="T91" s="324">
        <v>1876169318.6042998</v>
      </c>
      <c r="U91" s="324">
        <v>78002.609419</v>
      </c>
      <c r="V91" s="23">
        <f>((T91-P91)/P91)</f>
        <v>-4.2799296023659256E-2</v>
      </c>
      <c r="W91" s="23">
        <f t="shared" si="87"/>
        <v>-4.2798967331220641E-2</v>
      </c>
      <c r="X91" s="324">
        <v>1840970198.0864999</v>
      </c>
      <c r="Y91" s="324">
        <v>77821.0883073</v>
      </c>
      <c r="Z91" s="23">
        <f>((X91-T91)/T91)</f>
        <v>-1.876116412775837E-2</v>
      </c>
      <c r="AA91" s="23">
        <f t="shared" si="88"/>
        <v>-2.3271158881998208E-3</v>
      </c>
      <c r="AB91" s="324">
        <v>1906749409.3534801</v>
      </c>
      <c r="AC91" s="324">
        <v>80279.771770800013</v>
      </c>
      <c r="AD91" s="23">
        <f>((AB91-X91)/X91)</f>
        <v>3.5730731184758412E-2</v>
      </c>
      <c r="AE91" s="23">
        <f t="shared" si="89"/>
        <v>3.1594051393770806E-2</v>
      </c>
      <c r="AF91" s="324">
        <v>1908071645.80005</v>
      </c>
      <c r="AG91" s="324">
        <v>80016.107035499997</v>
      </c>
      <c r="AH91" s="23">
        <f>((AF91-AB91)/AB91)</f>
        <v>6.9345056045841348E-4</v>
      </c>
      <c r="AI91" s="23">
        <f t="shared" si="90"/>
        <v>-3.2843234289801197E-3</v>
      </c>
      <c r="AJ91" s="24">
        <f t="shared" si="71"/>
        <v>4.792734698211046E-6</v>
      </c>
      <c r="AK91" s="24">
        <f t="shared" si="72"/>
        <v>1.0243279179276454E-3</v>
      </c>
      <c r="AL91" s="25">
        <f t="shared" si="73"/>
        <v>9.0542249995610065E-3</v>
      </c>
      <c r="AM91" s="25">
        <f t="shared" si="74"/>
        <v>1.7307761311320283E-2</v>
      </c>
      <c r="AN91" s="378">
        <f t="shared" si="75"/>
        <v>2.5922163915576217E-2</v>
      </c>
      <c r="AO91" s="379">
        <f t="shared" si="76"/>
        <v>2.6735801601132203E-2</v>
      </c>
      <c r="AP91" s="30"/>
      <c r="AQ91" s="40"/>
      <c r="AR91" s="13"/>
      <c r="AS91" s="29" t="e">
        <f>(#REF!/AQ91)-1</f>
        <v>#REF!</v>
      </c>
      <c r="AT91" s="29" t="e">
        <f>(#REF!/AR91)-1</f>
        <v>#REF!</v>
      </c>
    </row>
    <row r="92" spans="1:46">
      <c r="A92" s="200" t="s">
        <v>237</v>
      </c>
      <c r="B92" s="324">
        <v>22127490835.77</v>
      </c>
      <c r="C92" s="324">
        <v>96752.79</v>
      </c>
      <c r="D92" s="324">
        <v>21195053386.790001</v>
      </c>
      <c r="E92" s="324">
        <v>92779.72</v>
      </c>
      <c r="F92" s="23">
        <f t="shared" si="91"/>
        <v>-4.2139321439585729E-2</v>
      </c>
      <c r="G92" s="23">
        <f t="shared" si="83"/>
        <v>-4.1064138822249907E-2</v>
      </c>
      <c r="H92" s="324">
        <v>21124600021.880001</v>
      </c>
      <c r="I92" s="324">
        <v>92597.217999999993</v>
      </c>
      <c r="J92" s="23">
        <f>((H92-D92)/D92)</f>
        <v>-3.3240475324261515E-3</v>
      </c>
      <c r="K92" s="23">
        <f t="shared" si="84"/>
        <v>-1.967046246744522E-3</v>
      </c>
      <c r="L92" s="324">
        <v>21093794502</v>
      </c>
      <c r="M92" s="324">
        <v>92595.3</v>
      </c>
      <c r="N92" s="23">
        <f>((L92-H92)/H92)</f>
        <v>-1.45827707261174E-3</v>
      </c>
      <c r="O92" s="23">
        <f t="shared" si="85"/>
        <v>-2.0713365276163808E-5</v>
      </c>
      <c r="P92" s="324">
        <v>22203363690.299999</v>
      </c>
      <c r="Q92" s="324">
        <v>97606.080000000002</v>
      </c>
      <c r="R92" s="23">
        <f>((P92-L92)/L92)</f>
        <v>5.2601687581378301E-2</v>
      </c>
      <c r="S92" s="23">
        <f t="shared" si="86"/>
        <v>5.4114841682029201E-2</v>
      </c>
      <c r="T92" s="324">
        <v>21118324823.389999</v>
      </c>
      <c r="U92" s="324">
        <v>92954.71</v>
      </c>
      <c r="V92" s="23">
        <f>((T92-P92)/P92)</f>
        <v>-4.8868220241062917E-2</v>
      </c>
      <c r="W92" s="23">
        <f t="shared" si="87"/>
        <v>-4.7654510866536132E-2</v>
      </c>
      <c r="X92" s="324">
        <v>21011075976.389999</v>
      </c>
      <c r="Y92" s="324">
        <v>92607.87</v>
      </c>
      <c r="Z92" s="23">
        <f>((X92-T92)/T92)</f>
        <v>-5.0784732168346284E-3</v>
      </c>
      <c r="AA92" s="23">
        <f t="shared" si="88"/>
        <v>-3.7312794585665538E-3</v>
      </c>
      <c r="AB92" s="324">
        <v>21589820419.347698</v>
      </c>
      <c r="AC92" s="324">
        <v>95294.97</v>
      </c>
      <c r="AD92" s="23">
        <f>((AB92-X92)/X92)</f>
        <v>2.7544731341128361E-2</v>
      </c>
      <c r="AE92" s="23">
        <f t="shared" si="89"/>
        <v>2.9015892493802157E-2</v>
      </c>
      <c r="AF92" s="324">
        <v>21328829209.240002</v>
      </c>
      <c r="AG92" s="324">
        <v>94277.58</v>
      </c>
      <c r="AH92" s="23">
        <f>((AF92-AB92)/AB92)</f>
        <v>-1.2088623482658035E-2</v>
      </c>
      <c r="AI92" s="23">
        <f t="shared" si="90"/>
        <v>-1.0676219321964206E-2</v>
      </c>
      <c r="AJ92" s="24">
        <f t="shared" si="71"/>
        <v>-4.1013180078340664E-3</v>
      </c>
      <c r="AK92" s="24">
        <f t="shared" si="72"/>
        <v>-2.7478967381882658E-3</v>
      </c>
      <c r="AL92" s="25">
        <f t="shared" si="73"/>
        <v>6.3116530073652798E-3</v>
      </c>
      <c r="AM92" s="25">
        <f t="shared" si="74"/>
        <v>1.6144260836312079E-2</v>
      </c>
      <c r="AN92" s="378">
        <f t="shared" si="75"/>
        <v>3.3252304364205815E-2</v>
      </c>
      <c r="AO92" s="379">
        <f t="shared" si="76"/>
        <v>3.3182083793881274E-2</v>
      </c>
      <c r="AP92" s="30"/>
      <c r="AQ92" s="28">
        <v>885354617.76999998</v>
      </c>
      <c r="AR92" s="28">
        <v>1763.14</v>
      </c>
      <c r="AS92" s="29" t="e">
        <f>(#REF!/AQ92)-1</f>
        <v>#REF!</v>
      </c>
      <c r="AT92" s="29" t="e">
        <f>(#REF!/AR92)-1</f>
        <v>#REF!</v>
      </c>
    </row>
    <row r="93" spans="1:46" s="365" customFormat="1">
      <c r="A93" s="200" t="s">
        <v>262</v>
      </c>
      <c r="B93" s="324">
        <v>16339871052.09</v>
      </c>
      <c r="C93" s="324">
        <v>85442.21</v>
      </c>
      <c r="D93" s="324">
        <v>15790237851.65</v>
      </c>
      <c r="E93" s="324">
        <v>81975.48</v>
      </c>
      <c r="F93" s="23">
        <f t="shared" si="91"/>
        <v>-3.3637548221024549E-2</v>
      </c>
      <c r="G93" s="23">
        <f t="shared" si="83"/>
        <v>-4.0573973917575522E-2</v>
      </c>
      <c r="H93" s="324">
        <v>15397017270.799999</v>
      </c>
      <c r="I93" s="324">
        <v>81858.52</v>
      </c>
      <c r="J93" s="23">
        <f>((H93-D93)/D93)</f>
        <v>-2.4902764894634621E-2</v>
      </c>
      <c r="K93" s="23">
        <f t="shared" si="84"/>
        <v>-1.4267681018762179E-3</v>
      </c>
      <c r="L93" s="324">
        <v>15501064247.49</v>
      </c>
      <c r="M93" s="324">
        <v>81894.44</v>
      </c>
      <c r="N93" s="23">
        <f>((L93-H93)/H93)</f>
        <v>6.7576060258971483E-3</v>
      </c>
      <c r="O93" s="23">
        <f t="shared" si="85"/>
        <v>4.3880588117154151E-4</v>
      </c>
      <c r="P93" s="324">
        <v>16502457595.92</v>
      </c>
      <c r="Q93" s="324">
        <v>86365.7</v>
      </c>
      <c r="R93" s="23">
        <f>((P93-L93)/L93)</f>
        <v>6.4601586861505356E-2</v>
      </c>
      <c r="S93" s="23">
        <f t="shared" si="86"/>
        <v>5.4597845714556378E-2</v>
      </c>
      <c r="T93" s="324">
        <v>16013753921.17</v>
      </c>
      <c r="U93" s="324">
        <v>82285.83</v>
      </c>
      <c r="V93" s="23">
        <f>((T93-P93)/P93)</f>
        <v>-2.9613993667877994E-2</v>
      </c>
      <c r="W93" s="23">
        <f t="shared" si="87"/>
        <v>-4.7239471225266456E-2</v>
      </c>
      <c r="X93" s="324">
        <v>16750279652.76</v>
      </c>
      <c r="Y93" s="324">
        <v>82022.64</v>
      </c>
      <c r="Z93" s="23">
        <f>((X93-T93)/T93)</f>
        <v>4.5993321442033747E-2</v>
      </c>
      <c r="AA93" s="23">
        <f t="shared" si="88"/>
        <v>-3.1984850854637099E-3</v>
      </c>
      <c r="AB93" s="324">
        <v>17209612141</v>
      </c>
      <c r="AC93" s="324">
        <v>84440.88</v>
      </c>
      <c r="AD93" s="23">
        <f>((AB93-X93)/X93)</f>
        <v>2.7422377283373534E-2</v>
      </c>
      <c r="AE93" s="23">
        <f t="shared" si="89"/>
        <v>2.9482591635675286E-2</v>
      </c>
      <c r="AF93" s="324">
        <v>17435582345.57</v>
      </c>
      <c r="AG93" s="324">
        <v>83569.66</v>
      </c>
      <c r="AH93" s="23">
        <f>((AF93-AB93)/AB93)</f>
        <v>1.3130464691394795E-2</v>
      </c>
      <c r="AI93" s="23">
        <f t="shared" si="90"/>
        <v>-1.0317514455083854E-2</v>
      </c>
      <c r="AJ93" s="24">
        <f t="shared" si="71"/>
        <v>8.7188811900834259E-3</v>
      </c>
      <c r="AK93" s="24">
        <f t="shared" si="72"/>
        <v>-2.2796211942328198E-3</v>
      </c>
      <c r="AL93" s="25">
        <f t="shared" si="73"/>
        <v>0.10420010828070395</v>
      </c>
      <c r="AM93" s="25">
        <f t="shared" si="74"/>
        <v>1.9447034649873445E-2</v>
      </c>
      <c r="AN93" s="378">
        <f t="shared" si="75"/>
        <v>3.64089502681606E-2</v>
      </c>
      <c r="AO93" s="379">
        <f t="shared" si="76"/>
        <v>3.3119133881714828E-2</v>
      </c>
      <c r="AP93" s="30"/>
      <c r="AQ93" s="28"/>
      <c r="AR93" s="28"/>
      <c r="AS93" s="29"/>
      <c r="AT93" s="29"/>
    </row>
    <row r="94" spans="1:46">
      <c r="A94" s="200" t="s">
        <v>234</v>
      </c>
      <c r="B94" s="324">
        <f>80112.8*759.9</f>
        <v>60877716.719999999</v>
      </c>
      <c r="C94" s="324">
        <f>101.38*759.9</f>
        <v>77038.661999999997</v>
      </c>
      <c r="D94" s="324">
        <f>80095.38*750.62</f>
        <v>60121194.135600001</v>
      </c>
      <c r="E94" s="324">
        <f>101.35*750.62</f>
        <v>76075.337</v>
      </c>
      <c r="F94" s="23">
        <f t="shared" si="91"/>
        <v>-1.2426921132399496E-2</v>
      </c>
      <c r="G94" s="23">
        <f t="shared" si="83"/>
        <v>-1.2504435759800672E-2</v>
      </c>
      <c r="H94" s="324">
        <f>80095.38*747.45</f>
        <v>59867291.781000011</v>
      </c>
      <c r="I94" s="324">
        <f>101.33*747.45</f>
        <v>75739.108500000002</v>
      </c>
      <c r="J94" s="23">
        <f>((H94-D94)/D94)</f>
        <v>-4.2231755082463487E-3</v>
      </c>
      <c r="K94" s="23">
        <f t="shared" si="84"/>
        <v>-4.4196780883139228E-3</v>
      </c>
      <c r="L94" s="324">
        <f>80265.49*744.64</f>
        <v>59768894.4736</v>
      </c>
      <c r="M94" s="324">
        <f>101.57*744.64</f>
        <v>75633.084799999997</v>
      </c>
      <c r="N94" s="23">
        <f>((L94-H94)/H94)</f>
        <v>-1.6435904226293852E-3</v>
      </c>
      <c r="O94" s="23">
        <f t="shared" si="85"/>
        <v>-1.3998540793493126E-3</v>
      </c>
      <c r="P94" s="324">
        <f>84315.24*774.896</f>
        <v>65335542.215039998</v>
      </c>
      <c r="Q94" s="324">
        <f>106.69*774.896</f>
        <v>82673.654239999989</v>
      </c>
      <c r="R94" s="23">
        <f>((P94-L94)/L94)</f>
        <v>9.3136200534858382E-2</v>
      </c>
      <c r="S94" s="23">
        <f t="shared" si="86"/>
        <v>9.3088487116685631E-2</v>
      </c>
      <c r="T94" s="324">
        <f>84315.24*740.99</f>
        <v>62476749.687600002</v>
      </c>
      <c r="U94" s="324">
        <f>106.69*740.99</f>
        <v>79056.223100000003</v>
      </c>
      <c r="V94" s="23">
        <f>((T94-P94)/P94)</f>
        <v>-4.3755549131754404E-2</v>
      </c>
      <c r="W94" s="23">
        <f t="shared" si="87"/>
        <v>-4.3755549131754293E-2</v>
      </c>
      <c r="X94" s="324">
        <f>84615.57*738.543</f>
        <v>62492236.914510004</v>
      </c>
      <c r="Y94" s="324">
        <f>107.07*738.543</f>
        <v>79075.799010000002</v>
      </c>
      <c r="Z94" s="23">
        <f>((X94-T94)/T94)</f>
        <v>2.4788784607782403E-4</v>
      </c>
      <c r="AA94" s="23">
        <f t="shared" si="88"/>
        <v>2.4762010164889302E-4</v>
      </c>
      <c r="AB94" s="324">
        <f>84615.57*760.932</f>
        <v>64386694.911240004</v>
      </c>
      <c r="AC94" s="324">
        <f>107.07*760.932</f>
        <v>81472.989239999995</v>
      </c>
      <c r="AD94" s="23">
        <f>((AB94-X94)/X94)</f>
        <v>3.0315093366263028E-2</v>
      </c>
      <c r="AE94" s="23">
        <f t="shared" si="89"/>
        <v>3.0315093366262941E-2</v>
      </c>
      <c r="AF94" s="324">
        <f>88898.63*757.455</f>
        <v>67336711.786650002</v>
      </c>
      <c r="AG94" s="324">
        <f>107.14*757.455</f>
        <v>81153.728700000007</v>
      </c>
      <c r="AH94" s="23">
        <f>((AF94-AB94)/AB94)</f>
        <v>4.5817181321028064E-2</v>
      </c>
      <c r="AI94" s="23">
        <f t="shared" si="90"/>
        <v>-3.9186059450884141E-3</v>
      </c>
      <c r="AJ94" s="24">
        <f t="shared" si="71"/>
        <v>1.3433390859149706E-2</v>
      </c>
      <c r="AK94" s="24">
        <f t="shared" si="72"/>
        <v>7.2066346975363568E-3</v>
      </c>
      <c r="AL94" s="25">
        <f t="shared" si="73"/>
        <v>0.12001620651073237</v>
      </c>
      <c r="AM94" s="25">
        <f t="shared" si="74"/>
        <v>6.6754770997596857E-2</v>
      </c>
      <c r="AN94" s="378">
        <f t="shared" si="75"/>
        <v>4.1983836036143321E-2</v>
      </c>
      <c r="AO94" s="379">
        <f t="shared" si="76"/>
        <v>4.0136918484066995E-2</v>
      </c>
      <c r="AP94" s="30"/>
      <c r="AQ94" s="33">
        <v>113791197</v>
      </c>
      <c r="AR94" s="32">
        <v>81.52</v>
      </c>
      <c r="AS94" s="29" t="e">
        <f>(#REF!/AQ94)-1</f>
        <v>#REF!</v>
      </c>
      <c r="AT94" s="29" t="e">
        <f>(#REF!/AR94)-1</f>
        <v>#REF!</v>
      </c>
    </row>
    <row r="95" spans="1:46">
      <c r="A95" s="200" t="s">
        <v>120</v>
      </c>
      <c r="B95" s="324">
        <v>9648436719.7999992</v>
      </c>
      <c r="C95" s="324">
        <v>759.39599999999996</v>
      </c>
      <c r="D95" s="324">
        <v>9574438312.9699993</v>
      </c>
      <c r="E95" s="324">
        <v>750.11500000000001</v>
      </c>
      <c r="F95" s="23">
        <f t="shared" si="91"/>
        <v>-7.6694711256326533E-3</v>
      </c>
      <c r="G95" s="23">
        <f t="shared" si="83"/>
        <v>-1.2221555025309522E-2</v>
      </c>
      <c r="H95" s="324">
        <v>9542966270.1900005</v>
      </c>
      <c r="I95" s="324">
        <v>746.94899999999996</v>
      </c>
      <c r="J95" s="23">
        <f t="shared" ref="J95" si="92">((H95-D95)/D95)</f>
        <v>-3.2870902450084431E-3</v>
      </c>
      <c r="K95" s="23">
        <f t="shared" si="84"/>
        <v>-4.2206861614553148E-3</v>
      </c>
      <c r="L95" s="324">
        <v>9536406483.2910004</v>
      </c>
      <c r="M95" s="324">
        <v>744.13499999999999</v>
      </c>
      <c r="N95" s="23">
        <f t="shared" ref="N95" si="93">((L95-H95)/H95)</f>
        <v>-6.8739495805318011E-4</v>
      </c>
      <c r="O95" s="23">
        <f t="shared" si="85"/>
        <v>-3.7673254800528076E-3</v>
      </c>
      <c r="P95" s="324">
        <v>9915604936.6800003</v>
      </c>
      <c r="Q95" s="324">
        <v>774.39599999999996</v>
      </c>
      <c r="R95" s="23">
        <f t="shared" ref="R95" si="94">((P95-L95)/L95)</f>
        <v>3.9763243529248038E-2</v>
      </c>
      <c r="S95" s="23">
        <f t="shared" si="86"/>
        <v>4.0666008183998827E-2</v>
      </c>
      <c r="T95" s="324">
        <v>9486325584.0400009</v>
      </c>
      <c r="U95" s="324">
        <v>740.49</v>
      </c>
      <c r="V95" s="23">
        <f t="shared" ref="V95" si="95">((T95-P95)/P95)</f>
        <v>-4.3293309423008651E-2</v>
      </c>
      <c r="W95" s="23">
        <f t="shared" si="87"/>
        <v>-4.3783800536159732E-2</v>
      </c>
      <c r="X95" s="324">
        <v>9466024671.1200008</v>
      </c>
      <c r="Y95" s="324">
        <v>738.04300000000001</v>
      </c>
      <c r="Z95" s="23">
        <f t="shared" ref="Z95" si="96">((X95-T95)/T95)</f>
        <v>-2.1400185709580504E-3</v>
      </c>
      <c r="AA95" s="23">
        <f t="shared" si="88"/>
        <v>-3.3045685964699085E-3</v>
      </c>
      <c r="AB95" s="324">
        <v>9773821431.7099991</v>
      </c>
      <c r="AC95" s="324">
        <v>760.43200000000002</v>
      </c>
      <c r="AD95" s="23">
        <f t="shared" ref="AD95" si="97">((AB95-X95)/X95)</f>
        <v>3.25159474313498E-2</v>
      </c>
      <c r="AE95" s="23">
        <f t="shared" si="89"/>
        <v>3.0335630850777E-2</v>
      </c>
      <c r="AF95" s="324">
        <v>9738034171.7600002</v>
      </c>
      <c r="AG95" s="324">
        <v>756.95500000000004</v>
      </c>
      <c r="AH95" s="23">
        <f t="shared" ref="AH95" si="98">((AF95-AB95)/AB95)</f>
        <v>-3.6615422329991988E-3</v>
      </c>
      <c r="AI95" s="23">
        <f t="shared" si="90"/>
        <v>-4.5724009510383244E-3</v>
      </c>
      <c r="AJ95" s="24">
        <f t="shared" si="71"/>
        <v>1.4425455506172074E-3</v>
      </c>
      <c r="AK95" s="24">
        <f t="shared" si="72"/>
        <v>-1.0858721446372298E-4</v>
      </c>
      <c r="AL95" s="25">
        <f t="shared" si="73"/>
        <v>1.7086731716510827E-2</v>
      </c>
      <c r="AM95" s="25">
        <f t="shared" si="74"/>
        <v>9.1186018143885033E-3</v>
      </c>
      <c r="AN95" s="378">
        <f t="shared" si="75"/>
        <v>2.5590596334419118E-2</v>
      </c>
      <c r="AO95" s="379">
        <f t="shared" si="76"/>
        <v>2.629779341534301E-2</v>
      </c>
      <c r="AP95" s="30"/>
      <c r="AQ95" s="28">
        <v>1066913090.3099999</v>
      </c>
      <c r="AR95" s="32">
        <v>1.1691</v>
      </c>
      <c r="AS95" s="29" t="e">
        <f>(#REF!/AQ95)-1</f>
        <v>#REF!</v>
      </c>
      <c r="AT95" s="29" t="e">
        <f>(#REF!/AR95)-1</f>
        <v>#REF!</v>
      </c>
    </row>
    <row r="96" spans="1:46" s="300" customFormat="1">
      <c r="A96" s="211" t="s">
        <v>245</v>
      </c>
      <c r="B96" s="324">
        <f>2603833.82*759.9</f>
        <v>1978653319.8179998</v>
      </c>
      <c r="C96" s="324">
        <f>102.02*759.9</f>
        <v>77524.997999999992</v>
      </c>
      <c r="D96" s="324">
        <f>2689935.68*750.62</f>
        <v>2019119520.1216002</v>
      </c>
      <c r="E96" s="324">
        <f>102.18*750.62</f>
        <v>76698.351600000009</v>
      </c>
      <c r="F96" s="23">
        <f t="shared" si="91"/>
        <v>2.0451384736423897E-2</v>
      </c>
      <c r="G96" s="23">
        <f t="shared" si="83"/>
        <v>-1.0662965770085971E-2</v>
      </c>
      <c r="H96" s="324">
        <f>2744984.3*747.45</f>
        <v>2051738515.0350001</v>
      </c>
      <c r="I96" s="324">
        <f>102.4*747.45</f>
        <v>76538.880000000005</v>
      </c>
      <c r="J96" s="23">
        <f>((H96-D96)/D96)</f>
        <v>1.6155058969186467E-2</v>
      </c>
      <c r="K96" s="23">
        <f t="shared" si="84"/>
        <v>-2.0792050503469278E-3</v>
      </c>
      <c r="L96" s="324">
        <f>3788947.42*744.64</f>
        <v>2821401806.8287997</v>
      </c>
      <c r="M96" s="324">
        <f>102.61*744.64</f>
        <v>76407.510399999999</v>
      </c>
      <c r="N96" s="23">
        <f>((L96-H96)/H96)</f>
        <v>0.3751273791244642</v>
      </c>
      <c r="O96" s="23">
        <f t="shared" si="85"/>
        <v>-1.7163773496555665E-3</v>
      </c>
      <c r="P96" s="324">
        <f>3836032.9*774.896</f>
        <v>2972526550.0783997</v>
      </c>
      <c r="Q96" s="324">
        <f>102.78*774.896</f>
        <v>79643.81087999999</v>
      </c>
      <c r="R96" s="23">
        <f>((P96-L96)/L96)</f>
        <v>5.3563708254465596E-2</v>
      </c>
      <c r="S96" s="23">
        <f t="shared" si="86"/>
        <v>4.2355790197294414E-2</v>
      </c>
      <c r="T96" s="324">
        <f>4348579.22*740.99</f>
        <v>3222253716.2277999</v>
      </c>
      <c r="U96" s="324">
        <f>102.53*740.99</f>
        <v>75973.704700000002</v>
      </c>
      <c r="V96" s="23">
        <f>((T96-P96)/P96)</f>
        <v>8.401175294559228E-2</v>
      </c>
      <c r="W96" s="23">
        <f t="shared" si="87"/>
        <v>-4.6081498856574914E-2</v>
      </c>
      <c r="X96" s="324">
        <f>4557166.95*738.543</f>
        <v>3365663750.75385</v>
      </c>
      <c r="Y96" s="324">
        <f>102.99*738.543</f>
        <v>76062.543569999994</v>
      </c>
      <c r="Z96" s="23">
        <f>((X96-T96)/T96)</f>
        <v>4.4506127436152391E-2</v>
      </c>
      <c r="AA96" s="23">
        <f t="shared" si="88"/>
        <v>1.1693370798593202E-3</v>
      </c>
      <c r="AB96" s="324">
        <f>4639858.51*760.932</f>
        <v>3530616815.7313199</v>
      </c>
      <c r="AC96" s="324">
        <f>103.19*760.932</f>
        <v>78520.573080000002</v>
      </c>
      <c r="AD96" s="23">
        <f>((AB96-X96)/X96)</f>
        <v>4.9010559935027176E-2</v>
      </c>
      <c r="AE96" s="23">
        <f t="shared" si="89"/>
        <v>3.2315899451060226E-2</v>
      </c>
      <c r="AF96" s="324">
        <f>4699136.22*757.455</f>
        <v>3559384225.5201001</v>
      </c>
      <c r="AG96" s="324">
        <f>103.38*757.455</f>
        <v>78305.697899999999</v>
      </c>
      <c r="AH96" s="23">
        <f>((AF96-AB96)/AB96)</f>
        <v>8.1479841314417555E-3</v>
      </c>
      <c r="AI96" s="23">
        <f t="shared" si="90"/>
        <v>-2.7365462524207387E-3</v>
      </c>
      <c r="AJ96" s="24">
        <f t="shared" si="71"/>
        <v>8.1371744441594229E-2</v>
      </c>
      <c r="AK96" s="24">
        <f t="shared" si="72"/>
        <v>1.5705541811412303E-3</v>
      </c>
      <c r="AL96" s="25">
        <f t="shared" si="73"/>
        <v>0.76283978736718794</v>
      </c>
      <c r="AM96" s="25">
        <f t="shared" si="74"/>
        <v>2.0956725489782103E-2</v>
      </c>
      <c r="AN96" s="378">
        <f t="shared" si="75"/>
        <v>0.12118767899057262</v>
      </c>
      <c r="AO96" s="379">
        <f t="shared" si="76"/>
        <v>3.0100699046194924E-2</v>
      </c>
      <c r="AP96" s="30"/>
      <c r="AQ96" s="28"/>
      <c r="AR96" s="32"/>
      <c r="AS96" s="29"/>
      <c r="AT96" s="29"/>
    </row>
    <row r="97" spans="1:46" s="300" customFormat="1">
      <c r="A97" s="211" t="s">
        <v>127</v>
      </c>
      <c r="B97" s="324">
        <f>1734223.34*759.9</f>
        <v>1317836316.066</v>
      </c>
      <c r="C97" s="324">
        <f>131.86*759.9</f>
        <v>100200.414</v>
      </c>
      <c r="D97" s="324">
        <f>1731751.7*750.62</f>
        <v>1299887461.0539999</v>
      </c>
      <c r="E97" s="324">
        <f>131.72*750.62</f>
        <v>98871.666400000002</v>
      </c>
      <c r="F97" s="23">
        <f>((D110-B97)/B97)</f>
        <v>9.0815372790383915</v>
      </c>
      <c r="G97" s="23">
        <f t="shared" si="83"/>
        <v>-1.3260899301274368E-2</v>
      </c>
      <c r="H97" s="324">
        <f>1732813.68*747.45</f>
        <v>1295191585.1159999</v>
      </c>
      <c r="I97" s="324">
        <f>131.79*747.45</f>
        <v>98506.435500000007</v>
      </c>
      <c r="J97" s="23">
        <f>((H110-D97)/D97)</f>
        <v>9.4535413078313475</v>
      </c>
      <c r="K97" s="23">
        <f t="shared" si="84"/>
        <v>-3.6939895249909027E-3</v>
      </c>
      <c r="L97" s="324">
        <f>1734765.2*744.64</f>
        <v>1291775558.5279999</v>
      </c>
      <c r="M97" s="324">
        <f>131.98*744.64</f>
        <v>98277.587199999994</v>
      </c>
      <c r="N97" s="23">
        <f>((L110-H97)/H97)</f>
        <v>9.6592168158763414</v>
      </c>
      <c r="O97" s="23">
        <f t="shared" si="85"/>
        <v>-2.3231812098206757E-3</v>
      </c>
      <c r="P97" s="324">
        <f>1723746.93*774.896</f>
        <v>1335724601.0692799</v>
      </c>
      <c r="Q97" s="324">
        <f>131.21*774.896</f>
        <v>101674.10416</v>
      </c>
      <c r="R97" s="23">
        <f>((P110-L97)/L97)</f>
        <v>10.170062564507981</v>
      </c>
      <c r="S97" s="23">
        <f t="shared" si="86"/>
        <v>3.4560443095615685E-2</v>
      </c>
      <c r="T97" s="324">
        <f>1725693.27*740.99</f>
        <v>1278721456.1373</v>
      </c>
      <c r="U97" s="324">
        <f>131.39*740.99</f>
        <v>97358.676099999997</v>
      </c>
      <c r="V97" s="23">
        <f>((T110-P97)/P97)</f>
        <v>10.302725458312455</v>
      </c>
      <c r="W97" s="23">
        <f t="shared" si="87"/>
        <v>-4.2443728377572022E-2</v>
      </c>
      <c r="X97" s="324">
        <f>1779291.05*738.543</f>
        <v>1314082949.94015</v>
      </c>
      <c r="Y97" s="324">
        <f>132.22*738.543</f>
        <v>97650.155459999994</v>
      </c>
      <c r="Z97" s="23">
        <f>((X110-T97)/T97)</f>
        <v>11.405704344220135</v>
      </c>
      <c r="AA97" s="23">
        <f t="shared" si="88"/>
        <v>2.9938714419309731E-3</v>
      </c>
      <c r="AB97" s="324">
        <f>1781221.12*760.932</f>
        <v>1355388149.2838402</v>
      </c>
      <c r="AC97" s="324">
        <f>134.65*760.932</f>
        <v>102459.49380000001</v>
      </c>
      <c r="AD97" s="23">
        <f>((AB110-X97)/X97)</f>
        <v>11.675915967191154</v>
      </c>
      <c r="AE97" s="23">
        <f t="shared" si="89"/>
        <v>4.9250698243589019E-2</v>
      </c>
      <c r="AF97" s="324">
        <f>1756054.61*757.455</f>
        <v>1330132344.6175501</v>
      </c>
      <c r="AG97" s="324">
        <f>132.84*757.455</f>
        <v>100620.32220000001</v>
      </c>
      <c r="AH97" s="23">
        <f>((AF110-AB97)/AB97)</f>
        <v>11.817048287679846</v>
      </c>
      <c r="AI97" s="23">
        <f t="shared" si="90"/>
        <v>-1.7950231177113245E-2</v>
      </c>
      <c r="AJ97" s="24">
        <f t="shared" si="71"/>
        <v>10.445719003082207</v>
      </c>
      <c r="AK97" s="24">
        <f t="shared" si="72"/>
        <v>8.9162289879555828E-4</v>
      </c>
      <c r="AL97" s="25">
        <f t="shared" si="73"/>
        <v>2.3267309263085352E-2</v>
      </c>
      <c r="AM97" s="25">
        <f t="shared" si="74"/>
        <v>1.7686116393806503E-2</v>
      </c>
      <c r="AN97" s="378">
        <f t="shared" si="75"/>
        <v>1.0607226717208931</v>
      </c>
      <c r="AO97" s="379">
        <f t="shared" si="76"/>
        <v>4.1302434711013847</v>
      </c>
      <c r="AP97" s="30"/>
      <c r="AQ97" s="28"/>
      <c r="AR97" s="32"/>
      <c r="AS97" s="29"/>
      <c r="AT97" s="29"/>
    </row>
    <row r="98" spans="1:46" s="365" customFormat="1">
      <c r="A98" s="211" t="s">
        <v>164</v>
      </c>
      <c r="B98" s="324">
        <v>116755317214.14</v>
      </c>
      <c r="C98" s="324">
        <v>94269.04</v>
      </c>
      <c r="D98" s="324">
        <v>111790450090.59</v>
      </c>
      <c r="E98" s="324">
        <v>90390.23</v>
      </c>
      <c r="F98" s="23">
        <f>((D110-B98)/B98)</f>
        <v>-0.8862080437525377</v>
      </c>
      <c r="G98" s="23">
        <f t="shared" si="83"/>
        <v>-4.1146170577317835E-2</v>
      </c>
      <c r="H98" s="324">
        <v>111494552646.32001</v>
      </c>
      <c r="I98" s="324">
        <v>90183.08</v>
      </c>
      <c r="J98" s="23">
        <f>((H110-D98)/D98)</f>
        <v>-0.87844733375124129</v>
      </c>
      <c r="K98" s="23">
        <f t="shared" ref="K98" si="99">((I98-E98)/E98)</f>
        <v>-2.2917299801095115E-3</v>
      </c>
      <c r="L98" s="324">
        <v>111452274354.82001</v>
      </c>
      <c r="M98" s="324">
        <v>90144.75</v>
      </c>
      <c r="N98" s="23">
        <f>((L110-H98)/H98)</f>
        <v>-0.87617576288552712</v>
      </c>
      <c r="O98" s="23">
        <f t="shared" si="85"/>
        <v>-4.2502429502298816E-4</v>
      </c>
      <c r="P98" s="324">
        <v>116727902388.87</v>
      </c>
      <c r="Q98" s="324">
        <v>90144.75</v>
      </c>
      <c r="R98" s="23">
        <f>((P110-L98)/L98)</f>
        <v>-0.87053459526430943</v>
      </c>
      <c r="S98" s="23">
        <f t="shared" si="86"/>
        <v>0</v>
      </c>
      <c r="T98" s="324">
        <v>110827393791.22</v>
      </c>
      <c r="U98" s="324">
        <v>90436.160000000003</v>
      </c>
      <c r="V98" s="23">
        <f>((T110-P98)/P98)</f>
        <v>-0.87066221404797961</v>
      </c>
      <c r="W98" s="23">
        <f t="shared" si="87"/>
        <v>3.2326896463743425E-3</v>
      </c>
      <c r="X98" s="324">
        <v>110218283559.72</v>
      </c>
      <c r="Y98" s="324">
        <v>90069.69</v>
      </c>
      <c r="Z98" s="23">
        <f>((X110-T98)/T98)</f>
        <v>-0.8568635444650623</v>
      </c>
      <c r="AA98" s="23">
        <f t="shared" si="88"/>
        <v>-4.0522507811035008E-3</v>
      </c>
      <c r="AB98" s="324">
        <v>113125834664.67</v>
      </c>
      <c r="AC98" s="324">
        <v>92646.01</v>
      </c>
      <c r="AD98" s="23">
        <f>((AB110-X98)/X98)</f>
        <v>-0.84887076345791068</v>
      </c>
      <c r="AE98" s="23">
        <f t="shared" si="89"/>
        <v>2.8603629034362085E-2</v>
      </c>
      <c r="AF98" s="324">
        <v>110093204550.44</v>
      </c>
      <c r="AG98" s="324">
        <v>91620.27</v>
      </c>
      <c r="AH98" s="23">
        <f>((AF110-AB98)/AB98)</f>
        <v>-0.84643582600371814</v>
      </c>
      <c r="AI98" s="23">
        <f t="shared" si="90"/>
        <v>-1.107160470267409E-2</v>
      </c>
      <c r="AJ98" s="24">
        <f t="shared" si="71"/>
        <v>-0.86677476045353574</v>
      </c>
      <c r="AK98" s="24">
        <f t="shared" si="72"/>
        <v>-3.3938077069364378E-3</v>
      </c>
      <c r="AL98" s="25">
        <f t="shared" si="73"/>
        <v>-1.5182383994112394E-2</v>
      </c>
      <c r="AM98" s="25">
        <f t="shared" si="74"/>
        <v>1.3608107867410098E-2</v>
      </c>
      <c r="AN98" s="378">
        <f t="shared" si="75"/>
        <v>1.4461705750472002E-2</v>
      </c>
      <c r="AO98" s="379">
        <f t="shared" si="76"/>
        <v>0.29764221059267232</v>
      </c>
      <c r="AP98" s="30"/>
      <c r="AQ98" s="28"/>
      <c r="AR98" s="32"/>
      <c r="AS98" s="29"/>
      <c r="AT98" s="29"/>
    </row>
    <row r="99" spans="1:46">
      <c r="A99" s="211" t="s">
        <v>271</v>
      </c>
      <c r="B99" s="324">
        <v>0</v>
      </c>
      <c r="C99" s="324">
        <v>0</v>
      </c>
      <c r="D99" s="324">
        <v>0</v>
      </c>
      <c r="E99" s="324">
        <v>0</v>
      </c>
      <c r="F99" s="23" t="e">
        <f>((D111-B99)/B99)</f>
        <v>#DIV/0!</v>
      </c>
      <c r="G99" s="23" t="e">
        <f t="shared" si="83"/>
        <v>#DIV/0!</v>
      </c>
      <c r="H99" s="324">
        <v>0</v>
      </c>
      <c r="I99" s="324">
        <v>0</v>
      </c>
      <c r="J99" s="23" t="e">
        <f>((H111-D99)/D99)</f>
        <v>#DIV/0!</v>
      </c>
      <c r="K99" s="23" t="e">
        <f t="shared" si="84"/>
        <v>#DIV/0!</v>
      </c>
      <c r="L99" s="324">
        <f>142505.63*744.64</f>
        <v>106115392.3232</v>
      </c>
      <c r="M99" s="324">
        <f>99.91*744.64</f>
        <v>74396.982399999994</v>
      </c>
      <c r="N99" s="23" t="e">
        <f>((L111-H99)/H99)</f>
        <v>#DIV/0!</v>
      </c>
      <c r="O99" s="23" t="e">
        <f t="shared" si="85"/>
        <v>#DIV/0!</v>
      </c>
      <c r="P99" s="324">
        <f>160516.4*774.896</f>
        <v>124383516.29439999</v>
      </c>
      <c r="Q99" s="324">
        <f>100.8*774.896</f>
        <v>78109.516799999998</v>
      </c>
      <c r="R99" s="23">
        <f>((P111-L99)/L99)</f>
        <v>5511.1192744817608</v>
      </c>
      <c r="S99" s="23">
        <f t="shared" si="86"/>
        <v>4.9901679883188443E-2</v>
      </c>
      <c r="T99" s="324">
        <f>160516.4*740.99</f>
        <v>118941047.236</v>
      </c>
      <c r="U99" s="324">
        <f>100.86*740.99</f>
        <v>74736.251399999994</v>
      </c>
      <c r="V99" s="23">
        <f>((T111-P99)/P99)</f>
        <v>4511.8548151620907</v>
      </c>
      <c r="W99" s="23">
        <f t="shared" si="87"/>
        <v>-4.3186356006237693E-2</v>
      </c>
      <c r="X99" s="324">
        <f>199586.3*738.543</f>
        <v>147403064.76089999</v>
      </c>
      <c r="Y99" s="324">
        <f>100.93*738.543</f>
        <v>74541.144990000001</v>
      </c>
      <c r="Z99" s="23">
        <f>((X111-T99)/T99)</f>
        <v>4661.4842367587989</v>
      </c>
      <c r="AA99" s="23">
        <f t="shared" si="88"/>
        <v>-2.6105993590145875E-3</v>
      </c>
      <c r="AB99" s="324">
        <f>234593.54*760.932</f>
        <v>178509731.57928002</v>
      </c>
      <c r="AC99" s="324">
        <f>101*760.932</f>
        <v>76854.131999999998</v>
      </c>
      <c r="AD99" s="23">
        <f>((AB111-X99)/X99)</f>
        <v>3928.6524953877115</v>
      </c>
      <c r="AE99" s="23">
        <f t="shared" si="89"/>
        <v>3.1029668383954843E-2</v>
      </c>
      <c r="AF99" s="324">
        <f>264586.72*757.455</f>
        <v>200412533.99759999</v>
      </c>
      <c r="AG99" s="324">
        <f>101.05*757.455</f>
        <v>76540.827749999997</v>
      </c>
      <c r="AH99" s="23">
        <f>((AF111-AB99)/AB99)</f>
        <v>3211.2181373353815</v>
      </c>
      <c r="AI99" s="23">
        <f t="shared" si="90"/>
        <v>-4.0766090494653044E-3</v>
      </c>
      <c r="AJ99" s="24" t="e">
        <f t="shared" si="71"/>
        <v>#DIV/0!</v>
      </c>
      <c r="AK99" s="24"/>
      <c r="AL99" s="25" t="e">
        <f t="shared" si="73"/>
        <v>#DIV/0!</v>
      </c>
      <c r="AM99" s="25"/>
      <c r="AN99" s="378" t="e">
        <f t="shared" si="75"/>
        <v>#DIV/0!</v>
      </c>
      <c r="AO99" s="379"/>
      <c r="AP99" s="30"/>
      <c r="AQ99" s="28">
        <v>4173976375.3699999</v>
      </c>
      <c r="AR99" s="32">
        <v>299.53579999999999</v>
      </c>
      <c r="AS99" s="29" t="e">
        <f>(#REF!/AQ99)-1</f>
        <v>#REF!</v>
      </c>
      <c r="AT99" s="29" t="e">
        <f>(#REF!/AR99)-1</f>
        <v>#REF!</v>
      </c>
    </row>
    <row r="100" spans="1:46" ht="6.75" customHeight="1">
      <c r="A100" s="202"/>
      <c r="B100" s="85"/>
      <c r="C100" s="85"/>
      <c r="D100" s="85"/>
      <c r="E100" s="85"/>
      <c r="F100" s="23"/>
      <c r="G100" s="23"/>
      <c r="H100" s="85"/>
      <c r="I100" s="85"/>
      <c r="J100" s="23"/>
      <c r="K100" s="23"/>
      <c r="L100" s="85"/>
      <c r="M100" s="85"/>
      <c r="N100" s="23"/>
      <c r="O100" s="23"/>
      <c r="P100" s="85"/>
      <c r="Q100" s="85"/>
      <c r="R100" s="23"/>
      <c r="S100" s="23"/>
      <c r="T100" s="85"/>
      <c r="U100" s="85"/>
      <c r="V100" s="23"/>
      <c r="W100" s="23"/>
      <c r="X100" s="85"/>
      <c r="Y100" s="85"/>
      <c r="Z100" s="23"/>
      <c r="AA100" s="23"/>
      <c r="AB100" s="85"/>
      <c r="AC100" s="85"/>
      <c r="AD100" s="23"/>
      <c r="AE100" s="23"/>
      <c r="AF100" s="85"/>
      <c r="AG100" s="85"/>
      <c r="AH100" s="23"/>
      <c r="AI100" s="23"/>
      <c r="AJ100" s="24"/>
      <c r="AK100" s="24"/>
      <c r="AL100" s="25"/>
      <c r="AM100" s="25"/>
      <c r="AN100" s="378"/>
      <c r="AO100" s="379"/>
      <c r="AP100" s="30"/>
      <c r="AQ100" s="50">
        <v>4131236617.7600002</v>
      </c>
      <c r="AR100" s="48">
        <v>103.24</v>
      </c>
      <c r="AS100" s="29" t="e">
        <f>(#REF!/AQ100)-1</f>
        <v>#REF!</v>
      </c>
      <c r="AT100" s="29" t="e">
        <f>(#REF!/AR100)-1</f>
        <v>#REF!</v>
      </c>
    </row>
    <row r="101" spans="1:46">
      <c r="A101" s="198" t="s">
        <v>195</v>
      </c>
      <c r="B101" s="85"/>
      <c r="C101" s="85"/>
      <c r="D101" s="85"/>
      <c r="E101" s="85"/>
      <c r="F101" s="23"/>
      <c r="G101" s="23"/>
      <c r="H101" s="85"/>
      <c r="I101" s="85"/>
      <c r="J101" s="23"/>
      <c r="K101" s="23"/>
      <c r="L101" s="85"/>
      <c r="M101" s="85"/>
      <c r="N101" s="23"/>
      <c r="O101" s="23"/>
      <c r="P101" s="85"/>
      <c r="Q101" s="85"/>
      <c r="R101" s="23"/>
      <c r="S101" s="23"/>
      <c r="T101" s="85"/>
      <c r="U101" s="85"/>
      <c r="V101" s="23"/>
      <c r="W101" s="23"/>
      <c r="X101" s="85"/>
      <c r="Y101" s="85"/>
      <c r="Z101" s="23"/>
      <c r="AA101" s="23"/>
      <c r="AB101" s="85"/>
      <c r="AC101" s="85"/>
      <c r="AD101" s="23"/>
      <c r="AE101" s="23"/>
      <c r="AF101" s="85"/>
      <c r="AG101" s="85"/>
      <c r="AH101" s="23"/>
      <c r="AI101" s="23"/>
      <c r="AJ101" s="24"/>
      <c r="AK101" s="24"/>
      <c r="AL101" s="25"/>
      <c r="AM101" s="25"/>
      <c r="AN101" s="378"/>
      <c r="AO101" s="379"/>
      <c r="AP101" s="30"/>
      <c r="AQ101" s="45">
        <v>2931134847.0043802</v>
      </c>
      <c r="AR101" s="49">
        <v>2254.1853324818899</v>
      </c>
      <c r="AS101" s="29" t="e">
        <f>(#REF!/AQ101)-1</f>
        <v>#REF!</v>
      </c>
      <c r="AT101" s="29" t="e">
        <f>(#REF!/AR101)-1</f>
        <v>#REF!</v>
      </c>
    </row>
    <row r="102" spans="1:46">
      <c r="A102" s="200" t="s">
        <v>147</v>
      </c>
      <c r="B102" s="323">
        <v>688560395.04999995</v>
      </c>
      <c r="C102" s="324">
        <v>76580.98</v>
      </c>
      <c r="D102" s="323">
        <v>688495589.79999995</v>
      </c>
      <c r="E102" s="324">
        <v>76576.89</v>
      </c>
      <c r="F102" s="23">
        <f t="shared" ref="F102:F110" si="100">((D102-B102)/B102)</f>
        <v>-9.4117016409713995E-5</v>
      </c>
      <c r="G102" s="23">
        <f t="shared" ref="G102:G110" si="101">((E102-C102)/C102)</f>
        <v>-5.3407517114517309E-5</v>
      </c>
      <c r="H102" s="323">
        <v>681789226.86000001</v>
      </c>
      <c r="I102" s="324">
        <v>75832.69</v>
      </c>
      <c r="J102" s="23">
        <f t="shared" ref="J102:J109" si="102">((H102-D102)/D102)</f>
        <v>-9.7406040639244455E-3</v>
      </c>
      <c r="K102" s="23">
        <f t="shared" ref="K102:K109" si="103">((I102-E102)/E102)</f>
        <v>-9.7183366940077759E-3</v>
      </c>
      <c r="L102" s="323">
        <v>668012229.20000005</v>
      </c>
      <c r="M102" s="324">
        <v>74298.720000000001</v>
      </c>
      <c r="N102" s="23">
        <f t="shared" ref="N102:N109" si="104">((L102-H102)/H102)</f>
        <v>-2.0207121375986428E-2</v>
      </c>
      <c r="O102" s="23">
        <f t="shared" ref="O102:O109" si="105">((M102-I102)/I102)</f>
        <v>-2.0228347431694708E-2</v>
      </c>
      <c r="P102" s="323">
        <v>674352710.44000006</v>
      </c>
      <c r="Q102" s="324">
        <v>75004.95</v>
      </c>
      <c r="R102" s="23">
        <f t="shared" ref="R102:R109" si="106">((P102-L102)/L102)</f>
        <v>9.4915646193981518E-3</v>
      </c>
      <c r="S102" s="23">
        <f t="shared" ref="S102:S109" si="107">((Q102-M102)/M102)</f>
        <v>9.5052781528402637E-3</v>
      </c>
      <c r="T102" s="323">
        <v>672936206.42999995</v>
      </c>
      <c r="U102" s="324">
        <v>74596.75</v>
      </c>
      <c r="V102" s="23">
        <f t="shared" ref="V102:V109" si="108">((T102-P102)/P102)</f>
        <v>-2.1005387656496148E-3</v>
      </c>
      <c r="W102" s="23">
        <f t="shared" ref="W102:W109" si="109">((U102-Q102)/Q102)</f>
        <v>-5.4423074743733197E-3</v>
      </c>
      <c r="X102" s="323">
        <v>673096089.04999995</v>
      </c>
      <c r="Y102" s="324">
        <v>74611.89</v>
      </c>
      <c r="Z102" s="23">
        <f t="shared" ref="Z102:Z109" si="110">((X102-T102)/T102)</f>
        <v>2.3758956417013066E-4</v>
      </c>
      <c r="AA102" s="23">
        <f t="shared" ref="AA102:AA109" si="111">((Y102-U102)/U102)</f>
        <v>2.0295790366201501E-4</v>
      </c>
      <c r="AB102" s="323">
        <v>672734839.11000001</v>
      </c>
      <c r="AC102" s="324">
        <v>74574.039999999994</v>
      </c>
      <c r="AD102" s="23">
        <f t="shared" ref="AD102:AD109" si="112">((AB102-X102)/X102)</f>
        <v>-5.3669891398388896E-4</v>
      </c>
      <c r="AE102" s="23">
        <f t="shared" ref="AE102:AE109" si="113">((AC102-Y102)/Y102)</f>
        <v>-5.0729180027480638E-4</v>
      </c>
      <c r="AF102" s="323">
        <v>671692604.25</v>
      </c>
      <c r="AG102" s="324">
        <v>74051.7</v>
      </c>
      <c r="AH102" s="23">
        <f t="shared" ref="AH102:AH109" si="114">((AF102-AB102)/AB102)</f>
        <v>-1.5492506102089902E-3</v>
      </c>
      <c r="AI102" s="23">
        <f t="shared" ref="AI102:AI109" si="115">((AG102-AC102)/AC102)</f>
        <v>-7.0043141017973086E-3</v>
      </c>
      <c r="AJ102" s="24">
        <f t="shared" si="71"/>
        <v>-3.0623970703243493E-3</v>
      </c>
      <c r="AK102" s="24">
        <f t="shared" si="72"/>
        <v>-4.1557211203450198E-3</v>
      </c>
      <c r="AL102" s="25">
        <f t="shared" si="73"/>
        <v>-2.4405364099544961E-2</v>
      </c>
      <c r="AM102" s="25">
        <f t="shared" si="74"/>
        <v>-3.2975875619916169E-2</v>
      </c>
      <c r="AN102" s="378">
        <f t="shared" si="75"/>
        <v>8.6638535415403777E-3</v>
      </c>
      <c r="AO102" s="379">
        <f t="shared" si="76"/>
        <v>8.738984654109893E-3</v>
      </c>
      <c r="AP102" s="30"/>
      <c r="AQ102" s="51">
        <v>1131224777.76</v>
      </c>
      <c r="AR102" s="52">
        <v>0.6573</v>
      </c>
      <c r="AS102" s="29" t="e">
        <f>(#REF!/AQ102)-1</f>
        <v>#REF!</v>
      </c>
      <c r="AT102" s="29" t="e">
        <f>(#REF!/AR102)-1</f>
        <v>#REF!</v>
      </c>
    </row>
    <row r="103" spans="1:46">
      <c r="A103" s="200" t="s">
        <v>225</v>
      </c>
      <c r="B103" s="324">
        <f>6264714.35*759.9</f>
        <v>4760556434.5649996</v>
      </c>
      <c r="C103" s="323">
        <f>127.97*759.9</f>
        <v>97244.402999999991</v>
      </c>
      <c r="D103" s="324">
        <f>6089963.97*750.62</f>
        <v>4571248755.1613998</v>
      </c>
      <c r="E103" s="323">
        <f>128.06*750.62</f>
        <v>96124.397200000007</v>
      </c>
      <c r="F103" s="23">
        <f t="shared" si="100"/>
        <v>-3.9765872331455288E-2</v>
      </c>
      <c r="G103" s="23">
        <f t="shared" si="101"/>
        <v>-1.1517432010971208E-2</v>
      </c>
      <c r="H103" s="324">
        <f>6386795.13*747.45</f>
        <v>4773810019.9184999</v>
      </c>
      <c r="I103" s="323">
        <f>128.14*747.45</f>
        <v>95778.243000000002</v>
      </c>
      <c r="J103" s="23">
        <f t="shared" si="102"/>
        <v>4.4312019670421143E-2</v>
      </c>
      <c r="K103" s="23">
        <f t="shared" si="103"/>
        <v>-3.6011065877457017E-3</v>
      </c>
      <c r="L103" s="324">
        <f>6227839.81*744.64</f>
        <v>4637498636.1183996</v>
      </c>
      <c r="M103" s="323">
        <f>128.26*744.64</f>
        <v>95507.526399999988</v>
      </c>
      <c r="N103" s="23">
        <f t="shared" si="104"/>
        <v>-2.8554002616641094E-2</v>
      </c>
      <c r="O103" s="23">
        <f t="shared" si="105"/>
        <v>-2.8264936954420254E-3</v>
      </c>
      <c r="P103" s="324">
        <f>6350953.74*774.896</f>
        <v>4921328649.3110399</v>
      </c>
      <c r="Q103" s="323">
        <f>128.37*774.896</f>
        <v>99473.399519999992</v>
      </c>
      <c r="R103" s="23">
        <f t="shared" si="106"/>
        <v>6.1203255345904942E-2</v>
      </c>
      <c r="S103" s="23">
        <f t="shared" si="107"/>
        <v>4.1524194683781532E-2</v>
      </c>
      <c r="T103" s="324">
        <f>6398890.84*740.99</f>
        <v>4741514123.5316</v>
      </c>
      <c r="U103" s="323">
        <f>128.46*740.99</f>
        <v>95187.575400000002</v>
      </c>
      <c r="V103" s="23">
        <f t="shared" si="108"/>
        <v>-3.6537800783658904E-2</v>
      </c>
      <c r="W103" s="23">
        <f t="shared" si="109"/>
        <v>-4.3085127689219953E-2</v>
      </c>
      <c r="X103" s="324">
        <f>6391499.36 *738.543</f>
        <v>4720397111.8324804</v>
      </c>
      <c r="Y103" s="323">
        <f>128.61*738.543</f>
        <v>94984.015230000005</v>
      </c>
      <c r="Z103" s="23">
        <f t="shared" si="110"/>
        <v>-4.4536431082885988E-3</v>
      </c>
      <c r="AA103" s="23">
        <f t="shared" si="111"/>
        <v>-2.1385161786566212E-3</v>
      </c>
      <c r="AB103" s="324">
        <f>6230681.97 *760.932</f>
        <v>4741125292.7960396</v>
      </c>
      <c r="AC103" s="323">
        <f>128.68*760.932</f>
        <v>97916.729760000002</v>
      </c>
      <c r="AD103" s="23">
        <f t="shared" si="112"/>
        <v>4.3911943153258082E-3</v>
      </c>
      <c r="AE103" s="23">
        <f t="shared" si="113"/>
        <v>3.0875874460545242E-2</v>
      </c>
      <c r="AF103" s="324">
        <f>6406582.48*757.455</f>
        <v>4852697932.388401</v>
      </c>
      <c r="AG103" s="323">
        <f>128.8*757.455</f>
        <v>97560.204000000012</v>
      </c>
      <c r="AH103" s="23">
        <f t="shared" si="114"/>
        <v>2.3532944755096822E-2</v>
      </c>
      <c r="AI103" s="23">
        <f t="shared" si="115"/>
        <v>-3.6411117985032421E-3</v>
      </c>
      <c r="AJ103" s="24">
        <f t="shared" si="71"/>
        <v>3.016011905838104E-3</v>
      </c>
      <c r="AK103" s="24">
        <f t="shared" si="72"/>
        <v>6.9878514797350275E-4</v>
      </c>
      <c r="AL103" s="25">
        <f t="shared" si="73"/>
        <v>6.1569429340115597E-2</v>
      </c>
      <c r="AM103" s="25">
        <f t="shared" si="74"/>
        <v>1.4936965451264288E-2</v>
      </c>
      <c r="AN103" s="378">
        <f t="shared" si="75"/>
        <v>3.7723063231160751E-2</v>
      </c>
      <c r="AO103" s="379">
        <f t="shared" si="76"/>
        <v>2.304262135733505E-2</v>
      </c>
      <c r="AP103" s="30"/>
      <c r="AQ103" s="28">
        <v>318569106.36000001</v>
      </c>
      <c r="AR103" s="35">
        <v>123.8</v>
      </c>
      <c r="AS103" s="29" t="e">
        <f>(#REF!/AQ103)-1</f>
        <v>#REF!</v>
      </c>
      <c r="AT103" s="29" t="e">
        <f>(#REF!/AR103)-1</f>
        <v>#REF!</v>
      </c>
    </row>
    <row r="104" spans="1:46">
      <c r="A104" s="200" t="s">
        <v>141</v>
      </c>
      <c r="B104" s="323">
        <v>8002952093.6800003</v>
      </c>
      <c r="C104" s="323">
        <v>86382.95</v>
      </c>
      <c r="D104" s="323">
        <v>8129253672.9700003</v>
      </c>
      <c r="E104" s="323">
        <v>87371.78</v>
      </c>
      <c r="F104" s="23">
        <f t="shared" si="100"/>
        <v>1.5781873715043401E-2</v>
      </c>
      <c r="G104" s="23">
        <f t="shared" si="101"/>
        <v>1.1447050604314876E-2</v>
      </c>
      <c r="H104" s="323">
        <v>8491652781.9700003</v>
      </c>
      <c r="I104" s="323">
        <v>88010.14</v>
      </c>
      <c r="J104" s="23">
        <f t="shared" si="102"/>
        <v>4.4579628534042105E-2</v>
      </c>
      <c r="K104" s="23">
        <f t="shared" si="103"/>
        <v>7.3062492260086796E-3</v>
      </c>
      <c r="L104" s="323">
        <v>8017841578.04</v>
      </c>
      <c r="M104" s="323">
        <v>83388.28</v>
      </c>
      <c r="N104" s="23">
        <f t="shared" si="104"/>
        <v>-5.579728894898122E-2</v>
      </c>
      <c r="O104" s="23">
        <f t="shared" si="105"/>
        <v>-5.2515085193592471E-2</v>
      </c>
      <c r="P104" s="323">
        <v>8364212902.8299999</v>
      </c>
      <c r="Q104" s="323">
        <v>87116.08</v>
      </c>
      <c r="R104" s="23">
        <f t="shared" si="106"/>
        <v>4.3200070919170254E-2</v>
      </c>
      <c r="S104" s="23">
        <f t="shared" si="107"/>
        <v>4.4704123888872668E-2</v>
      </c>
      <c r="T104" s="323">
        <v>8255659546.5699997</v>
      </c>
      <c r="U104" s="323">
        <v>86193.86</v>
      </c>
      <c r="V104" s="23">
        <f t="shared" si="108"/>
        <v>-1.2978310992451138E-2</v>
      </c>
      <c r="W104" s="23">
        <f t="shared" si="109"/>
        <v>-1.0586105343582966E-2</v>
      </c>
      <c r="X104" s="323">
        <v>7955322496.5299997</v>
      </c>
      <c r="Y104" s="323">
        <v>83333.820000000007</v>
      </c>
      <c r="Z104" s="23">
        <f t="shared" si="110"/>
        <v>-3.6379534348019688E-2</v>
      </c>
      <c r="AA104" s="23">
        <f t="shared" si="111"/>
        <v>-3.3181481836409156E-2</v>
      </c>
      <c r="AB104" s="323">
        <v>8458101147.6000004</v>
      </c>
      <c r="AC104" s="323">
        <v>88342.8</v>
      </c>
      <c r="AD104" s="23">
        <f t="shared" si="112"/>
        <v>6.3200285254218877E-2</v>
      </c>
      <c r="AE104" s="23">
        <f t="shared" si="113"/>
        <v>6.0107408972731542E-2</v>
      </c>
      <c r="AF104" s="323">
        <v>7995860549.8199997</v>
      </c>
      <c r="AG104" s="323">
        <v>83711.34</v>
      </c>
      <c r="AH104" s="23">
        <f t="shared" si="114"/>
        <v>-5.4650634901802067E-2</v>
      </c>
      <c r="AI104" s="23">
        <f t="shared" si="115"/>
        <v>-5.2426004156535748E-2</v>
      </c>
      <c r="AJ104" s="24">
        <f t="shared" si="71"/>
        <v>8.6951115390256593E-4</v>
      </c>
      <c r="AK104" s="24">
        <f t="shared" si="72"/>
        <v>-3.1429804797740721E-3</v>
      </c>
      <c r="AL104" s="25">
        <f t="shared" si="73"/>
        <v>-1.640902455701887E-2</v>
      </c>
      <c r="AM104" s="25">
        <f t="shared" si="74"/>
        <v>-4.1894991723872427E-2</v>
      </c>
      <c r="AN104" s="378">
        <f t="shared" si="75"/>
        <v>4.7332895582360257E-2</v>
      </c>
      <c r="AO104" s="379">
        <f t="shared" si="76"/>
        <v>4.2821501267837764E-2</v>
      </c>
      <c r="AP104" s="30"/>
      <c r="AQ104" s="28">
        <v>1812522091.8199999</v>
      </c>
      <c r="AR104" s="32">
        <v>1.6227</v>
      </c>
      <c r="AS104" s="29" t="e">
        <f>(#REF!/AQ104)-1</f>
        <v>#REF!</v>
      </c>
      <c r="AT104" s="29" t="e">
        <f>(#REF!/AR104)-1</f>
        <v>#REF!</v>
      </c>
    </row>
    <row r="105" spans="1:46">
      <c r="A105" s="200" t="s">
        <v>152</v>
      </c>
      <c r="B105" s="323">
        <v>2747907346.4821548</v>
      </c>
      <c r="C105" s="323">
        <v>871.58520673566431</v>
      </c>
      <c r="D105" s="323">
        <v>2847060291.9544473</v>
      </c>
      <c r="E105" s="323">
        <v>906.73512641579941</v>
      </c>
      <c r="F105" s="23">
        <f t="shared" si="100"/>
        <v>3.6083074489111536E-2</v>
      </c>
      <c r="G105" s="23">
        <f t="shared" si="101"/>
        <v>4.0328724499331045E-2</v>
      </c>
      <c r="H105" s="323">
        <v>2866575892.1103539</v>
      </c>
      <c r="I105" s="323">
        <v>910.9718833818996</v>
      </c>
      <c r="J105" s="23">
        <f t="shared" si="102"/>
        <v>6.8546494119060709E-3</v>
      </c>
      <c r="K105" s="23">
        <f t="shared" si="103"/>
        <v>4.6725409027082825E-3</v>
      </c>
      <c r="L105" s="323">
        <v>2846604740.8251896</v>
      </c>
      <c r="M105" s="323">
        <v>902.22400876050983</v>
      </c>
      <c r="N105" s="23">
        <f t="shared" si="104"/>
        <v>-6.966901291583014E-3</v>
      </c>
      <c r="O105" s="23">
        <f t="shared" si="105"/>
        <v>-9.6027932156523728E-3</v>
      </c>
      <c r="P105" s="323">
        <v>2791742295.4366288</v>
      </c>
      <c r="Q105" s="323">
        <v>906.25317687242205</v>
      </c>
      <c r="R105" s="23">
        <f t="shared" si="106"/>
        <v>-1.9272941059128898E-2</v>
      </c>
      <c r="S105" s="23">
        <f t="shared" si="107"/>
        <v>4.4658178820219498E-3</v>
      </c>
      <c r="T105" s="323">
        <v>2800355950.5205216</v>
      </c>
      <c r="U105" s="323">
        <v>898.26591436851902</v>
      </c>
      <c r="V105" s="23">
        <f t="shared" si="108"/>
        <v>3.0854048018589216E-3</v>
      </c>
      <c r="W105" s="23">
        <f t="shared" si="109"/>
        <v>-8.8135001429379082E-3</v>
      </c>
      <c r="X105" s="323">
        <v>2793496709.4538999</v>
      </c>
      <c r="Y105" s="323">
        <v>907.47575420768203</v>
      </c>
      <c r="Z105" s="23">
        <f t="shared" si="110"/>
        <v>-2.4494175697010252E-3</v>
      </c>
      <c r="AA105" s="23">
        <f t="shared" si="111"/>
        <v>1.025291029286971E-2</v>
      </c>
      <c r="AB105" s="323">
        <v>2827593382.9012799</v>
      </c>
      <c r="AC105" s="323">
        <v>913.06060057854904</v>
      </c>
      <c r="AD105" s="23">
        <f t="shared" si="112"/>
        <v>1.2205732454234971E-2</v>
      </c>
      <c r="AE105" s="23">
        <f t="shared" si="113"/>
        <v>6.1542651084305249E-3</v>
      </c>
      <c r="AF105" s="323">
        <v>2775848924.9132667</v>
      </c>
      <c r="AG105" s="323">
        <v>896.35175334017492</v>
      </c>
      <c r="AH105" s="23">
        <f t="shared" si="114"/>
        <v>-1.8299822846140755E-2</v>
      </c>
      <c r="AI105" s="23">
        <f t="shared" si="115"/>
        <v>-1.8299822846136144E-2</v>
      </c>
      <c r="AJ105" s="24">
        <f t="shared" si="71"/>
        <v>1.4049722988197259E-3</v>
      </c>
      <c r="AK105" s="24">
        <f t="shared" si="72"/>
        <v>3.6447678100793878E-3</v>
      </c>
      <c r="AL105" s="25">
        <f t="shared" si="73"/>
        <v>-2.5012244118053258E-2</v>
      </c>
      <c r="AM105" s="25">
        <f t="shared" si="74"/>
        <v>-1.1451385055157784E-2</v>
      </c>
      <c r="AN105" s="378">
        <f t="shared" si="75"/>
        <v>1.793858437918994E-2</v>
      </c>
      <c r="AO105" s="379">
        <f t="shared" si="76"/>
        <v>1.801624117408536E-2</v>
      </c>
      <c r="AP105" s="30"/>
      <c r="AQ105" s="28"/>
      <c r="AR105" s="32"/>
      <c r="AS105" s="29"/>
      <c r="AT105" s="29"/>
    </row>
    <row r="106" spans="1:46" ht="16.5" customHeight="1">
      <c r="A106" s="200" t="s">
        <v>190</v>
      </c>
      <c r="B106" s="324">
        <v>7899646733.8199997</v>
      </c>
      <c r="C106" s="323">
        <f>0.9988*759.9</f>
        <v>758.98811999999998</v>
      </c>
      <c r="D106" s="324">
        <v>8087357844.3699999</v>
      </c>
      <c r="E106" s="323">
        <f>1.0005*750.62</f>
        <v>750.99531000000002</v>
      </c>
      <c r="F106" s="23">
        <f t="shared" si="100"/>
        <v>2.3761962638958349E-2</v>
      </c>
      <c r="G106" s="23">
        <f t="shared" si="101"/>
        <v>-1.0530876293557747E-2</v>
      </c>
      <c r="H106" s="324">
        <v>7949567517.1199999</v>
      </c>
      <c r="I106" s="323">
        <f>1.0005*747.45</f>
        <v>747.82372499999997</v>
      </c>
      <c r="J106" s="23">
        <f t="shared" si="102"/>
        <v>-1.7037743339862535E-2</v>
      </c>
      <c r="K106" s="23">
        <f t="shared" si="103"/>
        <v>-4.2231755082465829E-3</v>
      </c>
      <c r="L106" s="324">
        <v>7823928079.6199999</v>
      </c>
      <c r="M106" s="323">
        <f>1.004*744.64</f>
        <v>747.61856</v>
      </c>
      <c r="N106" s="23">
        <f t="shared" si="104"/>
        <v>-1.5804562604119769E-2</v>
      </c>
      <c r="O106" s="23">
        <f t="shared" si="105"/>
        <v>-2.7434941302506203E-4</v>
      </c>
      <c r="P106" s="324">
        <v>7877208560.4200001</v>
      </c>
      <c r="Q106" s="323">
        <f>1.0058*774.896</f>
        <v>779.39039679999996</v>
      </c>
      <c r="R106" s="23">
        <f t="shared" si="106"/>
        <v>6.8099400017219954E-3</v>
      </c>
      <c r="S106" s="23">
        <f t="shared" si="107"/>
        <v>4.2497389042882992E-2</v>
      </c>
      <c r="T106" s="324">
        <v>7909154771.3999996</v>
      </c>
      <c r="U106" s="323">
        <f>1.0073*740.99</f>
        <v>746.39922700000011</v>
      </c>
      <c r="V106" s="23">
        <f t="shared" si="108"/>
        <v>4.0555243313624059E-3</v>
      </c>
      <c r="W106" s="23">
        <f t="shared" si="109"/>
        <v>-4.2329453808327776E-2</v>
      </c>
      <c r="X106" s="324">
        <v>7914360940.9399996</v>
      </c>
      <c r="Y106" s="323">
        <f>1.009*738.543</f>
        <v>745.18988699999989</v>
      </c>
      <c r="Z106" s="23">
        <f t="shared" si="110"/>
        <v>6.5824600611253661E-4</v>
      </c>
      <c r="AA106" s="23">
        <f t="shared" si="111"/>
        <v>-1.6202321174164675E-3</v>
      </c>
      <c r="AB106" s="324">
        <v>7951502375.8199997</v>
      </c>
      <c r="AC106" s="323">
        <f>1.0109*760.932</f>
        <v>769.22615879999989</v>
      </c>
      <c r="AD106" s="23">
        <f t="shared" si="112"/>
        <v>4.6929164789379415E-3</v>
      </c>
      <c r="AE106" s="23">
        <f t="shared" si="113"/>
        <v>3.2255230806695061E-2</v>
      </c>
      <c r="AF106" s="324">
        <v>7977974730.4899998</v>
      </c>
      <c r="AG106" s="323">
        <f>1.0127*757.455</f>
        <v>767.0746785</v>
      </c>
      <c r="AH106" s="23">
        <f t="shared" si="114"/>
        <v>3.3292267824129415E-3</v>
      </c>
      <c r="AI106" s="23">
        <f t="shared" si="115"/>
        <v>-2.7969411536344769E-3</v>
      </c>
      <c r="AJ106" s="24">
        <f t="shared" si="71"/>
        <v>1.3081887869404831E-3</v>
      </c>
      <c r="AK106" s="24">
        <f t="shared" si="72"/>
        <v>1.6221989444212422E-3</v>
      </c>
      <c r="AL106" s="25">
        <f t="shared" si="73"/>
        <v>-1.352519772030948E-2</v>
      </c>
      <c r="AM106" s="25">
        <f t="shared" si="74"/>
        <v>2.1410744229547835E-2</v>
      </c>
      <c r="AN106" s="378">
        <f t="shared" si="75"/>
        <v>1.3023999642092181E-2</v>
      </c>
      <c r="AO106" s="379">
        <f t="shared" si="76"/>
        <v>2.3091441826460512E-2</v>
      </c>
      <c r="AP106" s="30"/>
      <c r="AQ106" s="28"/>
      <c r="AR106" s="32"/>
      <c r="AS106" s="29"/>
      <c r="AT106" s="29"/>
    </row>
    <row r="107" spans="1:46">
      <c r="A107" s="200" t="s">
        <v>160</v>
      </c>
      <c r="B107" s="323">
        <v>194995623.19999999</v>
      </c>
      <c r="C107" s="323">
        <v>775.76</v>
      </c>
      <c r="D107" s="323">
        <v>185549914.19999999</v>
      </c>
      <c r="E107" s="323">
        <v>743.07</v>
      </c>
      <c r="F107" s="23">
        <f t="shared" si="100"/>
        <v>-4.8440620589272801E-2</v>
      </c>
      <c r="G107" s="23">
        <f t="shared" si="101"/>
        <v>-4.2139321439620424E-2</v>
      </c>
      <c r="H107" s="323">
        <v>183232853.19999999</v>
      </c>
      <c r="I107" s="323">
        <v>740.4</v>
      </c>
      <c r="J107" s="23">
        <f t="shared" si="102"/>
        <v>-1.2487534742282301E-2</v>
      </c>
      <c r="K107" s="23">
        <f t="shared" si="103"/>
        <v>-3.5932011788930686E-3</v>
      </c>
      <c r="L107" s="323">
        <v>179264787.66</v>
      </c>
      <c r="M107" s="323">
        <v>739.52</v>
      </c>
      <c r="N107" s="23">
        <f t="shared" si="104"/>
        <v>-2.1655862858113221E-2</v>
      </c>
      <c r="O107" s="23">
        <f t="shared" si="105"/>
        <v>-1.1885467314964823E-3</v>
      </c>
      <c r="P107" s="323">
        <v>190662090.37</v>
      </c>
      <c r="Q107" s="323">
        <v>778.42</v>
      </c>
      <c r="R107" s="23">
        <f t="shared" si="106"/>
        <v>6.357803369402662E-2</v>
      </c>
      <c r="S107" s="23">
        <f t="shared" si="107"/>
        <v>5.2601687581133677E-2</v>
      </c>
      <c r="T107" s="323">
        <v>186164369.91999999</v>
      </c>
      <c r="U107" s="323">
        <v>763.58</v>
      </c>
      <c r="V107" s="23">
        <f t="shared" si="108"/>
        <v>-2.3590009116504045E-2</v>
      </c>
      <c r="W107" s="23">
        <f t="shared" si="109"/>
        <v>-1.9064258369517636E-2</v>
      </c>
      <c r="X107" s="323">
        <v>175637274.08000001</v>
      </c>
      <c r="Y107" s="323">
        <v>722.39</v>
      </c>
      <c r="Z107" s="23">
        <f t="shared" si="110"/>
        <v>-5.6547318074472358E-2</v>
      </c>
      <c r="AA107" s="23">
        <f t="shared" si="111"/>
        <v>-5.3943267241153579E-2</v>
      </c>
      <c r="AB107" s="323">
        <v>184186175.25999999</v>
      </c>
      <c r="AC107" s="323">
        <v>756.91</v>
      </c>
      <c r="AD107" s="23">
        <f t="shared" si="112"/>
        <v>4.8673615693364085E-2</v>
      </c>
      <c r="AE107" s="23">
        <f t="shared" si="113"/>
        <v>4.77858220628746E-2</v>
      </c>
      <c r="AF107" s="323">
        <v>180649783.06</v>
      </c>
      <c r="AG107" s="323">
        <v>747.76</v>
      </c>
      <c r="AH107" s="23">
        <f t="shared" si="114"/>
        <v>-1.9200095745557252E-2</v>
      </c>
      <c r="AI107" s="23">
        <f t="shared" si="115"/>
        <v>-1.208862348231623E-2</v>
      </c>
      <c r="AJ107" s="24">
        <f t="shared" si="71"/>
        <v>-8.7087239673514089E-3</v>
      </c>
      <c r="AK107" s="24">
        <f t="shared" si="72"/>
        <v>-3.9537135998736423E-3</v>
      </c>
      <c r="AL107" s="25">
        <f t="shared" si="73"/>
        <v>-2.6408695262010451E-2</v>
      </c>
      <c r="AM107" s="25">
        <f t="shared" si="74"/>
        <v>6.3116530071190341E-3</v>
      </c>
      <c r="AN107" s="378">
        <f t="shared" si="75"/>
        <v>4.2926336037551867E-2</v>
      </c>
      <c r="AO107" s="379">
        <f t="shared" si="76"/>
        <v>3.8223829940952754E-2</v>
      </c>
      <c r="AP107" s="30"/>
      <c r="AQ107" s="28"/>
      <c r="AR107" s="32"/>
      <c r="AS107" s="29"/>
      <c r="AT107" s="29"/>
    </row>
    <row r="108" spans="1:46" s="286" customFormat="1">
      <c r="A108" s="200" t="s">
        <v>93</v>
      </c>
      <c r="B108" s="324">
        <v>343173893112.28003</v>
      </c>
      <c r="C108" s="323">
        <v>1101.58</v>
      </c>
      <c r="D108" s="324">
        <v>332338411238.46997</v>
      </c>
      <c r="E108" s="323">
        <v>1056.57</v>
      </c>
      <c r="F108" s="23">
        <f t="shared" si="100"/>
        <v>-3.1574318709217467E-2</v>
      </c>
      <c r="G108" s="23">
        <f t="shared" si="101"/>
        <v>-4.085949272862615E-2</v>
      </c>
      <c r="H108" s="324">
        <v>332263166216.25</v>
      </c>
      <c r="I108" s="323">
        <v>1054.54</v>
      </c>
      <c r="J108" s="23">
        <f t="shared" si="102"/>
        <v>-2.2641085013185103E-4</v>
      </c>
      <c r="K108" s="23">
        <f t="shared" si="103"/>
        <v>-1.9213114133469367E-3</v>
      </c>
      <c r="L108" s="324">
        <v>332777000731.61279</v>
      </c>
      <c r="M108" s="323">
        <v>1057.5136</v>
      </c>
      <c r="N108" s="23">
        <f t="shared" si="104"/>
        <v>1.5464684852499395E-3</v>
      </c>
      <c r="O108" s="23">
        <f t="shared" si="105"/>
        <v>2.8198076886604899E-3</v>
      </c>
      <c r="P108" s="324">
        <v>352113421306.75</v>
      </c>
      <c r="Q108" s="323">
        <v>1111.43</v>
      </c>
      <c r="R108" s="23">
        <f t="shared" si="106"/>
        <v>5.8106240913963221E-2</v>
      </c>
      <c r="S108" s="23">
        <f t="shared" si="107"/>
        <v>5.0984119731415339E-2</v>
      </c>
      <c r="T108" s="324">
        <v>336697805631.02002</v>
      </c>
      <c r="U108" s="323">
        <v>1057.1099999999999</v>
      </c>
      <c r="V108" s="23">
        <f t="shared" si="108"/>
        <v>-4.3780255857672597E-2</v>
      </c>
      <c r="W108" s="23">
        <f t="shared" si="109"/>
        <v>-4.8873973169700442E-2</v>
      </c>
      <c r="X108" s="324">
        <v>329475987402.97998</v>
      </c>
      <c r="Y108" s="323">
        <v>1034.3900000000001</v>
      </c>
      <c r="Z108" s="23">
        <f t="shared" si="110"/>
        <v>-2.1448961375038707E-2</v>
      </c>
      <c r="AA108" s="23">
        <f t="shared" si="111"/>
        <v>-2.1492559903888719E-2</v>
      </c>
      <c r="AB108" s="324">
        <v>346417854999.15997</v>
      </c>
      <c r="AC108" s="323">
        <v>1085.33</v>
      </c>
      <c r="AD108" s="23">
        <f t="shared" si="112"/>
        <v>5.142064442911435E-2</v>
      </c>
      <c r="AE108" s="23">
        <f t="shared" si="113"/>
        <v>4.924641576194648E-2</v>
      </c>
      <c r="AF108" s="324">
        <v>343586475600.15002</v>
      </c>
      <c r="AG108" s="323">
        <v>1073.71</v>
      </c>
      <c r="AH108" s="23">
        <f t="shared" si="114"/>
        <v>-8.1733067685463689E-3</v>
      </c>
      <c r="AI108" s="23">
        <f t="shared" si="115"/>
        <v>-1.0706421088516757E-2</v>
      </c>
      <c r="AJ108" s="24">
        <f t="shared" si="71"/>
        <v>7.3376253346506552E-4</v>
      </c>
      <c r="AK108" s="24">
        <f t="shared" si="72"/>
        <v>-2.6004268902570862E-3</v>
      </c>
      <c r="AL108" s="25">
        <f t="shared" si="73"/>
        <v>3.3845213136103572E-2</v>
      </c>
      <c r="AM108" s="25">
        <f t="shared" si="74"/>
        <v>1.6222304248653757E-2</v>
      </c>
      <c r="AN108" s="378">
        <f t="shared" si="75"/>
        <v>3.6759960294897177E-2</v>
      </c>
      <c r="AO108" s="379">
        <f t="shared" si="76"/>
        <v>3.7505134983520302E-2</v>
      </c>
      <c r="AP108" s="30"/>
      <c r="AQ108" s="28"/>
      <c r="AR108" s="32"/>
      <c r="AS108" s="29"/>
      <c r="AT108" s="29"/>
    </row>
    <row r="109" spans="1:46" s="354" customFormat="1">
      <c r="A109" s="200" t="s">
        <v>248</v>
      </c>
      <c r="B109" s="324">
        <v>9914664897.4099998</v>
      </c>
      <c r="C109" s="324">
        <v>813.23</v>
      </c>
      <c r="D109" s="324">
        <v>9845121557.3199997</v>
      </c>
      <c r="E109" s="324">
        <v>780.07</v>
      </c>
      <c r="F109" s="23">
        <f t="shared" si="100"/>
        <v>-7.0141896684946864E-3</v>
      </c>
      <c r="G109" s="23">
        <f t="shared" si="101"/>
        <v>-4.0775672319024098E-2</v>
      </c>
      <c r="H109" s="324">
        <v>11484235217.690001</v>
      </c>
      <c r="I109" s="324">
        <v>778.59</v>
      </c>
      <c r="J109" s="23">
        <f t="shared" si="102"/>
        <v>0.1664899362417008</v>
      </c>
      <c r="K109" s="23">
        <f t="shared" si="103"/>
        <v>-1.8972656300075867E-3</v>
      </c>
      <c r="L109" s="324">
        <v>11501206043.23</v>
      </c>
      <c r="M109" s="324">
        <v>778.71</v>
      </c>
      <c r="N109" s="23">
        <f t="shared" si="104"/>
        <v>1.4777497341623249E-3</v>
      </c>
      <c r="O109" s="23">
        <f t="shared" si="105"/>
        <v>1.5412476399646096E-4</v>
      </c>
      <c r="P109" s="324">
        <v>12190551597.889999</v>
      </c>
      <c r="Q109" s="324">
        <v>820.45</v>
      </c>
      <c r="R109" s="23">
        <f t="shared" si="106"/>
        <v>5.9936805937475753E-2</v>
      </c>
      <c r="S109" s="23">
        <f t="shared" si="107"/>
        <v>5.3601469096325981E-2</v>
      </c>
      <c r="T109" s="324">
        <v>11802328258.219999</v>
      </c>
      <c r="U109" s="324">
        <v>781.25</v>
      </c>
      <c r="V109" s="23">
        <f t="shared" si="108"/>
        <v>-3.1846248838911906E-2</v>
      </c>
      <c r="W109" s="23">
        <f t="shared" si="109"/>
        <v>-4.7778658053507277E-2</v>
      </c>
      <c r="X109" s="324">
        <v>11867891184.09</v>
      </c>
      <c r="Y109" s="324">
        <v>778.02</v>
      </c>
      <c r="Z109" s="23">
        <f t="shared" si="110"/>
        <v>5.55508408473032E-3</v>
      </c>
      <c r="AA109" s="23">
        <f t="shared" si="111"/>
        <v>-4.1344000000000233E-3</v>
      </c>
      <c r="AB109" s="324">
        <v>13368437385.360001</v>
      </c>
      <c r="AC109" s="324">
        <v>800.21</v>
      </c>
      <c r="AD109" s="23">
        <f t="shared" si="112"/>
        <v>0.12643747553749235</v>
      </c>
      <c r="AE109" s="23">
        <f t="shared" si="113"/>
        <v>2.8521117709056392E-2</v>
      </c>
      <c r="AF109" s="324">
        <v>13269793347.030001</v>
      </c>
      <c r="AG109" s="324">
        <v>791.28</v>
      </c>
      <c r="AH109" s="23">
        <f t="shared" si="114"/>
        <v>-7.3788757419043349E-3</v>
      </c>
      <c r="AI109" s="23">
        <f t="shared" si="115"/>
        <v>-1.1159570612714241E-2</v>
      </c>
      <c r="AJ109" s="24">
        <f t="shared" si="71"/>
        <v>3.9207217160781328E-2</v>
      </c>
      <c r="AK109" s="24">
        <f t="shared" si="72"/>
        <v>-2.9336068807342994E-3</v>
      </c>
      <c r="AL109" s="25">
        <f t="shared" si="73"/>
        <v>0.34785469836720345</v>
      </c>
      <c r="AM109" s="25">
        <f t="shared" si="74"/>
        <v>1.4370505211070701E-2</v>
      </c>
      <c r="AN109" s="378">
        <f t="shared" si="75"/>
        <v>7.1863939604744048E-2</v>
      </c>
      <c r="AO109" s="379">
        <f t="shared" si="76"/>
        <v>5.638826770722874E-2</v>
      </c>
      <c r="AP109" s="30"/>
      <c r="AQ109" s="28"/>
      <c r="AR109" s="32"/>
      <c r="AS109" s="29"/>
      <c r="AT109" s="29"/>
    </row>
    <row r="110" spans="1:46" s="86" customFormat="1">
      <c r="A110" s="200" t="s">
        <v>123</v>
      </c>
      <c r="B110" s="323">
        <v>12926490839.27</v>
      </c>
      <c r="C110" s="323">
        <v>776.9</v>
      </c>
      <c r="D110" s="323">
        <v>13285815948.09</v>
      </c>
      <c r="E110" s="323">
        <v>756.94</v>
      </c>
      <c r="F110" s="23">
        <f t="shared" si="100"/>
        <v>2.7797575791288141E-2</v>
      </c>
      <c r="G110" s="23">
        <f t="shared" si="101"/>
        <v>-2.5691852233234551E-2</v>
      </c>
      <c r="H110" s="323">
        <v>13588427269.66</v>
      </c>
      <c r="I110" s="323">
        <v>756.94</v>
      </c>
      <c r="J110" s="23">
        <f>((H110-D110)/D110)</f>
        <v>2.2777021957277963E-2</v>
      </c>
      <c r="K110" s="23">
        <f>((I110-E110)/E110)</f>
        <v>0</v>
      </c>
      <c r="L110" s="323">
        <v>13805727923.85</v>
      </c>
      <c r="M110" s="323">
        <v>756.94</v>
      </c>
      <c r="N110" s="23">
        <f>((L110-H110)/H110)</f>
        <v>1.5991597105220971E-2</v>
      </c>
      <c r="O110" s="23">
        <f>((M110-I110)/I110)</f>
        <v>0</v>
      </c>
      <c r="P110" s="323">
        <v>14429213808.059999</v>
      </c>
      <c r="Q110" s="323">
        <v>756.94</v>
      </c>
      <c r="R110" s="23">
        <f>((P110-L110)/L110)</f>
        <v>4.5161391536110158E-2</v>
      </c>
      <c r="S110" s="23">
        <f>((Q110-M110)/M110)</f>
        <v>0</v>
      </c>
      <c r="T110" s="323">
        <v>15097328453.799999</v>
      </c>
      <c r="U110" s="323">
        <v>762.71</v>
      </c>
      <c r="V110" s="23">
        <f>((T110-P110)/P110)</f>
        <v>4.6302913979055345E-2</v>
      </c>
      <c r="W110" s="23">
        <f>((U110-Q110)/Q110)</f>
        <v>7.622797051285414E-3</v>
      </c>
      <c r="X110" s="323">
        <v>15863440323.450001</v>
      </c>
      <c r="Y110" s="323">
        <v>762.71</v>
      </c>
      <c r="Z110" s="23">
        <f>((X110-T110)/T110)</f>
        <v>5.0744863370656222E-2</v>
      </c>
      <c r="AA110" s="23">
        <f>((Y110-U110)/U110)</f>
        <v>0</v>
      </c>
      <c r="AB110" s="323">
        <v>16657205047.360001</v>
      </c>
      <c r="AC110" s="323">
        <v>762.71</v>
      </c>
      <c r="AD110" s="23">
        <f>((AB110-X110)/X110)</f>
        <v>5.0037363127128462E-2</v>
      </c>
      <c r="AE110" s="23">
        <f>((AC110-Y110)/Y110)</f>
        <v>0</v>
      </c>
      <c r="AF110" s="323">
        <v>17372075357.919998</v>
      </c>
      <c r="AG110" s="323">
        <f>762.71*1.1072</f>
        <v>844.47251200000005</v>
      </c>
      <c r="AH110" s="23">
        <f>((AF110-AB110)/AB110)</f>
        <v>4.2916582255394478E-2</v>
      </c>
      <c r="AI110" s="23">
        <f>((AG110-AC110)/AC110)</f>
        <v>0.10720000000000002</v>
      </c>
      <c r="AJ110" s="24">
        <f t="shared" si="71"/>
        <v>3.7716163640266469E-2</v>
      </c>
      <c r="AK110" s="24">
        <f t="shared" si="72"/>
        <v>1.114136810225636E-2</v>
      </c>
      <c r="AL110" s="25">
        <f t="shared" si="73"/>
        <v>0.30756555907410776</v>
      </c>
      <c r="AM110" s="25">
        <f t="shared" si="74"/>
        <v>0.11563996089518322</v>
      </c>
      <c r="AN110" s="378">
        <f t="shared" si="75"/>
        <v>1.3476329286736911E-2</v>
      </c>
      <c r="AO110" s="379">
        <f t="shared" si="76"/>
        <v>4.1905981115442956E-2</v>
      </c>
      <c r="AP110" s="30"/>
      <c r="AQ110" s="28"/>
      <c r="AR110" s="32"/>
      <c r="AS110" s="29"/>
      <c r="AT110" s="29"/>
    </row>
    <row r="111" spans="1:46" s="103" customFormat="1">
      <c r="A111" s="202" t="s">
        <v>42</v>
      </c>
      <c r="B111" s="76">
        <f>SUM(B89:B110)</f>
        <v>569956762301.13733</v>
      </c>
      <c r="C111" s="85"/>
      <c r="D111" s="76">
        <f>SUM(D89:D110)</f>
        <v>553123134779.05676</v>
      </c>
      <c r="E111" s="85"/>
      <c r="F111" s="23"/>
      <c r="G111" s="23"/>
      <c r="H111" s="76">
        <f>SUM(H89:H110)</f>
        <v>554621583051.02319</v>
      </c>
      <c r="I111" s="85"/>
      <c r="J111" s="23"/>
      <c r="K111" s="23"/>
      <c r="L111" s="76">
        <f>SUM(L89:L110)</f>
        <v>555450233256.58521</v>
      </c>
      <c r="M111" s="85"/>
      <c r="N111" s="23"/>
      <c r="O111" s="23"/>
      <c r="P111" s="76">
        <f>SUM(P89:P110)</f>
        <v>584920699343.90466</v>
      </c>
      <c r="Q111" s="85"/>
      <c r="R111" s="23"/>
      <c r="S111" s="23"/>
      <c r="T111" s="76">
        <f>SUM(T89:T110)</f>
        <v>561324750435.97546</v>
      </c>
      <c r="U111" s="85"/>
      <c r="V111" s="23"/>
      <c r="W111" s="23"/>
      <c r="X111" s="76">
        <f>SUM(X89:X110)</f>
        <v>554560757841.43372</v>
      </c>
      <c r="Y111" s="85"/>
      <c r="Z111" s="23"/>
      <c r="AA111" s="23"/>
      <c r="AB111" s="76">
        <f>SUM(AB89:AB110)</f>
        <v>579242821265.46704</v>
      </c>
      <c r="AC111" s="85"/>
      <c r="AD111" s="23"/>
      <c r="AE111" s="23"/>
      <c r="AF111" s="76">
        <f>SUM(AF89:AF110)</f>
        <v>573412197469.83374</v>
      </c>
      <c r="AG111" s="85"/>
      <c r="AH111" s="23"/>
      <c r="AI111" s="23"/>
      <c r="AJ111" s="24" t="e">
        <f t="shared" si="71"/>
        <v>#DIV/0!</v>
      </c>
      <c r="AK111" s="24"/>
      <c r="AL111" s="25">
        <f t="shared" si="73"/>
        <v>3.6680914998938489E-2</v>
      </c>
      <c r="AM111" s="25"/>
      <c r="AN111" s="378" t="e">
        <f t="shared" si="75"/>
        <v>#DIV/0!</v>
      </c>
      <c r="AO111" s="379"/>
      <c r="AP111" s="30"/>
      <c r="AQ111" s="28"/>
      <c r="AR111" s="32"/>
      <c r="AS111" s="29"/>
      <c r="AT111" s="29"/>
    </row>
    <row r="112" spans="1:46" s="103" customFormat="1" ht="8.25" customHeight="1">
      <c r="A112" s="202"/>
      <c r="B112" s="85"/>
      <c r="C112" s="85"/>
      <c r="D112" s="85"/>
      <c r="E112" s="85"/>
      <c r="F112" s="23"/>
      <c r="G112" s="23"/>
      <c r="H112" s="85"/>
      <c r="I112" s="85"/>
      <c r="J112" s="23"/>
      <c r="K112" s="23"/>
      <c r="L112" s="85"/>
      <c r="M112" s="85"/>
      <c r="N112" s="23"/>
      <c r="O112" s="23"/>
      <c r="P112" s="85"/>
      <c r="Q112" s="85"/>
      <c r="R112" s="23"/>
      <c r="S112" s="23"/>
      <c r="T112" s="85"/>
      <c r="U112" s="85"/>
      <c r="V112" s="23"/>
      <c r="W112" s="23"/>
      <c r="X112" s="85"/>
      <c r="Y112" s="85"/>
      <c r="Z112" s="23"/>
      <c r="AA112" s="23"/>
      <c r="AB112" s="85"/>
      <c r="AC112" s="85"/>
      <c r="AD112" s="23"/>
      <c r="AE112" s="23"/>
      <c r="AF112" s="85"/>
      <c r="AG112" s="85"/>
      <c r="AH112" s="23"/>
      <c r="AI112" s="23"/>
      <c r="AJ112" s="24"/>
      <c r="AK112" s="24"/>
      <c r="AL112" s="25"/>
      <c r="AM112" s="25"/>
      <c r="AN112" s="378"/>
      <c r="AO112" s="379"/>
      <c r="AP112" s="30"/>
      <c r="AQ112" s="28"/>
      <c r="AR112" s="32"/>
      <c r="AS112" s="29"/>
      <c r="AT112" s="29"/>
    </row>
    <row r="113" spans="1:46">
      <c r="A113" s="204" t="s">
        <v>210</v>
      </c>
      <c r="B113" s="85"/>
      <c r="C113" s="85"/>
      <c r="D113" s="85"/>
      <c r="E113" s="85"/>
      <c r="F113" s="23"/>
      <c r="G113" s="23"/>
      <c r="H113" s="85"/>
      <c r="I113" s="85"/>
      <c r="J113" s="23"/>
      <c r="K113" s="23"/>
      <c r="L113" s="85"/>
      <c r="M113" s="85"/>
      <c r="N113" s="23"/>
      <c r="O113" s="23"/>
      <c r="P113" s="85"/>
      <c r="Q113" s="85"/>
      <c r="R113" s="23"/>
      <c r="S113" s="23"/>
      <c r="T113" s="85"/>
      <c r="U113" s="85"/>
      <c r="V113" s="23"/>
      <c r="W113" s="23"/>
      <c r="X113" s="85"/>
      <c r="Y113" s="85"/>
      <c r="Z113" s="23"/>
      <c r="AA113" s="23"/>
      <c r="AB113" s="85"/>
      <c r="AC113" s="85"/>
      <c r="AD113" s="23"/>
      <c r="AE113" s="23"/>
      <c r="AF113" s="85"/>
      <c r="AG113" s="85"/>
      <c r="AH113" s="23"/>
      <c r="AI113" s="23"/>
      <c r="AJ113" s="24"/>
      <c r="AK113" s="24"/>
      <c r="AL113" s="25"/>
      <c r="AM113" s="25"/>
      <c r="AN113" s="378"/>
      <c r="AO113" s="379"/>
      <c r="AP113" s="30"/>
      <c r="AQ113" s="54">
        <f>SUM(AQ92:AQ104)</f>
        <v>16564722721.154379</v>
      </c>
      <c r="AR113" s="55"/>
      <c r="AS113" s="29" t="e">
        <f>(#REF!/AQ113)-1</f>
        <v>#REF!</v>
      </c>
      <c r="AT113" s="29" t="e">
        <f>(#REF!/AR113)-1</f>
        <v>#REF!</v>
      </c>
    </row>
    <row r="114" spans="1:46">
      <c r="A114" s="200" t="s">
        <v>162</v>
      </c>
      <c r="B114" s="324">
        <v>54330953714</v>
      </c>
      <c r="C114" s="325">
        <v>101.72</v>
      </c>
      <c r="D114" s="324">
        <v>54330953714</v>
      </c>
      <c r="E114" s="325">
        <v>101.29</v>
      </c>
      <c r="F114" s="23">
        <f t="shared" ref="F114:G117" si="116">((D114-B114)/B114)</f>
        <v>0</v>
      </c>
      <c r="G114" s="23">
        <f t="shared" si="116"/>
        <v>-4.2272906016515201E-3</v>
      </c>
      <c r="H114" s="324">
        <v>54330953714</v>
      </c>
      <c r="I114" s="325">
        <v>101.29</v>
      </c>
      <c r="J114" s="23">
        <f t="shared" ref="J114:J117" si="117">((H114-D114)/D114)</f>
        <v>0</v>
      </c>
      <c r="K114" s="23">
        <f t="shared" ref="K114:K117" si="118">((I114-E114)/E114)</f>
        <v>0</v>
      </c>
      <c r="L114" s="324">
        <v>54330953714</v>
      </c>
      <c r="M114" s="325">
        <v>101.29</v>
      </c>
      <c r="N114" s="23">
        <f t="shared" ref="N114:N117" si="119">((L114-H114)/H114)</f>
        <v>0</v>
      </c>
      <c r="O114" s="23">
        <f t="shared" ref="O114:O117" si="120">((M114-I114)/I114)</f>
        <v>0</v>
      </c>
      <c r="P114" s="324">
        <v>54330953714</v>
      </c>
      <c r="Q114" s="325">
        <v>101.29</v>
      </c>
      <c r="R114" s="23">
        <f t="shared" ref="R114:R117" si="121">((P114-L114)/L114)</f>
        <v>0</v>
      </c>
      <c r="S114" s="23">
        <f t="shared" ref="S114:S117" si="122">((Q114-M114)/M114)</f>
        <v>0</v>
      </c>
      <c r="T114" s="324">
        <v>54330953714</v>
      </c>
      <c r="U114" s="325">
        <v>101.48</v>
      </c>
      <c r="V114" s="23">
        <f t="shared" ref="V114:V117" si="123">((T114-P114)/P114)</f>
        <v>0</v>
      </c>
      <c r="W114" s="23">
        <f t="shared" ref="W114:W117" si="124">((U114-Q114)/Q114)</f>
        <v>1.875802152236131E-3</v>
      </c>
      <c r="X114" s="324">
        <v>54330953714</v>
      </c>
      <c r="Y114" s="325">
        <v>101.48</v>
      </c>
      <c r="Z114" s="23">
        <f t="shared" ref="Z114:Z117" si="125">((X114-T114)/T114)</f>
        <v>0</v>
      </c>
      <c r="AA114" s="23">
        <f t="shared" ref="AA114:AA117" si="126">((Y114-U114)/U114)</f>
        <v>0</v>
      </c>
      <c r="AB114" s="324">
        <v>54330953714</v>
      </c>
      <c r="AC114" s="325">
        <v>101.48</v>
      </c>
      <c r="AD114" s="23">
        <f t="shared" ref="AD114:AD117" si="127">((AB114-X114)/X114)</f>
        <v>0</v>
      </c>
      <c r="AE114" s="23">
        <f t="shared" ref="AE114:AE117" si="128">((AC114-Y114)/Y114)</f>
        <v>0</v>
      </c>
      <c r="AF114" s="324">
        <v>54330953714</v>
      </c>
      <c r="AG114" s="325">
        <v>101.48</v>
      </c>
      <c r="AH114" s="23">
        <f t="shared" ref="AH114:AH117" si="129">((AF114-AB114)/AB114)</f>
        <v>0</v>
      </c>
      <c r="AI114" s="23">
        <f t="shared" ref="AI114:AI117" si="130">((AG114-AC114)/AC114)</f>
        <v>0</v>
      </c>
      <c r="AJ114" s="24">
        <f t="shared" si="71"/>
        <v>0</v>
      </c>
      <c r="AK114" s="24">
        <f t="shared" si="72"/>
        <v>-2.9393605617692364E-4</v>
      </c>
      <c r="AL114" s="25">
        <f t="shared" si="73"/>
        <v>0</v>
      </c>
      <c r="AM114" s="25">
        <f t="shared" si="74"/>
        <v>1.875802152236131E-3</v>
      </c>
      <c r="AN114" s="378">
        <f t="shared" si="75"/>
        <v>0</v>
      </c>
      <c r="AO114" s="379">
        <f t="shared" si="76"/>
        <v>1.7195278548060894E-3</v>
      </c>
      <c r="AP114" s="30"/>
      <c r="AQ114" s="40"/>
      <c r="AR114" s="13"/>
      <c r="AS114" s="29" t="e">
        <f>(#REF!/AQ114)-1</f>
        <v>#REF!</v>
      </c>
      <c r="AT114" s="29" t="e">
        <f>(#REF!/AR114)-1</f>
        <v>#REF!</v>
      </c>
    </row>
    <row r="115" spans="1:46">
      <c r="A115" s="200" t="s">
        <v>139</v>
      </c>
      <c r="B115" s="324">
        <v>2420689064.9899998</v>
      </c>
      <c r="C115" s="325">
        <v>69.3</v>
      </c>
      <c r="D115" s="324">
        <v>2426333291.4699998</v>
      </c>
      <c r="E115" s="325">
        <v>69.3</v>
      </c>
      <c r="F115" s="23">
        <f t="shared" si="116"/>
        <v>2.3316610801574949E-3</v>
      </c>
      <c r="G115" s="23">
        <f t="shared" si="116"/>
        <v>0</v>
      </c>
      <c r="H115" s="324">
        <v>2430805410.1199999</v>
      </c>
      <c r="I115" s="325">
        <v>76.2</v>
      </c>
      <c r="J115" s="23">
        <f t="shared" si="117"/>
        <v>1.8431592501006535E-3</v>
      </c>
      <c r="K115" s="23">
        <f t="shared" si="118"/>
        <v>9.9567099567099651E-2</v>
      </c>
      <c r="L115" s="324">
        <v>2435291609.4000001</v>
      </c>
      <c r="M115" s="325">
        <v>76.2</v>
      </c>
      <c r="N115" s="23">
        <f t="shared" si="119"/>
        <v>1.8455608422307825E-3</v>
      </c>
      <c r="O115" s="23">
        <f t="shared" si="120"/>
        <v>0</v>
      </c>
      <c r="P115" s="324">
        <v>2438723204.9299998</v>
      </c>
      <c r="Q115" s="325">
        <v>83.8</v>
      </c>
      <c r="R115" s="23">
        <f t="shared" si="121"/>
        <v>1.4091107269265382E-3</v>
      </c>
      <c r="S115" s="23">
        <f t="shared" si="122"/>
        <v>9.9737532808398865E-2</v>
      </c>
      <c r="T115" s="324">
        <v>2446041455.8499999</v>
      </c>
      <c r="U115" s="325">
        <v>92.15</v>
      </c>
      <c r="V115" s="23">
        <f t="shared" si="123"/>
        <v>3.0008534405240699E-3</v>
      </c>
      <c r="W115" s="23">
        <f t="shared" si="124"/>
        <v>9.9642004773269802E-2</v>
      </c>
      <c r="X115" s="324">
        <v>2299214969.5500002</v>
      </c>
      <c r="Y115" s="325">
        <v>92.15</v>
      </c>
      <c r="Z115" s="23">
        <f t="shared" si="125"/>
        <v>-6.0026164294495768E-2</v>
      </c>
      <c r="AA115" s="23">
        <f t="shared" si="126"/>
        <v>0</v>
      </c>
      <c r="AB115" s="324">
        <v>2300853716.8299999</v>
      </c>
      <c r="AC115" s="325">
        <v>92.15</v>
      </c>
      <c r="AD115" s="23">
        <f t="shared" si="127"/>
        <v>7.1274208880106008E-4</v>
      </c>
      <c r="AE115" s="23">
        <f t="shared" si="128"/>
        <v>0</v>
      </c>
      <c r="AF115" s="324">
        <v>2308270619.0300002</v>
      </c>
      <c r="AG115" s="325">
        <v>92.15</v>
      </c>
      <c r="AH115" s="23">
        <f t="shared" si="129"/>
        <v>3.223543568088683E-3</v>
      </c>
      <c r="AI115" s="23">
        <f t="shared" si="130"/>
        <v>0</v>
      </c>
      <c r="AJ115" s="24">
        <f t="shared" si="71"/>
        <v>-5.7074416622083105E-3</v>
      </c>
      <c r="AK115" s="24">
        <f t="shared" si="72"/>
        <v>3.7368329643596036E-2</v>
      </c>
      <c r="AL115" s="25">
        <f t="shared" si="73"/>
        <v>-4.8658884933516708E-2</v>
      </c>
      <c r="AM115" s="25">
        <f t="shared" si="74"/>
        <v>0.32972582972582987</v>
      </c>
      <c r="AN115" s="378">
        <f t="shared" si="75"/>
        <v>2.196318738369403E-2</v>
      </c>
      <c r="AO115" s="379">
        <f t="shared" si="76"/>
        <v>5.1500002687658697E-2</v>
      </c>
      <c r="AP115" s="30"/>
      <c r="AQ115" s="28">
        <v>640873657.65999997</v>
      </c>
      <c r="AR115" s="32">
        <v>11.5358</v>
      </c>
      <c r="AS115" s="29" t="e">
        <f>(#REF!/AQ115)-1</f>
        <v>#REF!</v>
      </c>
      <c r="AT115" s="29" t="e">
        <f>(#REF!/AR115)-1</f>
        <v>#REF!</v>
      </c>
    </row>
    <row r="116" spans="1:46">
      <c r="A116" s="200" t="s">
        <v>21</v>
      </c>
      <c r="B116" s="324">
        <v>9927214011.3899994</v>
      </c>
      <c r="C116" s="325">
        <v>36.6</v>
      </c>
      <c r="D116" s="324">
        <v>9933540017.9400005</v>
      </c>
      <c r="E116" s="325">
        <v>36.6</v>
      </c>
      <c r="F116" s="23">
        <f t="shared" si="116"/>
        <v>6.3723886104832578E-4</v>
      </c>
      <c r="G116" s="23">
        <f t="shared" si="116"/>
        <v>0</v>
      </c>
      <c r="H116" s="324">
        <v>9944614288.5400009</v>
      </c>
      <c r="I116" s="325">
        <v>36.6</v>
      </c>
      <c r="J116" s="23">
        <f t="shared" si="117"/>
        <v>1.1148362597825365E-3</v>
      </c>
      <c r="K116" s="23">
        <f t="shared" si="118"/>
        <v>0</v>
      </c>
      <c r="L116" s="324">
        <v>9961671468.0100002</v>
      </c>
      <c r="M116" s="325">
        <v>36.6</v>
      </c>
      <c r="N116" s="23">
        <f t="shared" si="119"/>
        <v>1.7152178028318008E-3</v>
      </c>
      <c r="O116" s="23">
        <f t="shared" si="120"/>
        <v>0</v>
      </c>
      <c r="P116" s="324">
        <v>9973258463.5</v>
      </c>
      <c r="Q116" s="325">
        <v>36.6</v>
      </c>
      <c r="R116" s="23">
        <f t="shared" si="121"/>
        <v>1.1631577619488043E-3</v>
      </c>
      <c r="S116" s="23">
        <f t="shared" si="122"/>
        <v>0</v>
      </c>
      <c r="T116" s="324">
        <v>9971710298.6399994</v>
      </c>
      <c r="U116" s="325">
        <v>36.6</v>
      </c>
      <c r="V116" s="23">
        <f t="shared" si="123"/>
        <v>-1.5523159914751671E-4</v>
      </c>
      <c r="W116" s="23">
        <f t="shared" si="124"/>
        <v>0</v>
      </c>
      <c r="X116" s="324">
        <v>9975213480.9500008</v>
      </c>
      <c r="Y116" s="325">
        <v>36.6</v>
      </c>
      <c r="Z116" s="23">
        <f t="shared" si="125"/>
        <v>3.5131208238963358E-4</v>
      </c>
      <c r="AA116" s="23">
        <f t="shared" si="126"/>
        <v>0</v>
      </c>
      <c r="AB116" s="324">
        <v>9995456646.1000004</v>
      </c>
      <c r="AC116" s="325">
        <v>36.6</v>
      </c>
      <c r="AD116" s="23">
        <f t="shared" si="127"/>
        <v>2.0293465587136223E-3</v>
      </c>
      <c r="AE116" s="23">
        <f t="shared" si="128"/>
        <v>0</v>
      </c>
      <c r="AF116" s="324">
        <v>10006289289.290001</v>
      </c>
      <c r="AG116" s="325">
        <v>36.6</v>
      </c>
      <c r="AH116" s="23">
        <f t="shared" si="129"/>
        <v>1.0837567080266598E-3</v>
      </c>
      <c r="AI116" s="23">
        <f t="shared" si="130"/>
        <v>0</v>
      </c>
      <c r="AJ116" s="24">
        <f t="shared" si="71"/>
        <v>9.9245430444923322E-4</v>
      </c>
      <c r="AK116" s="24">
        <f t="shared" si="72"/>
        <v>0</v>
      </c>
      <c r="AL116" s="25">
        <f t="shared" si="73"/>
        <v>7.3235997659057087E-3</v>
      </c>
      <c r="AM116" s="25">
        <f t="shared" si="74"/>
        <v>0</v>
      </c>
      <c r="AN116" s="378">
        <f t="shared" si="75"/>
        <v>7.0755212400550722E-4</v>
      </c>
      <c r="AO116" s="379">
        <f t="shared" si="76"/>
        <v>7.1748235652199322E-4</v>
      </c>
      <c r="AP116" s="30"/>
      <c r="AQ116" s="28">
        <v>2128320668.46</v>
      </c>
      <c r="AR116" s="35">
        <v>1.04</v>
      </c>
      <c r="AS116" s="29" t="e">
        <f>(#REF!/AQ116)-1</f>
        <v>#REF!</v>
      </c>
      <c r="AT116" s="29" t="e">
        <f>(#REF!/AR116)-1</f>
        <v>#REF!</v>
      </c>
    </row>
    <row r="117" spans="1:46">
      <c r="A117" s="200" t="s">
        <v>181</v>
      </c>
      <c r="B117" s="324">
        <v>26879601041.349998</v>
      </c>
      <c r="C117" s="325">
        <v>10.07</v>
      </c>
      <c r="D117" s="324">
        <v>26883973889</v>
      </c>
      <c r="E117" s="325">
        <v>3.65</v>
      </c>
      <c r="F117" s="23">
        <f t="shared" si="116"/>
        <v>1.6268275869402206E-4</v>
      </c>
      <c r="G117" s="23">
        <f t="shared" si="116"/>
        <v>-0.63753723932472683</v>
      </c>
      <c r="H117" s="324">
        <v>26888503253.650002</v>
      </c>
      <c r="I117" s="325">
        <v>3.7</v>
      </c>
      <c r="J117" s="23">
        <f t="shared" si="117"/>
        <v>1.684782416729986E-4</v>
      </c>
      <c r="K117" s="23">
        <f t="shared" si="118"/>
        <v>1.3698630136986375E-2</v>
      </c>
      <c r="L117" s="324">
        <v>26898810426.599998</v>
      </c>
      <c r="M117" s="325">
        <v>3.65</v>
      </c>
      <c r="N117" s="23">
        <f t="shared" si="119"/>
        <v>3.8333011148910986E-4</v>
      </c>
      <c r="O117" s="23">
        <f t="shared" si="120"/>
        <v>-1.3513513513513585E-2</v>
      </c>
      <c r="P117" s="324">
        <v>26766647841.02</v>
      </c>
      <c r="Q117" s="325">
        <v>3.65</v>
      </c>
      <c r="R117" s="23">
        <f t="shared" si="121"/>
        <v>-4.913324547962299E-3</v>
      </c>
      <c r="S117" s="23">
        <f t="shared" si="122"/>
        <v>0</v>
      </c>
      <c r="T117" s="324">
        <v>26756217072.84</v>
      </c>
      <c r="U117" s="325">
        <v>3.65</v>
      </c>
      <c r="V117" s="23">
        <f t="shared" si="123"/>
        <v>-3.8969273410528114E-4</v>
      </c>
      <c r="W117" s="23">
        <f t="shared" si="124"/>
        <v>0</v>
      </c>
      <c r="X117" s="324">
        <v>26258357411.380001</v>
      </c>
      <c r="Y117" s="325">
        <v>3.35</v>
      </c>
      <c r="Z117" s="23">
        <f t="shared" si="125"/>
        <v>-1.8607251544739935E-2</v>
      </c>
      <c r="AA117" s="23">
        <f t="shared" si="126"/>
        <v>-8.2191780821917762E-2</v>
      </c>
      <c r="AB117" s="324">
        <v>26273000959.59</v>
      </c>
      <c r="AC117" s="325">
        <v>3.4</v>
      </c>
      <c r="AD117" s="23">
        <f t="shared" si="127"/>
        <v>5.5767190538935911E-4</v>
      </c>
      <c r="AE117" s="23">
        <f t="shared" si="128"/>
        <v>1.4925373134328304E-2</v>
      </c>
      <c r="AF117" s="324">
        <v>26284931933.349998</v>
      </c>
      <c r="AG117" s="325">
        <v>3.55</v>
      </c>
      <c r="AH117" s="23">
        <f t="shared" si="129"/>
        <v>4.5411537792538901E-4</v>
      </c>
      <c r="AI117" s="23">
        <f t="shared" si="130"/>
        <v>4.4117647058823505E-2</v>
      </c>
      <c r="AJ117" s="24">
        <f t="shared" si="71"/>
        <v>-2.7729988039545792E-3</v>
      </c>
      <c r="AK117" s="24">
        <f t="shared" si="72"/>
        <v>-8.2562610416252513E-2</v>
      </c>
      <c r="AL117" s="25">
        <f t="shared" si="73"/>
        <v>-2.2282492838423301E-2</v>
      </c>
      <c r="AM117" s="25">
        <f t="shared" si="74"/>
        <v>-2.7397260273972629E-2</v>
      </c>
      <c r="AN117" s="378">
        <f t="shared" si="75"/>
        <v>6.6518016996340232E-3</v>
      </c>
      <c r="AO117" s="379">
        <f t="shared" si="76"/>
        <v>0.22633578558430975</v>
      </c>
      <c r="AP117" s="30"/>
      <c r="AQ117" s="28">
        <v>1789192828.73</v>
      </c>
      <c r="AR117" s="32">
        <v>0.79</v>
      </c>
      <c r="AS117" s="29" t="e">
        <f>(#REF!/AQ117)-1</f>
        <v>#REF!</v>
      </c>
      <c r="AT117" s="29" t="e">
        <f>(#REF!/AR117)-1</f>
        <v>#REF!</v>
      </c>
    </row>
    <row r="118" spans="1:46">
      <c r="A118" s="202" t="s">
        <v>42</v>
      </c>
      <c r="B118" s="70">
        <f>SUM(B114:B117)</f>
        <v>93558457831.729996</v>
      </c>
      <c r="C118" s="85"/>
      <c r="D118" s="70">
        <f>SUM(D114:D117)</f>
        <v>93574800912.410004</v>
      </c>
      <c r="E118" s="85"/>
      <c r="F118" s="23">
        <f>((D118-B118)/B118)</f>
        <v>1.7468309182053706E-4</v>
      </c>
      <c r="G118" s="23"/>
      <c r="H118" s="70">
        <f>SUM(H114:H117)</f>
        <v>93594876666.309998</v>
      </c>
      <c r="I118" s="85"/>
      <c r="J118" s="23">
        <f>((H118-D118)/D118)</f>
        <v>2.1454230951328078E-4</v>
      </c>
      <c r="K118" s="23"/>
      <c r="L118" s="70">
        <f>SUM(L114:L117)</f>
        <v>93626727218.01001</v>
      </c>
      <c r="M118" s="85"/>
      <c r="N118" s="23">
        <f>((L118-H118)/H118)</f>
        <v>3.4030229895561147E-4</v>
      </c>
      <c r="O118" s="23"/>
      <c r="P118" s="70">
        <f>SUM(P114:P117)</f>
        <v>93509583223.449997</v>
      </c>
      <c r="Q118" s="85"/>
      <c r="R118" s="23">
        <f>((P118-L118)/L118)</f>
        <v>-1.2511811321487592E-3</v>
      </c>
      <c r="S118" s="23"/>
      <c r="T118" s="70">
        <f>SUM(T114:T117)</f>
        <v>93504922541.330002</v>
      </c>
      <c r="U118" s="85"/>
      <c r="V118" s="23">
        <f>((T118-P118)/P118)</f>
        <v>-4.9841759093909942E-5</v>
      </c>
      <c r="W118" s="23"/>
      <c r="X118" s="70">
        <f>SUM(X114:X117)</f>
        <v>92863739575.880005</v>
      </c>
      <c r="Y118" s="85"/>
      <c r="Z118" s="23">
        <f>((X118-T118)/T118)</f>
        <v>-6.8572108079827396E-3</v>
      </c>
      <c r="AA118" s="23"/>
      <c r="AB118" s="70">
        <f>SUM(AB114:AB117)</f>
        <v>92900265036.520004</v>
      </c>
      <c r="AC118" s="85"/>
      <c r="AD118" s="23">
        <f>((AB118-X118)/X118)</f>
        <v>3.9332317228248196E-4</v>
      </c>
      <c r="AE118" s="23"/>
      <c r="AF118" s="70">
        <f>SUM(AF114:AF117)</f>
        <v>92930445555.669998</v>
      </c>
      <c r="AG118" s="85"/>
      <c r="AH118" s="23">
        <f>((AF118-AB118)/AB118)</f>
        <v>3.2487010815447767E-4</v>
      </c>
      <c r="AI118" s="23"/>
      <c r="AJ118" s="24">
        <f t="shared" si="71"/>
        <v>-8.388140898123776E-4</v>
      </c>
      <c r="AK118" s="24"/>
      <c r="AL118" s="25">
        <f t="shared" si="73"/>
        <v>-6.8859922805836324E-3</v>
      </c>
      <c r="AM118" s="25"/>
      <c r="AN118" s="378">
        <f t="shared" si="75"/>
        <v>2.4903527523571032E-3</v>
      </c>
      <c r="AO118" s="379"/>
      <c r="AP118" s="30"/>
      <c r="AQ118" s="28">
        <v>204378030.47999999</v>
      </c>
      <c r="AR118" s="32">
        <v>22.9087</v>
      </c>
      <c r="AS118" s="29" t="e">
        <f>(#REF!/AQ118)-1</f>
        <v>#REF!</v>
      </c>
      <c r="AT118" s="29" t="e">
        <f>(#REF!/AR118)-1</f>
        <v>#REF!</v>
      </c>
    </row>
    <row r="119" spans="1:46" s="365" customFormat="1" ht="7.5" customHeight="1">
      <c r="A119" s="202"/>
      <c r="B119" s="85"/>
      <c r="C119" s="85"/>
      <c r="D119" s="85"/>
      <c r="E119" s="85"/>
      <c r="F119" s="23"/>
      <c r="G119" s="23"/>
      <c r="H119" s="85"/>
      <c r="I119" s="85"/>
      <c r="J119" s="23"/>
      <c r="K119" s="23"/>
      <c r="L119" s="85"/>
      <c r="M119" s="85"/>
      <c r="N119" s="23"/>
      <c r="O119" s="23"/>
      <c r="P119" s="85"/>
      <c r="Q119" s="85"/>
      <c r="R119" s="23"/>
      <c r="S119" s="23"/>
      <c r="T119" s="85"/>
      <c r="U119" s="85"/>
      <c r="V119" s="23"/>
      <c r="W119" s="23"/>
      <c r="X119" s="85"/>
      <c r="Y119" s="85"/>
      <c r="Z119" s="23"/>
      <c r="AA119" s="23"/>
      <c r="AB119" s="85"/>
      <c r="AC119" s="85"/>
      <c r="AD119" s="23"/>
      <c r="AE119" s="23"/>
      <c r="AF119" s="85"/>
      <c r="AG119" s="85"/>
      <c r="AH119" s="23"/>
      <c r="AI119" s="23"/>
      <c r="AJ119" s="24"/>
      <c r="AK119" s="24"/>
      <c r="AL119" s="25"/>
      <c r="AM119" s="25"/>
      <c r="AN119" s="378"/>
      <c r="AO119" s="379"/>
      <c r="AP119" s="30"/>
      <c r="AQ119" s="28"/>
      <c r="AR119" s="32"/>
      <c r="AS119" s="29"/>
      <c r="AT119" s="29"/>
    </row>
    <row r="120" spans="1:46">
      <c r="A120" s="204" t="s">
        <v>219</v>
      </c>
      <c r="B120" s="85"/>
      <c r="C120" s="85"/>
      <c r="D120" s="85"/>
      <c r="E120" s="85"/>
      <c r="F120" s="23"/>
      <c r="G120" s="23"/>
      <c r="H120" s="85"/>
      <c r="I120" s="85"/>
      <c r="J120" s="23"/>
      <c r="K120" s="23"/>
      <c r="L120" s="85"/>
      <c r="M120" s="85"/>
      <c r="N120" s="23"/>
      <c r="O120" s="23"/>
      <c r="P120" s="85"/>
      <c r="Q120" s="85"/>
      <c r="R120" s="23"/>
      <c r="S120" s="23"/>
      <c r="T120" s="85"/>
      <c r="U120" s="85"/>
      <c r="V120" s="23"/>
      <c r="W120" s="23"/>
      <c r="X120" s="85"/>
      <c r="Y120" s="85"/>
      <c r="Z120" s="23"/>
      <c r="AA120" s="23"/>
      <c r="AB120" s="85"/>
      <c r="AC120" s="85"/>
      <c r="AD120" s="23"/>
      <c r="AE120" s="23"/>
      <c r="AF120" s="85"/>
      <c r="AG120" s="85"/>
      <c r="AH120" s="23"/>
      <c r="AI120" s="23"/>
      <c r="AJ120" s="24"/>
      <c r="AK120" s="24"/>
      <c r="AL120" s="25"/>
      <c r="AM120" s="25"/>
      <c r="AN120" s="378"/>
      <c r="AO120" s="379"/>
      <c r="AP120" s="30"/>
      <c r="AQ120" s="28">
        <v>160273731.87</v>
      </c>
      <c r="AR120" s="32">
        <v>133.94</v>
      </c>
      <c r="AS120" s="29" t="e">
        <f>(#REF!/AQ120)-1</f>
        <v>#REF!</v>
      </c>
      <c r="AT120" s="29" t="e">
        <f>(#REF!/AR120)-1</f>
        <v>#REF!</v>
      </c>
    </row>
    <row r="121" spans="1:46" s="93" customFormat="1">
      <c r="A121" s="200" t="s">
        <v>116</v>
      </c>
      <c r="B121" s="323">
        <v>196441877.56999999</v>
      </c>
      <c r="C121" s="323">
        <v>4.49</v>
      </c>
      <c r="D121" s="323">
        <v>197752973.91</v>
      </c>
      <c r="E121" s="323">
        <v>4.51</v>
      </c>
      <c r="F121" s="23">
        <f t="shared" ref="F121:F144" si="131">((D121-B121)/B121)</f>
        <v>6.6742201623114106E-3</v>
      </c>
      <c r="G121" s="23">
        <f t="shared" ref="G121:G144" si="132">((E121-C121)/C121)</f>
        <v>4.4543429844097048E-3</v>
      </c>
      <c r="H121" s="323">
        <v>197556609.03999999</v>
      </c>
      <c r="I121" s="323">
        <v>4.51</v>
      </c>
      <c r="J121" s="23">
        <f t="shared" ref="J121:J132" si="133">((H121-D121)/D121)</f>
        <v>-9.9298061676368534E-4</v>
      </c>
      <c r="K121" s="23">
        <f t="shared" ref="K121:K132" si="134">((I121-E121)/E121)</f>
        <v>0</v>
      </c>
      <c r="L121" s="323">
        <v>196387821.63999999</v>
      </c>
      <c r="M121" s="323">
        <v>4.4800000000000004</v>
      </c>
      <c r="N121" s="23">
        <f t="shared" ref="N121:N132" si="135">((L121-H121)/H121)</f>
        <v>-5.9162151328653219E-3</v>
      </c>
      <c r="O121" s="23">
        <f t="shared" ref="O121:O132" si="136">((M121-I121)/I121)</f>
        <v>-6.6518847006650471E-3</v>
      </c>
      <c r="P121" s="323">
        <v>198966198.49000001</v>
      </c>
      <c r="Q121" s="323">
        <v>4.54</v>
      </c>
      <c r="R121" s="23">
        <f t="shared" ref="R121:R132" si="137">((P121-L121)/L121)</f>
        <v>1.3129005803254268E-2</v>
      </c>
      <c r="S121" s="23">
        <f t="shared" ref="S121:S132" si="138">((Q121-M121)/M121)</f>
        <v>1.3392857142857054E-2</v>
      </c>
      <c r="T121" s="323">
        <v>201572585.09</v>
      </c>
      <c r="U121" s="323">
        <v>4.5999999999999996</v>
      </c>
      <c r="V121" s="23">
        <f t="shared" ref="V121:V132" si="139">((T121-P121)/P121)</f>
        <v>1.3099645164758929E-2</v>
      </c>
      <c r="W121" s="23">
        <f t="shared" ref="W121:W132" si="140">((U121-Q121)/Q121)</f>
        <v>1.3215859030836918E-2</v>
      </c>
      <c r="X121" s="323">
        <v>208020985.75999999</v>
      </c>
      <c r="Y121" s="323">
        <v>4.75</v>
      </c>
      <c r="Z121" s="23">
        <f t="shared" ref="Z121:Z132" si="141">((X121-T121)/T121)</f>
        <v>3.1990464710867528E-2</v>
      </c>
      <c r="AA121" s="23">
        <f t="shared" ref="AA121:AA132" si="142">((Y121-U121)/U121)</f>
        <v>3.2608695652173995E-2</v>
      </c>
      <c r="AB121" s="323">
        <v>202694998.53</v>
      </c>
      <c r="AC121" s="323">
        <v>4.6500000000000004</v>
      </c>
      <c r="AD121" s="23">
        <f t="shared" ref="AD121:AD132" si="143">((AB121-X121)/X121)</f>
        <v>-2.560312465851277E-2</v>
      </c>
      <c r="AE121" s="23">
        <f t="shared" ref="AE121:AE132" si="144">((AC121-Y121)/Y121)</f>
        <v>-2.1052631578947295E-2</v>
      </c>
      <c r="AF121" s="323">
        <v>204029615.66</v>
      </c>
      <c r="AG121" s="323">
        <v>4.68</v>
      </c>
      <c r="AH121" s="23">
        <f t="shared" ref="AH121:AH132" si="145">((AF121-AB121)/AB121)</f>
        <v>6.5843614281507019E-3</v>
      </c>
      <c r="AI121" s="23">
        <f t="shared" ref="AI121:AI132" si="146">((AG121-AC121)/AC121)</f>
        <v>6.4516129032256685E-3</v>
      </c>
      <c r="AJ121" s="24">
        <f t="shared" si="71"/>
        <v>4.8706721076501322E-3</v>
      </c>
      <c r="AK121" s="24">
        <f t="shared" si="72"/>
        <v>5.302356429236375E-3</v>
      </c>
      <c r="AL121" s="25">
        <f t="shared" si="73"/>
        <v>3.1739809651897238E-2</v>
      </c>
      <c r="AM121" s="25">
        <f t="shared" si="74"/>
        <v>3.769401330376939E-2</v>
      </c>
      <c r="AN121" s="378">
        <f t="shared" si="75"/>
        <v>1.6720305830568879E-2</v>
      </c>
      <c r="AO121" s="379">
        <f t="shared" si="76"/>
        <v>1.6900274963011292E-2</v>
      </c>
      <c r="AP121" s="30"/>
      <c r="AQ121" s="28"/>
      <c r="AR121" s="32"/>
      <c r="AS121" s="29"/>
      <c r="AT121" s="29"/>
    </row>
    <row r="122" spans="1:46" s="103" customFormat="1">
      <c r="A122" s="200" t="s">
        <v>154</v>
      </c>
      <c r="B122" s="323">
        <v>5929939862.1999998</v>
      </c>
      <c r="C122" s="323">
        <v>650.22670000000005</v>
      </c>
      <c r="D122" s="323">
        <v>5915840945.8199997</v>
      </c>
      <c r="E122" s="323">
        <v>648.44129999999996</v>
      </c>
      <c r="F122" s="23">
        <f t="shared" si="131"/>
        <v>-2.3775816800222045E-3</v>
      </c>
      <c r="G122" s="23">
        <f t="shared" si="132"/>
        <v>-2.745811576178116E-3</v>
      </c>
      <c r="H122" s="323">
        <v>5922743856.6300001</v>
      </c>
      <c r="I122" s="323">
        <v>649.63660000000004</v>
      </c>
      <c r="J122" s="23">
        <f t="shared" si="133"/>
        <v>1.1668519950452456E-3</v>
      </c>
      <c r="K122" s="23">
        <f t="shared" si="134"/>
        <v>1.8433434144310187E-3</v>
      </c>
      <c r="L122" s="323">
        <v>5914131913.4499998</v>
      </c>
      <c r="M122" s="323">
        <v>649.74300000000005</v>
      </c>
      <c r="N122" s="23">
        <f t="shared" si="135"/>
        <v>-1.4540461969092212E-3</v>
      </c>
      <c r="O122" s="23">
        <f t="shared" si="136"/>
        <v>1.6378387547747128E-4</v>
      </c>
      <c r="P122" s="323">
        <v>5936352467.5100002</v>
      </c>
      <c r="Q122" s="323">
        <v>652.64739999999995</v>
      </c>
      <c r="R122" s="23">
        <f t="shared" si="137"/>
        <v>3.7571962183437489E-3</v>
      </c>
      <c r="S122" s="23">
        <f t="shared" si="138"/>
        <v>4.4700750912282173E-3</v>
      </c>
      <c r="T122" s="323">
        <v>6010240590.0100002</v>
      </c>
      <c r="U122" s="323">
        <v>660.65819999999997</v>
      </c>
      <c r="V122" s="23">
        <f t="shared" si="139"/>
        <v>1.2446720929121706E-2</v>
      </c>
      <c r="W122" s="23">
        <f t="shared" si="140"/>
        <v>1.2274315350065009E-2</v>
      </c>
      <c r="X122" s="323">
        <v>6030381903.1300001</v>
      </c>
      <c r="Y122" s="323">
        <v>662.84059999999999</v>
      </c>
      <c r="Z122" s="23">
        <f t="shared" si="141"/>
        <v>3.3511658673827521E-3</v>
      </c>
      <c r="AA122" s="23">
        <f t="shared" si="142"/>
        <v>3.3033723035603428E-3</v>
      </c>
      <c r="AB122" s="323">
        <v>6002425527.3199997</v>
      </c>
      <c r="AC122" s="323">
        <v>660.29539999999997</v>
      </c>
      <c r="AD122" s="23">
        <f t="shared" si="143"/>
        <v>-4.635921283109779E-3</v>
      </c>
      <c r="AE122" s="23">
        <f t="shared" si="144"/>
        <v>-3.8398372097303976E-3</v>
      </c>
      <c r="AF122" s="323">
        <v>5974958018.5299997</v>
      </c>
      <c r="AG122" s="323">
        <v>658.48649999999998</v>
      </c>
      <c r="AH122" s="23">
        <f t="shared" si="145"/>
        <v>-4.5760682352461984E-3</v>
      </c>
      <c r="AI122" s="23">
        <f t="shared" si="146"/>
        <v>-2.7395314279033208E-3</v>
      </c>
      <c r="AJ122" s="24">
        <f t="shared" si="71"/>
        <v>9.597897018257561E-4</v>
      </c>
      <c r="AK122" s="24">
        <f t="shared" si="72"/>
        <v>1.5912137276187779E-3</v>
      </c>
      <c r="AL122" s="25">
        <f t="shared" si="73"/>
        <v>9.9930125321862871E-3</v>
      </c>
      <c r="AM122" s="25">
        <f t="shared" si="74"/>
        <v>1.5491301988321878E-2</v>
      </c>
      <c r="AN122" s="378">
        <f t="shared" si="75"/>
        <v>5.6626468194213835E-3</v>
      </c>
      <c r="AO122" s="379">
        <f t="shared" si="76"/>
        <v>5.3946037743488355E-3</v>
      </c>
      <c r="AP122" s="30"/>
      <c r="AQ122" s="28"/>
      <c r="AR122" s="32"/>
      <c r="AS122" s="29"/>
      <c r="AT122" s="29"/>
    </row>
    <row r="123" spans="1:46" s="365" customFormat="1">
      <c r="A123" s="200" t="s">
        <v>239</v>
      </c>
      <c r="B123" s="323">
        <v>3110666057.9299998</v>
      </c>
      <c r="C123" s="323">
        <v>16.975899999999999</v>
      </c>
      <c r="D123" s="323">
        <v>3161579693.9099998</v>
      </c>
      <c r="E123" s="323">
        <v>16.876100000000001</v>
      </c>
      <c r="F123" s="23">
        <f t="shared" si="131"/>
        <v>1.6367438687353221E-2</v>
      </c>
      <c r="G123" s="23">
        <f t="shared" si="132"/>
        <v>-5.8789224724461351E-3</v>
      </c>
      <c r="H123" s="323">
        <v>3146529104.1599998</v>
      </c>
      <c r="I123" s="323">
        <v>16.984500000000001</v>
      </c>
      <c r="J123" s="23">
        <f t="shared" si="133"/>
        <v>-4.7604650861691805E-3</v>
      </c>
      <c r="K123" s="23">
        <f t="shared" si="134"/>
        <v>6.4232850006814132E-3</v>
      </c>
      <c r="L123" s="323">
        <v>3139142049.8600001</v>
      </c>
      <c r="M123" s="323">
        <v>17.014700000000001</v>
      </c>
      <c r="N123" s="23">
        <f t="shared" si="135"/>
        <v>-2.3476834491164729E-3</v>
      </c>
      <c r="O123" s="23">
        <f t="shared" si="136"/>
        <v>1.7780917895728852E-3</v>
      </c>
      <c r="P123" s="323">
        <v>3204670184.5100002</v>
      </c>
      <c r="Q123" s="323">
        <v>17.276199999999999</v>
      </c>
      <c r="R123" s="23">
        <f t="shared" si="137"/>
        <v>2.0874536293418938E-2</v>
      </c>
      <c r="S123" s="23">
        <f t="shared" si="138"/>
        <v>1.5369063221802209E-2</v>
      </c>
      <c r="T123" s="323">
        <v>3322021353.6500001</v>
      </c>
      <c r="U123" s="323">
        <v>17.567</v>
      </c>
      <c r="V123" s="23">
        <f t="shared" si="139"/>
        <v>3.6618797686958561E-2</v>
      </c>
      <c r="W123" s="23">
        <f t="shared" si="140"/>
        <v>1.6832405274308057E-2</v>
      </c>
      <c r="X123" s="323">
        <v>3362499867.3800001</v>
      </c>
      <c r="Y123" s="323">
        <v>17.998799999999999</v>
      </c>
      <c r="Z123" s="23">
        <f t="shared" si="141"/>
        <v>1.2184904737450021E-2</v>
      </c>
      <c r="AA123" s="23">
        <f t="shared" si="142"/>
        <v>2.4580178744236299E-2</v>
      </c>
      <c r="AB123" s="323">
        <v>3269943808.6799998</v>
      </c>
      <c r="AC123" s="323">
        <v>18.497299999999999</v>
      </c>
      <c r="AD123" s="23">
        <f t="shared" si="143"/>
        <v>-2.7525966498288167E-2</v>
      </c>
      <c r="AE123" s="23">
        <f t="shared" si="144"/>
        <v>2.7696290863835366E-2</v>
      </c>
      <c r="AF123" s="323">
        <v>3254629165.5700002</v>
      </c>
      <c r="AG123" s="323">
        <v>18.341899999999999</v>
      </c>
      <c r="AH123" s="23">
        <f t="shared" si="145"/>
        <v>-4.6834575778786306E-3</v>
      </c>
      <c r="AI123" s="23">
        <f t="shared" si="146"/>
        <v>-8.4012261248939141E-3</v>
      </c>
      <c r="AJ123" s="24">
        <f t="shared" si="71"/>
        <v>5.8410130992160355E-3</v>
      </c>
      <c r="AK123" s="24">
        <f t="shared" si="72"/>
        <v>9.7998957871370234E-3</v>
      </c>
      <c r="AL123" s="25">
        <f t="shared" si="73"/>
        <v>2.9431322525014025E-2</v>
      </c>
      <c r="AM123" s="25">
        <f t="shared" si="74"/>
        <v>8.685656046124389E-2</v>
      </c>
      <c r="AN123" s="378">
        <f t="shared" si="75"/>
        <v>1.9740803797173585E-2</v>
      </c>
      <c r="AO123" s="379">
        <f t="shared" si="76"/>
        <v>1.6749492028016216E-2</v>
      </c>
      <c r="AP123" s="30"/>
      <c r="AQ123" s="28"/>
      <c r="AR123" s="32"/>
      <c r="AS123" s="29"/>
      <c r="AT123" s="29"/>
    </row>
    <row r="124" spans="1:46">
      <c r="A124" s="200" t="s">
        <v>142</v>
      </c>
      <c r="B124" s="324">
        <v>1172510831.96</v>
      </c>
      <c r="C124" s="323">
        <v>2.7671000000000001</v>
      </c>
      <c r="D124" s="324">
        <v>1192191747.8199999</v>
      </c>
      <c r="E124" s="323">
        <v>2.8462999999999998</v>
      </c>
      <c r="F124" s="23">
        <f t="shared" si="131"/>
        <v>1.6785274236742663E-2</v>
      </c>
      <c r="G124" s="23">
        <f t="shared" si="132"/>
        <v>2.8622023056629579E-2</v>
      </c>
      <c r="H124" s="324">
        <v>1190963374.2</v>
      </c>
      <c r="I124" s="323">
        <v>2.8431999999999999</v>
      </c>
      <c r="J124" s="23">
        <f t="shared" si="133"/>
        <v>-1.0303490375990663E-3</v>
      </c>
      <c r="K124" s="23">
        <f t="shared" si="134"/>
        <v>-1.0891332607244075E-3</v>
      </c>
      <c r="L124" s="324">
        <v>1185559244.05</v>
      </c>
      <c r="M124" s="323">
        <v>2.8370000000000002</v>
      </c>
      <c r="N124" s="23">
        <f t="shared" si="135"/>
        <v>-4.537612379247334E-3</v>
      </c>
      <c r="O124" s="23">
        <f t="shared" si="136"/>
        <v>-2.1806415306695839E-3</v>
      </c>
      <c r="P124" s="324">
        <v>1185559244.05</v>
      </c>
      <c r="Q124" s="323">
        <v>2.871</v>
      </c>
      <c r="R124" s="23">
        <f t="shared" si="137"/>
        <v>0</v>
      </c>
      <c r="S124" s="23">
        <f t="shared" si="138"/>
        <v>1.1984490659146918E-2</v>
      </c>
      <c r="T124" s="324">
        <v>1245841494.54</v>
      </c>
      <c r="U124" s="323">
        <v>2.9805999999999999</v>
      </c>
      <c r="V124" s="23">
        <f t="shared" si="139"/>
        <v>5.0847100887231288E-2</v>
      </c>
      <c r="W124" s="23">
        <f t="shared" si="140"/>
        <v>3.8174851967955385E-2</v>
      </c>
      <c r="X124" s="324">
        <v>1260693337.28</v>
      </c>
      <c r="Y124" s="323">
        <v>3.0183</v>
      </c>
      <c r="Z124" s="23">
        <f t="shared" si="141"/>
        <v>1.1921133470902517E-2</v>
      </c>
      <c r="AA124" s="23">
        <f t="shared" si="142"/>
        <v>1.2648460041602385E-2</v>
      </c>
      <c r="AB124" s="324">
        <v>1245885409.1099999</v>
      </c>
      <c r="AC124" s="323">
        <v>2.9843000000000002</v>
      </c>
      <c r="AD124" s="23">
        <f t="shared" si="143"/>
        <v>-1.1745860576965384E-2</v>
      </c>
      <c r="AE124" s="23">
        <f t="shared" si="144"/>
        <v>-1.1264619156478748E-2</v>
      </c>
      <c r="AF124" s="324">
        <v>1212650456.8699999</v>
      </c>
      <c r="AG124" s="323">
        <v>2.9024999999999999</v>
      </c>
      <c r="AH124" s="23">
        <f t="shared" si="145"/>
        <v>-2.667576969517722E-2</v>
      </c>
      <c r="AI124" s="23">
        <f t="shared" si="146"/>
        <v>-2.741011292430396E-2</v>
      </c>
      <c r="AJ124" s="24">
        <f t="shared" si="71"/>
        <v>4.4454896132359329E-3</v>
      </c>
      <c r="AK124" s="24">
        <f t="shared" si="72"/>
        <v>6.1856648566446957E-3</v>
      </c>
      <c r="AL124" s="25">
        <f t="shared" si="73"/>
        <v>1.7160586027717462E-2</v>
      </c>
      <c r="AM124" s="25">
        <f t="shared" si="74"/>
        <v>1.9744932017004543E-2</v>
      </c>
      <c r="AN124" s="378">
        <f t="shared" si="75"/>
        <v>2.3060172761792827E-2</v>
      </c>
      <c r="AO124" s="379">
        <f t="shared" si="76"/>
        <v>2.1297877405123986E-2</v>
      </c>
      <c r="AP124" s="30"/>
      <c r="AQ124" s="56">
        <f>SUM(AQ115:AQ120)</f>
        <v>4923038917.1999998</v>
      </c>
      <c r="AR124" s="13"/>
      <c r="AS124" s="29" t="e">
        <f>(#REF!/AQ124)-1</f>
        <v>#REF!</v>
      </c>
      <c r="AT124" s="29" t="e">
        <f>(#REF!/AR124)-1</f>
        <v>#REF!</v>
      </c>
    </row>
    <row r="125" spans="1:46">
      <c r="A125" s="200" t="s">
        <v>261</v>
      </c>
      <c r="B125" s="324">
        <v>2765772017.4156599</v>
      </c>
      <c r="C125" s="323">
        <v>5161.76841462434</v>
      </c>
      <c r="D125" s="324">
        <v>2780286642.5514998</v>
      </c>
      <c r="E125" s="323">
        <v>5180.0532889984097</v>
      </c>
      <c r="F125" s="23">
        <f t="shared" si="131"/>
        <v>5.2479470630418844E-3</v>
      </c>
      <c r="G125" s="23">
        <f t="shared" si="132"/>
        <v>3.5423662794062767E-3</v>
      </c>
      <c r="H125" s="324">
        <v>2788129733.9608202</v>
      </c>
      <c r="I125" s="323">
        <v>5194.5260950062902</v>
      </c>
      <c r="J125" s="23">
        <f t="shared" si="133"/>
        <v>2.8209650362247046E-3</v>
      </c>
      <c r="K125" s="23">
        <f t="shared" si="134"/>
        <v>2.7939492511821107E-3</v>
      </c>
      <c r="L125" s="324">
        <v>2770696574.1588702</v>
      </c>
      <c r="M125" s="323">
        <v>5126.5014879937098</v>
      </c>
      <c r="N125" s="23">
        <f t="shared" si="135"/>
        <v>-6.2526358044266515E-3</v>
      </c>
      <c r="O125" s="23">
        <f t="shared" si="136"/>
        <v>-1.3095440424868642E-2</v>
      </c>
      <c r="P125" s="324">
        <v>2787327323.64955</v>
      </c>
      <c r="Q125" s="323">
        <v>5199.9387916825999</v>
      </c>
      <c r="R125" s="23">
        <f t="shared" si="137"/>
        <v>6.0023712613599756E-3</v>
      </c>
      <c r="S125" s="23">
        <f t="shared" si="138"/>
        <v>1.4325033136317351E-2</v>
      </c>
      <c r="T125" s="324">
        <v>2863828573.4371901</v>
      </c>
      <c r="U125" s="323">
        <v>5339.21632797846</v>
      </c>
      <c r="V125" s="23">
        <f t="shared" si="139"/>
        <v>2.7446094736901658E-2</v>
      </c>
      <c r="W125" s="23">
        <f t="shared" si="140"/>
        <v>2.6784456870653381E-2</v>
      </c>
      <c r="X125" s="324">
        <v>2916013333.4011302</v>
      </c>
      <c r="Y125" s="323">
        <v>5399.78863918967</v>
      </c>
      <c r="Z125" s="23">
        <f t="shared" si="141"/>
        <v>1.8222026432716108E-2</v>
      </c>
      <c r="AA125" s="23">
        <f t="shared" si="142"/>
        <v>1.1344794346278903E-2</v>
      </c>
      <c r="AB125" s="324">
        <v>2856098748.25137</v>
      </c>
      <c r="AC125" s="323">
        <v>5307.4907533654496</v>
      </c>
      <c r="AD125" s="23">
        <f t="shared" si="143"/>
        <v>-2.0546745950533116E-2</v>
      </c>
      <c r="AE125" s="23">
        <f t="shared" si="144"/>
        <v>-1.7092870108721753E-2</v>
      </c>
      <c r="AF125" s="324">
        <v>2869224009.1135802</v>
      </c>
      <c r="AG125" s="323">
        <v>5330.5719750109101</v>
      </c>
      <c r="AH125" s="23">
        <f t="shared" si="145"/>
        <v>4.5955206801747105E-3</v>
      </c>
      <c r="AI125" s="23">
        <f t="shared" si="146"/>
        <v>4.3488011035770343E-3</v>
      </c>
      <c r="AJ125" s="24">
        <f t="shared" si="71"/>
        <v>4.691942931932409E-3</v>
      </c>
      <c r="AK125" s="24">
        <f t="shared" si="72"/>
        <v>4.1188863067280817E-3</v>
      </c>
      <c r="AL125" s="25">
        <f t="shared" si="73"/>
        <v>3.1988560172508534E-2</v>
      </c>
      <c r="AM125" s="25">
        <f t="shared" si="74"/>
        <v>2.9057362466169533E-2</v>
      </c>
      <c r="AN125" s="378">
        <f t="shared" si="75"/>
        <v>1.4457454936375284E-2</v>
      </c>
      <c r="AO125" s="379">
        <f t="shared" si="76"/>
        <v>1.5002301088402635E-2</v>
      </c>
      <c r="AP125" s="30"/>
      <c r="AQ125" s="12" t="e">
        <f>SUM(AQ21,AQ53,#REF!,#REF!,AQ90,AQ113,AQ124)</f>
        <v>#REF!</v>
      </c>
      <c r="AR125" s="13"/>
      <c r="AS125" s="29" t="e">
        <f>(#REF!/AQ125)-1</f>
        <v>#REF!</v>
      </c>
      <c r="AT125" s="29" t="e">
        <f>(#REF!/AR125)-1</f>
        <v>#REF!</v>
      </c>
    </row>
    <row r="126" spans="1:46" ht="15" customHeight="1">
      <c r="A126" s="200" t="s">
        <v>155</v>
      </c>
      <c r="B126" s="323">
        <v>429083634.07999998</v>
      </c>
      <c r="C126" s="323">
        <v>156.9</v>
      </c>
      <c r="D126" s="323">
        <v>425887457.70999998</v>
      </c>
      <c r="E126" s="323">
        <v>154.74</v>
      </c>
      <c r="F126" s="23">
        <f t="shared" si="131"/>
        <v>-7.4488424077346601E-3</v>
      </c>
      <c r="G126" s="23">
        <f t="shared" si="132"/>
        <v>-1.3766730401529615E-2</v>
      </c>
      <c r="H126" s="323">
        <v>430921309.29000002</v>
      </c>
      <c r="I126" s="323">
        <v>156.74</v>
      </c>
      <c r="J126" s="23">
        <f t="shared" si="133"/>
        <v>1.1819675571257958E-2</v>
      </c>
      <c r="K126" s="23">
        <f t="shared" si="134"/>
        <v>1.2924906294429364E-2</v>
      </c>
      <c r="L126" s="323">
        <v>416776146.10000002</v>
      </c>
      <c r="M126" s="323">
        <v>154.24</v>
      </c>
      <c r="N126" s="23">
        <f t="shared" si="135"/>
        <v>-3.2825397317449975E-2</v>
      </c>
      <c r="O126" s="23">
        <f t="shared" si="136"/>
        <v>-1.5949980860022969E-2</v>
      </c>
      <c r="P126" s="323">
        <v>419031720.31</v>
      </c>
      <c r="Q126" s="323">
        <v>152.9</v>
      </c>
      <c r="R126" s="23">
        <f t="shared" si="137"/>
        <v>5.4119561090686386E-3</v>
      </c>
      <c r="S126" s="23">
        <f t="shared" si="138"/>
        <v>-8.6877593360996062E-3</v>
      </c>
      <c r="T126" s="323">
        <v>430045074.02999997</v>
      </c>
      <c r="U126" s="323">
        <v>157.25</v>
      </c>
      <c r="V126" s="23">
        <f t="shared" si="139"/>
        <v>2.6282864008128744E-2</v>
      </c>
      <c r="W126" s="23">
        <f t="shared" si="140"/>
        <v>2.8449967298888126E-2</v>
      </c>
      <c r="X126" s="323">
        <v>442825424.91000003</v>
      </c>
      <c r="Y126" s="323">
        <v>161.84</v>
      </c>
      <c r="Z126" s="23">
        <f t="shared" si="141"/>
        <v>2.9718631026822311E-2</v>
      </c>
      <c r="AA126" s="23">
        <f t="shared" si="142"/>
        <v>2.918918918918921E-2</v>
      </c>
      <c r="AB126" s="323">
        <v>429426357.94</v>
      </c>
      <c r="AC126" s="323">
        <v>156.62</v>
      </c>
      <c r="AD126" s="23">
        <f t="shared" si="143"/>
        <v>-3.0258124796522828E-2</v>
      </c>
      <c r="AE126" s="23">
        <f t="shared" si="144"/>
        <v>-3.225407810182896E-2</v>
      </c>
      <c r="AF126" s="323">
        <v>431738448.56999999</v>
      </c>
      <c r="AG126" s="323">
        <v>157.46</v>
      </c>
      <c r="AH126" s="23">
        <f t="shared" si="145"/>
        <v>5.3841376693580687E-3</v>
      </c>
      <c r="AI126" s="23">
        <f t="shared" si="146"/>
        <v>5.3632997062955136E-3</v>
      </c>
      <c r="AJ126" s="24">
        <f t="shared" si="71"/>
        <v>1.010612482866032E-3</v>
      </c>
      <c r="AK126" s="24">
        <f t="shared" si="72"/>
        <v>6.5860172366513257E-4</v>
      </c>
      <c r="AL126" s="25">
        <f t="shared" si="73"/>
        <v>1.3738349777804765E-2</v>
      </c>
      <c r="AM126" s="25">
        <f t="shared" si="74"/>
        <v>1.7577872560423927E-2</v>
      </c>
      <c r="AN126" s="378">
        <f t="shared" si="75"/>
        <v>2.3337108054091952E-2</v>
      </c>
      <c r="AO126" s="379">
        <f t="shared" si="76"/>
        <v>2.1664937176525085E-2</v>
      </c>
      <c r="AP126" s="30"/>
      <c r="AQ126" s="57"/>
      <c r="AR126" s="58"/>
      <c r="AS126" s="29" t="e">
        <f>(#REF!/AQ126)-1</f>
        <v>#REF!</v>
      </c>
      <c r="AT126" s="29" t="e">
        <f>(#REF!/AR126)-1</f>
        <v>#REF!</v>
      </c>
    </row>
    <row r="127" spans="1:46" ht="17.25" customHeight="1">
      <c r="A127" s="200" t="s">
        <v>179</v>
      </c>
      <c r="B127" s="323">
        <v>3734808.11</v>
      </c>
      <c r="C127" s="323">
        <v>102.99</v>
      </c>
      <c r="D127" s="323">
        <v>3734808.11</v>
      </c>
      <c r="E127" s="323">
        <v>102.99</v>
      </c>
      <c r="F127" s="23">
        <f t="shared" si="131"/>
        <v>0</v>
      </c>
      <c r="G127" s="23">
        <f t="shared" si="132"/>
        <v>0</v>
      </c>
      <c r="H127" s="323">
        <v>3734808.11</v>
      </c>
      <c r="I127" s="323">
        <v>102.99</v>
      </c>
      <c r="J127" s="23">
        <f t="shared" si="133"/>
        <v>0</v>
      </c>
      <c r="K127" s="23">
        <f t="shared" si="134"/>
        <v>0</v>
      </c>
      <c r="L127" s="323">
        <v>3734808.11</v>
      </c>
      <c r="M127" s="323">
        <v>102.99</v>
      </c>
      <c r="N127" s="23">
        <f t="shared" si="135"/>
        <v>0</v>
      </c>
      <c r="O127" s="23">
        <f t="shared" si="136"/>
        <v>0</v>
      </c>
      <c r="P127" s="323">
        <v>3734808.11</v>
      </c>
      <c r="Q127" s="323">
        <v>102.99</v>
      </c>
      <c r="R127" s="23">
        <f t="shared" si="137"/>
        <v>0</v>
      </c>
      <c r="S127" s="23">
        <f t="shared" si="138"/>
        <v>0</v>
      </c>
      <c r="T127" s="323">
        <v>3734808.11</v>
      </c>
      <c r="U127" s="323">
        <v>102.99</v>
      </c>
      <c r="V127" s="23">
        <f t="shared" si="139"/>
        <v>0</v>
      </c>
      <c r="W127" s="23">
        <f t="shared" si="140"/>
        <v>0</v>
      </c>
      <c r="X127" s="323">
        <v>3734808.11</v>
      </c>
      <c r="Y127" s="323">
        <v>102.99</v>
      </c>
      <c r="Z127" s="23">
        <f t="shared" si="141"/>
        <v>0</v>
      </c>
      <c r="AA127" s="23">
        <f t="shared" si="142"/>
        <v>0</v>
      </c>
      <c r="AB127" s="323">
        <v>3734808.11</v>
      </c>
      <c r="AC127" s="323">
        <v>102.99</v>
      </c>
      <c r="AD127" s="23">
        <f t="shared" si="143"/>
        <v>0</v>
      </c>
      <c r="AE127" s="23">
        <f t="shared" si="144"/>
        <v>0</v>
      </c>
      <c r="AF127" s="323">
        <v>3734808.11</v>
      </c>
      <c r="AG127" s="323">
        <v>102.99</v>
      </c>
      <c r="AH127" s="23">
        <f t="shared" si="145"/>
        <v>0</v>
      </c>
      <c r="AI127" s="23">
        <f t="shared" si="146"/>
        <v>0</v>
      </c>
      <c r="AJ127" s="24">
        <f t="shared" si="71"/>
        <v>0</v>
      </c>
      <c r="AK127" s="24">
        <f t="shared" si="72"/>
        <v>0</v>
      </c>
      <c r="AL127" s="25">
        <f t="shared" si="73"/>
        <v>0</v>
      </c>
      <c r="AM127" s="25">
        <f t="shared" si="74"/>
        <v>0</v>
      </c>
      <c r="AN127" s="378">
        <f t="shared" si="75"/>
        <v>0</v>
      </c>
      <c r="AO127" s="379">
        <f t="shared" si="76"/>
        <v>0</v>
      </c>
      <c r="AP127" s="30"/>
      <c r="AQ127" s="465" t="s">
        <v>84</v>
      </c>
      <c r="AR127" s="465"/>
      <c r="AS127" s="29" t="e">
        <f>(#REF!/AQ127)-1</f>
        <v>#REF!</v>
      </c>
      <c r="AT127" s="29" t="e">
        <f>(#REF!/AR127)-1</f>
        <v>#REF!</v>
      </c>
    </row>
    <row r="128" spans="1:46" ht="16.5" customHeight="1">
      <c r="A128" s="200" t="s">
        <v>109</v>
      </c>
      <c r="B128" s="323">
        <v>162810556.72999999</v>
      </c>
      <c r="C128" s="323">
        <v>1.4359999999999999</v>
      </c>
      <c r="D128" s="323">
        <v>164146634.36000001</v>
      </c>
      <c r="E128" s="323">
        <v>1.4474</v>
      </c>
      <c r="F128" s="23">
        <f t="shared" si="131"/>
        <v>8.2063329112972393E-3</v>
      </c>
      <c r="G128" s="23">
        <f t="shared" si="132"/>
        <v>7.9387186629527005E-3</v>
      </c>
      <c r="H128" s="323">
        <v>163299574.40000001</v>
      </c>
      <c r="I128" s="323">
        <v>1.4474</v>
      </c>
      <c r="J128" s="23">
        <f t="shared" si="133"/>
        <v>-5.1603857934867511E-3</v>
      </c>
      <c r="K128" s="23">
        <f t="shared" si="134"/>
        <v>0</v>
      </c>
      <c r="L128" s="323">
        <v>162535800.59</v>
      </c>
      <c r="M128" s="323">
        <v>1.4359999999999999</v>
      </c>
      <c r="N128" s="23">
        <f t="shared" si="135"/>
        <v>-4.6771328878613561E-3</v>
      </c>
      <c r="O128" s="23">
        <f t="shared" si="136"/>
        <v>-7.8761917921791325E-3</v>
      </c>
      <c r="P128" s="323">
        <v>164143275.25</v>
      </c>
      <c r="Q128" s="323">
        <v>1.4492</v>
      </c>
      <c r="R128" s="23">
        <f t="shared" si="137"/>
        <v>9.8899728808355594E-3</v>
      </c>
      <c r="S128" s="23">
        <f t="shared" si="138"/>
        <v>9.1922005571031338E-3</v>
      </c>
      <c r="T128" s="323">
        <v>172327437.09999999</v>
      </c>
      <c r="U128" s="323">
        <v>1.4803999999999999</v>
      </c>
      <c r="V128" s="23">
        <f t="shared" si="139"/>
        <v>4.985986686043048E-2</v>
      </c>
      <c r="W128" s="23">
        <f t="shared" si="140"/>
        <v>2.1529119514214667E-2</v>
      </c>
      <c r="X128" s="323">
        <v>166178349.90000001</v>
      </c>
      <c r="Y128" s="323">
        <v>1.2060999999999999</v>
      </c>
      <c r="Z128" s="23">
        <f t="shared" si="141"/>
        <v>-3.5682577907960936E-2</v>
      </c>
      <c r="AA128" s="23">
        <f t="shared" si="142"/>
        <v>-0.18528776006484735</v>
      </c>
      <c r="AB128" s="323">
        <v>163596341.93000001</v>
      </c>
      <c r="AC128" s="323">
        <v>1.4673</v>
      </c>
      <c r="AD128" s="23">
        <f t="shared" si="143"/>
        <v>-1.5537571359649172E-2</v>
      </c>
      <c r="AE128" s="23">
        <f t="shared" si="144"/>
        <v>0.21656579056462988</v>
      </c>
      <c r="AF128" s="323">
        <v>162860881.53</v>
      </c>
      <c r="AG128" s="323">
        <v>1.4594</v>
      </c>
      <c r="AH128" s="23">
        <f t="shared" si="145"/>
        <v>-4.4955797380524347E-3</v>
      </c>
      <c r="AI128" s="23">
        <f t="shared" si="146"/>
        <v>-5.3840387105568172E-3</v>
      </c>
      <c r="AJ128" s="24">
        <f t="shared" si="71"/>
        <v>3.0036562069407852E-4</v>
      </c>
      <c r="AK128" s="24">
        <f t="shared" si="72"/>
        <v>7.0847298414146373E-3</v>
      </c>
      <c r="AL128" s="25">
        <f t="shared" si="73"/>
        <v>-7.8329527438262912E-3</v>
      </c>
      <c r="AM128" s="25">
        <f t="shared" si="74"/>
        <v>8.2907282022937762E-3</v>
      </c>
      <c r="AN128" s="378">
        <f t="shared" si="75"/>
        <v>2.4593314746111716E-2</v>
      </c>
      <c r="AO128" s="379">
        <f t="shared" si="76"/>
        <v>6.700559778566148E-2</v>
      </c>
      <c r="AP128" s="30"/>
      <c r="AQ128" s="59" t="s">
        <v>72</v>
      </c>
      <c r="AR128" s="60" t="s">
        <v>73</v>
      </c>
      <c r="AS128" s="29" t="e">
        <f>(#REF!/AQ128)-1</f>
        <v>#REF!</v>
      </c>
      <c r="AT128" s="29" t="e">
        <f>(#REF!/AR128)-1</f>
        <v>#REF!</v>
      </c>
    </row>
    <row r="129" spans="1:46" s="365" customFormat="1" ht="16.5" customHeight="1">
      <c r="A129" s="200" t="s">
        <v>243</v>
      </c>
      <c r="B129" s="319">
        <v>84697979.370000005</v>
      </c>
      <c r="C129" s="323">
        <v>121.6553</v>
      </c>
      <c r="D129" s="319">
        <v>84110906.269999996</v>
      </c>
      <c r="E129" s="323">
        <v>120.76900000000001</v>
      </c>
      <c r="F129" s="23">
        <f t="shared" si="131"/>
        <v>-6.9313707879074858E-3</v>
      </c>
      <c r="G129" s="23">
        <f t="shared" si="132"/>
        <v>-7.2853381644695419E-3</v>
      </c>
      <c r="H129" s="319">
        <v>99231279.709999993</v>
      </c>
      <c r="I129" s="323">
        <v>121.371</v>
      </c>
      <c r="J129" s="23">
        <f t="shared" si="133"/>
        <v>0.17976709692632348</v>
      </c>
      <c r="K129" s="23">
        <f t="shared" si="134"/>
        <v>4.9847229007443103E-3</v>
      </c>
      <c r="L129" s="319">
        <v>99127290.280000001</v>
      </c>
      <c r="M129" s="323">
        <v>120.9435</v>
      </c>
      <c r="N129" s="23">
        <f t="shared" si="135"/>
        <v>-1.0479501050868012E-3</v>
      </c>
      <c r="O129" s="23">
        <f t="shared" si="136"/>
        <v>-3.5222582000642238E-3</v>
      </c>
      <c r="P129" s="319">
        <v>105503200.2</v>
      </c>
      <c r="Q129" s="323">
        <v>121.22669999999999</v>
      </c>
      <c r="R129" s="23">
        <f t="shared" si="137"/>
        <v>6.4320429843187296E-2</v>
      </c>
      <c r="S129" s="23">
        <f t="shared" si="138"/>
        <v>2.3415892544865467E-3</v>
      </c>
      <c r="T129" s="319">
        <v>107205100.59</v>
      </c>
      <c r="U129" s="323">
        <v>123.00530000000001</v>
      </c>
      <c r="V129" s="23">
        <f t="shared" si="139"/>
        <v>1.6131267930960834E-2</v>
      </c>
      <c r="W129" s="23">
        <f t="shared" si="140"/>
        <v>1.4671685363043056E-2</v>
      </c>
      <c r="X129" s="319">
        <v>113252406.45</v>
      </c>
      <c r="Y129" s="323">
        <v>124.3608</v>
      </c>
      <c r="Z129" s="23">
        <f t="shared" si="141"/>
        <v>5.6408751325439141E-2</v>
      </c>
      <c r="AA129" s="23">
        <f t="shared" si="142"/>
        <v>1.1019850364171236E-2</v>
      </c>
      <c r="AB129" s="319">
        <v>112785306.44</v>
      </c>
      <c r="AC129" s="323">
        <v>123.0081</v>
      </c>
      <c r="AD129" s="23">
        <f t="shared" si="143"/>
        <v>-4.1244157598207517E-3</v>
      </c>
      <c r="AE129" s="23">
        <f t="shared" si="144"/>
        <v>-1.0877221761198052E-2</v>
      </c>
      <c r="AF129" s="319">
        <v>112786583.75</v>
      </c>
      <c r="AG129" s="323">
        <v>123.3403</v>
      </c>
      <c r="AH129" s="23">
        <f t="shared" si="145"/>
        <v>1.1325145449526202E-5</v>
      </c>
      <c r="AI129" s="23">
        <f t="shared" si="146"/>
        <v>2.7006351614243312E-3</v>
      </c>
      <c r="AJ129" s="24">
        <f t="shared" si="71"/>
        <v>3.8066891814818156E-2</v>
      </c>
      <c r="AK129" s="24">
        <f t="shared" si="72"/>
        <v>1.7542081147672076E-3</v>
      </c>
      <c r="AL129" s="25">
        <f t="shared" si="73"/>
        <v>0.34092698261923038</v>
      </c>
      <c r="AM129" s="25">
        <f t="shared" si="74"/>
        <v>2.1291059791833943E-2</v>
      </c>
      <c r="AN129" s="378">
        <f t="shared" si="75"/>
        <v>6.3660863597883921E-2</v>
      </c>
      <c r="AO129" s="379">
        <f t="shared" si="76"/>
        <v>7.5857288476207886E-3</v>
      </c>
      <c r="AP129" s="30"/>
      <c r="AQ129" s="59"/>
      <c r="AR129" s="60"/>
      <c r="AS129" s="29"/>
      <c r="AT129" s="29"/>
    </row>
    <row r="130" spans="1:46" ht="14.25" customHeight="1">
      <c r="A130" s="200" t="s">
        <v>232</v>
      </c>
      <c r="B130" s="319">
        <v>177609366.86000001</v>
      </c>
      <c r="C130" s="323">
        <v>113.66</v>
      </c>
      <c r="D130" s="319">
        <v>177835881.47</v>
      </c>
      <c r="E130" s="323">
        <v>113.85</v>
      </c>
      <c r="F130" s="23">
        <f t="shared" si="131"/>
        <v>1.2753528375478861E-3</v>
      </c>
      <c r="G130" s="23">
        <f t="shared" si="132"/>
        <v>1.671652296322345E-3</v>
      </c>
      <c r="H130" s="319">
        <v>177983926.46000001</v>
      </c>
      <c r="I130" s="323">
        <v>114.06</v>
      </c>
      <c r="J130" s="23">
        <f t="shared" si="133"/>
        <v>8.3248098626813945E-4</v>
      </c>
      <c r="K130" s="23">
        <f t="shared" si="134"/>
        <v>1.844532279314958E-3</v>
      </c>
      <c r="L130" s="319">
        <v>177861281.72999999</v>
      </c>
      <c r="M130" s="323">
        <v>113.48</v>
      </c>
      <c r="N130" s="23">
        <f t="shared" si="135"/>
        <v>-6.8907756132451754E-4</v>
      </c>
      <c r="O130" s="23">
        <f t="shared" si="136"/>
        <v>-5.0850429598456801E-3</v>
      </c>
      <c r="P130" s="319">
        <v>179824986.94999999</v>
      </c>
      <c r="Q130" s="323">
        <v>114.17</v>
      </c>
      <c r="R130" s="23">
        <f t="shared" si="137"/>
        <v>1.1040655958956688E-2</v>
      </c>
      <c r="S130" s="23">
        <f t="shared" si="138"/>
        <v>6.0803665844201419E-3</v>
      </c>
      <c r="T130" s="319">
        <v>180191552.40000001</v>
      </c>
      <c r="U130" s="323">
        <v>114.84</v>
      </c>
      <c r="V130" s="23">
        <f t="shared" si="139"/>
        <v>2.0384567029160454E-3</v>
      </c>
      <c r="W130" s="23">
        <f t="shared" si="140"/>
        <v>5.8684417973198007E-3</v>
      </c>
      <c r="X130" s="319">
        <v>180686237.71000001</v>
      </c>
      <c r="Y130" s="323">
        <v>115.23</v>
      </c>
      <c r="Z130" s="23">
        <f t="shared" si="141"/>
        <v>2.7453301967334757E-3</v>
      </c>
      <c r="AA130" s="23">
        <f t="shared" si="142"/>
        <v>3.3960292580982286E-3</v>
      </c>
      <c r="AB130" s="319">
        <v>180415683.75999999</v>
      </c>
      <c r="AC130" s="323">
        <v>115.18</v>
      </c>
      <c r="AD130" s="23">
        <f t="shared" si="143"/>
        <v>-1.4973688833692738E-3</v>
      </c>
      <c r="AE130" s="23">
        <f t="shared" si="144"/>
        <v>-4.3391477913735276E-4</v>
      </c>
      <c r="AF130" s="319">
        <v>180465262.38</v>
      </c>
      <c r="AG130" s="323">
        <v>115.29</v>
      </c>
      <c r="AH130" s="23">
        <f t="shared" si="145"/>
        <v>2.7480216224414996E-4</v>
      </c>
      <c r="AI130" s="23">
        <f t="shared" si="146"/>
        <v>9.5502691439485518E-4</v>
      </c>
      <c r="AJ130" s="24">
        <f t="shared" si="71"/>
        <v>2.0025790499965741E-3</v>
      </c>
      <c r="AK130" s="24">
        <f t="shared" si="72"/>
        <v>1.787136423860912E-3</v>
      </c>
      <c r="AL130" s="25">
        <f t="shared" si="73"/>
        <v>1.4785435246618437E-2</v>
      </c>
      <c r="AM130" s="25">
        <f t="shared" si="74"/>
        <v>1.2648221343873623E-2</v>
      </c>
      <c r="AN130" s="378">
        <f t="shared" si="75"/>
        <v>3.9027033112673756E-3</v>
      </c>
      <c r="AO130" s="379">
        <f t="shared" si="76"/>
        <v>3.7082901293643928E-3</v>
      </c>
      <c r="AP130" s="30"/>
      <c r="AQ130" s="53">
        <v>1901056000</v>
      </c>
      <c r="AR130" s="47">
        <v>12.64</v>
      </c>
      <c r="AS130" s="29" t="e">
        <f>(#REF!/AQ130)-1</f>
        <v>#REF!</v>
      </c>
      <c r="AT130" s="29" t="e">
        <f>(#REF!/AR130)-1</f>
        <v>#REF!</v>
      </c>
    </row>
    <row r="131" spans="1:46">
      <c r="A131" s="200" t="s">
        <v>259</v>
      </c>
      <c r="B131" s="324">
        <v>378863904.12</v>
      </c>
      <c r="C131" s="323">
        <v>1.2543</v>
      </c>
      <c r="D131" s="324">
        <v>443648904.97000003</v>
      </c>
      <c r="E131" s="323">
        <v>1.2548999999999999</v>
      </c>
      <c r="F131" s="23">
        <f t="shared" si="131"/>
        <v>0.1709980817530726</v>
      </c>
      <c r="G131" s="23">
        <f t="shared" si="132"/>
        <v>4.7835446065529294E-4</v>
      </c>
      <c r="H131" s="324">
        <v>434113394.18000001</v>
      </c>
      <c r="I131" s="323">
        <v>1.2607999999999999</v>
      </c>
      <c r="J131" s="23">
        <f t="shared" si="133"/>
        <v>-2.1493371635042856E-2</v>
      </c>
      <c r="K131" s="23">
        <f t="shared" si="134"/>
        <v>4.7015698462028977E-3</v>
      </c>
      <c r="L131" s="324">
        <v>522323143.73000002</v>
      </c>
      <c r="M131" s="323">
        <v>1.2607999999999999</v>
      </c>
      <c r="N131" s="23">
        <f t="shared" si="135"/>
        <v>0.20319518064311298</v>
      </c>
      <c r="O131" s="23">
        <f t="shared" si="136"/>
        <v>0</v>
      </c>
      <c r="P131" s="324">
        <v>519182707.39999998</v>
      </c>
      <c r="Q131" s="323">
        <v>1.2531000000000001</v>
      </c>
      <c r="R131" s="23">
        <f t="shared" si="137"/>
        <v>-6.0124395552792155E-3</v>
      </c>
      <c r="S131" s="23">
        <f t="shared" si="138"/>
        <v>-6.1072335025379272E-3</v>
      </c>
      <c r="T131" s="324">
        <v>530380478.81999999</v>
      </c>
      <c r="U131" s="323">
        <v>1.268</v>
      </c>
      <c r="V131" s="23">
        <f t="shared" si="139"/>
        <v>2.1568074707412756E-2</v>
      </c>
      <c r="W131" s="23">
        <f t="shared" si="140"/>
        <v>1.1890511531402052E-2</v>
      </c>
      <c r="X131" s="324">
        <v>536390332.81999999</v>
      </c>
      <c r="Y131" s="323">
        <v>1.2847999999999999</v>
      </c>
      <c r="Z131" s="23">
        <f t="shared" si="141"/>
        <v>1.1331212667123102E-2</v>
      </c>
      <c r="AA131" s="23">
        <f t="shared" si="142"/>
        <v>1.3249211356466818E-2</v>
      </c>
      <c r="AB131" s="324">
        <v>528682505.04000002</v>
      </c>
      <c r="AC131" s="323">
        <v>1.2639</v>
      </c>
      <c r="AD131" s="23">
        <f t="shared" si="143"/>
        <v>-1.4369811140102216E-2</v>
      </c>
      <c r="AE131" s="23">
        <f t="shared" si="144"/>
        <v>-1.626712328767117E-2</v>
      </c>
      <c r="AF131" s="324">
        <v>521727575.39999998</v>
      </c>
      <c r="AG131" s="323">
        <v>1.2548999999999999</v>
      </c>
      <c r="AH131" s="23">
        <f t="shared" si="145"/>
        <v>-1.3155210497222404E-2</v>
      </c>
      <c r="AI131" s="23">
        <f t="shared" si="146"/>
        <v>-7.1208165202944207E-3</v>
      </c>
      <c r="AJ131" s="24">
        <f t="shared" si="71"/>
        <v>4.4007714617884344E-2</v>
      </c>
      <c r="AK131" s="24">
        <f t="shared" si="72"/>
        <v>1.0305923552794303E-4</v>
      </c>
      <c r="AL131" s="25">
        <f t="shared" si="73"/>
        <v>0.17599202782948309</v>
      </c>
      <c r="AM131" s="25">
        <f t="shared" si="74"/>
        <v>0</v>
      </c>
      <c r="AN131" s="378">
        <f t="shared" si="75"/>
        <v>8.9846247674945159E-2</v>
      </c>
      <c r="AO131" s="379">
        <f t="shared" si="76"/>
        <v>9.508111081203665E-3</v>
      </c>
      <c r="AP131" s="30"/>
      <c r="AQ131" s="53">
        <v>106884243.56</v>
      </c>
      <c r="AR131" s="47">
        <v>2.92</v>
      </c>
      <c r="AS131" s="29" t="e">
        <f>(#REF!/AQ131)-1</f>
        <v>#REF!</v>
      </c>
      <c r="AT131" s="29" t="e">
        <f>(#REF!/AR131)-1</f>
        <v>#REF!</v>
      </c>
    </row>
    <row r="132" spans="1:46">
      <c r="A132" s="201" t="s">
        <v>126</v>
      </c>
      <c r="B132" s="323">
        <v>6074144231.3900003</v>
      </c>
      <c r="C132" s="323">
        <v>251.18</v>
      </c>
      <c r="D132" s="323">
        <v>6245064348.7700005</v>
      </c>
      <c r="E132" s="323">
        <v>258.22000000000003</v>
      </c>
      <c r="F132" s="23">
        <f t="shared" si="131"/>
        <v>2.8138962604265811E-2</v>
      </c>
      <c r="G132" s="23">
        <f t="shared" si="132"/>
        <v>2.8027709212517002E-2</v>
      </c>
      <c r="H132" s="323">
        <v>6224010652.3400002</v>
      </c>
      <c r="I132" s="323">
        <v>257.32</v>
      </c>
      <c r="J132" s="23">
        <f t="shared" si="133"/>
        <v>-3.3712537220127996E-3</v>
      </c>
      <c r="K132" s="23">
        <f t="shared" si="134"/>
        <v>-3.4854000464721322E-3</v>
      </c>
      <c r="L132" s="323">
        <v>6182725913.04</v>
      </c>
      <c r="M132" s="323">
        <v>255.83</v>
      </c>
      <c r="N132" s="23">
        <f t="shared" si="135"/>
        <v>-6.6331408485746472E-3</v>
      </c>
      <c r="O132" s="23">
        <f t="shared" si="136"/>
        <v>-5.7904554640136044E-3</v>
      </c>
      <c r="P132" s="323">
        <v>6300725764.1800003</v>
      </c>
      <c r="Q132" s="323">
        <v>260.70999999999998</v>
      </c>
      <c r="R132" s="23">
        <f t="shared" si="137"/>
        <v>1.9085408733893024E-2</v>
      </c>
      <c r="S132" s="23">
        <f t="shared" si="138"/>
        <v>1.9075167103154309E-2</v>
      </c>
      <c r="T132" s="323">
        <v>6519020773.8999996</v>
      </c>
      <c r="U132" s="323">
        <v>269.69</v>
      </c>
      <c r="V132" s="23">
        <f t="shared" si="139"/>
        <v>3.4646010299483179E-2</v>
      </c>
      <c r="W132" s="23">
        <f t="shared" si="140"/>
        <v>3.4444401825783511E-2</v>
      </c>
      <c r="X132" s="323">
        <v>6632477030.1300001</v>
      </c>
      <c r="Y132" s="323">
        <v>274.23</v>
      </c>
      <c r="Z132" s="23">
        <f t="shared" si="141"/>
        <v>1.7403880147804064E-2</v>
      </c>
      <c r="AA132" s="23">
        <f t="shared" si="142"/>
        <v>1.6834142904816718E-2</v>
      </c>
      <c r="AB132" s="323">
        <v>6557198037.6899996</v>
      </c>
      <c r="AC132" s="323">
        <v>270.95999999999998</v>
      </c>
      <c r="AD132" s="23">
        <f t="shared" si="143"/>
        <v>-1.1350057014600023E-2</v>
      </c>
      <c r="AE132" s="23">
        <f t="shared" si="144"/>
        <v>-1.1924297122853219E-2</v>
      </c>
      <c r="AF132" s="323">
        <v>6581243485.6899996</v>
      </c>
      <c r="AG132" s="323">
        <v>271.94</v>
      </c>
      <c r="AH132" s="23">
        <f t="shared" si="145"/>
        <v>3.6670309272023821E-3</v>
      </c>
      <c r="AI132" s="23">
        <f t="shared" si="146"/>
        <v>3.6167700029525328E-3</v>
      </c>
      <c r="AJ132" s="24">
        <f t="shared" si="71"/>
        <v>1.0198355140932624E-2</v>
      </c>
      <c r="AK132" s="24">
        <f t="shared" si="72"/>
        <v>1.009975480198564E-2</v>
      </c>
      <c r="AL132" s="25">
        <f t="shared" si="73"/>
        <v>5.3831172610128743E-2</v>
      </c>
      <c r="AM132" s="25">
        <f t="shared" si="74"/>
        <v>5.3132987375106376E-2</v>
      </c>
      <c r="AN132" s="378">
        <f t="shared" si="75"/>
        <v>1.7007890418614963E-2</v>
      </c>
      <c r="AO132" s="379">
        <f t="shared" si="76"/>
        <v>1.6814623361899941E-2</v>
      </c>
      <c r="AP132" s="30"/>
      <c r="AQ132" s="53">
        <v>84059843.040000007</v>
      </c>
      <c r="AR132" s="47">
        <v>7.19</v>
      </c>
      <c r="AS132" s="29" t="e">
        <f>(#REF!/AQ132)-1</f>
        <v>#REF!</v>
      </c>
      <c r="AT132" s="29" t="e">
        <f>(#REF!/AR132)-1</f>
        <v>#REF!</v>
      </c>
    </row>
    <row r="133" spans="1:46" s="365" customFormat="1">
      <c r="A133" s="200" t="s">
        <v>260</v>
      </c>
      <c r="B133" s="323">
        <v>2291800485.3400002</v>
      </c>
      <c r="C133" s="323">
        <v>1.6227</v>
      </c>
      <c r="D133" s="323">
        <v>2269683639.9899998</v>
      </c>
      <c r="E133" s="323">
        <v>1.6069</v>
      </c>
      <c r="F133" s="23">
        <f t="shared" si="131"/>
        <v>-9.6504235388183181E-3</v>
      </c>
      <c r="G133" s="23">
        <f t="shared" si="132"/>
        <v>-9.7368583225488602E-3</v>
      </c>
      <c r="H133" s="323">
        <v>2276844044.0500002</v>
      </c>
      <c r="I133" s="323">
        <v>1.6111</v>
      </c>
      <c r="J133" s="23">
        <f>((H133-D133)/D133)</f>
        <v>3.1548026931330253E-3</v>
      </c>
      <c r="K133" s="23">
        <f>((I133-E133)/E133)</f>
        <v>2.6137282967203818E-3</v>
      </c>
      <c r="L133" s="323">
        <v>2294747911.5799999</v>
      </c>
      <c r="M133" s="323">
        <v>1.6234999999999999</v>
      </c>
      <c r="N133" s="23">
        <f>((L133-H133)/H133)</f>
        <v>7.8634580074938842E-3</v>
      </c>
      <c r="O133" s="23">
        <f>((M133-I133)/I133)</f>
        <v>7.6966048041710424E-3</v>
      </c>
      <c r="P133" s="323">
        <v>2283745850.8400002</v>
      </c>
      <c r="Q133" s="323">
        <v>1.6155999999999999</v>
      </c>
      <c r="R133" s="23">
        <f>((P133-L133)/L133)</f>
        <v>-4.7944528828112263E-3</v>
      </c>
      <c r="S133" s="23">
        <f>((Q133-M133)/M133)</f>
        <v>-4.8660301817062017E-3</v>
      </c>
      <c r="T133" s="323">
        <v>2324468880.2800002</v>
      </c>
      <c r="U133" s="323">
        <v>1.6442000000000001</v>
      </c>
      <c r="V133" s="23">
        <f>((T133-P133)/P133)</f>
        <v>1.7831681850684674E-2</v>
      </c>
      <c r="W133" s="23">
        <f>((U133-Q133)/Q133)</f>
        <v>1.7702401584550744E-2</v>
      </c>
      <c r="X133" s="323">
        <v>2375635718.1199999</v>
      </c>
      <c r="Y133" s="323">
        <v>1.6801999999999999</v>
      </c>
      <c r="Z133" s="23">
        <f>((X133-T133)/T133)</f>
        <v>2.2012270533747148E-2</v>
      </c>
      <c r="AA133" s="23">
        <f>((Y133-U133)/U133)</f>
        <v>2.1895146575842239E-2</v>
      </c>
      <c r="AB133" s="323">
        <v>2336674013.5799999</v>
      </c>
      <c r="AC133" s="323">
        <v>1.6266</v>
      </c>
      <c r="AD133" s="23">
        <f>((AB133-X133)/X133)</f>
        <v>-1.6400538282373096E-2</v>
      </c>
      <c r="AE133" s="23">
        <f>((AC133-Y133)/Y133)</f>
        <v>-3.1900964170931953E-2</v>
      </c>
      <c r="AF133" s="323">
        <v>2331885369.5300002</v>
      </c>
      <c r="AG133" s="323">
        <v>1.6496</v>
      </c>
      <c r="AH133" s="23">
        <f>((AF133-AB133)/AB133)</f>
        <v>-2.0493419373732282E-3</v>
      </c>
      <c r="AI133" s="23">
        <f>((AG133-AC133)/AC133)</f>
        <v>1.4139923767367458E-2</v>
      </c>
      <c r="AJ133" s="24">
        <f t="shared" si="71"/>
        <v>2.2459320554603581E-3</v>
      </c>
      <c r="AK133" s="24">
        <f t="shared" si="72"/>
        <v>2.192994044183107E-3</v>
      </c>
      <c r="AL133" s="25">
        <f t="shared" si="73"/>
        <v>2.7405462349049888E-2</v>
      </c>
      <c r="AM133" s="25">
        <f t="shared" si="74"/>
        <v>2.6572904349990642E-2</v>
      </c>
      <c r="AN133" s="378">
        <f t="shared" si="75"/>
        <v>1.3219233327742637E-2</v>
      </c>
      <c r="AO133" s="379">
        <f t="shared" si="76"/>
        <v>1.3678712134997831E-2</v>
      </c>
      <c r="AP133" s="30"/>
      <c r="AQ133" s="53"/>
      <c r="AR133" s="47"/>
      <c r="AS133" s="29"/>
      <c r="AT133" s="29"/>
    </row>
    <row r="134" spans="1:46" s="365" customFormat="1">
      <c r="A134" s="200" t="s">
        <v>251</v>
      </c>
      <c r="B134" s="323">
        <v>155303384.59191602</v>
      </c>
      <c r="C134" s="323">
        <v>106.14</v>
      </c>
      <c r="D134" s="323">
        <v>153558114.06464234</v>
      </c>
      <c r="E134" s="323">
        <v>105.05</v>
      </c>
      <c r="F134" s="23">
        <f t="shared" si="131"/>
        <v>-1.1237813856147801E-2</v>
      </c>
      <c r="G134" s="23">
        <f t="shared" si="132"/>
        <v>-1.026945543621635E-2</v>
      </c>
      <c r="H134" s="323">
        <v>154342748.83182439</v>
      </c>
      <c r="I134" s="323">
        <v>105.59381274957177</v>
      </c>
      <c r="J134" s="23">
        <f>((H134-D134)/D134)</f>
        <v>5.1096926525924227E-3</v>
      </c>
      <c r="K134" s="23">
        <f>((I134-E134)/E134)</f>
        <v>5.1767039464233307E-3</v>
      </c>
      <c r="L134" s="323">
        <v>153299132.10603249</v>
      </c>
      <c r="M134" s="323">
        <v>104.9517475426494</v>
      </c>
      <c r="N134" s="23">
        <f>((L134-H134)/H134)</f>
        <v>-6.7616829017931477E-3</v>
      </c>
      <c r="O134" s="23">
        <f>((M134-I134)/I134)</f>
        <v>-6.080519210392577E-3</v>
      </c>
      <c r="P134" s="323">
        <v>151247340.81</v>
      </c>
      <c r="Q134" s="323">
        <v>103.66</v>
      </c>
      <c r="R134" s="23">
        <f>((P134-L134)/L134)</f>
        <v>-1.3384232955822117E-2</v>
      </c>
      <c r="S134" s="23">
        <f>((Q134-M134)/M134)</f>
        <v>-1.230801366241638E-2</v>
      </c>
      <c r="T134" s="323">
        <v>156365774.81</v>
      </c>
      <c r="U134" s="323">
        <v>107.03</v>
      </c>
      <c r="V134" s="23">
        <f>((T134-P134)/P134)</f>
        <v>3.3841480931753251E-2</v>
      </c>
      <c r="W134" s="23">
        <f>((U134-Q134)/Q134)</f>
        <v>3.2510129268763309E-2</v>
      </c>
      <c r="X134" s="323">
        <v>157906198.10688844</v>
      </c>
      <c r="Y134" s="323">
        <v>108.08</v>
      </c>
      <c r="Z134" s="23">
        <f>((X134-T134)/T134)</f>
        <v>9.8514096115995247E-3</v>
      </c>
      <c r="AA134" s="23">
        <f>((Y134-U134)/U134)</f>
        <v>9.8103335513407188E-3</v>
      </c>
      <c r="AB134" s="323">
        <v>158468200.44026017</v>
      </c>
      <c r="AC134" s="323">
        <v>108.49</v>
      </c>
      <c r="AD134" s="23">
        <f>((AB134-X134)/X134)</f>
        <v>3.5590897641098488E-3</v>
      </c>
      <c r="AE134" s="23">
        <f>((AC134-Y134)/Y134)</f>
        <v>3.7934863064396428E-3</v>
      </c>
      <c r="AF134" s="323">
        <v>158737005.13365284</v>
      </c>
      <c r="AG134" s="323">
        <v>108.70547547996027</v>
      </c>
      <c r="AH134" s="23">
        <f>((AF134-AB134)/AB134)</f>
        <v>1.6962689842243714E-3</v>
      </c>
      <c r="AI134" s="23">
        <f>((AG134-AC134)/AC134)</f>
        <v>1.986132177714772E-3</v>
      </c>
      <c r="AJ134" s="24">
        <f t="shared" ref="AJ134:AJ173" si="147">AVERAGE(F134,J134,N134,R134,V134,Z134,AD134,AH134)</f>
        <v>2.8342765288145444E-3</v>
      </c>
      <c r="AK134" s="24">
        <f t="shared" ref="AK134:AK173" si="148">AVERAGE(G134,K134,O134,S134,W134,AA134,AE134,AI134)</f>
        <v>3.0773496177070587E-3</v>
      </c>
      <c r="AL134" s="25">
        <f t="shared" ref="AL134:AL173" si="149">((AF134-D134)/D134)</f>
        <v>3.3725935620897068E-2</v>
      </c>
      <c r="AM134" s="25">
        <f t="shared" ref="AM134:AM173" si="150">((AG134-E134)/E134)</f>
        <v>3.4797481960592798E-2</v>
      </c>
      <c r="AN134" s="378">
        <f t="shared" ref="AN134:AN173" si="151">STDEV(F134,J134,N134,R134,V134,Z134,AD134,AH134)</f>
        <v>1.498013461040395E-2</v>
      </c>
      <c r="AO134" s="379">
        <f t="shared" ref="AO134:AO173" si="152">STDEV(G134,K134,O134,S134,W134,AA134,AD134,AI134)</f>
        <v>1.4223511774873734E-2</v>
      </c>
      <c r="AP134" s="30"/>
      <c r="AQ134" s="53"/>
      <c r="AR134" s="47"/>
      <c r="AS134" s="29"/>
      <c r="AT134" s="29"/>
    </row>
    <row r="135" spans="1:46" s="365" customFormat="1">
      <c r="A135" s="200" t="s">
        <v>267</v>
      </c>
      <c r="B135" s="324">
        <v>2601994669.3099999</v>
      </c>
      <c r="C135" s="323">
        <v>3.73</v>
      </c>
      <c r="D135" s="324">
        <v>2573022303.79</v>
      </c>
      <c r="E135" s="323">
        <v>3.68</v>
      </c>
      <c r="F135" s="23">
        <f t="shared" si="131"/>
        <v>-1.1134675201960697E-2</v>
      </c>
      <c r="G135" s="23">
        <f t="shared" si="132"/>
        <v>-1.3404825737265367E-2</v>
      </c>
      <c r="H135" s="324">
        <v>2589525124.8400002</v>
      </c>
      <c r="I135" s="323">
        <v>3.7</v>
      </c>
      <c r="J135" s="23">
        <f t="shared" ref="J135:J144" si="153">((H135-D135)/D135)</f>
        <v>6.4137885729524894E-3</v>
      </c>
      <c r="K135" s="23">
        <f t="shared" ref="K135:K144" si="154">((I135-E135)/E135)</f>
        <v>5.4347826086956564E-3</v>
      </c>
      <c r="L135" s="324">
        <v>2607126466.6500001</v>
      </c>
      <c r="M135" s="323">
        <v>3.71</v>
      </c>
      <c r="N135" s="23">
        <f t="shared" ref="N135:N144" si="155">((L135-H135)/H135)</f>
        <v>6.7971311191998892E-3</v>
      </c>
      <c r="O135" s="23">
        <f t="shared" ref="O135:O144" si="156">((M135-I135)/I135)</f>
        <v>2.7027027027026452E-3</v>
      </c>
      <c r="P135" s="324">
        <v>2615702885.4400001</v>
      </c>
      <c r="Q135" s="323">
        <v>3.69</v>
      </c>
      <c r="R135" s="23">
        <f t="shared" ref="R135:R144" si="157">((P135-L135)/L135)</f>
        <v>3.2896059702927035E-3</v>
      </c>
      <c r="S135" s="23">
        <f t="shared" ref="S135:S144" si="158">((Q135-M135)/M135)</f>
        <v>-5.3908355795148294E-3</v>
      </c>
      <c r="T135" s="324">
        <v>2616486492.1900001</v>
      </c>
      <c r="U135" s="323">
        <v>3.69</v>
      </c>
      <c r="V135" s="23">
        <f t="shared" ref="V135:V144" si="159">((T135-P135)/P135)</f>
        <v>2.9957788950796136E-4</v>
      </c>
      <c r="W135" s="23">
        <f t="shared" ref="W135:W144" si="160">((U135-Q135)/Q135)</f>
        <v>0</v>
      </c>
      <c r="X135" s="324">
        <v>2663677164.0799999</v>
      </c>
      <c r="Y135" s="323">
        <v>3.75</v>
      </c>
      <c r="Z135" s="23">
        <f t="shared" ref="Z135:Z144" si="161">((X135-T135)/T135)</f>
        <v>1.8035893565994013E-2</v>
      </c>
      <c r="AA135" s="23">
        <f t="shared" ref="AA135:AA144" si="162">((Y135-U135)/U135)</f>
        <v>1.6260162601626032E-2</v>
      </c>
      <c r="AB135" s="324">
        <v>2613539875.8600001</v>
      </c>
      <c r="AC135" s="323">
        <v>3.68</v>
      </c>
      <c r="AD135" s="23">
        <f t="shared" ref="AD135:AD144" si="163">((AB135-X135)/X135)</f>
        <v>-1.8822584394275334E-2</v>
      </c>
      <c r="AE135" s="23">
        <f t="shared" ref="AE135:AE144" si="164">((AC135-Y135)/Y135)</f>
        <v>-1.8666666666666623E-2</v>
      </c>
      <c r="AF135" s="324">
        <v>2646507846.4299998</v>
      </c>
      <c r="AG135" s="323">
        <v>3.72</v>
      </c>
      <c r="AH135" s="23">
        <f t="shared" ref="AH135:AH144" si="165">((AF135-AB135)/AB135)</f>
        <v>1.2614297900907824E-2</v>
      </c>
      <c r="AI135" s="23">
        <f t="shared" ref="AI135:AI144" si="166">((AG135-AC135)/AC135)</f>
        <v>1.0869565217391313E-2</v>
      </c>
      <c r="AJ135" s="24">
        <f t="shared" si="147"/>
        <v>2.1866294278273563E-3</v>
      </c>
      <c r="AK135" s="24">
        <f t="shared" si="148"/>
        <v>-2.7438935662889665E-4</v>
      </c>
      <c r="AL135" s="25">
        <f t="shared" si="149"/>
        <v>2.8560009966395329E-2</v>
      </c>
      <c r="AM135" s="25">
        <f t="shared" si="150"/>
        <v>1.0869565217391313E-2</v>
      </c>
      <c r="AN135" s="378">
        <f t="shared" si="151"/>
        <v>1.2087081575054547E-2</v>
      </c>
      <c r="AO135" s="379">
        <f t="shared" si="152"/>
        <v>1.1842604835607303E-2</v>
      </c>
      <c r="AP135" s="30"/>
      <c r="AQ135" s="53"/>
      <c r="AR135" s="47"/>
      <c r="AS135" s="29"/>
      <c r="AT135" s="29"/>
    </row>
    <row r="136" spans="1:46">
      <c r="A136" s="200" t="s">
        <v>129</v>
      </c>
      <c r="B136" s="324">
        <v>179109011.09999999</v>
      </c>
      <c r="C136" s="323">
        <v>165.58421300000001</v>
      </c>
      <c r="D136" s="324">
        <v>182939141.30000001</v>
      </c>
      <c r="E136" s="323">
        <v>169.067768</v>
      </c>
      <c r="F136" s="23">
        <f t="shared" si="131"/>
        <v>2.1384352336475034E-2</v>
      </c>
      <c r="G136" s="23">
        <f t="shared" si="132"/>
        <v>2.1037965738919782E-2</v>
      </c>
      <c r="H136" s="324">
        <v>188240758.78999999</v>
      </c>
      <c r="I136" s="323">
        <v>173.95459700000001</v>
      </c>
      <c r="J136" s="23">
        <f t="shared" si="153"/>
        <v>2.8980225075539805E-2</v>
      </c>
      <c r="K136" s="23">
        <f t="shared" si="154"/>
        <v>2.8904557372520619E-2</v>
      </c>
      <c r="L136" s="324">
        <v>187758517.75</v>
      </c>
      <c r="M136" s="323">
        <v>173.61736999999999</v>
      </c>
      <c r="N136" s="23">
        <f t="shared" si="155"/>
        <v>-2.5618311522956419E-3</v>
      </c>
      <c r="O136" s="23">
        <f t="shared" si="156"/>
        <v>-1.9385920568687979E-3</v>
      </c>
      <c r="P136" s="324">
        <v>190824404.06</v>
      </c>
      <c r="Q136" s="323">
        <v>176.20522500000001</v>
      </c>
      <c r="R136" s="23">
        <f t="shared" si="157"/>
        <v>1.6328880024938323E-2</v>
      </c>
      <c r="S136" s="23">
        <f t="shared" si="158"/>
        <v>1.490550743857034E-2</v>
      </c>
      <c r="T136" s="324">
        <v>191166550.22999999</v>
      </c>
      <c r="U136" s="323">
        <v>176.39175900000001</v>
      </c>
      <c r="V136" s="23">
        <f t="shared" si="159"/>
        <v>1.7929895900128555E-3</v>
      </c>
      <c r="W136" s="23">
        <f t="shared" si="160"/>
        <v>1.0586178701567711E-3</v>
      </c>
      <c r="X136" s="324">
        <v>187497688.61000001</v>
      </c>
      <c r="Y136" s="323">
        <v>179.137585</v>
      </c>
      <c r="Z136" s="23">
        <f t="shared" si="161"/>
        <v>-1.919196436607672E-2</v>
      </c>
      <c r="AA136" s="23">
        <f t="shared" si="162"/>
        <v>1.5566634266626899E-2</v>
      </c>
      <c r="AB136" s="324">
        <v>155914257.34999999</v>
      </c>
      <c r="AC136" s="323">
        <v>176.68709100000001</v>
      </c>
      <c r="AD136" s="23">
        <f t="shared" si="163"/>
        <v>-0.16844704323632684</v>
      </c>
      <c r="AE136" s="23">
        <f t="shared" si="164"/>
        <v>-1.3679396202644977E-2</v>
      </c>
      <c r="AF136" s="324">
        <v>155373183.38</v>
      </c>
      <c r="AG136" s="323">
        <v>175.28889699999999</v>
      </c>
      <c r="AH136" s="23">
        <f t="shared" si="165"/>
        <v>-3.4703302904838472E-3</v>
      </c>
      <c r="AI136" s="23">
        <f t="shared" si="166"/>
        <v>-7.9133907977466094E-3</v>
      </c>
      <c r="AJ136" s="24">
        <f t="shared" si="147"/>
        <v>-1.564809025227713E-2</v>
      </c>
      <c r="AK136" s="24">
        <f t="shared" si="148"/>
        <v>7.2427379536917531E-3</v>
      </c>
      <c r="AL136" s="25">
        <f t="shared" si="149"/>
        <v>-0.15068376140890968</v>
      </c>
      <c r="AM136" s="25">
        <f t="shared" si="150"/>
        <v>3.6796658958672658E-2</v>
      </c>
      <c r="AN136" s="378">
        <f t="shared" si="151"/>
        <v>6.3661418366384129E-2</v>
      </c>
      <c r="AO136" s="379">
        <f t="shared" si="152"/>
        <v>6.4378975672454652E-2</v>
      </c>
      <c r="AP136" s="30"/>
      <c r="AQ136" s="53">
        <v>82672021.189999998</v>
      </c>
      <c r="AR136" s="47">
        <v>18.53</v>
      </c>
      <c r="AS136" s="29" t="e">
        <f>(#REF!/AQ136)-1</f>
        <v>#REF!</v>
      </c>
      <c r="AT136" s="29" t="e">
        <f>(#REF!/AR136)-1</f>
        <v>#REF!</v>
      </c>
    </row>
    <row r="137" spans="1:46">
      <c r="A137" s="200" t="s">
        <v>27</v>
      </c>
      <c r="B137" s="324">
        <v>1487452911</v>
      </c>
      <c r="C137" s="323">
        <v>552.20000000000005</v>
      </c>
      <c r="D137" s="324">
        <v>1484875628</v>
      </c>
      <c r="E137" s="323">
        <v>552.20000000000005</v>
      </c>
      <c r="F137" s="23">
        <f t="shared" si="131"/>
        <v>-1.7326820774899812E-3</v>
      </c>
      <c r="G137" s="23">
        <f t="shared" si="132"/>
        <v>0</v>
      </c>
      <c r="H137" s="324">
        <v>1493192426.4300001</v>
      </c>
      <c r="I137" s="323">
        <v>552.20000000000005</v>
      </c>
      <c r="J137" s="23">
        <f t="shared" si="153"/>
        <v>5.6010067598739437E-3</v>
      </c>
      <c r="K137" s="23">
        <f t="shared" si="154"/>
        <v>0</v>
      </c>
      <c r="L137" s="324">
        <v>1481207806.28</v>
      </c>
      <c r="M137" s="323">
        <v>552.20000000000005</v>
      </c>
      <c r="N137" s="23">
        <f t="shared" si="155"/>
        <v>-8.0261726070052011E-3</v>
      </c>
      <c r="O137" s="23">
        <f t="shared" si="156"/>
        <v>0</v>
      </c>
      <c r="P137" s="324">
        <v>1473582469.27</v>
      </c>
      <c r="Q137" s="323">
        <v>552.20000000000005</v>
      </c>
      <c r="R137" s="23">
        <f t="shared" si="157"/>
        <v>-5.1480534855880547E-3</v>
      </c>
      <c r="S137" s="23">
        <f t="shared" si="158"/>
        <v>0</v>
      </c>
      <c r="T137" s="324">
        <v>1492307881.0799999</v>
      </c>
      <c r="U137" s="323">
        <v>552.20000000000005</v>
      </c>
      <c r="V137" s="23">
        <f t="shared" si="159"/>
        <v>1.2707406745464575E-2</v>
      </c>
      <c r="W137" s="23">
        <f t="shared" si="160"/>
        <v>0</v>
      </c>
      <c r="X137" s="324">
        <v>1528243247.1800001</v>
      </c>
      <c r="Y137" s="323">
        <v>552.20000000000005</v>
      </c>
      <c r="Z137" s="23">
        <f t="shared" si="161"/>
        <v>2.4080396917821888E-2</v>
      </c>
      <c r="AA137" s="23">
        <f t="shared" si="162"/>
        <v>0</v>
      </c>
      <c r="AB137" s="324">
        <v>1573900648.1700001</v>
      </c>
      <c r="AC137" s="323">
        <v>552.20000000000005</v>
      </c>
      <c r="AD137" s="23">
        <f t="shared" si="163"/>
        <v>2.9875742015709607E-2</v>
      </c>
      <c r="AE137" s="23">
        <f t="shared" si="164"/>
        <v>0</v>
      </c>
      <c r="AF137" s="324">
        <v>1602704381.1199999</v>
      </c>
      <c r="AG137" s="323">
        <v>552.20000000000005</v>
      </c>
      <c r="AH137" s="23">
        <f t="shared" si="165"/>
        <v>1.8300858433148482E-2</v>
      </c>
      <c r="AI137" s="23">
        <f t="shared" si="166"/>
        <v>0</v>
      </c>
      <c r="AJ137" s="24">
        <f t="shared" si="147"/>
        <v>9.4573128377419078E-3</v>
      </c>
      <c r="AK137" s="24">
        <f t="shared" si="148"/>
        <v>0</v>
      </c>
      <c r="AL137" s="25">
        <f t="shared" si="149"/>
        <v>7.9352607651527754E-2</v>
      </c>
      <c r="AM137" s="25">
        <f t="shared" si="150"/>
        <v>0</v>
      </c>
      <c r="AN137" s="378">
        <f t="shared" si="151"/>
        <v>1.4033604153298223E-2</v>
      </c>
      <c r="AO137" s="379">
        <f t="shared" si="152"/>
        <v>1.0562669886144059E-2</v>
      </c>
      <c r="AP137" s="30"/>
      <c r="AQ137" s="53">
        <v>541500000</v>
      </c>
      <c r="AR137" s="47">
        <v>3610</v>
      </c>
      <c r="AS137" s="29" t="e">
        <f>(#REF!/AQ137)-1</f>
        <v>#REF!</v>
      </c>
      <c r="AT137" s="29" t="e">
        <f>(#REF!/AR137)-1</f>
        <v>#REF!</v>
      </c>
    </row>
    <row r="138" spans="1:46">
      <c r="A138" s="200" t="s">
        <v>186</v>
      </c>
      <c r="B138" s="324">
        <v>23867902.100000001</v>
      </c>
      <c r="C138" s="323">
        <v>1.48</v>
      </c>
      <c r="D138" s="324">
        <v>24351294.280000001</v>
      </c>
      <c r="E138" s="323">
        <v>1.5</v>
      </c>
      <c r="F138" s="23">
        <f t="shared" si="131"/>
        <v>2.0252813924521655E-2</v>
      </c>
      <c r="G138" s="23">
        <f t="shared" si="132"/>
        <v>1.3513513513513526E-2</v>
      </c>
      <c r="H138" s="324">
        <v>24277171.809999999</v>
      </c>
      <c r="I138" s="323">
        <v>1.5</v>
      </c>
      <c r="J138" s="23">
        <f t="shared" si="153"/>
        <v>-3.0438821504810186E-3</v>
      </c>
      <c r="K138" s="23">
        <f t="shared" si="154"/>
        <v>0</v>
      </c>
      <c r="L138" s="324">
        <v>24187429.48</v>
      </c>
      <c r="M138" s="323">
        <v>1.49</v>
      </c>
      <c r="N138" s="23">
        <f t="shared" si="155"/>
        <v>-3.6965726775073731E-3</v>
      </c>
      <c r="O138" s="23">
        <f t="shared" si="156"/>
        <v>-6.6666666666666723E-3</v>
      </c>
      <c r="P138" s="324">
        <v>24631372.52</v>
      </c>
      <c r="Q138" s="323">
        <v>1.52</v>
      </c>
      <c r="R138" s="23">
        <f t="shared" si="157"/>
        <v>1.8354287724831813E-2</v>
      </c>
      <c r="S138" s="23">
        <f t="shared" si="158"/>
        <v>2.0134228187919483E-2</v>
      </c>
      <c r="T138" s="324">
        <v>25733202.859999999</v>
      </c>
      <c r="U138" s="323">
        <v>1.58</v>
      </c>
      <c r="V138" s="23">
        <f t="shared" si="159"/>
        <v>4.4732803220987535E-2</v>
      </c>
      <c r="W138" s="23">
        <f t="shared" si="160"/>
        <v>3.9473684210526348E-2</v>
      </c>
      <c r="X138" s="324">
        <v>25618811.960000001</v>
      </c>
      <c r="Y138" s="323">
        <v>1.6</v>
      </c>
      <c r="Z138" s="23">
        <f t="shared" si="161"/>
        <v>-4.4452647663928806E-3</v>
      </c>
      <c r="AA138" s="23">
        <f t="shared" si="162"/>
        <v>1.2658227848101276E-2</v>
      </c>
      <c r="AB138" s="324">
        <v>24884134.879999999</v>
      </c>
      <c r="AC138" s="323">
        <v>1.55</v>
      </c>
      <c r="AD138" s="23">
        <f t="shared" si="163"/>
        <v>-2.8677250184243202E-2</v>
      </c>
      <c r="AE138" s="23">
        <f t="shared" si="164"/>
        <v>-3.1250000000000028E-2</v>
      </c>
      <c r="AF138" s="324">
        <v>24596523.690000001</v>
      </c>
      <c r="AG138" s="323">
        <v>1.55</v>
      </c>
      <c r="AH138" s="23">
        <f t="shared" si="165"/>
        <v>-1.1558014429151721E-2</v>
      </c>
      <c r="AI138" s="23">
        <f t="shared" si="166"/>
        <v>0</v>
      </c>
      <c r="AJ138" s="24">
        <f t="shared" si="147"/>
        <v>3.9898650828205998E-3</v>
      </c>
      <c r="AK138" s="24">
        <f t="shared" si="148"/>
        <v>5.9828733866742409E-3</v>
      </c>
      <c r="AL138" s="25">
        <f t="shared" si="149"/>
        <v>1.0070487719472467E-2</v>
      </c>
      <c r="AM138" s="25">
        <f t="shared" si="150"/>
        <v>3.3333333333333361E-2</v>
      </c>
      <c r="AN138" s="378">
        <f t="shared" si="151"/>
        <v>2.2738860598875081E-2</v>
      </c>
      <c r="AO138" s="379">
        <f t="shared" si="152"/>
        <v>2.019640472774412E-2</v>
      </c>
      <c r="AP138" s="30"/>
      <c r="AQ138" s="28">
        <v>913647681</v>
      </c>
      <c r="AR138" s="32">
        <v>81</v>
      </c>
      <c r="AS138" s="29" t="e">
        <f>(#REF!/AQ138)-1</f>
        <v>#REF!</v>
      </c>
      <c r="AT138" s="29" t="e">
        <f>(#REF!/AR138)-1</f>
        <v>#REF!</v>
      </c>
    </row>
    <row r="139" spans="1:46">
      <c r="A139" s="201" t="s">
        <v>48</v>
      </c>
      <c r="B139" s="323">
        <v>195540854.25999999</v>
      </c>
      <c r="C139" s="323">
        <v>2.0378099999999999</v>
      </c>
      <c r="D139" s="323">
        <v>196215865.47999999</v>
      </c>
      <c r="E139" s="323">
        <v>2.0453060000000001</v>
      </c>
      <c r="F139" s="23">
        <f t="shared" si="131"/>
        <v>3.4520214333444267E-3</v>
      </c>
      <c r="G139" s="23">
        <f t="shared" si="132"/>
        <v>3.678458737566392E-3</v>
      </c>
      <c r="H139" s="323">
        <v>197606583.71000001</v>
      </c>
      <c r="I139" s="323">
        <v>2.0603479999999998</v>
      </c>
      <c r="J139" s="23">
        <f t="shared" si="153"/>
        <v>7.0876951086392814E-3</v>
      </c>
      <c r="K139" s="23">
        <f t="shared" si="154"/>
        <v>7.3544007595928319E-3</v>
      </c>
      <c r="L139" s="323">
        <v>196472646.68000001</v>
      </c>
      <c r="M139" s="323">
        <v>2.0499999999999998</v>
      </c>
      <c r="N139" s="23">
        <f t="shared" si="155"/>
        <v>-5.7383565299834573E-3</v>
      </c>
      <c r="O139" s="23">
        <f t="shared" si="156"/>
        <v>-5.0224525177300266E-3</v>
      </c>
      <c r="P139" s="323">
        <v>192821339.63</v>
      </c>
      <c r="Q139" s="323">
        <v>2.0133200000000002</v>
      </c>
      <c r="R139" s="23">
        <f t="shared" si="157"/>
        <v>-1.8584302251228837E-2</v>
      </c>
      <c r="S139" s="23">
        <f t="shared" si="158"/>
        <v>-1.7892682926829075E-2</v>
      </c>
      <c r="T139" s="323">
        <v>200340230</v>
      </c>
      <c r="U139" s="323">
        <v>2.097105</v>
      </c>
      <c r="V139" s="23">
        <f t="shared" si="159"/>
        <v>3.8994078064325317E-2</v>
      </c>
      <c r="W139" s="23">
        <f t="shared" si="160"/>
        <v>4.1615341823455672E-2</v>
      </c>
      <c r="X139" s="323">
        <v>202421405.49000001</v>
      </c>
      <c r="Y139" s="323">
        <v>2.12</v>
      </c>
      <c r="Z139" s="23">
        <f t="shared" si="161"/>
        <v>1.0388205554121654E-2</v>
      </c>
      <c r="AA139" s="23">
        <f t="shared" si="162"/>
        <v>1.0917431411398146E-2</v>
      </c>
      <c r="AB139" s="323">
        <v>188827875.84999999</v>
      </c>
      <c r="AC139" s="323">
        <v>1.98</v>
      </c>
      <c r="AD139" s="23">
        <f t="shared" si="163"/>
        <v>-6.7154605547245644E-2</v>
      </c>
      <c r="AE139" s="23">
        <f t="shared" si="164"/>
        <v>-6.6037735849056658E-2</v>
      </c>
      <c r="AF139" s="323">
        <v>199916738.36000001</v>
      </c>
      <c r="AG139" s="323">
        <v>2.0944820000000002</v>
      </c>
      <c r="AH139" s="23">
        <f t="shared" si="165"/>
        <v>5.8724711381113702E-2</v>
      </c>
      <c r="AI139" s="23">
        <f t="shared" si="166"/>
        <v>5.781919191919202E-2</v>
      </c>
      <c r="AJ139" s="24">
        <f t="shared" si="147"/>
        <v>3.3961809016358055E-3</v>
      </c>
      <c r="AK139" s="24">
        <f t="shared" si="148"/>
        <v>4.0539941696986631E-3</v>
      </c>
      <c r="AL139" s="25">
        <f t="shared" si="149"/>
        <v>1.886123158770385E-2</v>
      </c>
      <c r="AM139" s="25">
        <f t="shared" si="150"/>
        <v>2.404334608122213E-2</v>
      </c>
      <c r="AN139" s="378">
        <f t="shared" si="151"/>
        <v>3.7673352184552117E-2</v>
      </c>
      <c r="AO139" s="379">
        <f t="shared" si="152"/>
        <v>3.7785558611072037E-2</v>
      </c>
      <c r="AP139" s="30"/>
      <c r="AQ139" s="61">
        <f>SUM(AQ130:AQ138)</f>
        <v>3629819788.79</v>
      </c>
      <c r="AR139" s="62"/>
      <c r="AS139" s="29" t="e">
        <f>(#REF!/AQ139)-1</f>
        <v>#REF!</v>
      </c>
      <c r="AT139" s="29" t="e">
        <f>(#REF!/AR139)-1</f>
        <v>#REF!</v>
      </c>
    </row>
    <row r="140" spans="1:46">
      <c r="A140" s="200" t="s">
        <v>22</v>
      </c>
      <c r="B140" s="324">
        <v>1944767529.4000001</v>
      </c>
      <c r="C140" s="323">
        <v>4590.0600000000004</v>
      </c>
      <c r="D140" s="324">
        <v>1978354598.22</v>
      </c>
      <c r="E140" s="323">
        <v>4633.0600000000004</v>
      </c>
      <c r="F140" s="23">
        <f t="shared" si="131"/>
        <v>1.7270480050827576E-2</v>
      </c>
      <c r="G140" s="23">
        <f t="shared" si="132"/>
        <v>9.3680692627111616E-3</v>
      </c>
      <c r="H140" s="324">
        <v>2010096082.8800001</v>
      </c>
      <c r="I140" s="323">
        <v>4630.1099999999997</v>
      </c>
      <c r="J140" s="23">
        <f t="shared" si="153"/>
        <v>1.6044385919773477E-2</v>
      </c>
      <c r="K140" s="23">
        <f t="shared" si="154"/>
        <v>-6.3672820986577497E-4</v>
      </c>
      <c r="L140" s="324">
        <v>1990223896.46</v>
      </c>
      <c r="M140" s="323">
        <v>4611.95</v>
      </c>
      <c r="N140" s="23">
        <f t="shared" si="155"/>
        <v>-9.8861873266912967E-3</v>
      </c>
      <c r="O140" s="23">
        <f t="shared" si="156"/>
        <v>-3.9221530374008084E-3</v>
      </c>
      <c r="P140" s="324">
        <v>2012395215.51</v>
      </c>
      <c r="Q140" s="323">
        <v>4654.8599999999997</v>
      </c>
      <c r="R140" s="23">
        <f t="shared" si="157"/>
        <v>1.1140112973940245E-2</v>
      </c>
      <c r="S140" s="23">
        <f t="shared" si="158"/>
        <v>9.3040904606511033E-3</v>
      </c>
      <c r="T140" s="324">
        <v>2088142285.0899999</v>
      </c>
      <c r="U140" s="323">
        <v>4800.3599999999997</v>
      </c>
      <c r="V140" s="23">
        <f t="shared" si="159"/>
        <v>3.7640255252149063E-2</v>
      </c>
      <c r="W140" s="23">
        <f t="shared" si="160"/>
        <v>3.1257653291398672E-2</v>
      </c>
      <c r="X140" s="324">
        <v>2131974676.52</v>
      </c>
      <c r="Y140" s="323">
        <v>4855.76</v>
      </c>
      <c r="Z140" s="23">
        <f t="shared" si="161"/>
        <v>2.0991094209900005E-2</v>
      </c>
      <c r="AA140" s="23">
        <f t="shared" si="162"/>
        <v>1.1540801106583787E-2</v>
      </c>
      <c r="AB140" s="324">
        <v>2088321719.49</v>
      </c>
      <c r="AC140" s="323">
        <v>4726.87</v>
      </c>
      <c r="AD140" s="23">
        <f t="shared" si="163"/>
        <v>-2.0475363760536894E-2</v>
      </c>
      <c r="AE140" s="23">
        <f t="shared" si="164"/>
        <v>-2.6543733627691714E-2</v>
      </c>
      <c r="AF140" s="324">
        <v>2055842087.78</v>
      </c>
      <c r="AG140" s="323">
        <v>4691.42</v>
      </c>
      <c r="AH140" s="23">
        <f t="shared" si="165"/>
        <v>-1.5552982764519665E-2</v>
      </c>
      <c r="AI140" s="23">
        <f t="shared" si="166"/>
        <v>-7.4996773763610636E-3</v>
      </c>
      <c r="AJ140" s="24">
        <f t="shared" si="147"/>
        <v>7.1464743193553146E-3</v>
      </c>
      <c r="AK140" s="24">
        <f t="shared" si="148"/>
        <v>2.8585402337531697E-3</v>
      </c>
      <c r="AL140" s="25">
        <f t="shared" si="149"/>
        <v>3.9167644480781326E-2</v>
      </c>
      <c r="AM140" s="25">
        <f t="shared" si="150"/>
        <v>1.2596426551782119E-2</v>
      </c>
      <c r="AN140" s="378">
        <f t="shared" si="151"/>
        <v>2.0310111843460734E-2</v>
      </c>
      <c r="AO140" s="379">
        <f t="shared" si="152"/>
        <v>1.5451147315371628E-2</v>
      </c>
      <c r="AP140" s="30"/>
      <c r="AQ140" s="79"/>
      <c r="AR140" s="80"/>
      <c r="AS140" s="29"/>
      <c r="AT140" s="29"/>
    </row>
    <row r="141" spans="1:46" s="105" customFormat="1">
      <c r="A141" s="200" t="s">
        <v>74</v>
      </c>
      <c r="B141" s="323">
        <v>1549045713.01</v>
      </c>
      <c r="C141" s="323">
        <v>1.7585</v>
      </c>
      <c r="D141" s="323">
        <v>1565409293.96</v>
      </c>
      <c r="E141" s="323">
        <v>1.7450000000000001</v>
      </c>
      <c r="F141" s="23">
        <f t="shared" si="131"/>
        <v>1.0563652713775278E-2</v>
      </c>
      <c r="G141" s="23">
        <f t="shared" si="132"/>
        <v>-7.6769974410007651E-3</v>
      </c>
      <c r="H141" s="323">
        <v>1551948824.96</v>
      </c>
      <c r="I141" s="323">
        <v>1.7299</v>
      </c>
      <c r="J141" s="23">
        <f t="shared" si="153"/>
        <v>-8.5986898454839169E-3</v>
      </c>
      <c r="K141" s="23">
        <f t="shared" si="154"/>
        <v>-8.6532951289398918E-3</v>
      </c>
      <c r="L141" s="323">
        <v>1523575097.6400001</v>
      </c>
      <c r="M141" s="323">
        <v>1.7124999999999999</v>
      </c>
      <c r="N141" s="23">
        <f t="shared" si="155"/>
        <v>-1.8282643643698263E-2</v>
      </c>
      <c r="O141" s="23">
        <f t="shared" si="156"/>
        <v>-1.0058384877738646E-2</v>
      </c>
      <c r="P141" s="323">
        <v>1527782786.1600001</v>
      </c>
      <c r="Q141" s="323">
        <v>1.7078</v>
      </c>
      <c r="R141" s="23">
        <f t="shared" si="157"/>
        <v>2.761720460328894E-3</v>
      </c>
      <c r="S141" s="23">
        <f t="shared" si="158"/>
        <v>-2.7445255474452127E-3</v>
      </c>
      <c r="T141" s="323">
        <v>1565349771.0899999</v>
      </c>
      <c r="U141" s="323">
        <v>1.75</v>
      </c>
      <c r="V141" s="23">
        <f t="shared" si="159"/>
        <v>2.4589218618192726E-2</v>
      </c>
      <c r="W141" s="23">
        <f t="shared" si="160"/>
        <v>2.471015341374869E-2</v>
      </c>
      <c r="X141" s="323">
        <v>1576699720.26</v>
      </c>
      <c r="Y141" s="323">
        <v>1.7653000000000001</v>
      </c>
      <c r="Z141" s="23">
        <f t="shared" si="161"/>
        <v>7.2507431754992155E-3</v>
      </c>
      <c r="AA141" s="23">
        <f t="shared" si="162"/>
        <v>8.7428571428571945E-3</v>
      </c>
      <c r="AB141" s="323">
        <v>1561261931.1700001</v>
      </c>
      <c r="AC141" s="323">
        <v>1.7467999999999999</v>
      </c>
      <c r="AD141" s="23">
        <f t="shared" si="163"/>
        <v>-9.7912043058231788E-3</v>
      </c>
      <c r="AE141" s="23">
        <f t="shared" si="164"/>
        <v>-1.0479805132272238E-2</v>
      </c>
      <c r="AF141" s="323">
        <v>1567842581.22</v>
      </c>
      <c r="AG141" s="323">
        <v>1.7476</v>
      </c>
      <c r="AH141" s="23">
        <f t="shared" si="165"/>
        <v>4.2149558114623689E-3</v>
      </c>
      <c r="AI141" s="23">
        <f t="shared" si="166"/>
        <v>4.579803068468823E-4</v>
      </c>
      <c r="AJ141" s="24">
        <f t="shared" si="147"/>
        <v>1.5884691230316406E-3</v>
      </c>
      <c r="AK141" s="24">
        <f t="shared" si="148"/>
        <v>-7.1275215799299822E-4</v>
      </c>
      <c r="AL141" s="25">
        <f t="shared" si="149"/>
        <v>1.5544096163148031E-3</v>
      </c>
      <c r="AM141" s="25">
        <f t="shared" si="150"/>
        <v>1.4899713467048342E-3</v>
      </c>
      <c r="AN141" s="378">
        <f t="shared" si="151"/>
        <v>1.3512221949470229E-2</v>
      </c>
      <c r="AO141" s="379">
        <f t="shared" si="152"/>
        <v>1.2085907971986189E-2</v>
      </c>
      <c r="AP141" s="30"/>
      <c r="AQ141" s="79"/>
      <c r="AR141" s="80"/>
      <c r="AS141" s="29"/>
      <c r="AT141" s="29"/>
    </row>
    <row r="142" spans="1:46" s="105" customFormat="1">
      <c r="A142" s="200" t="s">
        <v>238</v>
      </c>
      <c r="B142" s="323">
        <v>819811818.97000003</v>
      </c>
      <c r="C142" s="323">
        <v>1.3646</v>
      </c>
      <c r="D142" s="323">
        <v>818123226</v>
      </c>
      <c r="E142" s="323">
        <v>1.3597999999999999</v>
      </c>
      <c r="F142" s="23">
        <f t="shared" si="131"/>
        <v>-2.0597324055678448E-3</v>
      </c>
      <c r="G142" s="23">
        <f t="shared" si="132"/>
        <v>-3.5175142899019035E-3</v>
      </c>
      <c r="H142" s="323">
        <v>823848291.17999995</v>
      </c>
      <c r="I142" s="323">
        <v>1.3589</v>
      </c>
      <c r="J142" s="23">
        <f t="shared" si="153"/>
        <v>6.9978030180015294E-3</v>
      </c>
      <c r="K142" s="23">
        <f t="shared" si="154"/>
        <v>-6.6186203853500585E-4</v>
      </c>
      <c r="L142" s="323">
        <v>809792292.83000004</v>
      </c>
      <c r="M142" s="323">
        <v>1.3421000000000001</v>
      </c>
      <c r="N142" s="23">
        <f t="shared" si="155"/>
        <v>-1.7061391642710654E-2</v>
      </c>
      <c r="O142" s="23">
        <f t="shared" si="156"/>
        <v>-1.2362940613731641E-2</v>
      </c>
      <c r="P142" s="323">
        <v>808301398.69000006</v>
      </c>
      <c r="Q142" s="323">
        <v>1.3391999999999999</v>
      </c>
      <c r="R142" s="23">
        <f t="shared" si="157"/>
        <v>-1.8410821555114127E-3</v>
      </c>
      <c r="S142" s="23">
        <f t="shared" si="158"/>
        <v>-2.1607927874227888E-3</v>
      </c>
      <c r="T142" s="323">
        <v>821223991.77999997</v>
      </c>
      <c r="U142" s="323">
        <v>1.3625</v>
      </c>
      <c r="V142" s="23">
        <f t="shared" si="159"/>
        <v>1.5987344709465227E-2</v>
      </c>
      <c r="W142" s="23">
        <f t="shared" si="160"/>
        <v>1.739844683393078E-2</v>
      </c>
      <c r="X142" s="323">
        <v>831163622.34000003</v>
      </c>
      <c r="Y142" s="323">
        <v>1.3715999999999999</v>
      </c>
      <c r="Z142" s="23">
        <f t="shared" si="161"/>
        <v>1.2103434214648247E-2</v>
      </c>
      <c r="AA142" s="23">
        <f t="shared" si="162"/>
        <v>6.6788990825687239E-3</v>
      </c>
      <c r="AB142" s="323">
        <v>826804083.75999999</v>
      </c>
      <c r="AC142" s="323">
        <v>1.3656999999999999</v>
      </c>
      <c r="AD142" s="23">
        <f t="shared" si="163"/>
        <v>-5.2451027244509356E-3</v>
      </c>
      <c r="AE142" s="23">
        <f t="shared" si="164"/>
        <v>-4.3015456401283292E-3</v>
      </c>
      <c r="AF142" s="323">
        <v>845622955.13</v>
      </c>
      <c r="AG142" s="323">
        <v>1.3529</v>
      </c>
      <c r="AH142" s="23">
        <f t="shared" si="165"/>
        <v>2.27609801882191E-2</v>
      </c>
      <c r="AI142" s="23">
        <f t="shared" si="166"/>
        <v>-9.3724829757632893E-3</v>
      </c>
      <c r="AJ142" s="24">
        <f t="shared" si="147"/>
        <v>3.9552816502616567E-3</v>
      </c>
      <c r="AK142" s="24">
        <f t="shared" si="148"/>
        <v>-1.0374740536229317E-3</v>
      </c>
      <c r="AL142" s="25">
        <f t="shared" si="149"/>
        <v>3.3613187177746737E-2</v>
      </c>
      <c r="AM142" s="25">
        <f t="shared" si="150"/>
        <v>-5.0742756287688682E-3</v>
      </c>
      <c r="AN142" s="378">
        <f t="shared" si="151"/>
        <v>1.2929479173321899E-2</v>
      </c>
      <c r="AO142" s="379">
        <f t="shared" si="152"/>
        <v>9.4287595029983982E-3</v>
      </c>
      <c r="AP142" s="30"/>
      <c r="AQ142" s="79"/>
      <c r="AR142" s="80"/>
      <c r="AS142" s="29"/>
      <c r="AT142" s="29"/>
    </row>
    <row r="143" spans="1:46" ht="15.75" customHeight="1" thickBot="1">
      <c r="A143" s="200" t="s">
        <v>124</v>
      </c>
      <c r="B143" s="323">
        <v>6703756757.4399996</v>
      </c>
      <c r="C143" s="323">
        <v>302.22000000000003</v>
      </c>
      <c r="D143" s="323">
        <v>6597233010.3999996</v>
      </c>
      <c r="E143" s="323">
        <v>297.44</v>
      </c>
      <c r="F143" s="23">
        <f t="shared" si="131"/>
        <v>-1.589015695144028E-2</v>
      </c>
      <c r="G143" s="23">
        <f t="shared" si="132"/>
        <v>-1.5816292766858676E-2</v>
      </c>
      <c r="H143" s="323">
        <v>6597669215.46</v>
      </c>
      <c r="I143" s="323">
        <v>290.7</v>
      </c>
      <c r="J143" s="23">
        <f t="shared" si="153"/>
        <v>6.6119395709197772E-5</v>
      </c>
      <c r="K143" s="23">
        <f t="shared" si="154"/>
        <v>-2.2660032275416922E-2</v>
      </c>
      <c r="L143" s="323">
        <v>6521052649.1700001</v>
      </c>
      <c r="M143" s="323">
        <v>294</v>
      </c>
      <c r="N143" s="23">
        <f t="shared" si="155"/>
        <v>-1.1612671655388249E-2</v>
      </c>
      <c r="O143" s="23">
        <f t="shared" si="156"/>
        <v>1.1351909184726562E-2</v>
      </c>
      <c r="P143" s="323">
        <v>6543002603.9300003</v>
      </c>
      <c r="Q143" s="323">
        <v>293.54000000000002</v>
      </c>
      <c r="R143" s="23">
        <f t="shared" si="157"/>
        <v>3.3660140380547335E-3</v>
      </c>
      <c r="S143" s="23">
        <f t="shared" si="158"/>
        <v>-1.5646258503400664E-3</v>
      </c>
      <c r="T143" s="323">
        <v>6586434171.5500002</v>
      </c>
      <c r="U143" s="323">
        <v>295.48</v>
      </c>
      <c r="V143" s="23">
        <f t="shared" si="159"/>
        <v>6.637864945050316E-3</v>
      </c>
      <c r="W143" s="23">
        <f t="shared" si="160"/>
        <v>6.6089800367922519E-3</v>
      </c>
      <c r="X143" s="323">
        <v>6632673756.3100004</v>
      </c>
      <c r="Y143" s="323">
        <v>297.52999999999997</v>
      </c>
      <c r="Z143" s="23">
        <f t="shared" si="161"/>
        <v>7.0204276784138217E-3</v>
      </c>
      <c r="AA143" s="23">
        <f t="shared" si="162"/>
        <v>6.9378638148096467E-3</v>
      </c>
      <c r="AB143" s="323">
        <v>6659515846.54</v>
      </c>
      <c r="AC143" s="323">
        <v>298.70999999999998</v>
      </c>
      <c r="AD143" s="23">
        <f t="shared" si="163"/>
        <v>4.0469486689984251E-3</v>
      </c>
      <c r="AE143" s="23">
        <f t="shared" si="164"/>
        <v>3.9659866231976839E-3</v>
      </c>
      <c r="AF143" s="323">
        <v>6656001632.1099997</v>
      </c>
      <c r="AG143" s="323">
        <v>298.33</v>
      </c>
      <c r="AH143" s="23">
        <f t="shared" si="165"/>
        <v>-5.2769818572113482E-4</v>
      </c>
      <c r="AI143" s="23">
        <f t="shared" si="166"/>
        <v>-1.2721368551437697E-3</v>
      </c>
      <c r="AJ143" s="24">
        <f t="shared" si="147"/>
        <v>-8.6164400829039621E-4</v>
      </c>
      <c r="AK143" s="24">
        <f t="shared" si="148"/>
        <v>-1.5560435110291613E-3</v>
      </c>
      <c r="AL143" s="25">
        <f t="shared" si="149"/>
        <v>8.9080712500765238E-3</v>
      </c>
      <c r="AM143" s="25">
        <f t="shared" si="150"/>
        <v>2.9922001075846773E-3</v>
      </c>
      <c r="AN143" s="378">
        <f t="shared" si="151"/>
        <v>8.4747534708453764E-3</v>
      </c>
      <c r="AO143" s="379">
        <f t="shared" si="152"/>
        <v>1.1866132738998484E-2</v>
      </c>
      <c r="AP143" s="30"/>
      <c r="AQ143" s="64" t="e">
        <f>SUM(AQ125,AQ139)</f>
        <v>#REF!</v>
      </c>
      <c r="AR143" s="65"/>
      <c r="AS143" s="29" t="e">
        <f>(#REF!/AQ143)-1</f>
        <v>#REF!</v>
      </c>
      <c r="AT143" s="29" t="e">
        <f>(#REF!/AR143)-1</f>
        <v>#REF!</v>
      </c>
    </row>
    <row r="144" spans="1:46" s="300" customFormat="1" ht="15.75" customHeight="1">
      <c r="A144" s="200" t="s">
        <v>231</v>
      </c>
      <c r="B144" s="324">
        <v>251741701.46000001</v>
      </c>
      <c r="C144" s="323">
        <v>195.86</v>
      </c>
      <c r="D144" s="324">
        <v>248249424.53</v>
      </c>
      <c r="E144" s="323">
        <v>195.86</v>
      </c>
      <c r="F144" s="23">
        <f t="shared" si="131"/>
        <v>-1.3872460977844409E-2</v>
      </c>
      <c r="G144" s="23">
        <f t="shared" si="132"/>
        <v>0</v>
      </c>
      <c r="H144" s="324">
        <v>249712170.97</v>
      </c>
      <c r="I144" s="323">
        <v>185.53</v>
      </c>
      <c r="J144" s="23">
        <f t="shared" si="153"/>
        <v>5.892245038510574E-3</v>
      </c>
      <c r="K144" s="23">
        <f t="shared" si="154"/>
        <v>-5.2741754314306194E-2</v>
      </c>
      <c r="L144" s="324">
        <v>250830020.03</v>
      </c>
      <c r="M144" s="323">
        <v>183.53</v>
      </c>
      <c r="N144" s="23">
        <f t="shared" si="155"/>
        <v>4.4765501643662334E-3</v>
      </c>
      <c r="O144" s="23">
        <f t="shared" si="156"/>
        <v>-1.0779927774483911E-2</v>
      </c>
      <c r="P144" s="324">
        <v>249983632.03999999</v>
      </c>
      <c r="Q144" s="323">
        <v>182.88</v>
      </c>
      <c r="R144" s="23">
        <f t="shared" si="157"/>
        <v>-3.3743488514603598E-3</v>
      </c>
      <c r="S144" s="23">
        <f t="shared" si="158"/>
        <v>-3.541655315207354E-3</v>
      </c>
      <c r="T144" s="324">
        <v>255094527.91999999</v>
      </c>
      <c r="U144" s="323">
        <v>186.81</v>
      </c>
      <c r="V144" s="23">
        <f t="shared" si="159"/>
        <v>2.0444922086667653E-2</v>
      </c>
      <c r="W144" s="23">
        <f t="shared" si="160"/>
        <v>2.1489501312335995E-2</v>
      </c>
      <c r="X144" s="324">
        <v>262370739.15000001</v>
      </c>
      <c r="Y144" s="323">
        <v>192.53</v>
      </c>
      <c r="Z144" s="23">
        <f t="shared" si="161"/>
        <v>2.8523588057059016E-2</v>
      </c>
      <c r="AA144" s="23">
        <f t="shared" si="162"/>
        <v>3.061934585942936E-2</v>
      </c>
      <c r="AB144" s="324">
        <v>258967289.41999999</v>
      </c>
      <c r="AC144" s="323">
        <v>189.66</v>
      </c>
      <c r="AD144" s="23">
        <f t="shared" si="163"/>
        <v>-1.297191043874078E-2</v>
      </c>
      <c r="AE144" s="23">
        <f t="shared" si="164"/>
        <v>-1.4906767776450447E-2</v>
      </c>
      <c r="AF144" s="324">
        <v>262915567.68000001</v>
      </c>
      <c r="AG144" s="323">
        <v>192.43</v>
      </c>
      <c r="AH144" s="23">
        <f t="shared" si="165"/>
        <v>1.5246243140756663E-2</v>
      </c>
      <c r="AI144" s="23">
        <f t="shared" si="166"/>
        <v>1.4605082779711115E-2</v>
      </c>
      <c r="AJ144" s="24">
        <f t="shared" si="147"/>
        <v>5.5456035274143237E-3</v>
      </c>
      <c r="AK144" s="24">
        <f t="shared" si="148"/>
        <v>-1.9070219036214293E-3</v>
      </c>
      <c r="AL144" s="25">
        <f t="shared" si="149"/>
        <v>5.907825638575713E-2</v>
      </c>
      <c r="AM144" s="25">
        <f t="shared" si="150"/>
        <v>-1.7512508934953572E-2</v>
      </c>
      <c r="AN144" s="378">
        <f t="shared" si="151"/>
        <v>1.5329094717336136E-2</v>
      </c>
      <c r="AO144" s="379">
        <f t="shared" si="152"/>
        <v>2.5826847978399826E-2</v>
      </c>
      <c r="AP144" s="30"/>
      <c r="AQ144" s="334"/>
      <c r="AR144" s="335"/>
      <c r="AS144" s="29"/>
      <c r="AT144" s="29"/>
    </row>
    <row r="145" spans="1:41">
      <c r="A145" s="202" t="s">
        <v>42</v>
      </c>
      <c r="B145" s="214">
        <f>SUM(B121:B144)</f>
        <v>38690467865.717575</v>
      </c>
      <c r="C145" s="85"/>
      <c r="D145" s="214">
        <f>SUM(D121:D144)</f>
        <v>38884096485.686142</v>
      </c>
      <c r="E145" s="85"/>
      <c r="F145" s="23">
        <f>((D145-B145)/B145)</f>
        <v>5.0045561775213174E-3</v>
      </c>
      <c r="G145" s="23"/>
      <c r="H145" s="214">
        <f>SUM(H121:H144)</f>
        <v>38936521066.392647</v>
      </c>
      <c r="I145" s="85"/>
      <c r="J145" s="23">
        <f>((H145-D145)/D145)</f>
        <v>1.3482267930747254E-3</v>
      </c>
      <c r="K145" s="23"/>
      <c r="L145" s="214">
        <f>SUM(L121:L144)</f>
        <v>38811275853.394905</v>
      </c>
      <c r="M145" s="85"/>
      <c r="N145" s="23">
        <f>((L145-H145)/H145)</f>
        <v>-3.2166513485932576E-3</v>
      </c>
      <c r="O145" s="23"/>
      <c r="P145" s="214">
        <f>SUM(P121:P144)</f>
        <v>39079043179.509552</v>
      </c>
      <c r="Q145" s="85"/>
      <c r="R145" s="23">
        <f>((P145-L145)/L145)</f>
        <v>6.8992147314637878E-3</v>
      </c>
      <c r="S145" s="23"/>
      <c r="T145" s="214">
        <f>SUM(T121:T144)</f>
        <v>39909523580.55719</v>
      </c>
      <c r="U145" s="85"/>
      <c r="V145" s="23">
        <f>((T145-P145)/P145)</f>
        <v>2.1251298227360042E-2</v>
      </c>
      <c r="W145" s="23"/>
      <c r="X145" s="214">
        <f>SUM(X121:X144)</f>
        <v>40429036765.108017</v>
      </c>
      <c r="Y145" s="85"/>
      <c r="Z145" s="23">
        <f>((X145-T145)/T145)</f>
        <v>1.3017273521248433E-2</v>
      </c>
      <c r="AA145" s="23"/>
      <c r="AB145" s="214">
        <f>SUM(AB121:AB144)</f>
        <v>39999967409.311623</v>
      </c>
      <c r="AC145" s="85"/>
      <c r="AD145" s="23">
        <f>((AB145-X145)/X145)</f>
        <v>-1.0612900779439284E-2</v>
      </c>
      <c r="AE145" s="23"/>
      <c r="AF145" s="214">
        <f>SUM(AF121:AF144)</f>
        <v>40017994182.737228</v>
      </c>
      <c r="AG145" s="85"/>
      <c r="AH145" s="23">
        <f>((AF145-AB145)/AB145)</f>
        <v>4.506697028310405E-4</v>
      </c>
      <c r="AI145" s="23"/>
      <c r="AJ145" s="24">
        <f t="shared" si="147"/>
        <v>4.267710878183349E-3</v>
      </c>
      <c r="AK145" s="24"/>
      <c r="AL145" s="25">
        <f t="shared" si="149"/>
        <v>2.9160962952257161E-2</v>
      </c>
      <c r="AM145" s="25"/>
      <c r="AN145" s="378">
        <f t="shared" si="151"/>
        <v>9.8052923837889955E-3</v>
      </c>
      <c r="AO145" s="379"/>
    </row>
    <row r="146" spans="1:41" s="108" customFormat="1" ht="8.25" customHeight="1">
      <c r="A146" s="202"/>
      <c r="B146" s="85"/>
      <c r="C146" s="85"/>
      <c r="D146" s="85"/>
      <c r="E146" s="85"/>
      <c r="F146" s="23"/>
      <c r="G146" s="23"/>
      <c r="H146" s="85"/>
      <c r="I146" s="85"/>
      <c r="J146" s="23"/>
      <c r="K146" s="23"/>
      <c r="L146" s="85"/>
      <c r="M146" s="85"/>
      <c r="N146" s="23"/>
      <c r="O146" s="23"/>
      <c r="P146" s="85"/>
      <c r="Q146" s="85"/>
      <c r="R146" s="23"/>
      <c r="S146" s="23"/>
      <c r="T146" s="85"/>
      <c r="U146" s="85"/>
      <c r="V146" s="23"/>
      <c r="W146" s="23"/>
      <c r="X146" s="85"/>
      <c r="Y146" s="85"/>
      <c r="Z146" s="23"/>
      <c r="AA146" s="23"/>
      <c r="AB146" s="85"/>
      <c r="AC146" s="85"/>
      <c r="AD146" s="23"/>
      <c r="AE146" s="23"/>
      <c r="AF146" s="85"/>
      <c r="AG146" s="85"/>
      <c r="AH146" s="23"/>
      <c r="AI146" s="23"/>
      <c r="AJ146" s="24"/>
      <c r="AK146" s="24"/>
      <c r="AL146" s="25"/>
      <c r="AM146" s="25"/>
      <c r="AN146" s="378"/>
      <c r="AO146" s="379"/>
    </row>
    <row r="147" spans="1:41" s="108" customFormat="1">
      <c r="A147" s="204" t="s">
        <v>66</v>
      </c>
      <c r="B147" s="85"/>
      <c r="C147" s="85"/>
      <c r="D147" s="85"/>
      <c r="E147" s="85"/>
      <c r="F147" s="23"/>
      <c r="G147" s="23"/>
      <c r="H147" s="85"/>
      <c r="I147" s="85"/>
      <c r="J147" s="23"/>
      <c r="K147" s="23"/>
      <c r="L147" s="85"/>
      <c r="M147" s="85"/>
      <c r="N147" s="23"/>
      <c r="O147" s="23"/>
      <c r="P147" s="85"/>
      <c r="Q147" s="85"/>
      <c r="R147" s="23"/>
      <c r="S147" s="23"/>
      <c r="T147" s="85"/>
      <c r="U147" s="85"/>
      <c r="V147" s="23"/>
      <c r="W147" s="23"/>
      <c r="X147" s="85"/>
      <c r="Y147" s="85"/>
      <c r="Z147" s="23"/>
      <c r="AA147" s="23"/>
      <c r="AB147" s="85"/>
      <c r="AC147" s="85"/>
      <c r="AD147" s="23"/>
      <c r="AE147" s="23"/>
      <c r="AF147" s="85"/>
      <c r="AG147" s="85"/>
      <c r="AH147" s="23"/>
      <c r="AI147" s="23"/>
      <c r="AJ147" s="24"/>
      <c r="AK147" s="24"/>
      <c r="AL147" s="25"/>
      <c r="AM147" s="25"/>
      <c r="AN147" s="378"/>
      <c r="AO147" s="379"/>
    </row>
    <row r="148" spans="1:41" s="108" customFormat="1">
      <c r="A148" s="201" t="s">
        <v>26</v>
      </c>
      <c r="B148" s="320">
        <v>650621759.97000003</v>
      </c>
      <c r="C148" s="320">
        <v>50.564999999999998</v>
      </c>
      <c r="D148" s="320">
        <v>651519337.62</v>
      </c>
      <c r="E148" s="320">
        <v>50.603000000000002</v>
      </c>
      <c r="F148" s="23">
        <f t="shared" ref="F148:G150" si="167">((D148-B148)/B148)</f>
        <v>1.3795690602806817E-3</v>
      </c>
      <c r="G148" s="23">
        <f t="shared" si="167"/>
        <v>7.5150796005149436E-4</v>
      </c>
      <c r="H148" s="320">
        <v>651744578.17999995</v>
      </c>
      <c r="I148" s="320">
        <v>50.752800000000001</v>
      </c>
      <c r="J148" s="23">
        <f t="shared" ref="J148:J150" si="168">((H148-D148)/D148)</f>
        <v>3.4571584754912492E-4</v>
      </c>
      <c r="K148" s="23">
        <f t="shared" ref="K148:K150" si="169">((I148-E148)/E148)</f>
        <v>2.9602987965140215E-3</v>
      </c>
      <c r="L148" s="320">
        <v>650528778.51999998</v>
      </c>
      <c r="M148" s="320">
        <v>50.650799999999997</v>
      </c>
      <c r="N148" s="23">
        <f t="shared" ref="N148:N150" si="170">((L148-H148)/H148)</f>
        <v>-1.8654541989364811E-3</v>
      </c>
      <c r="O148" s="23">
        <f t="shared" ref="O148:O150" si="171">((M148-I148)/I148)</f>
        <v>-2.0097413344683222E-3</v>
      </c>
      <c r="P148" s="320">
        <v>661832343.13</v>
      </c>
      <c r="Q148" s="320">
        <v>652.64739999999995</v>
      </c>
      <c r="R148" s="23">
        <f t="shared" ref="R148:R150" si="172">((P148-L148)/L148)</f>
        <v>1.7375963959221669E-2</v>
      </c>
      <c r="S148" s="23">
        <f t="shared" ref="S148:S150" si="173">((Q148-M148)/M148)</f>
        <v>11.885233796899556</v>
      </c>
      <c r="T148" s="320">
        <v>672989644.88999999</v>
      </c>
      <c r="U148" s="320">
        <v>52.300699999999999</v>
      </c>
      <c r="V148" s="23">
        <f t="shared" ref="V148:V150" si="174">((T148-P148)/P148)</f>
        <v>1.6858199626862937E-2</v>
      </c>
      <c r="W148" s="23">
        <f t="shared" ref="W148:W150" si="175">((U148-Q148)/Q148)</f>
        <v>-0.91986377330239877</v>
      </c>
      <c r="X148" s="320">
        <v>669978595.96000004</v>
      </c>
      <c r="Y148" s="320">
        <v>52.4666</v>
      </c>
      <c r="Z148" s="23">
        <f t="shared" ref="Z148:Z150" si="176">((X148-T148)/T148)</f>
        <v>-4.4741385738440338E-3</v>
      </c>
      <c r="AA148" s="23">
        <f t="shared" ref="AA148:AA150" si="177">((Y148-U148)/U148)</f>
        <v>3.172041674394427E-3</v>
      </c>
      <c r="AB148" s="320">
        <v>666981731.60000002</v>
      </c>
      <c r="AC148" s="320">
        <v>52.377600000000001</v>
      </c>
      <c r="AD148" s="23">
        <f t="shared" ref="AD148:AD150" si="178">((AB148-X148)/X148)</f>
        <v>-4.4730747789126944E-3</v>
      </c>
      <c r="AE148" s="23">
        <f t="shared" ref="AE148:AE150" si="179">((AC148-Y148)/Y148)</f>
        <v>-1.696317276133743E-3</v>
      </c>
      <c r="AF148" s="320">
        <v>671653658.22000003</v>
      </c>
      <c r="AG148" s="320">
        <v>52.668100000000003</v>
      </c>
      <c r="AH148" s="23">
        <f t="shared" ref="AH148:AH150" si="180">((AF148-AB148)/AB148)</f>
        <v>7.0045795839005628E-3</v>
      </c>
      <c r="AI148" s="23">
        <f t="shared" ref="AI148:AI150" si="181">((AG148-AC148)/AC148)</f>
        <v>5.5462640518084355E-3</v>
      </c>
      <c r="AJ148" s="24">
        <f t="shared" si="147"/>
        <v>4.018920065765221E-3</v>
      </c>
      <c r="AK148" s="24">
        <f t="shared" si="148"/>
        <v>1.3717617596836655</v>
      </c>
      <c r="AL148" s="25">
        <f t="shared" si="149"/>
        <v>3.0903642359336091E-2</v>
      </c>
      <c r="AM148" s="25">
        <f t="shared" si="150"/>
        <v>4.0809833409086435E-2</v>
      </c>
      <c r="AN148" s="378">
        <f t="shared" si="151"/>
        <v>8.8761507819051667E-3</v>
      </c>
      <c r="AO148" s="379">
        <f t="shared" si="152"/>
        <v>4.2604288935665604</v>
      </c>
    </row>
    <row r="149" spans="1:41">
      <c r="A149" s="201" t="s">
        <v>188</v>
      </c>
      <c r="B149" s="319">
        <v>745488424.90999997</v>
      </c>
      <c r="C149" s="320">
        <v>19.7241</v>
      </c>
      <c r="D149" s="319">
        <v>758135505.74000001</v>
      </c>
      <c r="E149" s="320">
        <v>19.709900000000001</v>
      </c>
      <c r="F149" s="23">
        <f t="shared" si="167"/>
        <v>1.6964825217141204E-2</v>
      </c>
      <c r="G149" s="23">
        <f t="shared" si="167"/>
        <v>-7.1993145441357929E-4</v>
      </c>
      <c r="H149" s="319">
        <v>750151722.47000003</v>
      </c>
      <c r="I149" s="320">
        <v>19.772099999999998</v>
      </c>
      <c r="J149" s="23">
        <f t="shared" si="168"/>
        <v>-1.0530813040087312E-2</v>
      </c>
      <c r="K149" s="23">
        <f t="shared" si="169"/>
        <v>3.1557745092566244E-3</v>
      </c>
      <c r="L149" s="319">
        <v>752802568.57000005</v>
      </c>
      <c r="M149" s="320">
        <v>19.8323</v>
      </c>
      <c r="N149" s="23">
        <f t="shared" si="170"/>
        <v>3.5337466016496896E-3</v>
      </c>
      <c r="O149" s="23">
        <f t="shared" si="171"/>
        <v>3.0446942914511767E-3</v>
      </c>
      <c r="P149" s="319">
        <v>766218716.53999996</v>
      </c>
      <c r="Q149" s="320">
        <v>20.138300000000001</v>
      </c>
      <c r="R149" s="23">
        <f t="shared" si="172"/>
        <v>1.782160227678925E-2</v>
      </c>
      <c r="S149" s="23">
        <f t="shared" si="173"/>
        <v>1.5429375311991091E-2</v>
      </c>
      <c r="T149" s="319">
        <v>795102200.75999999</v>
      </c>
      <c r="U149" s="320">
        <v>20.5185</v>
      </c>
      <c r="V149" s="23">
        <f t="shared" si="174"/>
        <v>3.7696135054529414E-2</v>
      </c>
      <c r="W149" s="23">
        <f t="shared" si="175"/>
        <v>1.8879448612842124E-2</v>
      </c>
      <c r="X149" s="319">
        <v>806257084.20000005</v>
      </c>
      <c r="Y149" s="320">
        <v>21.040099999999999</v>
      </c>
      <c r="Z149" s="23">
        <f t="shared" si="176"/>
        <v>1.4029496370828355E-2</v>
      </c>
      <c r="AA149" s="23">
        <f t="shared" si="177"/>
        <v>2.5420961571264927E-2</v>
      </c>
      <c r="AB149" s="319">
        <v>786368154.72000003</v>
      </c>
      <c r="AC149" s="320">
        <v>21.785900000000002</v>
      </c>
      <c r="AD149" s="23">
        <f t="shared" si="178"/>
        <v>-2.4668222915194098E-2</v>
      </c>
      <c r="AE149" s="23">
        <f t="shared" si="179"/>
        <v>3.5446599588405125E-2</v>
      </c>
      <c r="AF149" s="319">
        <v>780672117.12</v>
      </c>
      <c r="AG149" s="320">
        <v>21.6221</v>
      </c>
      <c r="AH149" s="23">
        <f t="shared" si="180"/>
        <v>-7.2434744029381461E-3</v>
      </c>
      <c r="AI149" s="23">
        <f t="shared" si="181"/>
        <v>-7.5186244313983786E-3</v>
      </c>
      <c r="AJ149" s="24">
        <f t="shared" si="147"/>
        <v>5.9504118953397946E-3</v>
      </c>
      <c r="AK149" s="24">
        <f t="shared" si="148"/>
        <v>1.1642287249924889E-2</v>
      </c>
      <c r="AL149" s="25">
        <f t="shared" si="149"/>
        <v>2.9726363175673308E-2</v>
      </c>
      <c r="AM149" s="25">
        <f t="shared" si="150"/>
        <v>9.7017234993581822E-2</v>
      </c>
      <c r="AN149" s="378">
        <f t="shared" si="151"/>
        <v>1.9727991305266437E-2</v>
      </c>
      <c r="AO149" s="379">
        <f t="shared" si="152"/>
        <v>1.5987513254492859E-2</v>
      </c>
    </row>
    <row r="150" spans="1:41">
      <c r="A150" s="201" t="s">
        <v>25</v>
      </c>
      <c r="B150" s="319">
        <v>2369773198.2399998</v>
      </c>
      <c r="C150" s="320">
        <v>1.93</v>
      </c>
      <c r="D150" s="319">
        <v>2387231872.0700002</v>
      </c>
      <c r="E150" s="320">
        <v>1.95</v>
      </c>
      <c r="F150" s="23">
        <f t="shared" si="167"/>
        <v>7.3672340639883739E-3</v>
      </c>
      <c r="G150" s="23">
        <f t="shared" si="167"/>
        <v>1.0362694300518144E-2</v>
      </c>
      <c r="H150" s="319">
        <v>2419873193.0500002</v>
      </c>
      <c r="I150" s="320">
        <v>1.96</v>
      </c>
      <c r="J150" s="23">
        <f t="shared" si="168"/>
        <v>1.3673293056236008E-2</v>
      </c>
      <c r="K150" s="23">
        <f t="shared" si="169"/>
        <v>5.1282051282051325E-3</v>
      </c>
      <c r="L150" s="319">
        <v>2398957786.46</v>
      </c>
      <c r="M150" s="320">
        <v>1.94</v>
      </c>
      <c r="N150" s="23">
        <f t="shared" si="170"/>
        <v>-8.6431828949013832E-3</v>
      </c>
      <c r="O150" s="23">
        <f t="shared" si="171"/>
        <v>-1.0204081632653071E-2</v>
      </c>
      <c r="P150" s="319">
        <v>2405142731.2399998</v>
      </c>
      <c r="Q150" s="320">
        <v>1.94</v>
      </c>
      <c r="R150" s="23">
        <f t="shared" si="172"/>
        <v>2.5781799141728502E-3</v>
      </c>
      <c r="S150" s="23">
        <f t="shared" si="173"/>
        <v>0</v>
      </c>
      <c r="T150" s="319">
        <v>2482613314.8000002</v>
      </c>
      <c r="U150" s="320">
        <v>2.0099999999999998</v>
      </c>
      <c r="V150" s="23">
        <f t="shared" si="174"/>
        <v>3.2210389243743365E-2</v>
      </c>
      <c r="W150" s="23">
        <f t="shared" si="175"/>
        <v>3.6082474226804044E-2</v>
      </c>
      <c r="X150" s="319">
        <v>2512443474.1199999</v>
      </c>
      <c r="Y150" s="320">
        <v>2.0299999999999998</v>
      </c>
      <c r="Z150" s="23">
        <f t="shared" si="176"/>
        <v>1.201562850814035E-2</v>
      </c>
      <c r="AA150" s="23">
        <f t="shared" si="177"/>
        <v>9.9502487562189157E-3</v>
      </c>
      <c r="AB150" s="319">
        <v>2433828439.27</v>
      </c>
      <c r="AC150" s="320">
        <v>1.96</v>
      </c>
      <c r="AD150" s="23">
        <f t="shared" si="178"/>
        <v>-3.1290270073652239E-2</v>
      </c>
      <c r="AE150" s="23">
        <f t="shared" si="179"/>
        <v>-3.4482758620689578E-2</v>
      </c>
      <c r="AF150" s="319">
        <v>2416554984.6399999</v>
      </c>
      <c r="AG150" s="320">
        <v>1.95</v>
      </c>
      <c r="AH150" s="23">
        <f t="shared" si="180"/>
        <v>-7.097235923161904E-3</v>
      </c>
      <c r="AI150" s="23">
        <f t="shared" si="181"/>
        <v>-5.1020408163265354E-3</v>
      </c>
      <c r="AJ150" s="24">
        <f t="shared" si="147"/>
        <v>2.6017544868206775E-3</v>
      </c>
      <c r="AK150" s="24">
        <f t="shared" si="148"/>
        <v>1.4668426677596309E-3</v>
      </c>
      <c r="AL150" s="25">
        <f t="shared" si="149"/>
        <v>1.2283311442458766E-2</v>
      </c>
      <c r="AM150" s="25">
        <f t="shared" si="150"/>
        <v>0</v>
      </c>
      <c r="AN150" s="378">
        <f t="shared" si="151"/>
        <v>1.8821605952478202E-2</v>
      </c>
      <c r="AO150" s="379">
        <f t="shared" si="152"/>
        <v>1.9331760127390116E-2</v>
      </c>
    </row>
    <row r="151" spans="1:41">
      <c r="A151" s="202" t="s">
        <v>42</v>
      </c>
      <c r="B151" s="214">
        <f>SUM(B148:B150)</f>
        <v>3765883383.1199999</v>
      </c>
      <c r="C151" s="85"/>
      <c r="D151" s="214">
        <f>SUM(D148:D150)</f>
        <v>3796886715.4300003</v>
      </c>
      <c r="E151" s="85"/>
      <c r="F151" s="23">
        <f>((D151-B151)/B151)</f>
        <v>8.2326851779234971E-3</v>
      </c>
      <c r="G151" s="23"/>
      <c r="H151" s="214">
        <f>SUM(H148:H150)</f>
        <v>3821769493.7000003</v>
      </c>
      <c r="I151" s="85"/>
      <c r="J151" s="23">
        <f>((H151-D151)/D151)</f>
        <v>6.5534687060532929E-3</v>
      </c>
      <c r="K151" s="23"/>
      <c r="L151" s="214">
        <f>SUM(L148:L150)</f>
        <v>3802289133.5500002</v>
      </c>
      <c r="M151" s="85"/>
      <c r="N151" s="23">
        <f>((L151-H151)/H151)</f>
        <v>-5.097209599404808E-3</v>
      </c>
      <c r="O151" s="23"/>
      <c r="P151" s="214">
        <f>SUM(P148:P150)</f>
        <v>3833193790.9099998</v>
      </c>
      <c r="Q151" s="85"/>
      <c r="R151" s="23">
        <f>((P151-L151)/L151)</f>
        <v>8.1279082874861699E-3</v>
      </c>
      <c r="S151" s="23"/>
      <c r="T151" s="214">
        <f>SUM(T148:T150)</f>
        <v>3950705160.4500003</v>
      </c>
      <c r="U151" s="85"/>
      <c r="V151" s="23">
        <f>((T151-P151)/P151)</f>
        <v>3.0656255840408018E-2</v>
      </c>
      <c r="W151" s="23"/>
      <c r="X151" s="214">
        <f>SUM(X148:X150)</f>
        <v>3988679154.2799997</v>
      </c>
      <c r="Y151" s="85"/>
      <c r="Z151" s="23">
        <f>((X151-T151)/T151)</f>
        <v>9.6119533824371908E-3</v>
      </c>
      <c r="AA151" s="23"/>
      <c r="AB151" s="214">
        <f>SUM(AB148:AB150)</f>
        <v>3887178325.5900002</v>
      </c>
      <c r="AC151" s="85"/>
      <c r="AD151" s="23">
        <f>((AB151-X151)/X151)</f>
        <v>-2.54472282086378E-2</v>
      </c>
      <c r="AE151" s="23"/>
      <c r="AF151" s="214">
        <f>SUM(AF148:AF150)</f>
        <v>3868880759.98</v>
      </c>
      <c r="AG151" s="85"/>
      <c r="AH151" s="23">
        <f>((AF151-AB151)/AB151)</f>
        <v>-4.7071587865017512E-3</v>
      </c>
      <c r="AI151" s="23"/>
      <c r="AJ151" s="24">
        <f t="shared" si="147"/>
        <v>3.4913343499704771E-3</v>
      </c>
      <c r="AK151" s="24"/>
      <c r="AL151" s="25">
        <f t="shared" si="149"/>
        <v>1.8961335943320692E-2</v>
      </c>
      <c r="AM151" s="25"/>
      <c r="AN151" s="378">
        <f t="shared" si="151"/>
        <v>1.6067574308553993E-2</v>
      </c>
      <c r="AO151" s="379"/>
    </row>
    <row r="152" spans="1:41" ht="8.25" customHeight="1">
      <c r="A152" s="202"/>
      <c r="B152" s="85"/>
      <c r="C152" s="85"/>
      <c r="D152" s="85"/>
      <c r="E152" s="85"/>
      <c r="F152" s="23"/>
      <c r="G152" s="23"/>
      <c r="H152" s="85"/>
      <c r="I152" s="85"/>
      <c r="J152" s="23"/>
      <c r="K152" s="23"/>
      <c r="L152" s="85"/>
      <c r="M152" s="85"/>
      <c r="N152" s="23"/>
      <c r="O152" s="23"/>
      <c r="P152" s="85"/>
      <c r="Q152" s="85"/>
      <c r="R152" s="23"/>
      <c r="S152" s="23"/>
      <c r="T152" s="85"/>
      <c r="U152" s="85"/>
      <c r="V152" s="23"/>
      <c r="W152" s="23"/>
      <c r="X152" s="85"/>
      <c r="Y152" s="85"/>
      <c r="Z152" s="23"/>
      <c r="AA152" s="23"/>
      <c r="AB152" s="85"/>
      <c r="AC152" s="85"/>
      <c r="AD152" s="23"/>
      <c r="AE152" s="23"/>
      <c r="AF152" s="85"/>
      <c r="AG152" s="85"/>
      <c r="AH152" s="23"/>
      <c r="AI152" s="23"/>
      <c r="AJ152" s="24"/>
      <c r="AK152" s="24"/>
      <c r="AL152" s="25"/>
      <c r="AM152" s="25"/>
      <c r="AN152" s="378"/>
      <c r="AO152" s="379"/>
    </row>
    <row r="153" spans="1:41">
      <c r="A153" s="205" t="s">
        <v>196</v>
      </c>
      <c r="B153" s="85"/>
      <c r="C153" s="85"/>
      <c r="D153" s="85"/>
      <c r="E153" s="85"/>
      <c r="F153" s="23"/>
      <c r="G153" s="23"/>
      <c r="H153" s="85"/>
      <c r="I153" s="85"/>
      <c r="J153" s="23"/>
      <c r="K153" s="23"/>
      <c r="L153" s="85"/>
      <c r="M153" s="85"/>
      <c r="N153" s="23"/>
      <c r="O153" s="23"/>
      <c r="P153" s="85"/>
      <c r="Q153" s="85"/>
      <c r="R153" s="23"/>
      <c r="S153" s="23"/>
      <c r="T153" s="85"/>
      <c r="U153" s="85"/>
      <c r="V153" s="23"/>
      <c r="W153" s="23"/>
      <c r="X153" s="85"/>
      <c r="Y153" s="85"/>
      <c r="Z153" s="23"/>
      <c r="AA153" s="23"/>
      <c r="AB153" s="85"/>
      <c r="AC153" s="85"/>
      <c r="AD153" s="23"/>
      <c r="AE153" s="23"/>
      <c r="AF153" s="85"/>
      <c r="AG153" s="85"/>
      <c r="AH153" s="23"/>
      <c r="AI153" s="23"/>
      <c r="AJ153" s="24"/>
      <c r="AK153" s="24"/>
      <c r="AL153" s="25"/>
      <c r="AM153" s="25"/>
      <c r="AN153" s="378"/>
      <c r="AO153" s="379"/>
    </row>
    <row r="154" spans="1:41">
      <c r="A154" s="206" t="s">
        <v>197</v>
      </c>
      <c r="B154" s="85"/>
      <c r="C154" s="85"/>
      <c r="D154" s="85"/>
      <c r="E154" s="85"/>
      <c r="F154" s="23"/>
      <c r="G154" s="23"/>
      <c r="H154" s="85"/>
      <c r="I154" s="85"/>
      <c r="J154" s="23"/>
      <c r="K154" s="23"/>
      <c r="L154" s="85"/>
      <c r="M154" s="85"/>
      <c r="N154" s="23"/>
      <c r="O154" s="23"/>
      <c r="P154" s="85"/>
      <c r="Q154" s="85"/>
      <c r="R154" s="23"/>
      <c r="S154" s="23"/>
      <c r="T154" s="85"/>
      <c r="U154" s="85"/>
      <c r="V154" s="23"/>
      <c r="W154" s="23"/>
      <c r="X154" s="85"/>
      <c r="Y154" s="85"/>
      <c r="Z154" s="23"/>
      <c r="AA154" s="23"/>
      <c r="AB154" s="85"/>
      <c r="AC154" s="85"/>
      <c r="AD154" s="23"/>
      <c r="AE154" s="23"/>
      <c r="AF154" s="85"/>
      <c r="AG154" s="85"/>
      <c r="AH154" s="23"/>
      <c r="AI154" s="23"/>
      <c r="AJ154" s="24"/>
      <c r="AK154" s="24"/>
      <c r="AL154" s="25"/>
      <c r="AM154" s="25"/>
      <c r="AN154" s="378"/>
      <c r="AO154" s="379"/>
    </row>
    <row r="155" spans="1:41">
      <c r="A155" s="201" t="s">
        <v>24</v>
      </c>
      <c r="B155" s="314">
        <v>3619190135.3400002</v>
      </c>
      <c r="C155" s="315">
        <v>1.8</v>
      </c>
      <c r="D155" s="314">
        <v>3620233880.8099999</v>
      </c>
      <c r="E155" s="315">
        <v>1.77</v>
      </c>
      <c r="F155" s="23">
        <f>((D148-B155)/B155)</f>
        <v>-0.81998200888697059</v>
      </c>
      <c r="G155" s="23">
        <f>((E155-C155)/C155)</f>
        <v>-1.666666666666668E-2</v>
      </c>
      <c r="H155" s="314">
        <v>3673350933.2600002</v>
      </c>
      <c r="I155" s="315">
        <v>1.83</v>
      </c>
      <c r="J155" s="23">
        <f>((H148-D155)/D155)</f>
        <v>-0.81997169253767188</v>
      </c>
      <c r="K155" s="23">
        <f>((I155-E155)/E155)</f>
        <v>3.389830508474579E-2</v>
      </c>
      <c r="L155" s="314">
        <v>3641135629.48</v>
      </c>
      <c r="M155" s="315">
        <v>1.82</v>
      </c>
      <c r="N155" s="23">
        <f>((L148-H155)/H155)</f>
        <v>-0.82290589972500305</v>
      </c>
      <c r="O155" s="23">
        <f>((M155-I155)/I155)</f>
        <v>-5.4644808743169442E-3</v>
      </c>
      <c r="P155" s="314">
        <v>3648462686.3000002</v>
      </c>
      <c r="Q155" s="315">
        <v>1.82</v>
      </c>
      <c r="R155" s="23">
        <f>((P148-L155)/L155)</f>
        <v>-0.81823463598236845</v>
      </c>
      <c r="S155" s="23">
        <f>((Q155-M155)/M155)</f>
        <v>0</v>
      </c>
      <c r="T155" s="314">
        <v>3656724039.7600002</v>
      </c>
      <c r="U155" s="315">
        <v>1.82</v>
      </c>
      <c r="V155" s="23">
        <f>((T148-P155)/P155)</f>
        <v>-0.81554158483871031</v>
      </c>
      <c r="W155" s="23">
        <f>((U155-Q155)/Q155)</f>
        <v>0</v>
      </c>
      <c r="X155" s="314">
        <v>3665352380.4000001</v>
      </c>
      <c r="Y155" s="315">
        <v>1.83</v>
      </c>
      <c r="Z155" s="23">
        <f>((X148-T155)/T155)</f>
        <v>-0.81678174544339632</v>
      </c>
      <c r="AA155" s="23">
        <f>((Y155-U155)/U155)</f>
        <v>5.4945054945054993E-3</v>
      </c>
      <c r="AB155" s="314">
        <v>3662980447.79</v>
      </c>
      <c r="AC155" s="315">
        <v>1.83</v>
      </c>
      <c r="AD155" s="23">
        <f>((AB148-X155)/X155)</f>
        <v>-0.81803066598273089</v>
      </c>
      <c r="AE155" s="23">
        <f>((AC155-Y155)/Y155)</f>
        <v>0</v>
      </c>
      <c r="AF155" s="314">
        <v>3665464075.4899998</v>
      </c>
      <c r="AG155" s="315">
        <v>1.83</v>
      </c>
      <c r="AH155" s="23">
        <f>((AF148-AB155)/AB155)</f>
        <v>-0.81663738919894269</v>
      </c>
      <c r="AI155" s="23">
        <f>((AG155-AC155)/AC155)</f>
        <v>0</v>
      </c>
      <c r="AJ155" s="24">
        <f t="shared" si="147"/>
        <v>-0.81851070282447425</v>
      </c>
      <c r="AK155" s="24">
        <f t="shared" si="148"/>
        <v>2.1577078797834579E-3</v>
      </c>
      <c r="AL155" s="25">
        <f t="shared" si="149"/>
        <v>1.2493721723271622E-2</v>
      </c>
      <c r="AM155" s="25">
        <f t="shared" si="150"/>
        <v>3.389830508474579E-2</v>
      </c>
      <c r="AN155" s="378">
        <f t="shared" si="151"/>
        <v>2.3675754842496567E-3</v>
      </c>
      <c r="AO155" s="379">
        <f t="shared" si="152"/>
        <v>0.29044478673378027</v>
      </c>
    </row>
    <row r="156" spans="1:41" s="365" customFormat="1">
      <c r="A156" s="200" t="s">
        <v>65</v>
      </c>
      <c r="B156" s="314">
        <v>418488752.76999998</v>
      </c>
      <c r="C156" s="315">
        <v>338.82</v>
      </c>
      <c r="D156" s="314">
        <v>450866416.00999999</v>
      </c>
      <c r="E156" s="315">
        <v>353.18</v>
      </c>
      <c r="F156" s="23">
        <f>((D148-B156)/B156)</f>
        <v>0.5568383458517292</v>
      </c>
      <c r="G156" s="23">
        <f>((E156-C156)/C156)</f>
        <v>4.238238592763123E-2</v>
      </c>
      <c r="H156" s="314">
        <v>457129538.98000002</v>
      </c>
      <c r="I156" s="315">
        <v>346.62</v>
      </c>
      <c r="J156" s="23">
        <f>((H148-D156)/D156)</f>
        <v>0.44553809074469758</v>
      </c>
      <c r="K156" s="23">
        <f>((I156-E156)/E156)</f>
        <v>-1.85740981935557E-2</v>
      </c>
      <c r="L156" s="314">
        <v>456924615.91000003</v>
      </c>
      <c r="M156" s="315">
        <v>348.25</v>
      </c>
      <c r="N156" s="23">
        <f>((L148-H156)/H156)</f>
        <v>0.42307316208778495</v>
      </c>
      <c r="O156" s="23">
        <f>((M156-I156)/I156)</f>
        <v>4.7025561133229345E-3</v>
      </c>
      <c r="P156" s="314">
        <v>485638650.45999998</v>
      </c>
      <c r="Q156" s="315">
        <v>367.27</v>
      </c>
      <c r="R156" s="23">
        <f>((P148-L156)/L156)</f>
        <v>0.44844974441114471</v>
      </c>
      <c r="S156" s="23">
        <f>((Q156-M156)/M156)</f>
        <v>5.4615936826992048E-2</v>
      </c>
      <c r="T156" s="314">
        <v>520621801.62</v>
      </c>
      <c r="U156" s="315">
        <v>389.86</v>
      </c>
      <c r="V156" s="23">
        <f>((T148-P156)/P156)</f>
        <v>0.38578270953627758</v>
      </c>
      <c r="W156" s="23">
        <f>((U156-Q156)/Q156)</f>
        <v>6.1507882484275966E-2</v>
      </c>
      <c r="X156" s="314">
        <v>529669880.97000003</v>
      </c>
      <c r="Y156" s="315">
        <v>395.08</v>
      </c>
      <c r="Z156" s="23">
        <f>((X148-T156)/T156)</f>
        <v>0.28688155946457083</v>
      </c>
      <c r="AA156" s="23">
        <f>((Y156-U156)/U156)</f>
        <v>1.3389421843738702E-2</v>
      </c>
      <c r="AB156" s="314">
        <v>517837902.87</v>
      </c>
      <c r="AC156" s="315">
        <v>383.72</v>
      </c>
      <c r="AD156" s="23">
        <f>((AB148-X156)/X156)</f>
        <v>0.25924043553040388</v>
      </c>
      <c r="AE156" s="23">
        <f>((AC156-Y156)/Y156)</f>
        <v>-2.8753670142755788E-2</v>
      </c>
      <c r="AF156" s="314">
        <v>516822347.82999998</v>
      </c>
      <c r="AG156" s="315">
        <v>377.58</v>
      </c>
      <c r="AH156" s="23">
        <f>((AF148-AB156)/AB156)</f>
        <v>0.29703456332089795</v>
      </c>
      <c r="AI156" s="23">
        <f>((AG156-AC156)/AC156)</f>
        <v>-1.6001250912123535E-2</v>
      </c>
      <c r="AJ156" s="24">
        <f t="shared" si="147"/>
        <v>0.38785482636843832</v>
      </c>
      <c r="AK156" s="24">
        <f t="shared" si="148"/>
        <v>1.415864549344073E-2</v>
      </c>
      <c r="AL156" s="25">
        <f t="shared" si="149"/>
        <v>0.14628708078034608</v>
      </c>
      <c r="AM156" s="25">
        <f t="shared" si="150"/>
        <v>6.9086584744322943E-2</v>
      </c>
      <c r="AN156" s="378">
        <f t="shared" si="151"/>
        <v>0.10126679057785436</v>
      </c>
      <c r="AO156" s="379">
        <f t="shared" si="152"/>
        <v>8.9796509299424482E-2</v>
      </c>
    </row>
    <row r="157" spans="1:41" ht="8.25" customHeight="1">
      <c r="A157" s="202"/>
      <c r="B157" s="85"/>
      <c r="C157" s="85"/>
      <c r="D157" s="85"/>
      <c r="E157" s="85"/>
      <c r="F157" s="23"/>
      <c r="G157" s="23"/>
      <c r="H157" s="85"/>
      <c r="I157" s="85"/>
      <c r="J157" s="23"/>
      <c r="K157" s="23"/>
      <c r="L157" s="85"/>
      <c r="M157" s="85"/>
      <c r="N157" s="23"/>
      <c r="O157" s="23"/>
      <c r="P157" s="85"/>
      <c r="Q157" s="85"/>
      <c r="R157" s="23"/>
      <c r="S157" s="23"/>
      <c r="T157" s="85"/>
      <c r="U157" s="85"/>
      <c r="V157" s="23"/>
      <c r="W157" s="23"/>
      <c r="X157" s="85"/>
      <c r="Y157" s="85"/>
      <c r="Z157" s="23"/>
      <c r="AA157" s="23"/>
      <c r="AB157" s="85"/>
      <c r="AC157" s="85"/>
      <c r="AD157" s="23"/>
      <c r="AE157" s="23"/>
      <c r="AF157" s="85"/>
      <c r="AG157" s="85"/>
      <c r="AH157" s="23"/>
      <c r="AI157" s="23"/>
      <c r="AJ157" s="24"/>
      <c r="AK157" s="24"/>
      <c r="AL157" s="25"/>
      <c r="AM157" s="25"/>
      <c r="AN157" s="378"/>
      <c r="AO157" s="379"/>
    </row>
    <row r="158" spans="1:41">
      <c r="A158" s="206" t="s">
        <v>198</v>
      </c>
      <c r="B158" s="85"/>
      <c r="C158" s="85"/>
      <c r="D158" s="85"/>
      <c r="E158" s="85"/>
      <c r="F158" s="23"/>
      <c r="G158" s="23"/>
      <c r="H158" s="85"/>
      <c r="I158" s="85"/>
      <c r="J158" s="23"/>
      <c r="K158" s="23"/>
      <c r="L158" s="85"/>
      <c r="M158" s="85"/>
      <c r="N158" s="23"/>
      <c r="O158" s="23"/>
      <c r="P158" s="85"/>
      <c r="Q158" s="85"/>
      <c r="R158" s="23"/>
      <c r="S158" s="23"/>
      <c r="T158" s="85"/>
      <c r="U158" s="85"/>
      <c r="V158" s="23"/>
      <c r="W158" s="23"/>
      <c r="X158" s="85"/>
      <c r="Y158" s="85"/>
      <c r="Z158" s="23"/>
      <c r="AA158" s="23"/>
      <c r="AB158" s="85"/>
      <c r="AC158" s="85"/>
      <c r="AD158" s="23"/>
      <c r="AE158" s="23"/>
      <c r="AF158" s="85"/>
      <c r="AG158" s="85"/>
      <c r="AH158" s="23"/>
      <c r="AI158" s="23"/>
      <c r="AJ158" s="24"/>
      <c r="AK158" s="24"/>
      <c r="AL158" s="25"/>
      <c r="AM158" s="25"/>
      <c r="AN158" s="378"/>
      <c r="AO158" s="379"/>
    </row>
    <row r="159" spans="1:41">
      <c r="A159" s="200" t="s">
        <v>226</v>
      </c>
      <c r="B159" s="324">
        <v>470757767.75</v>
      </c>
      <c r="C159" s="324">
        <v>1025.0999999999999</v>
      </c>
      <c r="D159" s="324">
        <v>471694103.19</v>
      </c>
      <c r="E159" s="324">
        <v>1027.1400000000001</v>
      </c>
      <c r="F159" s="23">
        <f t="shared" ref="F159:G166" si="182">((D159-B159)/B159)</f>
        <v>1.9889962612305669E-3</v>
      </c>
      <c r="G159" s="23">
        <f t="shared" si="182"/>
        <v>1.9900497512439675E-3</v>
      </c>
      <c r="H159" s="324">
        <v>472630097.77999997</v>
      </c>
      <c r="I159" s="324">
        <v>1029.18</v>
      </c>
      <c r="J159" s="23">
        <f t="shared" ref="J159:J169" si="183">((H159-D159)/D159)</f>
        <v>1.9843254000208518E-3</v>
      </c>
      <c r="K159" s="23">
        <f t="shared" ref="K159:K161" si="184">((I159-E159)/E159)</f>
        <v>1.986097318768584E-3</v>
      </c>
      <c r="L159" s="324">
        <v>473557433.18000001</v>
      </c>
      <c r="M159" s="324">
        <v>1031.2</v>
      </c>
      <c r="N159" s="23">
        <f t="shared" ref="N159:N169" si="185">((L159-H159)/H159)</f>
        <v>1.9620743671548658E-3</v>
      </c>
      <c r="O159" s="23">
        <f t="shared" ref="O159:O161" si="186">((M159-I159)/I159)</f>
        <v>1.9627276083872421E-3</v>
      </c>
      <c r="P159" s="324">
        <v>472962572.51999998</v>
      </c>
      <c r="Q159" s="324">
        <v>1029.9000000000001</v>
      </c>
      <c r="R159" s="23">
        <f t="shared" ref="R159:R169" si="187">((P159-L159)/L159)</f>
        <v>-1.2561531470543271E-3</v>
      </c>
      <c r="S159" s="23">
        <f t="shared" ref="S159:S161" si="188">((Q159-M159)/M159)</f>
        <v>-1.2606671838634158E-3</v>
      </c>
      <c r="T159" s="324">
        <v>447062416.44</v>
      </c>
      <c r="U159" s="324">
        <v>1031.99</v>
      </c>
      <c r="V159" s="23">
        <f t="shared" ref="V159:V169" si="189">((T159-P159)/P159)</f>
        <v>-5.4761534178065965E-2</v>
      </c>
      <c r="W159" s="23">
        <f t="shared" ref="W159:W161" si="190">((U159-Q159)/Q159)</f>
        <v>2.0293232352654803E-3</v>
      </c>
      <c r="X159" s="324">
        <v>448123132.58999997</v>
      </c>
      <c r="Y159" s="324">
        <v>1034.44</v>
      </c>
      <c r="Z159" s="23">
        <f t="shared" ref="Z159:Z169" si="191">((X159-T159)/T159)</f>
        <v>2.3726354777182088E-3</v>
      </c>
      <c r="AA159" s="23">
        <f t="shared" ref="AA159:AA161" si="192">((Y159-U159)/U159)</f>
        <v>2.3740540121513247E-3</v>
      </c>
      <c r="AB159" s="324">
        <v>449132137.16000003</v>
      </c>
      <c r="AC159" s="324">
        <v>1036.77</v>
      </c>
      <c r="AD159" s="23">
        <f t="shared" ref="AD159:AD166" si="193">((AB159-X159)/X159)</f>
        <v>2.2516234860904139E-3</v>
      </c>
      <c r="AE159" s="23">
        <f t="shared" ref="AE159:AE161" si="194">((AC159-Y159)/Y159)</f>
        <v>2.2524264336258528E-3</v>
      </c>
      <c r="AF159" s="324">
        <v>450038155.29000002</v>
      </c>
      <c r="AG159" s="324">
        <v>1038.8599999999999</v>
      </c>
      <c r="AH159" s="23">
        <f t="shared" ref="AH159:AH166" si="195">((AF159-AB159)/AB159)</f>
        <v>2.0172640856408654E-3</v>
      </c>
      <c r="AI159" s="23">
        <f t="shared" ref="AI159:AI161" si="196">((AG159-AC159)/AC159)</f>
        <v>2.015876230986543E-3</v>
      </c>
      <c r="AJ159" s="24">
        <f t="shared" si="147"/>
        <v>-5.4300960309080649E-3</v>
      </c>
      <c r="AK159" s="24">
        <f t="shared" si="148"/>
        <v>1.6687359258206972E-3</v>
      </c>
      <c r="AL159" s="25">
        <f t="shared" si="149"/>
        <v>-4.5910999848299751E-2</v>
      </c>
      <c r="AM159" s="25">
        <f t="shared" si="150"/>
        <v>1.1410323811748932E-2</v>
      </c>
      <c r="AN159" s="378">
        <f t="shared" si="151"/>
        <v>1.9967931268813195E-2</v>
      </c>
      <c r="AO159" s="379">
        <f t="shared" si="152"/>
        <v>1.1928091420808859E-3</v>
      </c>
    </row>
    <row r="160" spans="1:41">
      <c r="A160" s="200" t="s">
        <v>229</v>
      </c>
      <c r="B160" s="324">
        <v>48815841.909999996</v>
      </c>
      <c r="C160" s="324">
        <v>104.34</v>
      </c>
      <c r="D160" s="324">
        <v>48776640.25</v>
      </c>
      <c r="E160" s="320">
        <v>104.48</v>
      </c>
      <c r="F160" s="23">
        <f t="shared" si="182"/>
        <v>-8.0305201070322841E-4</v>
      </c>
      <c r="G160" s="23">
        <f t="shared" si="182"/>
        <v>1.3417672992141131E-3</v>
      </c>
      <c r="H160" s="324">
        <v>48910653.93</v>
      </c>
      <c r="I160" s="320">
        <v>104.56</v>
      </c>
      <c r="J160" s="23">
        <f t="shared" si="183"/>
        <v>2.7474971484941443E-3</v>
      </c>
      <c r="K160" s="23">
        <f t="shared" si="184"/>
        <v>7.6569678407349055E-4</v>
      </c>
      <c r="L160" s="324">
        <v>48913503.640000001</v>
      </c>
      <c r="M160" s="320">
        <v>104.67</v>
      </c>
      <c r="N160" s="23">
        <f t="shared" si="185"/>
        <v>5.8263584127894608E-5</v>
      </c>
      <c r="O160" s="23">
        <f t="shared" si="186"/>
        <v>1.0520275439938737E-3</v>
      </c>
      <c r="P160" s="324">
        <v>48879235.689999998</v>
      </c>
      <c r="Q160" s="320">
        <v>104.77</v>
      </c>
      <c r="R160" s="23">
        <f t="shared" si="187"/>
        <v>-7.0058260909324182E-4</v>
      </c>
      <c r="S160" s="23">
        <f t="shared" si="188"/>
        <v>9.5538358650992946E-4</v>
      </c>
      <c r="T160" s="324">
        <v>49054537.969999999</v>
      </c>
      <c r="U160" s="320">
        <v>109.04</v>
      </c>
      <c r="V160" s="23">
        <f t="shared" si="189"/>
        <v>3.5864366028920038E-3</v>
      </c>
      <c r="W160" s="23">
        <f t="shared" si="190"/>
        <v>4.0755941586332063E-2</v>
      </c>
      <c r="X160" s="324">
        <v>47656031.539999999</v>
      </c>
      <c r="Y160" s="320">
        <v>109.21</v>
      </c>
      <c r="Z160" s="23">
        <f t="shared" si="191"/>
        <v>-2.8509216228991417E-2</v>
      </c>
      <c r="AA160" s="23">
        <f t="shared" si="192"/>
        <v>1.5590608950842579E-3</v>
      </c>
      <c r="AB160" s="324">
        <v>47754112.850000001</v>
      </c>
      <c r="AC160" s="320">
        <v>109.51</v>
      </c>
      <c r="AD160" s="23">
        <f t="shared" si="193"/>
        <v>2.0581090542060353E-3</v>
      </c>
      <c r="AE160" s="23">
        <f t="shared" si="194"/>
        <v>2.7470011903672868E-3</v>
      </c>
      <c r="AF160" s="324">
        <v>45681050.659999996</v>
      </c>
      <c r="AG160" s="320">
        <v>109.72</v>
      </c>
      <c r="AH160" s="23">
        <f t="shared" si="195"/>
        <v>-4.3411175839695344E-2</v>
      </c>
      <c r="AI160" s="23">
        <f t="shared" si="196"/>
        <v>1.9176330928681741E-3</v>
      </c>
      <c r="AJ160" s="24">
        <f t="shared" si="147"/>
        <v>-8.121715037345394E-3</v>
      </c>
      <c r="AK160" s="24">
        <f t="shared" si="148"/>
        <v>6.3868139973053979E-3</v>
      </c>
      <c r="AL160" s="25">
        <f t="shared" si="149"/>
        <v>-6.346459235678914E-2</v>
      </c>
      <c r="AM160" s="25">
        <f t="shared" si="150"/>
        <v>5.0153139356814654E-2</v>
      </c>
      <c r="AN160" s="378">
        <f t="shared" si="151"/>
        <v>1.7709536336309412E-2</v>
      </c>
      <c r="AO160" s="379">
        <f t="shared" si="152"/>
        <v>1.3929444209307413E-2</v>
      </c>
    </row>
    <row r="161" spans="1:41">
      <c r="A161" s="200" t="s">
        <v>233</v>
      </c>
      <c r="B161" s="319">
        <v>52891054.869999997</v>
      </c>
      <c r="C161" s="320">
        <v>106.81</v>
      </c>
      <c r="D161" s="319">
        <v>52952923.119999997</v>
      </c>
      <c r="E161" s="320">
        <v>107.06</v>
      </c>
      <c r="F161" s="23">
        <f t="shared" si="182"/>
        <v>1.1697299316881635E-3</v>
      </c>
      <c r="G161" s="23">
        <f t="shared" si="182"/>
        <v>2.340604812283494E-3</v>
      </c>
      <c r="H161" s="319">
        <v>53059520.850000001</v>
      </c>
      <c r="I161" s="320">
        <v>107.31</v>
      </c>
      <c r="J161" s="23">
        <f t="shared" si="183"/>
        <v>2.0130660163639362E-3</v>
      </c>
      <c r="K161" s="23">
        <f t="shared" si="184"/>
        <v>2.3351391742947878E-3</v>
      </c>
      <c r="L161" s="319">
        <v>53116093.890000001</v>
      </c>
      <c r="M161" s="320">
        <v>107.19</v>
      </c>
      <c r="N161" s="23">
        <f t="shared" si="185"/>
        <v>1.0662184485218378E-3</v>
      </c>
      <c r="O161" s="23">
        <f t="shared" si="186"/>
        <v>-1.1182555213866791E-3</v>
      </c>
      <c r="P161" s="319">
        <v>53172803.950000003</v>
      </c>
      <c r="Q161" s="320">
        <v>107.44</v>
      </c>
      <c r="R161" s="23">
        <f t="shared" si="187"/>
        <v>1.0676624700122952E-3</v>
      </c>
      <c r="S161" s="23">
        <f t="shared" si="188"/>
        <v>2.3323071182013246E-3</v>
      </c>
      <c r="T161" s="319">
        <v>53234831.479999997</v>
      </c>
      <c r="U161" s="320">
        <v>107.7</v>
      </c>
      <c r="V161" s="23">
        <f t="shared" si="189"/>
        <v>1.1665273484227031E-3</v>
      </c>
      <c r="W161" s="23">
        <f t="shared" si="190"/>
        <v>2.4199553239017601E-3</v>
      </c>
      <c r="X161" s="319">
        <v>53292006.890000001</v>
      </c>
      <c r="Y161" s="320">
        <v>107.95</v>
      </c>
      <c r="Z161" s="23">
        <f t="shared" si="191"/>
        <v>1.0740225602382967E-3</v>
      </c>
      <c r="AA161" s="23">
        <f t="shared" si="192"/>
        <v>2.321262766945218E-3</v>
      </c>
      <c r="AB161" s="319">
        <v>53349143.259999998</v>
      </c>
      <c r="AC161" s="320">
        <v>108.2</v>
      </c>
      <c r="AD161" s="23">
        <f t="shared" si="193"/>
        <v>1.0721377057150889E-3</v>
      </c>
      <c r="AE161" s="23">
        <f t="shared" si="194"/>
        <v>2.3158869847151459E-3</v>
      </c>
      <c r="AF161" s="319">
        <v>53406240.590000004</v>
      </c>
      <c r="AG161" s="320">
        <v>108.45</v>
      </c>
      <c r="AH161" s="23">
        <f t="shared" si="195"/>
        <v>1.0702576744623371E-3</v>
      </c>
      <c r="AI161" s="23">
        <f t="shared" si="196"/>
        <v>2.3105360443622918E-3</v>
      </c>
      <c r="AJ161" s="24">
        <f t="shared" si="147"/>
        <v>1.2124527694280822E-3</v>
      </c>
      <c r="AK161" s="24">
        <f t="shared" si="148"/>
        <v>1.9071795879146681E-3</v>
      </c>
      <c r="AL161" s="25">
        <f t="shared" si="149"/>
        <v>8.5607638500468548E-3</v>
      </c>
      <c r="AM161" s="25">
        <f t="shared" si="150"/>
        <v>1.2983373809079025E-2</v>
      </c>
      <c r="AN161" s="378">
        <f t="shared" si="151"/>
        <v>3.2652616361972183E-4</v>
      </c>
      <c r="AO161" s="379">
        <f t="shared" si="152"/>
        <v>1.2424646604475087E-3</v>
      </c>
    </row>
    <row r="162" spans="1:41" s="286" customFormat="1">
      <c r="A162" s="200" t="s">
        <v>185</v>
      </c>
      <c r="B162" s="324">
        <v>9961497947.2000008</v>
      </c>
      <c r="C162" s="320">
        <v>131.54</v>
      </c>
      <c r="D162" s="324">
        <v>10434192000.98</v>
      </c>
      <c r="E162" s="320">
        <v>131.85</v>
      </c>
      <c r="F162" s="23">
        <f t="shared" si="182"/>
        <v>4.7452105726013286E-2</v>
      </c>
      <c r="G162" s="23">
        <f t="shared" si="182"/>
        <v>2.3566975824844327E-3</v>
      </c>
      <c r="H162" s="324">
        <v>10272804810.32</v>
      </c>
      <c r="I162" s="320">
        <v>132.19</v>
      </c>
      <c r="J162" s="23">
        <f t="shared" si="183"/>
        <v>-1.5467147877367223E-2</v>
      </c>
      <c r="K162" s="23">
        <f>((I162-E162)/E162)</f>
        <v>2.578687902920011E-3</v>
      </c>
      <c r="L162" s="324">
        <v>10373636336.01</v>
      </c>
      <c r="M162" s="320">
        <v>132.5</v>
      </c>
      <c r="N162" s="23">
        <f t="shared" si="185"/>
        <v>9.8153841673995178E-3</v>
      </c>
      <c r="O162" s="23">
        <f>((M162-I162)/I162)</f>
        <v>2.345109312353448E-3</v>
      </c>
      <c r="P162" s="324">
        <v>10391591264.639999</v>
      </c>
      <c r="Q162" s="320">
        <v>132.82</v>
      </c>
      <c r="R162" s="23">
        <f t="shared" si="187"/>
        <v>1.7308230256416666E-3</v>
      </c>
      <c r="S162" s="23">
        <f>((Q162-M162)/M162)</f>
        <v>2.41509433962259E-3</v>
      </c>
      <c r="T162" s="324">
        <v>10448838291.1</v>
      </c>
      <c r="U162" s="320">
        <v>133.13999999999999</v>
      </c>
      <c r="V162" s="23">
        <f t="shared" si="189"/>
        <v>5.5089759597068046E-3</v>
      </c>
      <c r="W162" s="23">
        <f>((U162-Q162)/Q162)</f>
        <v>2.4092757114891825E-3</v>
      </c>
      <c r="X162" s="324">
        <v>10170894257.049999</v>
      </c>
      <c r="Y162" s="320">
        <v>133.46</v>
      </c>
      <c r="Z162" s="23">
        <f t="shared" si="191"/>
        <v>-2.6600472349806135E-2</v>
      </c>
      <c r="AA162" s="23">
        <f>((Y162-U162)/U162)</f>
        <v>2.4034850533274873E-3</v>
      </c>
      <c r="AB162" s="324">
        <v>10157425882.790001</v>
      </c>
      <c r="AC162" s="320">
        <v>133.78</v>
      </c>
      <c r="AD162" s="23">
        <f t="shared" si="193"/>
        <v>-1.3242074806414058E-3</v>
      </c>
      <c r="AE162" s="23">
        <f t="shared" ref="AE162:AE167" si="197">((AC162-Y162)/Y162)</f>
        <v>2.3977221639442017E-3</v>
      </c>
      <c r="AF162" s="324">
        <v>9332852719.0300007</v>
      </c>
      <c r="AG162" s="320">
        <v>134.11000000000001</v>
      </c>
      <c r="AH162" s="23">
        <f t="shared" si="195"/>
        <v>-8.1179343396154791E-2</v>
      </c>
      <c r="AI162" s="23">
        <f t="shared" ref="AI162:AI167" si="198">((AG162-AC162)/AC162)</f>
        <v>2.4667364329497123E-3</v>
      </c>
      <c r="AJ162" s="24">
        <f t="shared" si="147"/>
        <v>-7.5079852781510335E-3</v>
      </c>
      <c r="AK162" s="24">
        <f t="shared" si="148"/>
        <v>2.4216010623863827E-3</v>
      </c>
      <c r="AL162" s="25">
        <f t="shared" si="149"/>
        <v>-0.10555098869625544</v>
      </c>
      <c r="AM162" s="25">
        <f t="shared" si="150"/>
        <v>1.7140690178232987E-2</v>
      </c>
      <c r="AN162" s="378">
        <f t="shared" si="151"/>
        <v>3.6779433378563604E-2</v>
      </c>
      <c r="AO162" s="379">
        <f t="shared" si="152"/>
        <v>1.3275533873733732E-3</v>
      </c>
    </row>
    <row r="163" spans="1:41" s="365" customFormat="1">
      <c r="A163" s="200" t="s">
        <v>85</v>
      </c>
      <c r="B163" s="324">
        <v>16719439924.309999</v>
      </c>
      <c r="C163" s="324">
        <v>1183.1500000000001</v>
      </c>
      <c r="D163" s="324">
        <v>16745646723.209999</v>
      </c>
      <c r="E163" s="324">
        <v>1185.78</v>
      </c>
      <c r="F163" s="23">
        <f t="shared" si="182"/>
        <v>1.5674447839544574E-3</v>
      </c>
      <c r="G163" s="23">
        <f t="shared" si="182"/>
        <v>2.2228796010648538E-3</v>
      </c>
      <c r="H163" s="324">
        <v>16794386370.92</v>
      </c>
      <c r="I163" s="324">
        <v>1188.17</v>
      </c>
      <c r="J163" s="23">
        <f t="shared" si="183"/>
        <v>2.9105861669974377E-3</v>
      </c>
      <c r="K163" s="23">
        <f t="shared" ref="K163" si="199">((I163-E163)/E163)</f>
        <v>2.015550945369377E-3</v>
      </c>
      <c r="L163" s="324">
        <v>17055139154.139999</v>
      </c>
      <c r="M163" s="324">
        <v>1190.8399999999999</v>
      </c>
      <c r="N163" s="23">
        <f t="shared" si="185"/>
        <v>1.552618699254775E-2</v>
      </c>
      <c r="O163" s="23">
        <f t="shared" ref="O163" si="200">((M163-I163)/I163)</f>
        <v>2.247153185150143E-3</v>
      </c>
      <c r="P163" s="324">
        <v>16726309925.67</v>
      </c>
      <c r="Q163" s="324">
        <v>1194.08</v>
      </c>
      <c r="R163" s="23">
        <f t="shared" si="187"/>
        <v>-1.9280360335856811E-2</v>
      </c>
      <c r="S163" s="23">
        <f t="shared" ref="S163" si="201">((Q163-M163)/M163)</f>
        <v>2.7207685331362814E-3</v>
      </c>
      <c r="T163" s="324">
        <v>16838691547.540001</v>
      </c>
      <c r="U163" s="324">
        <v>1194.53</v>
      </c>
      <c r="V163" s="23">
        <f t="shared" si="189"/>
        <v>6.7188532539103488E-3</v>
      </c>
      <c r="W163" s="23">
        <f t="shared" ref="W163" si="202">((U163-Q163)/Q163)</f>
        <v>3.7685917191481767E-4</v>
      </c>
      <c r="X163" s="324">
        <v>17804355000.360001</v>
      </c>
      <c r="Y163" s="324">
        <v>1196.3399999999999</v>
      </c>
      <c r="Z163" s="23">
        <f t="shared" si="191"/>
        <v>5.7347891318852234E-2</v>
      </c>
      <c r="AA163" s="23">
        <f t="shared" ref="AA163" si="203">((Y163-U163)/U163)</f>
        <v>1.5152403037177345E-3</v>
      </c>
      <c r="AB163" s="324">
        <v>18063713716.709999</v>
      </c>
      <c r="AC163" s="324">
        <v>1198.81</v>
      </c>
      <c r="AD163" s="23">
        <f t="shared" si="193"/>
        <v>1.4567150359827934E-2</v>
      </c>
      <c r="AE163" s="23">
        <f t="shared" si="197"/>
        <v>2.0646304562248418E-3</v>
      </c>
      <c r="AF163" s="324">
        <v>18110055307.509998</v>
      </c>
      <c r="AG163" s="324">
        <v>1204.28</v>
      </c>
      <c r="AH163" s="23">
        <f t="shared" si="195"/>
        <v>2.5654520176064646E-3</v>
      </c>
      <c r="AI163" s="23">
        <f t="shared" si="198"/>
        <v>4.5628581676829755E-3</v>
      </c>
      <c r="AJ163" s="24">
        <f t="shared" si="147"/>
        <v>1.0240400569729977E-2</v>
      </c>
      <c r="AK163" s="24">
        <f t="shared" si="148"/>
        <v>2.2157425455326283E-3</v>
      </c>
      <c r="AL163" s="25">
        <f t="shared" si="149"/>
        <v>8.1478404916358688E-2</v>
      </c>
      <c r="AM163" s="25">
        <f t="shared" si="150"/>
        <v>1.5601544974615866E-2</v>
      </c>
      <c r="AN163" s="378">
        <f t="shared" si="151"/>
        <v>2.1835435757348452E-2</v>
      </c>
      <c r="AO163" s="379">
        <f t="shared" si="152"/>
        <v>4.5149823949919071E-3</v>
      </c>
    </row>
    <row r="164" spans="1:41" s="300" customFormat="1">
      <c r="A164" s="200" t="s">
        <v>172</v>
      </c>
      <c r="B164" s="324">
        <v>669676938.19000006</v>
      </c>
      <c r="C164" s="325">
        <v>102.35</v>
      </c>
      <c r="D164" s="324">
        <v>660121858.90999997</v>
      </c>
      <c r="E164" s="325">
        <v>102.55</v>
      </c>
      <c r="F164" s="23">
        <f t="shared" si="182"/>
        <v>-1.4268192220902092E-2</v>
      </c>
      <c r="G164" s="23">
        <f t="shared" si="182"/>
        <v>1.954079140205206E-3</v>
      </c>
      <c r="H164" s="324">
        <v>658443252.82000005</v>
      </c>
      <c r="I164" s="325">
        <v>102.75</v>
      </c>
      <c r="J164" s="23">
        <f t="shared" si="183"/>
        <v>-2.5428730579709112E-3</v>
      </c>
      <c r="K164" s="23">
        <f>((I164-E164)/E164)</f>
        <v>1.9502681618722851E-3</v>
      </c>
      <c r="L164" s="324">
        <v>661215959.38999999</v>
      </c>
      <c r="M164" s="325">
        <v>102.99</v>
      </c>
      <c r="N164" s="23">
        <f t="shared" si="185"/>
        <v>4.2110030866364025E-3</v>
      </c>
      <c r="O164" s="23">
        <f>((M164-I164)/I164)</f>
        <v>2.3357664233576146E-3</v>
      </c>
      <c r="P164" s="324">
        <v>672856228.33000004</v>
      </c>
      <c r="Q164" s="325">
        <v>103.19</v>
      </c>
      <c r="R164" s="23">
        <f t="shared" si="187"/>
        <v>1.7604337546145595E-2</v>
      </c>
      <c r="S164" s="23">
        <f>((Q164-M164)/M164)</f>
        <v>1.9419361103019987E-3</v>
      </c>
      <c r="T164" s="324">
        <v>679691806.04999995</v>
      </c>
      <c r="U164" s="325">
        <v>103.39</v>
      </c>
      <c r="V164" s="23">
        <f t="shared" si="189"/>
        <v>1.0159046512752831E-2</v>
      </c>
      <c r="W164" s="23">
        <f>((U164-Q164)/Q164)</f>
        <v>1.9381723035178102E-3</v>
      </c>
      <c r="X164" s="324">
        <v>695545937.29999995</v>
      </c>
      <c r="Y164" s="325">
        <v>103.59</v>
      </c>
      <c r="Z164" s="23">
        <f t="shared" si="191"/>
        <v>2.3325470616065845E-2</v>
      </c>
      <c r="AA164" s="23">
        <f>((Y164-U164)/U164)</f>
        <v>1.9344230583228828E-3</v>
      </c>
      <c r="AB164" s="324">
        <v>693735502.30999994</v>
      </c>
      <c r="AC164" s="325">
        <v>103.8</v>
      </c>
      <c r="AD164" s="23">
        <f t="shared" si="193"/>
        <v>-2.6028978000041717E-3</v>
      </c>
      <c r="AE164" s="23">
        <f t="shared" si="197"/>
        <v>2.0272227048942345E-3</v>
      </c>
      <c r="AF164" s="324">
        <v>697637105.63999999</v>
      </c>
      <c r="AG164" s="325">
        <v>104.035668744053</v>
      </c>
      <c r="AH164" s="23">
        <f t="shared" si="195"/>
        <v>5.6240502569185041E-3</v>
      </c>
      <c r="AI164" s="23">
        <f t="shared" si="198"/>
        <v>2.2704117924181211E-3</v>
      </c>
      <c r="AJ164" s="24">
        <f t="shared" si="147"/>
        <v>5.1887431174552504E-3</v>
      </c>
      <c r="AK164" s="24">
        <f t="shared" si="148"/>
        <v>2.0440349618612691E-3</v>
      </c>
      <c r="AL164" s="25">
        <f t="shared" si="149"/>
        <v>5.6830789987693454E-2</v>
      </c>
      <c r="AM164" s="25">
        <f t="shared" si="150"/>
        <v>1.4487262253076559E-2</v>
      </c>
      <c r="AN164" s="378">
        <f t="shared" si="151"/>
        <v>1.1999982992387845E-2</v>
      </c>
      <c r="AO164" s="379">
        <f t="shared" si="152"/>
        <v>1.6518870565011235E-3</v>
      </c>
    </row>
    <row r="165" spans="1:41" s="300" customFormat="1">
      <c r="A165" s="200" t="s">
        <v>130</v>
      </c>
      <c r="B165" s="324">
        <v>8326870609.3299999</v>
      </c>
      <c r="C165" s="325">
        <v>125.05</v>
      </c>
      <c r="D165" s="324">
        <v>8495673660.0200005</v>
      </c>
      <c r="E165" s="325">
        <v>125.15</v>
      </c>
      <c r="F165" s="23">
        <f t="shared" si="182"/>
        <v>2.0272087631680258E-2</v>
      </c>
      <c r="G165" s="23">
        <f t="shared" si="182"/>
        <v>7.9968012794888867E-4</v>
      </c>
      <c r="H165" s="324">
        <v>8502604195.8400002</v>
      </c>
      <c r="I165" s="325">
        <v>125.31</v>
      </c>
      <c r="J165" s="23">
        <f t="shared" si="183"/>
        <v>8.1577236807179557E-4</v>
      </c>
      <c r="K165" s="23">
        <f>((I165-E165)/E165)</f>
        <v>1.2784658409907836E-3</v>
      </c>
      <c r="L165" s="324">
        <v>8487904395.6800003</v>
      </c>
      <c r="M165" s="325">
        <v>125.42</v>
      </c>
      <c r="N165" s="23">
        <f t="shared" si="185"/>
        <v>-1.7288585733758956E-3</v>
      </c>
      <c r="O165" s="23">
        <f>((M165-I165)/I165)</f>
        <v>8.7782299896256826E-4</v>
      </c>
      <c r="P165" s="324">
        <v>8460534801.4499998</v>
      </c>
      <c r="Q165" s="325">
        <v>125.51</v>
      </c>
      <c r="R165" s="23">
        <f t="shared" si="187"/>
        <v>-3.2245408235194676E-3</v>
      </c>
      <c r="S165" s="23">
        <f>((Q165-M165)/M165)</f>
        <v>7.1758890129168724E-4</v>
      </c>
      <c r="T165" s="324">
        <v>8479695487.8599997</v>
      </c>
      <c r="U165" s="325">
        <v>125.68</v>
      </c>
      <c r="V165" s="23">
        <f t="shared" si="189"/>
        <v>2.2647133851061061E-3</v>
      </c>
      <c r="W165" s="23">
        <f>((U165-Q165)/Q165)</f>
        <v>1.3544737471117975E-3</v>
      </c>
      <c r="X165" s="324">
        <v>8499519153.4200001</v>
      </c>
      <c r="Y165" s="325">
        <v>125.84</v>
      </c>
      <c r="Z165" s="23">
        <f t="shared" si="191"/>
        <v>2.3377803587854157E-3</v>
      </c>
      <c r="AA165" s="23">
        <f>((Y165-U165)/U165)</f>
        <v>1.2730744748567519E-3</v>
      </c>
      <c r="AB165" s="324">
        <v>8480954472.5100002</v>
      </c>
      <c r="AC165" s="325">
        <v>125.93</v>
      </c>
      <c r="AD165" s="23">
        <f t="shared" si="193"/>
        <v>-2.1842036678663018E-3</v>
      </c>
      <c r="AE165" s="23">
        <f t="shared" si="197"/>
        <v>7.1519389701210591E-4</v>
      </c>
      <c r="AF165" s="324">
        <v>8513667173.5900002</v>
      </c>
      <c r="AG165" s="325">
        <v>126.1</v>
      </c>
      <c r="AH165" s="23">
        <f t="shared" si="195"/>
        <v>3.857195694898992E-3</v>
      </c>
      <c r="AI165" s="23">
        <f t="shared" si="198"/>
        <v>1.3499563249423289E-3</v>
      </c>
      <c r="AJ165" s="24">
        <f t="shared" si="147"/>
        <v>2.8012432967226128E-3</v>
      </c>
      <c r="AK165" s="24">
        <f t="shared" si="148"/>
        <v>1.0457820391396142E-3</v>
      </c>
      <c r="AL165" s="25">
        <f t="shared" si="149"/>
        <v>2.117961952172882E-3</v>
      </c>
      <c r="AM165" s="25">
        <f t="shared" si="150"/>
        <v>7.5908909308828494E-3</v>
      </c>
      <c r="AN165" s="378">
        <f t="shared" si="151"/>
        <v>7.4878642095718984E-3</v>
      </c>
      <c r="AO165" s="379">
        <f t="shared" si="152"/>
        <v>1.1875603854031146E-3</v>
      </c>
    </row>
    <row r="166" spans="1:41" s="365" customFormat="1">
      <c r="A166" s="200" t="s">
        <v>163</v>
      </c>
      <c r="B166" s="324">
        <v>3747523395.4499998</v>
      </c>
      <c r="C166" s="325">
        <v>1.1295999999999999</v>
      </c>
      <c r="D166" s="324">
        <v>3728038722.7800002</v>
      </c>
      <c r="E166" s="325">
        <v>1.131</v>
      </c>
      <c r="F166" s="23">
        <f t="shared" si="182"/>
        <v>-5.1993465053898338E-3</v>
      </c>
      <c r="G166" s="23">
        <f t="shared" si="182"/>
        <v>1.2393767705383037E-3</v>
      </c>
      <c r="H166" s="324">
        <v>3642600803.2800002</v>
      </c>
      <c r="I166" s="325">
        <v>1.1324000000000001</v>
      </c>
      <c r="J166" s="23">
        <f t="shared" ref="J166" si="204">((H166-D166)/D166)</f>
        <v>-2.2917658815595376E-2</v>
      </c>
      <c r="K166" s="23">
        <f>((I166-E166)/E166)</f>
        <v>1.2378426171530219E-3</v>
      </c>
      <c r="L166" s="324">
        <v>3604899926.6900001</v>
      </c>
      <c r="M166" s="325">
        <v>1.1337999999999999</v>
      </c>
      <c r="N166" s="23">
        <f t="shared" ref="N166" si="205">((L166-H166)/H166)</f>
        <v>-1.0349988545561234E-2</v>
      </c>
      <c r="O166" s="23">
        <f>((M166-I166)/I166)</f>
        <v>1.2363122571528132E-3</v>
      </c>
      <c r="P166" s="324">
        <v>3475427550</v>
      </c>
      <c r="Q166" s="325">
        <v>1.1353</v>
      </c>
      <c r="R166" s="23">
        <f t="shared" ref="R166" si="206">((P166-L166)/L166)</f>
        <v>-3.5915664601785746E-2</v>
      </c>
      <c r="S166" s="23">
        <f>((Q166-M166)/M166)</f>
        <v>1.322984653378071E-3</v>
      </c>
      <c r="T166" s="324">
        <v>3631577658.48</v>
      </c>
      <c r="U166" s="325">
        <v>1.1374</v>
      </c>
      <c r="V166" s="23">
        <f t="shared" ref="V166" si="207">((T166-P166)/P166)</f>
        <v>4.4929755039779209E-2</v>
      </c>
      <c r="W166" s="23">
        <f>((U166-Q166)/Q166)</f>
        <v>1.8497313485422275E-3</v>
      </c>
      <c r="X166" s="324">
        <v>3636154105.5</v>
      </c>
      <c r="Y166" s="325">
        <v>1.1394</v>
      </c>
      <c r="Z166" s="23">
        <f t="shared" ref="Z166" si="208">((X166-T166)/T166)</f>
        <v>1.2601815107309193E-3</v>
      </c>
      <c r="AA166" s="23">
        <f>((Y166-U166)/U166)</f>
        <v>1.7583963425356092E-3</v>
      </c>
      <c r="AB166" s="324">
        <v>3654403630.3299999</v>
      </c>
      <c r="AC166" s="325">
        <v>1.1415</v>
      </c>
      <c r="AD166" s="23">
        <f t="shared" si="193"/>
        <v>5.0189085227152304E-3</v>
      </c>
      <c r="AE166" s="23">
        <f t="shared" si="197"/>
        <v>1.8430753027909345E-3</v>
      </c>
      <c r="AF166" s="324">
        <v>3741352427.71</v>
      </c>
      <c r="AG166" s="325">
        <v>1.1435</v>
      </c>
      <c r="AH166" s="23">
        <f t="shared" si="195"/>
        <v>2.3792882827272276E-2</v>
      </c>
      <c r="AI166" s="23">
        <f t="shared" si="198"/>
        <v>1.7520805957074042E-3</v>
      </c>
      <c r="AJ166" s="24">
        <f t="shared" si="147"/>
        <v>7.738367902067984E-5</v>
      </c>
      <c r="AK166" s="24">
        <f t="shared" si="148"/>
        <v>1.5299749859747983E-3</v>
      </c>
      <c r="AL166" s="25">
        <f t="shared" si="149"/>
        <v>3.5712356871850817E-3</v>
      </c>
      <c r="AM166" s="25">
        <f t="shared" si="150"/>
        <v>1.1052166224579978E-2</v>
      </c>
      <c r="AN166" s="378">
        <f t="shared" si="151"/>
        <v>2.5525402674446196E-2</v>
      </c>
      <c r="AO166" s="379">
        <f t="shared" si="152"/>
        <v>1.2769685326093514E-3</v>
      </c>
    </row>
    <row r="167" spans="1:41">
      <c r="A167" s="200" t="s">
        <v>275</v>
      </c>
      <c r="B167" s="314">
        <v>0</v>
      </c>
      <c r="C167" s="315">
        <v>0</v>
      </c>
      <c r="D167" s="314">
        <v>0</v>
      </c>
      <c r="E167" s="315">
        <v>0</v>
      </c>
      <c r="F167" s="23" t="e">
        <f>((D158-B167)/B167)</f>
        <v>#DIV/0!</v>
      </c>
      <c r="G167" s="23" t="e">
        <f>((E167-C167)/C167)</f>
        <v>#DIV/0!</v>
      </c>
      <c r="H167" s="314">
        <v>0</v>
      </c>
      <c r="I167" s="315">
        <v>0</v>
      </c>
      <c r="J167" s="23" t="e">
        <f>((H158-D167)/D167)</f>
        <v>#DIV/0!</v>
      </c>
      <c r="K167" s="23" t="e">
        <f>((I167-E167)/E167)</f>
        <v>#DIV/0!</v>
      </c>
      <c r="L167" s="314">
        <v>0</v>
      </c>
      <c r="M167" s="315">
        <v>0</v>
      </c>
      <c r="N167" s="23" t="e">
        <f>((L158-H167)/H167)</f>
        <v>#DIV/0!</v>
      </c>
      <c r="O167" s="23" t="e">
        <f>((M167-I167)/I167)</f>
        <v>#DIV/0!</v>
      </c>
      <c r="P167" s="314">
        <v>0</v>
      </c>
      <c r="Q167" s="315">
        <v>0</v>
      </c>
      <c r="R167" s="23" t="e">
        <f>((P158-L167)/L167)</f>
        <v>#DIV/0!</v>
      </c>
      <c r="S167" s="23" t="e">
        <f>((Q167-M167)/M167)</f>
        <v>#DIV/0!</v>
      </c>
      <c r="T167" s="314">
        <v>0</v>
      </c>
      <c r="U167" s="315">
        <v>0</v>
      </c>
      <c r="V167" s="23" t="e">
        <f>((T158-P167)/P167)</f>
        <v>#DIV/0!</v>
      </c>
      <c r="W167" s="23" t="e">
        <f>((U167-Q167)/Q167)</f>
        <v>#DIV/0!</v>
      </c>
      <c r="X167" s="314">
        <v>316215054.29000002</v>
      </c>
      <c r="Y167" s="315">
        <v>98.9876</v>
      </c>
      <c r="Z167" s="23" t="e">
        <f>((X158-T167)/T167)</f>
        <v>#DIV/0!</v>
      </c>
      <c r="AA167" s="23" t="e">
        <f>((Y167-U167)/U167)</f>
        <v>#DIV/0!</v>
      </c>
      <c r="AB167" s="314">
        <v>316215054.29000002</v>
      </c>
      <c r="AC167" s="315">
        <v>98.9876</v>
      </c>
      <c r="AD167" s="23">
        <f>((AB158-X167)/X167)</f>
        <v>-1</v>
      </c>
      <c r="AE167" s="23">
        <f t="shared" si="197"/>
        <v>0</v>
      </c>
      <c r="AF167" s="314">
        <v>315790694.52999997</v>
      </c>
      <c r="AG167" s="315">
        <v>98.859300000000005</v>
      </c>
      <c r="AH167" s="23">
        <f>((AF158-AB167)/AB167)</f>
        <v>-1</v>
      </c>
      <c r="AI167" s="23">
        <f t="shared" si="198"/>
        <v>-1.2961219385053872E-3</v>
      </c>
      <c r="AJ167" s="24" t="e">
        <f t="shared" si="147"/>
        <v>#DIV/0!</v>
      </c>
      <c r="AK167" s="24" t="e">
        <f t="shared" si="148"/>
        <v>#DIV/0!</v>
      </c>
      <c r="AL167" s="25" t="e">
        <f t="shared" si="149"/>
        <v>#DIV/0!</v>
      </c>
      <c r="AM167" s="25" t="e">
        <f t="shared" si="150"/>
        <v>#DIV/0!</v>
      </c>
      <c r="AN167" s="378" t="e">
        <f t="shared" si="151"/>
        <v>#DIV/0!</v>
      </c>
      <c r="AO167" s="379" t="e">
        <f t="shared" si="152"/>
        <v>#DIV/0!</v>
      </c>
    </row>
    <row r="168" spans="1:41">
      <c r="A168" s="202" t="s">
        <v>42</v>
      </c>
      <c r="B168" s="76">
        <f>SUM(B155:B167)</f>
        <v>44035152367.119995</v>
      </c>
      <c r="C168" s="85"/>
      <c r="D168" s="76">
        <f>SUM(D155:D167)</f>
        <v>44708196929.279999</v>
      </c>
      <c r="E168" s="85"/>
      <c r="F168" s="23">
        <f>((D168-B168)/B168)</f>
        <v>1.5284256462856027E-2</v>
      </c>
      <c r="G168" s="23"/>
      <c r="H168" s="76">
        <f>SUM(H155:H167)</f>
        <v>44575920177.979996</v>
      </c>
      <c r="I168" s="85"/>
      <c r="J168" s="23">
        <f t="shared" si="183"/>
        <v>-2.9586688881513188E-3</v>
      </c>
      <c r="K168" s="23"/>
      <c r="L168" s="76">
        <f>SUM(L155:L167)</f>
        <v>44856443048.010002</v>
      </c>
      <c r="M168" s="85"/>
      <c r="N168" s="23">
        <f t="shared" si="185"/>
        <v>6.2931481595882247E-3</v>
      </c>
      <c r="O168" s="23"/>
      <c r="P168" s="76">
        <f>SUM(P155:P167)</f>
        <v>44435835719.010002</v>
      </c>
      <c r="Q168" s="85"/>
      <c r="R168" s="23">
        <f t="shared" si="187"/>
        <v>-9.3767427914385141E-3</v>
      </c>
      <c r="S168" s="23"/>
      <c r="T168" s="76">
        <f>SUM(T155:T167)</f>
        <v>44805192418.300003</v>
      </c>
      <c r="U168" s="85"/>
      <c r="V168" s="23">
        <f t="shared" si="189"/>
        <v>8.3121357641527879E-3</v>
      </c>
      <c r="W168" s="23"/>
      <c r="X168" s="76">
        <f>SUM(X155:X167)</f>
        <v>45866776940.309998</v>
      </c>
      <c r="Y168" s="85"/>
      <c r="Z168" s="23">
        <f t="shared" si="191"/>
        <v>2.3693336970837479E-2</v>
      </c>
      <c r="AA168" s="23"/>
      <c r="AB168" s="76">
        <f>SUM(AB155:AB167)</f>
        <v>46097502002.870003</v>
      </c>
      <c r="AC168" s="85"/>
      <c r="AD168" s="23">
        <f t="shared" ref="AD168:AD169" si="209">((AB168-X168)/X168)</f>
        <v>5.0303308396896004E-3</v>
      </c>
      <c r="AE168" s="23"/>
      <c r="AF168" s="76">
        <f>SUM(AF155:AF167)</f>
        <v>45442767297.869995</v>
      </c>
      <c r="AG168" s="85"/>
      <c r="AH168" s="23">
        <f t="shared" ref="AH168:AH169" si="210">((AF168-AB168)/AB168)</f>
        <v>-1.4203257802543058E-2</v>
      </c>
      <c r="AI168" s="23"/>
      <c r="AJ168" s="24">
        <f t="shared" si="147"/>
        <v>4.0093173393739032E-3</v>
      </c>
      <c r="AK168" s="24"/>
      <c r="AL168" s="25">
        <f t="shared" si="149"/>
        <v>1.6430328643133367E-2</v>
      </c>
      <c r="AM168" s="25"/>
      <c r="AN168" s="378">
        <f t="shared" si="151"/>
        <v>1.2528794323834049E-2</v>
      </c>
      <c r="AO168" s="379"/>
    </row>
    <row r="169" spans="1:41">
      <c r="A169" s="202" t="s">
        <v>28</v>
      </c>
      <c r="B169" s="301">
        <f>SUM(B21,B53,B85,B111,B118,B145,B151,B168)</f>
        <v>1925391614328.5332</v>
      </c>
      <c r="C169" s="85"/>
      <c r="D169" s="301">
        <f>SUM(D21,D53,D85,D111,D118,D145,D151,D168)</f>
        <v>1916191660933.4709</v>
      </c>
      <c r="E169" s="85"/>
      <c r="F169" s="23">
        <f>((D169-B169)/B169)</f>
        <v>-4.7782245059120997E-3</v>
      </c>
      <c r="G169" s="23"/>
      <c r="H169" s="301">
        <f>SUM(H21,H53,H85,H111,H118,H145,H151,H168)</f>
        <v>1919113759297.095</v>
      </c>
      <c r="I169" s="85"/>
      <c r="J169" s="23">
        <f t="shared" si="183"/>
        <v>1.5249509864793619E-3</v>
      </c>
      <c r="K169" s="23"/>
      <c r="L169" s="301">
        <f>SUM(L21,L53,L85,L111,L118,L145,L151,L168)</f>
        <v>1917546500429.8425</v>
      </c>
      <c r="M169" s="85"/>
      <c r="N169" s="23">
        <f t="shared" si="185"/>
        <v>-8.1665761587081435E-4</v>
      </c>
      <c r="O169" s="23"/>
      <c r="P169" s="301">
        <f>SUM(P21,P53,P85,P111,P118,P145,P151,P168)</f>
        <v>1943407345708.8286</v>
      </c>
      <c r="Q169" s="85"/>
      <c r="R169" s="23">
        <f t="shared" si="187"/>
        <v>1.3486424070127657E-2</v>
      </c>
      <c r="S169" s="23"/>
      <c r="T169" s="301">
        <f>SUM(T21,T53,T85,T111,T118,T145,T151,T168)</f>
        <v>1922810043593.2705</v>
      </c>
      <c r="U169" s="85"/>
      <c r="V169" s="23">
        <f t="shared" si="189"/>
        <v>-1.0598551127759348E-2</v>
      </c>
      <c r="W169" s="23"/>
      <c r="X169" s="301">
        <f>SUM(X21,X53,X85,X111,X118,X145,X151,X168)</f>
        <v>1905565030169.3162</v>
      </c>
      <c r="Y169" s="85"/>
      <c r="Z169" s="23">
        <f t="shared" si="191"/>
        <v>-8.9686516259960634E-3</v>
      </c>
      <c r="AA169" s="23"/>
      <c r="AB169" s="301">
        <f>SUM(AB21,AB53,AB85,AB111,AB118,AB145,AB151,AB168)</f>
        <v>1930034404358.7715</v>
      </c>
      <c r="AC169" s="85"/>
      <c r="AD169" s="23">
        <f t="shared" si="209"/>
        <v>1.28410071564344E-2</v>
      </c>
      <c r="AE169" s="23"/>
      <c r="AF169" s="301">
        <f>SUM(AF21,AF53,AF85,AF111,AF118,AF145,AF151,AF168)</f>
        <v>1927585637735.8486</v>
      </c>
      <c r="AG169" s="85"/>
      <c r="AH169" s="23">
        <f t="shared" si="210"/>
        <v>-1.2687683791504339E-3</v>
      </c>
      <c r="AI169" s="23"/>
      <c r="AJ169" s="24">
        <f t="shared" si="147"/>
        <v>1.7769111979408256E-4</v>
      </c>
      <c r="AK169" s="24"/>
      <c r="AL169" s="25">
        <f t="shared" si="149"/>
        <v>5.9461571797192357E-3</v>
      </c>
      <c r="AM169" s="25"/>
      <c r="AN169" s="378">
        <f t="shared" si="151"/>
        <v>8.9977942671385109E-3</v>
      </c>
      <c r="AO169" s="379"/>
    </row>
    <row r="170" spans="1:41" s="108" customFormat="1" ht="6" customHeight="1">
      <c r="A170" s="202"/>
      <c r="B170" s="85"/>
      <c r="C170" s="85"/>
      <c r="D170" s="85"/>
      <c r="E170" s="85"/>
      <c r="F170" s="23"/>
      <c r="G170" s="23"/>
      <c r="H170" s="85"/>
      <c r="I170" s="85"/>
      <c r="J170" s="23"/>
      <c r="K170" s="23"/>
      <c r="L170" s="85"/>
      <c r="M170" s="85"/>
      <c r="N170" s="23"/>
      <c r="O170" s="23"/>
      <c r="P170" s="85"/>
      <c r="Q170" s="85"/>
      <c r="R170" s="23"/>
      <c r="S170" s="23"/>
      <c r="T170" s="85"/>
      <c r="U170" s="85"/>
      <c r="V170" s="23"/>
      <c r="W170" s="23"/>
      <c r="X170" s="85"/>
      <c r="Y170" s="85"/>
      <c r="Z170" s="23"/>
      <c r="AA170" s="23"/>
      <c r="AB170" s="85"/>
      <c r="AC170" s="85"/>
      <c r="AD170" s="23"/>
      <c r="AE170" s="23"/>
      <c r="AF170" s="85"/>
      <c r="AG170" s="85"/>
      <c r="AH170" s="23"/>
      <c r="AI170" s="23"/>
      <c r="AJ170" s="24"/>
      <c r="AK170" s="24"/>
      <c r="AL170" s="25"/>
      <c r="AM170" s="25"/>
      <c r="AN170" s="378"/>
      <c r="AO170" s="379"/>
    </row>
    <row r="171" spans="1:41" s="108" customFormat="1">
      <c r="A171" s="206" t="s">
        <v>199</v>
      </c>
      <c r="B171" s="85"/>
      <c r="C171" s="85"/>
      <c r="D171" s="85"/>
      <c r="E171" s="85"/>
      <c r="F171" s="23"/>
      <c r="G171" s="23"/>
      <c r="H171" s="85"/>
      <c r="I171" s="85"/>
      <c r="J171" s="23"/>
      <c r="K171" s="23"/>
      <c r="L171" s="85"/>
      <c r="M171" s="85"/>
      <c r="N171" s="23"/>
      <c r="O171" s="23"/>
      <c r="P171" s="85"/>
      <c r="Q171" s="85"/>
      <c r="R171" s="23"/>
      <c r="S171" s="23"/>
      <c r="T171" s="85"/>
      <c r="U171" s="85"/>
      <c r="V171" s="23"/>
      <c r="W171" s="23"/>
      <c r="X171" s="85"/>
      <c r="Y171" s="85"/>
      <c r="Z171" s="23"/>
      <c r="AA171" s="23"/>
      <c r="AB171" s="85"/>
      <c r="AC171" s="85"/>
      <c r="AD171" s="23"/>
      <c r="AE171" s="23"/>
      <c r="AF171" s="85"/>
      <c r="AG171" s="85"/>
      <c r="AH171" s="23"/>
      <c r="AI171" s="23"/>
      <c r="AJ171" s="24"/>
      <c r="AK171" s="24"/>
      <c r="AL171" s="25"/>
      <c r="AM171" s="25"/>
      <c r="AN171" s="378"/>
      <c r="AO171" s="379"/>
    </row>
    <row r="172" spans="1:41" s="108" customFormat="1">
      <c r="A172" s="207" t="s">
        <v>118</v>
      </c>
      <c r="B172" s="324">
        <v>92548651821</v>
      </c>
      <c r="C172" s="325">
        <v>108.39</v>
      </c>
      <c r="D172" s="324">
        <v>92548651821</v>
      </c>
      <c r="E172" s="325">
        <v>108.39</v>
      </c>
      <c r="F172" s="23">
        <f>((D172-B172)/B172)</f>
        <v>0</v>
      </c>
      <c r="G172" s="23">
        <f>((E172-C172)/C172)</f>
        <v>0</v>
      </c>
      <c r="H172" s="324">
        <v>92548651821</v>
      </c>
      <c r="I172" s="325">
        <v>108.39</v>
      </c>
      <c r="J172" s="23">
        <f>((H172-D172)/D172)</f>
        <v>0</v>
      </c>
      <c r="K172" s="23">
        <f>((I172-E172)/E172)</f>
        <v>0</v>
      </c>
      <c r="L172" s="324">
        <v>92548651821</v>
      </c>
      <c r="M172" s="325">
        <v>108.39</v>
      </c>
      <c r="N172" s="23">
        <f>((L172-H172)/H172)</f>
        <v>0</v>
      </c>
      <c r="O172" s="23">
        <f>((M172-I172)/I172)</f>
        <v>0</v>
      </c>
      <c r="P172" s="324">
        <v>92548651821</v>
      </c>
      <c r="Q172" s="325">
        <v>108.39</v>
      </c>
      <c r="R172" s="23">
        <f>((P172-L172)/L172)</f>
        <v>0</v>
      </c>
      <c r="S172" s="23">
        <f>((Q172-M172)/M172)</f>
        <v>0</v>
      </c>
      <c r="T172" s="324">
        <v>92548651821</v>
      </c>
      <c r="U172" s="325">
        <v>108.39</v>
      </c>
      <c r="V172" s="23">
        <f>((T172-P172)/P172)</f>
        <v>0</v>
      </c>
      <c r="W172" s="23">
        <f>((U172-Q172)/Q172)</f>
        <v>0</v>
      </c>
      <c r="X172" s="324">
        <v>92548651821</v>
      </c>
      <c r="Y172" s="325">
        <v>108.39</v>
      </c>
      <c r="Z172" s="23">
        <f>((X172-T172)/T172)</f>
        <v>0</v>
      </c>
      <c r="AA172" s="23">
        <f>((Y172-U172)/U172)</f>
        <v>0</v>
      </c>
      <c r="AB172" s="324">
        <v>92548651821</v>
      </c>
      <c r="AC172" s="325">
        <v>108.39</v>
      </c>
      <c r="AD172" s="23">
        <f>((AB172-X172)/X172)</f>
        <v>0</v>
      </c>
      <c r="AE172" s="23">
        <f>((AC172-Y172)/Y172)</f>
        <v>0</v>
      </c>
      <c r="AF172" s="324">
        <v>92548651821</v>
      </c>
      <c r="AG172" s="325">
        <v>108.39</v>
      </c>
      <c r="AH172" s="23">
        <f>((AF172-AB172)/AB172)</f>
        <v>0</v>
      </c>
      <c r="AI172" s="23">
        <f>((AG172-AC172)/AC172)</f>
        <v>0</v>
      </c>
      <c r="AJ172" s="24">
        <f t="shared" si="147"/>
        <v>0</v>
      </c>
      <c r="AK172" s="24">
        <f t="shared" si="148"/>
        <v>0</v>
      </c>
      <c r="AL172" s="25">
        <f t="shared" si="149"/>
        <v>0</v>
      </c>
      <c r="AM172" s="25">
        <f t="shared" si="150"/>
        <v>0</v>
      </c>
      <c r="AN172" s="378">
        <f t="shared" si="151"/>
        <v>0</v>
      </c>
      <c r="AO172" s="379">
        <f t="shared" si="152"/>
        <v>0</v>
      </c>
    </row>
    <row r="173" spans="1:41" s="108" customFormat="1">
      <c r="A173" s="207" t="s">
        <v>241</v>
      </c>
      <c r="B173" s="324">
        <v>1936599109.53</v>
      </c>
      <c r="C173" s="326">
        <v>1000000</v>
      </c>
      <c r="D173" s="324">
        <v>1944452686.1800001</v>
      </c>
      <c r="E173" s="326">
        <v>1000000</v>
      </c>
      <c r="F173" s="23">
        <f>((D173-B173)/B173)</f>
        <v>4.0553445529085816E-3</v>
      </c>
      <c r="G173" s="23">
        <f>((E173-C173)/C173)</f>
        <v>0</v>
      </c>
      <c r="H173" s="324">
        <v>1950918586.28</v>
      </c>
      <c r="I173" s="326">
        <v>1000000</v>
      </c>
      <c r="J173" s="23">
        <f>((H173-D173)/D173)</f>
        <v>3.3253059567638918E-3</v>
      </c>
      <c r="K173" s="23">
        <f>((I173-E173)/E173)</f>
        <v>0</v>
      </c>
      <c r="L173" s="324">
        <v>1956537586.3199999</v>
      </c>
      <c r="M173" s="326">
        <v>1000000</v>
      </c>
      <c r="N173" s="23">
        <f>((L173-H173)/H173)</f>
        <v>2.8801817151756382E-3</v>
      </c>
      <c r="O173" s="23">
        <f>((M173-I173)/I173)</f>
        <v>0</v>
      </c>
      <c r="P173" s="324">
        <v>1962877099.2</v>
      </c>
      <c r="Q173" s="326">
        <v>1000000</v>
      </c>
      <c r="R173" s="23">
        <f>((P173-L173)/L173)</f>
        <v>3.2401692276834496E-3</v>
      </c>
      <c r="S173" s="23">
        <f>((Q173-M173)/M173)</f>
        <v>0</v>
      </c>
      <c r="T173" s="324">
        <v>2116260834.49</v>
      </c>
      <c r="U173" s="326">
        <v>1000000</v>
      </c>
      <c r="V173" s="23">
        <f>((T173-P173)/P173)</f>
        <v>7.8142302109751954E-2</v>
      </c>
      <c r="W173" s="23">
        <f>((U173-Q173)/Q173)</f>
        <v>0</v>
      </c>
      <c r="X173" s="324">
        <v>1974644884.5899999</v>
      </c>
      <c r="Y173" s="326">
        <v>1000000</v>
      </c>
      <c r="Z173" s="23">
        <f>((X173-T173)/T173)</f>
        <v>-6.6918003486147903E-2</v>
      </c>
      <c r="AA173" s="23">
        <f>((Y173-U173)/U173)</f>
        <v>0</v>
      </c>
      <c r="AB173" s="324">
        <v>2001888131.3900001</v>
      </c>
      <c r="AC173" s="326">
        <v>1000000</v>
      </c>
      <c r="AD173" s="23">
        <f>((AB173-X173)/X173)</f>
        <v>1.3796529701418576E-2</v>
      </c>
      <c r="AE173" s="23">
        <f>((AC173-Y173)/Y173)</f>
        <v>0</v>
      </c>
      <c r="AF173" s="324">
        <v>1987239024.8299999</v>
      </c>
      <c r="AG173" s="326">
        <v>1000000</v>
      </c>
      <c r="AH173" s="23">
        <f>((AF173-AB173)/AB173)</f>
        <v>-7.3176449424417409E-3</v>
      </c>
      <c r="AI173" s="23">
        <f>((AG173-AC173)/AC173)</f>
        <v>0</v>
      </c>
      <c r="AJ173" s="24">
        <f t="shared" si="147"/>
        <v>3.9005231043890568E-3</v>
      </c>
      <c r="AK173" s="24">
        <f t="shared" si="148"/>
        <v>0</v>
      </c>
      <c r="AL173" s="25">
        <f t="shared" si="149"/>
        <v>2.2004309466668648E-2</v>
      </c>
      <c r="AM173" s="25">
        <f t="shared" si="150"/>
        <v>0</v>
      </c>
      <c r="AN173" s="378">
        <f t="shared" si="151"/>
        <v>3.9193140266181398E-2</v>
      </c>
      <c r="AO173" s="379">
        <f t="shared" si="152"/>
        <v>4.8778098543573447E-3</v>
      </c>
    </row>
    <row r="174" spans="1:41" s="108" customFormat="1">
      <c r="A174" s="202" t="s">
        <v>42</v>
      </c>
      <c r="B174" s="77">
        <f>SUM(B172:B173)</f>
        <v>94485250930.529999</v>
      </c>
      <c r="C174" s="85"/>
      <c r="D174" s="77">
        <f>SUM(D172:D173)</f>
        <v>94493104507.179993</v>
      </c>
      <c r="E174" s="85"/>
      <c r="F174" s="23"/>
      <c r="G174" s="23"/>
      <c r="H174" s="77">
        <f>SUM(H172:H173)</f>
        <v>94499570407.279999</v>
      </c>
      <c r="I174" s="85"/>
      <c r="J174" s="23"/>
      <c r="K174" s="23"/>
      <c r="L174" s="77">
        <f>SUM(L172:L173)</f>
        <v>94505189407.320007</v>
      </c>
      <c r="M174" s="85"/>
      <c r="N174" s="23"/>
      <c r="O174" s="23"/>
      <c r="P174" s="77">
        <f>SUM(P172:P173)</f>
        <v>94511528920.199997</v>
      </c>
      <c r="Q174" s="85"/>
      <c r="R174" s="23"/>
      <c r="S174" s="23"/>
      <c r="T174" s="77">
        <f>SUM(T172:T173)</f>
        <v>94664912655.490005</v>
      </c>
      <c r="U174" s="85"/>
      <c r="V174" s="23"/>
      <c r="W174" s="23"/>
      <c r="X174" s="77">
        <f>SUM(X172:X173)</f>
        <v>94523296705.589996</v>
      </c>
      <c r="Y174" s="85"/>
      <c r="Z174" s="23"/>
      <c r="AA174" s="23"/>
      <c r="AB174" s="77">
        <f>SUM(AB172:AB173)</f>
        <v>94550539952.389999</v>
      </c>
      <c r="AC174" s="85"/>
      <c r="AD174" s="23"/>
      <c r="AE174" s="23"/>
      <c r="AF174" s="77">
        <f>SUM(AF172:AF173)</f>
        <v>94535890845.830002</v>
      </c>
      <c r="AG174" s="85"/>
      <c r="AH174" s="23"/>
      <c r="AI174" s="23"/>
      <c r="AJ174" s="24"/>
      <c r="AK174" s="24"/>
      <c r="AL174" s="25"/>
      <c r="AM174" s="25"/>
      <c r="AN174" s="378"/>
      <c r="AO174" s="379"/>
    </row>
    <row r="175" spans="1:41" ht="6" customHeight="1">
      <c r="A175" s="201"/>
      <c r="B175" s="85"/>
      <c r="C175" s="85"/>
      <c r="D175" s="85"/>
      <c r="E175" s="85"/>
      <c r="F175" s="23"/>
      <c r="G175" s="23"/>
      <c r="H175" s="85"/>
      <c r="I175" s="85"/>
      <c r="J175" s="23"/>
      <c r="K175" s="23"/>
      <c r="L175" s="85"/>
      <c r="M175" s="85"/>
      <c r="N175" s="23"/>
      <c r="O175" s="23"/>
      <c r="P175" s="85"/>
      <c r="Q175" s="85"/>
      <c r="R175" s="23"/>
      <c r="S175" s="23"/>
      <c r="T175" s="85"/>
      <c r="U175" s="85"/>
      <c r="V175" s="23"/>
      <c r="W175" s="23"/>
      <c r="X175" s="85"/>
      <c r="Y175" s="85"/>
      <c r="Z175" s="23"/>
      <c r="AA175" s="23"/>
      <c r="AB175" s="85"/>
      <c r="AC175" s="85"/>
      <c r="AD175" s="23"/>
      <c r="AE175" s="23"/>
      <c r="AF175" s="85"/>
      <c r="AG175" s="85"/>
      <c r="AH175" s="23"/>
      <c r="AI175" s="23"/>
      <c r="AJ175" s="24"/>
      <c r="AK175" s="24"/>
      <c r="AL175" s="25"/>
      <c r="AM175" s="25"/>
      <c r="AN175" s="26"/>
      <c r="AO175" s="78"/>
    </row>
    <row r="176" spans="1:41" ht="26.25" customHeight="1">
      <c r="A176" s="197" t="s">
        <v>46</v>
      </c>
      <c r="B176" s="458" t="s">
        <v>268</v>
      </c>
      <c r="C176" s="458"/>
      <c r="D176" s="458" t="s">
        <v>269</v>
      </c>
      <c r="E176" s="458"/>
      <c r="F176" s="383" t="s">
        <v>58</v>
      </c>
      <c r="G176" s="383" t="s">
        <v>3</v>
      </c>
      <c r="H176" s="458" t="s">
        <v>270</v>
      </c>
      <c r="I176" s="458"/>
      <c r="J176" s="384" t="s">
        <v>58</v>
      </c>
      <c r="K176" s="384" t="s">
        <v>3</v>
      </c>
      <c r="L176" s="458" t="s">
        <v>272</v>
      </c>
      <c r="M176" s="458"/>
      <c r="N176" s="385" t="s">
        <v>58</v>
      </c>
      <c r="O176" s="385" t="s">
        <v>3</v>
      </c>
      <c r="P176" s="458" t="s">
        <v>273</v>
      </c>
      <c r="Q176" s="458"/>
      <c r="R176" s="388" t="s">
        <v>58</v>
      </c>
      <c r="S176" s="388" t="s">
        <v>3</v>
      </c>
      <c r="T176" s="458" t="s">
        <v>274</v>
      </c>
      <c r="U176" s="458"/>
      <c r="V176" s="391" t="s">
        <v>58</v>
      </c>
      <c r="W176" s="391" t="s">
        <v>3</v>
      </c>
      <c r="X176" s="458" t="s">
        <v>277</v>
      </c>
      <c r="Y176" s="458"/>
      <c r="Z176" s="394" t="s">
        <v>58</v>
      </c>
      <c r="AA176" s="394" t="s">
        <v>3</v>
      </c>
      <c r="AB176" s="458" t="s">
        <v>284</v>
      </c>
      <c r="AC176" s="458"/>
      <c r="AD176" s="397" t="s">
        <v>58</v>
      </c>
      <c r="AE176" s="397" t="s">
        <v>3</v>
      </c>
      <c r="AF176" s="458" t="s">
        <v>287</v>
      </c>
      <c r="AG176" s="458"/>
      <c r="AH176" s="407" t="s">
        <v>58</v>
      </c>
      <c r="AI176" s="407" t="s">
        <v>3</v>
      </c>
      <c r="AJ176" s="303" t="s">
        <v>77</v>
      </c>
      <c r="AK176" s="303" t="s">
        <v>77</v>
      </c>
      <c r="AL176" s="303" t="s">
        <v>77</v>
      </c>
      <c r="AM176" s="303" t="s">
        <v>77</v>
      </c>
      <c r="AN176" s="15" t="s">
        <v>77</v>
      </c>
      <c r="AO176" s="16" t="s">
        <v>77</v>
      </c>
    </row>
    <row r="177" spans="1:41">
      <c r="A177" s="201" t="s">
        <v>140</v>
      </c>
      <c r="B177" s="322">
        <v>650895364.13663208</v>
      </c>
      <c r="C177" s="326">
        <v>152.83000000000001</v>
      </c>
      <c r="D177" s="322">
        <v>652364003.98888946</v>
      </c>
      <c r="E177" s="326">
        <v>152.83000000000001</v>
      </c>
      <c r="F177" s="23">
        <f t="shared" ref="F177:F188" si="211">((D177-B177)/B177)</f>
        <v>2.2563378588591129E-3</v>
      </c>
      <c r="G177" s="23">
        <f t="shared" ref="G177:G188" si="212">((E177-C177)/C177)</f>
        <v>0</v>
      </c>
      <c r="H177" s="322">
        <v>654579731.20072305</v>
      </c>
      <c r="I177" s="326">
        <v>153.68</v>
      </c>
      <c r="J177" s="23">
        <f t="shared" ref="J177:J188" si="213">((H177-D177)/D177)</f>
        <v>3.3964584162913636E-3</v>
      </c>
      <c r="K177" s="23">
        <f t="shared" ref="K177:K188" si="214">((I177-E177)/E177)</f>
        <v>5.5617352614015193E-3</v>
      </c>
      <c r="L177" s="322">
        <v>650142850.86092305</v>
      </c>
      <c r="M177" s="326">
        <v>152.66</v>
      </c>
      <c r="N177" s="23">
        <f t="shared" ref="N177:N188" si="215">((L177-H177)/H177)</f>
        <v>-6.7782122304050636E-3</v>
      </c>
      <c r="O177" s="23">
        <f t="shared" ref="O177:O188" si="216">((M177-I177)/I177)</f>
        <v>-6.637168141592987E-3</v>
      </c>
      <c r="P177" s="322">
        <v>664827517.27999997</v>
      </c>
      <c r="Q177" s="326">
        <v>156.04</v>
      </c>
      <c r="R177" s="23">
        <f t="shared" ref="R177:R188" si="217">((P177-L177)/L177)</f>
        <v>2.2586830570591365E-2</v>
      </c>
      <c r="S177" s="23">
        <f t="shared" ref="S177:S188" si="218">((Q177-M177)/M177)</f>
        <v>2.2140704834272211E-2</v>
      </c>
      <c r="T177" s="322">
        <v>687767970.75398576</v>
      </c>
      <c r="U177" s="326">
        <v>161.31958479106711</v>
      </c>
      <c r="V177" s="23">
        <f t="shared" ref="V177:V188" si="219">((T177-P177)/P177)</f>
        <v>3.450587239204804E-2</v>
      </c>
      <c r="W177" s="23">
        <f t="shared" ref="W177:W188" si="220">((U177-Q177)/Q177)</f>
        <v>3.3834816656415807E-2</v>
      </c>
      <c r="X177" s="322">
        <v>693144591.02525568</v>
      </c>
      <c r="Y177" s="326">
        <v>162.56</v>
      </c>
      <c r="Z177" s="23">
        <f t="shared" ref="Z177:Z188" si="221">((X177-T177)/T177)</f>
        <v>7.8174915086197463E-3</v>
      </c>
      <c r="AA177" s="23">
        <f t="shared" ref="AA177:AA188" si="222">((Y177-U177)/U177)</f>
        <v>7.6891792806149974E-3</v>
      </c>
      <c r="AB177" s="322">
        <v>684785503.34995151</v>
      </c>
      <c r="AC177" s="326">
        <v>160.63</v>
      </c>
      <c r="AD177" s="23">
        <f t="shared" ref="AD177:AD188" si="223">((AB177-X177)/X177)</f>
        <v>-1.2059659389305685E-2</v>
      </c>
      <c r="AE177" s="23">
        <f t="shared" ref="AE177:AE188" si="224">((AC177-Y177)/Y177)</f>
        <v>-1.1872539370078782E-2</v>
      </c>
      <c r="AF177" s="322">
        <v>683734177.20645022</v>
      </c>
      <c r="AG177" s="326">
        <v>160.39072153562796</v>
      </c>
      <c r="AH177" s="23">
        <f t="shared" ref="AH177:AH188" si="225">((AF177-AB177)/AB177)</f>
        <v>-1.5352634341092557E-3</v>
      </c>
      <c r="AI177" s="23">
        <f t="shared" ref="AI177:AI188" si="226">((AG177-AC177)/AC177)</f>
        <v>-1.489625003872469E-3</v>
      </c>
      <c r="AJ177" s="24">
        <f t="shared" ref="AJ177" si="227">AVERAGE(F177,J177,N177,R177,V177,Z177,AD177,AH177)</f>
        <v>6.273731961573702E-3</v>
      </c>
      <c r="AK177" s="24">
        <f t="shared" ref="AK177" si="228">AVERAGE(G177,K177,O177,S177,W177,AA177,AE177,AI177)</f>
        <v>6.1533879396450377E-3</v>
      </c>
      <c r="AL177" s="25">
        <f t="shared" ref="AL177" si="229">((AF177-D177)/D177)</f>
        <v>4.8086916239626E-2</v>
      </c>
      <c r="AM177" s="25">
        <f t="shared" ref="AM177" si="230">((AG177-E177)/E177)</f>
        <v>4.9471448901576572E-2</v>
      </c>
      <c r="AN177" s="378">
        <f t="shared" ref="AN177" si="231">STDEV(F177,J177,N177,R177,V177,Z177,AD177,AH177)</f>
        <v>1.5387467935156966E-2</v>
      </c>
      <c r="AO177" s="379">
        <f t="shared" ref="AO177" si="232">STDEV(G177,K177,O177,S177,W177,AA177,AD177,AI177)</f>
        <v>1.5194704793598815E-2</v>
      </c>
    </row>
    <row r="178" spans="1:41">
      <c r="A178" s="201" t="s">
        <v>47</v>
      </c>
      <c r="B178" s="322">
        <v>701848406</v>
      </c>
      <c r="C178" s="326">
        <v>21.01</v>
      </c>
      <c r="D178" s="322">
        <v>692410486.17999995</v>
      </c>
      <c r="E178" s="326">
        <v>21.01</v>
      </c>
      <c r="F178" s="23">
        <f t="shared" si="211"/>
        <v>-1.3447234102573501E-2</v>
      </c>
      <c r="G178" s="23">
        <f t="shared" si="212"/>
        <v>0</v>
      </c>
      <c r="H178" s="322">
        <v>693201817.89999998</v>
      </c>
      <c r="I178" s="326">
        <v>20.75</v>
      </c>
      <c r="J178" s="23">
        <f t="shared" si="213"/>
        <v>1.1428650140262505E-3</v>
      </c>
      <c r="K178" s="23">
        <f t="shared" si="214"/>
        <v>-1.2375059495478418E-2</v>
      </c>
      <c r="L178" s="322">
        <v>691760282.20000005</v>
      </c>
      <c r="M178" s="326">
        <v>20.71</v>
      </c>
      <c r="N178" s="23">
        <f t="shared" si="215"/>
        <v>-2.079532486465409E-3</v>
      </c>
      <c r="O178" s="23">
        <f t="shared" si="216"/>
        <v>-1.9277108433734529E-3</v>
      </c>
      <c r="P178" s="322">
        <v>705187821.41999996</v>
      </c>
      <c r="Q178" s="326">
        <v>21.11</v>
      </c>
      <c r="R178" s="23">
        <f t="shared" si="217"/>
        <v>1.9410682523281628E-2</v>
      </c>
      <c r="S178" s="23">
        <f t="shared" si="218"/>
        <v>1.9314340898116782E-2</v>
      </c>
      <c r="T178" s="322">
        <v>723373148.36000001</v>
      </c>
      <c r="U178" s="326">
        <v>21.66</v>
      </c>
      <c r="V178" s="23">
        <f t="shared" si="219"/>
        <v>2.5787919739426599E-2</v>
      </c>
      <c r="W178" s="23">
        <f t="shared" si="220"/>
        <v>2.6054002842254891E-2</v>
      </c>
      <c r="X178" s="322">
        <v>723976732.95000005</v>
      </c>
      <c r="Y178" s="326">
        <v>21.68</v>
      </c>
      <c r="Z178" s="23">
        <f t="shared" si="221"/>
        <v>8.3440281322088607E-4</v>
      </c>
      <c r="AA178" s="23">
        <f t="shared" si="222"/>
        <v>9.2336103416433861E-4</v>
      </c>
      <c r="AB178" s="322">
        <v>718787830.10000002</v>
      </c>
      <c r="AC178" s="326">
        <v>21.52</v>
      </c>
      <c r="AD178" s="23">
        <f t="shared" si="223"/>
        <v>-7.1672232184268065E-3</v>
      </c>
      <c r="AE178" s="23">
        <f t="shared" si="224"/>
        <v>-7.3800738007380141E-3</v>
      </c>
      <c r="AF178" s="322">
        <v>720360218.08000004</v>
      </c>
      <c r="AG178" s="326">
        <v>21.65</v>
      </c>
      <c r="AH178" s="23">
        <f t="shared" si="225"/>
        <v>2.1875550950567202E-3</v>
      </c>
      <c r="AI178" s="23">
        <f t="shared" si="226"/>
        <v>6.0408921933085037E-3</v>
      </c>
      <c r="AJ178" s="24">
        <f t="shared" ref="AJ178:AJ190" si="233">AVERAGE(F178,J178,N178,R178,V178,Z178,AD178,AH178)</f>
        <v>3.3336794221932959E-3</v>
      </c>
      <c r="AK178" s="24">
        <f t="shared" ref="AK178:AK188" si="234">AVERAGE(G178,K178,O178,S178,W178,AA178,AE178,AI178)</f>
        <v>3.8312191035318284E-3</v>
      </c>
      <c r="AL178" s="25">
        <f t="shared" ref="AL178:AL190" si="235">((AF178-D178)/D178)</f>
        <v>4.0365841445004123E-2</v>
      </c>
      <c r="AM178" s="25">
        <f t="shared" ref="AM178:AM188" si="236">((AG178-E178)/E178)</f>
        <v>3.0461684911946549E-2</v>
      </c>
      <c r="AN178" s="378">
        <f t="shared" ref="AN178:AN190" si="237">STDEV(F178,J178,N178,R178,V178,Z178,AD178,AH178)</f>
        <v>1.3072290581938361E-2</v>
      </c>
      <c r="AO178" s="379">
        <f t="shared" ref="AO178:AO188" si="238">STDEV(G178,K178,O178,S178,W178,AA178,AD178,AI178)</f>
        <v>1.2974505339531909E-2</v>
      </c>
    </row>
    <row r="179" spans="1:41">
      <c r="A179" s="201" t="s">
        <v>183</v>
      </c>
      <c r="B179" s="322">
        <v>268120408.99000001</v>
      </c>
      <c r="C179" s="326">
        <v>19.25</v>
      </c>
      <c r="D179" s="322">
        <v>261176003.83000001</v>
      </c>
      <c r="E179" s="326">
        <v>19.25</v>
      </c>
      <c r="F179" s="23">
        <f t="shared" si="211"/>
        <v>-2.5900322866727388E-2</v>
      </c>
      <c r="G179" s="23">
        <f t="shared" si="212"/>
        <v>0</v>
      </c>
      <c r="H179" s="322">
        <v>260600578.40000001</v>
      </c>
      <c r="I179" s="326">
        <v>19.25</v>
      </c>
      <c r="J179" s="23">
        <f t="shared" si="213"/>
        <v>-2.203209412663166E-3</v>
      </c>
      <c r="K179" s="23">
        <f t="shared" si="214"/>
        <v>0</v>
      </c>
      <c r="L179" s="322">
        <v>258551809.02000001</v>
      </c>
      <c r="M179" s="326">
        <v>19.25</v>
      </c>
      <c r="N179" s="23">
        <f t="shared" si="215"/>
        <v>-7.8617223053715039E-3</v>
      </c>
      <c r="O179" s="23">
        <f t="shared" si="216"/>
        <v>0</v>
      </c>
      <c r="P179" s="322">
        <v>266220817.55000001</v>
      </c>
      <c r="Q179" s="326">
        <v>19.25</v>
      </c>
      <c r="R179" s="23">
        <f t="shared" si="217"/>
        <v>2.9661399620711116E-2</v>
      </c>
      <c r="S179" s="23">
        <f t="shared" si="218"/>
        <v>0</v>
      </c>
      <c r="T179" s="322">
        <v>282270547.17000002</v>
      </c>
      <c r="U179" s="326">
        <v>19.25</v>
      </c>
      <c r="V179" s="23">
        <f t="shared" si="219"/>
        <v>6.028728244358892E-2</v>
      </c>
      <c r="W179" s="23">
        <f t="shared" si="220"/>
        <v>0</v>
      </c>
      <c r="X179" s="322">
        <v>286927810.92000002</v>
      </c>
      <c r="Y179" s="326">
        <v>19.25</v>
      </c>
      <c r="Z179" s="23">
        <f t="shared" si="221"/>
        <v>1.6499290473954834E-2</v>
      </c>
      <c r="AA179" s="23">
        <f t="shared" si="222"/>
        <v>0</v>
      </c>
      <c r="AB179" s="322">
        <v>286927810.92000002</v>
      </c>
      <c r="AC179" s="326">
        <v>19.25</v>
      </c>
      <c r="AD179" s="23">
        <f t="shared" si="223"/>
        <v>0</v>
      </c>
      <c r="AE179" s="23">
        <f t="shared" si="224"/>
        <v>0</v>
      </c>
      <c r="AF179" s="322">
        <v>297583151.73000002</v>
      </c>
      <c r="AG179" s="326">
        <v>19.350000000000001</v>
      </c>
      <c r="AH179" s="23">
        <f t="shared" si="225"/>
        <v>3.7135963836460867E-2</v>
      </c>
      <c r="AI179" s="23">
        <f t="shared" si="226"/>
        <v>5.1948051948052685E-3</v>
      </c>
      <c r="AJ179" s="24">
        <f t="shared" si="233"/>
        <v>1.345233522374421E-2</v>
      </c>
      <c r="AK179" s="24">
        <f t="shared" si="234"/>
        <v>6.4935064935065857E-4</v>
      </c>
      <c r="AL179" s="25">
        <f t="shared" si="235"/>
        <v>0.13939698657652136</v>
      </c>
      <c r="AM179" s="25">
        <f t="shared" si="236"/>
        <v>5.1948051948052685E-3</v>
      </c>
      <c r="AN179" s="378">
        <f t="shared" si="237"/>
        <v>2.7916780407507811E-2</v>
      </c>
      <c r="AO179" s="379">
        <f t="shared" si="238"/>
        <v>1.8366409900949547E-3</v>
      </c>
    </row>
    <row r="180" spans="1:41">
      <c r="A180" s="201" t="s">
        <v>182</v>
      </c>
      <c r="B180" s="322">
        <v>373153756.23000002</v>
      </c>
      <c r="C180" s="326">
        <v>27.77</v>
      </c>
      <c r="D180" s="322">
        <v>370231469.66000003</v>
      </c>
      <c r="E180" s="326">
        <v>27.8</v>
      </c>
      <c r="F180" s="23">
        <f t="shared" si="211"/>
        <v>-7.8313202566257668E-3</v>
      </c>
      <c r="G180" s="23">
        <f t="shared" si="212"/>
        <v>1.0803024846957558E-3</v>
      </c>
      <c r="H180" s="322">
        <v>371226490.92000002</v>
      </c>
      <c r="I180" s="326">
        <v>27.8</v>
      </c>
      <c r="J180" s="23">
        <f t="shared" si="213"/>
        <v>2.6875653247784761E-3</v>
      </c>
      <c r="K180" s="23">
        <f t="shared" si="214"/>
        <v>0</v>
      </c>
      <c r="L180" s="322">
        <v>364534747.94</v>
      </c>
      <c r="M180" s="326">
        <v>27.8</v>
      </c>
      <c r="N180" s="23">
        <f t="shared" si="215"/>
        <v>-1.8026038398865511E-2</v>
      </c>
      <c r="O180" s="23">
        <f t="shared" si="216"/>
        <v>0</v>
      </c>
      <c r="P180" s="322">
        <v>362040379.38999999</v>
      </c>
      <c r="Q180" s="326">
        <v>27.8</v>
      </c>
      <c r="R180" s="23">
        <f t="shared" si="217"/>
        <v>-6.8426084594014301E-3</v>
      </c>
      <c r="S180" s="23">
        <f t="shared" si="218"/>
        <v>0</v>
      </c>
      <c r="T180" s="322">
        <v>386379305.58999997</v>
      </c>
      <c r="U180" s="326">
        <v>27.8</v>
      </c>
      <c r="V180" s="23">
        <f t="shared" si="219"/>
        <v>6.7227103896555743E-2</v>
      </c>
      <c r="W180" s="23">
        <f t="shared" si="220"/>
        <v>0</v>
      </c>
      <c r="X180" s="322">
        <v>404605814.07999998</v>
      </c>
      <c r="Y180" s="326">
        <v>27.8</v>
      </c>
      <c r="Z180" s="23">
        <f t="shared" si="221"/>
        <v>4.717257944798102E-2</v>
      </c>
      <c r="AA180" s="23">
        <f t="shared" si="222"/>
        <v>0</v>
      </c>
      <c r="AB180" s="322">
        <v>404605814.07999998</v>
      </c>
      <c r="AC180" s="326">
        <v>27.8</v>
      </c>
      <c r="AD180" s="23">
        <f t="shared" si="223"/>
        <v>0</v>
      </c>
      <c r="AE180" s="23">
        <f t="shared" si="224"/>
        <v>0</v>
      </c>
      <c r="AF180" s="322">
        <v>393235014.62</v>
      </c>
      <c r="AG180" s="326">
        <v>27.9</v>
      </c>
      <c r="AH180" s="23">
        <f t="shared" si="225"/>
        <v>-2.8103401049377176E-2</v>
      </c>
      <c r="AI180" s="23">
        <f t="shared" si="226"/>
        <v>3.5971223021581968E-3</v>
      </c>
      <c r="AJ180" s="24">
        <f t="shared" si="233"/>
        <v>7.0354850631306693E-3</v>
      </c>
      <c r="AK180" s="24">
        <f t="shared" si="234"/>
        <v>5.8467809835674412E-4</v>
      </c>
      <c r="AL180" s="25">
        <f t="shared" si="235"/>
        <v>6.2132873202607963E-2</v>
      </c>
      <c r="AM180" s="25">
        <f t="shared" si="236"/>
        <v>3.5971223021581968E-3</v>
      </c>
      <c r="AN180" s="378">
        <f t="shared" si="237"/>
        <v>3.2904329796007679E-2</v>
      </c>
      <c r="AO180" s="379">
        <f t="shared" si="238"/>
        <v>1.2745618006391305E-3</v>
      </c>
    </row>
    <row r="181" spans="1:41">
      <c r="A181" s="201" t="s">
        <v>32</v>
      </c>
      <c r="B181" s="322">
        <v>701395164.20000005</v>
      </c>
      <c r="C181" s="326">
        <v>15797.9</v>
      </c>
      <c r="D181" s="322">
        <v>696249436</v>
      </c>
      <c r="E181" s="326">
        <v>15682</v>
      </c>
      <c r="F181" s="23">
        <f t="shared" si="211"/>
        <v>-7.3364181315238777E-3</v>
      </c>
      <c r="G181" s="23">
        <f t="shared" si="212"/>
        <v>-7.3364181315237875E-3</v>
      </c>
      <c r="H181" s="322">
        <v>621572000</v>
      </c>
      <c r="I181" s="326">
        <v>14000</v>
      </c>
      <c r="J181" s="23">
        <f t="shared" si="213"/>
        <v>-0.10725672745823236</v>
      </c>
      <c r="K181" s="23">
        <f t="shared" si="214"/>
        <v>-0.10725672745823236</v>
      </c>
      <c r="L181" s="322">
        <v>630452043.98000002</v>
      </c>
      <c r="M181" s="326">
        <v>14200.01</v>
      </c>
      <c r="N181" s="23">
        <f t="shared" si="215"/>
        <v>1.4286428571428603E-2</v>
      </c>
      <c r="O181" s="23">
        <f t="shared" si="216"/>
        <v>1.4286428571428587E-2</v>
      </c>
      <c r="P181" s="322">
        <v>621572000</v>
      </c>
      <c r="Q181" s="326">
        <v>14000</v>
      </c>
      <c r="R181" s="23">
        <f t="shared" si="217"/>
        <v>-1.4085201348449785E-2</v>
      </c>
      <c r="S181" s="23">
        <f t="shared" si="218"/>
        <v>-1.4085201348449769E-2</v>
      </c>
      <c r="T181" s="322">
        <v>621572000</v>
      </c>
      <c r="U181" s="326">
        <v>14000</v>
      </c>
      <c r="V181" s="23">
        <f t="shared" si="219"/>
        <v>0</v>
      </c>
      <c r="W181" s="23">
        <f t="shared" si="220"/>
        <v>0</v>
      </c>
      <c r="X181" s="322">
        <v>577174000</v>
      </c>
      <c r="Y181" s="326">
        <v>13000</v>
      </c>
      <c r="Z181" s="23">
        <f t="shared" si="221"/>
        <v>-7.1428571428571425E-2</v>
      </c>
      <c r="AA181" s="23">
        <f t="shared" si="222"/>
        <v>-7.1428571428571425E-2</v>
      </c>
      <c r="AB181" s="322">
        <v>630380600</v>
      </c>
      <c r="AC181" s="326">
        <v>14200</v>
      </c>
      <c r="AD181" s="23">
        <f t="shared" si="223"/>
        <v>9.2184679143551163E-2</v>
      </c>
      <c r="AE181" s="23">
        <f t="shared" si="224"/>
        <v>9.2307692307692313E-2</v>
      </c>
      <c r="AF181" s="322">
        <v>577109000</v>
      </c>
      <c r="AG181" s="326">
        <v>13000</v>
      </c>
      <c r="AH181" s="23">
        <f t="shared" si="225"/>
        <v>-8.4507042253521125E-2</v>
      </c>
      <c r="AI181" s="23">
        <f t="shared" si="226"/>
        <v>-8.4507042253521125E-2</v>
      </c>
      <c r="AJ181" s="24">
        <f t="shared" si="233"/>
        <v>-2.2267856613164851E-2</v>
      </c>
      <c r="AK181" s="24">
        <f t="shared" si="234"/>
        <v>-2.2252479967647197E-2</v>
      </c>
      <c r="AL181" s="25">
        <f t="shared" si="235"/>
        <v>-0.17111746141507825</v>
      </c>
      <c r="AM181" s="25">
        <f t="shared" si="236"/>
        <v>-0.17102410406835863</v>
      </c>
      <c r="AN181" s="378">
        <f t="shared" si="237"/>
        <v>6.4070229463804182E-2</v>
      </c>
      <c r="AO181" s="379">
        <f t="shared" si="238"/>
        <v>6.4070229463804182E-2</v>
      </c>
    </row>
    <row r="182" spans="1:41">
      <c r="A182" s="201" t="s">
        <v>94</v>
      </c>
      <c r="B182" s="322">
        <v>913584473.54999995</v>
      </c>
      <c r="C182" s="326">
        <v>85</v>
      </c>
      <c r="D182" s="322">
        <v>904419756.62</v>
      </c>
      <c r="E182" s="326">
        <v>93.5</v>
      </c>
      <c r="F182" s="23">
        <f t="shared" si="211"/>
        <v>-1.0031603201822987E-2</v>
      </c>
      <c r="G182" s="23">
        <f t="shared" si="212"/>
        <v>0.1</v>
      </c>
      <c r="H182" s="322">
        <v>914158634.20000005</v>
      </c>
      <c r="I182" s="326">
        <v>93.5</v>
      </c>
      <c r="J182" s="23">
        <f t="shared" si="213"/>
        <v>1.076809469133691E-2</v>
      </c>
      <c r="K182" s="23">
        <f t="shared" si="214"/>
        <v>0</v>
      </c>
      <c r="L182" s="322">
        <v>842451986.74000001</v>
      </c>
      <c r="M182" s="326">
        <v>102.8</v>
      </c>
      <c r="N182" s="23">
        <f t="shared" si="215"/>
        <v>-7.844004834319819E-2</v>
      </c>
      <c r="O182" s="23">
        <f t="shared" si="216"/>
        <v>9.9465240641711195E-2</v>
      </c>
      <c r="P182" s="322">
        <v>847118276.70000005</v>
      </c>
      <c r="Q182" s="326">
        <v>113.08</v>
      </c>
      <c r="R182" s="23">
        <f t="shared" si="217"/>
        <v>5.5389387566844948E-3</v>
      </c>
      <c r="S182" s="23">
        <f t="shared" si="218"/>
        <v>0.10000000000000002</v>
      </c>
      <c r="T182" s="322">
        <v>873484399.74000001</v>
      </c>
      <c r="U182" s="326">
        <v>159.80000000000001</v>
      </c>
      <c r="V182" s="23">
        <f t="shared" si="219"/>
        <v>3.1124488474868907E-2</v>
      </c>
      <c r="W182" s="23">
        <f t="shared" si="220"/>
        <v>0.41315882561018757</v>
      </c>
      <c r="X182" s="322">
        <v>885927492.50999999</v>
      </c>
      <c r="Y182" s="326">
        <v>212.66</v>
      </c>
      <c r="Z182" s="23">
        <f t="shared" si="221"/>
        <v>1.4245352033423576E-2</v>
      </c>
      <c r="AA182" s="23">
        <f t="shared" si="222"/>
        <v>0.33078848560700863</v>
      </c>
      <c r="AB182" s="322">
        <v>877612571.36000001</v>
      </c>
      <c r="AC182" s="326">
        <v>205</v>
      </c>
      <c r="AD182" s="23">
        <f t="shared" si="223"/>
        <v>-9.3855549357004745E-3</v>
      </c>
      <c r="AE182" s="23">
        <f t="shared" si="224"/>
        <v>-3.6019937929088669E-2</v>
      </c>
      <c r="AF182" s="322">
        <v>883939863.95000005</v>
      </c>
      <c r="AG182" s="326">
        <v>205</v>
      </c>
      <c r="AH182" s="23">
        <f t="shared" si="225"/>
        <v>7.2096649438315235E-3</v>
      </c>
      <c r="AI182" s="23">
        <f t="shared" si="226"/>
        <v>0</v>
      </c>
      <c r="AJ182" s="24">
        <f t="shared" si="233"/>
        <v>-3.6213334475720298E-3</v>
      </c>
      <c r="AK182" s="24">
        <f t="shared" si="234"/>
        <v>0.12592407674122735</v>
      </c>
      <c r="AL182" s="25">
        <f t="shared" si="235"/>
        <v>-2.2644234073940919E-2</v>
      </c>
      <c r="AM182" s="25">
        <f t="shared" si="236"/>
        <v>1.1925133689839573</v>
      </c>
      <c r="AN182" s="378">
        <f t="shared" si="237"/>
        <v>3.2965187812595234E-2</v>
      </c>
      <c r="AO182" s="379">
        <f t="shared" si="238"/>
        <v>0.15876810642811234</v>
      </c>
    </row>
    <row r="183" spans="1:41">
      <c r="A183" s="201" t="s">
        <v>40</v>
      </c>
      <c r="B183" s="322">
        <v>585327326.66999996</v>
      </c>
      <c r="C183" s="326">
        <v>220.5</v>
      </c>
      <c r="D183" s="322">
        <v>577083235.82000005</v>
      </c>
      <c r="E183" s="326">
        <v>237.6</v>
      </c>
      <c r="F183" s="23">
        <f t="shared" si="211"/>
        <v>-1.4084582206167554E-2</v>
      </c>
      <c r="G183" s="23">
        <f t="shared" si="212"/>
        <v>7.7551020408163238E-2</v>
      </c>
      <c r="H183" s="322">
        <v>578774054.28999996</v>
      </c>
      <c r="I183" s="326">
        <v>244.98</v>
      </c>
      <c r="J183" s="23">
        <f t="shared" si="213"/>
        <v>2.9299386380499505E-3</v>
      </c>
      <c r="K183" s="23">
        <f t="shared" si="214"/>
        <v>3.1060606060606042E-2</v>
      </c>
      <c r="L183" s="322">
        <v>563848388.20000005</v>
      </c>
      <c r="M183" s="326">
        <v>244.99</v>
      </c>
      <c r="N183" s="23">
        <f t="shared" si="215"/>
        <v>-2.5788416013758066E-2</v>
      </c>
      <c r="O183" s="23">
        <f t="shared" si="216"/>
        <v>4.0819658747731761E-5</v>
      </c>
      <c r="P183" s="322">
        <v>575459072.04999995</v>
      </c>
      <c r="Q183" s="326">
        <v>212</v>
      </c>
      <c r="R183" s="23">
        <f t="shared" si="217"/>
        <v>2.0591854287400273E-2</v>
      </c>
      <c r="S183" s="23">
        <f t="shared" si="218"/>
        <v>-0.13465855749214256</v>
      </c>
      <c r="T183" s="322">
        <v>592931630.91999996</v>
      </c>
      <c r="U183" s="326">
        <v>260</v>
      </c>
      <c r="V183" s="23">
        <f t="shared" si="219"/>
        <v>3.0362817650534606E-2</v>
      </c>
      <c r="W183" s="23">
        <f t="shared" si="220"/>
        <v>0.22641509433962265</v>
      </c>
      <c r="X183" s="322">
        <v>596822445.79999995</v>
      </c>
      <c r="Y183" s="326">
        <v>253</v>
      </c>
      <c r="Z183" s="23">
        <f t="shared" si="221"/>
        <v>6.5619958138562438E-3</v>
      </c>
      <c r="AA183" s="23">
        <f t="shared" si="222"/>
        <v>-2.6923076923076925E-2</v>
      </c>
      <c r="AB183" s="322">
        <v>589894658.48000002</v>
      </c>
      <c r="AC183" s="326">
        <v>280</v>
      </c>
      <c r="AD183" s="23">
        <f t="shared" si="223"/>
        <v>-1.1607786149386028E-2</v>
      </c>
      <c r="AE183" s="23">
        <f t="shared" si="224"/>
        <v>0.1067193675889328</v>
      </c>
      <c r="AF183" s="322">
        <v>588610293.54999995</v>
      </c>
      <c r="AG183" s="326">
        <v>288</v>
      </c>
      <c r="AH183" s="23">
        <f t="shared" si="225"/>
        <v>-2.1772784539353688E-3</v>
      </c>
      <c r="AI183" s="23">
        <f t="shared" si="226"/>
        <v>2.8571428571428571E-2</v>
      </c>
      <c r="AJ183" s="24">
        <f t="shared" si="233"/>
        <v>8.4856794582425664E-4</v>
      </c>
      <c r="AK183" s="24">
        <f t="shared" si="234"/>
        <v>3.8597087776535192E-2</v>
      </c>
      <c r="AL183" s="25">
        <f t="shared" si="235"/>
        <v>1.9974688250336461E-2</v>
      </c>
      <c r="AM183" s="25">
        <f t="shared" si="236"/>
        <v>0.21212121212121215</v>
      </c>
      <c r="AN183" s="378">
        <f t="shared" si="237"/>
        <v>1.8495976569684772E-2</v>
      </c>
      <c r="AO183" s="379">
        <f t="shared" si="238"/>
        <v>0.10248183547675653</v>
      </c>
    </row>
    <row r="184" spans="1:41">
      <c r="A184" s="201" t="s">
        <v>50</v>
      </c>
      <c r="B184" s="322">
        <v>192688040.13999999</v>
      </c>
      <c r="C184" s="326">
        <v>8.7100000000000009</v>
      </c>
      <c r="D184" s="322">
        <v>197155230.56</v>
      </c>
      <c r="E184" s="326">
        <v>8.91</v>
      </c>
      <c r="F184" s="23">
        <f t="shared" si="211"/>
        <v>2.3183537581026419E-2</v>
      </c>
      <c r="G184" s="23">
        <f t="shared" si="212"/>
        <v>2.2962112514351235E-2</v>
      </c>
      <c r="H184" s="322">
        <v>195116441.81</v>
      </c>
      <c r="I184" s="326">
        <v>8.83</v>
      </c>
      <c r="J184" s="23">
        <f t="shared" si="213"/>
        <v>-1.0341033023618098E-2</v>
      </c>
      <c r="K184" s="23">
        <f t="shared" si="214"/>
        <v>-8.9786756453423197E-3</v>
      </c>
      <c r="L184" s="322">
        <v>199819185.72999999</v>
      </c>
      <c r="M184" s="326">
        <v>9.0399999999999991</v>
      </c>
      <c r="N184" s="23">
        <f t="shared" si="215"/>
        <v>2.4102243134278827E-2</v>
      </c>
      <c r="O184" s="23">
        <f t="shared" si="216"/>
        <v>2.3782559456398535E-2</v>
      </c>
      <c r="P184" s="322">
        <v>223519089.94</v>
      </c>
      <c r="Q184" s="326">
        <v>10.08</v>
      </c>
      <c r="R184" s="23">
        <f t="shared" si="217"/>
        <v>0.11860675001460487</v>
      </c>
      <c r="S184" s="23">
        <f t="shared" si="218"/>
        <v>0.11504424778761073</v>
      </c>
      <c r="T184" s="322">
        <v>240727083.00999999</v>
      </c>
      <c r="U184" s="326">
        <v>10.84</v>
      </c>
      <c r="V184" s="23">
        <f t="shared" si="219"/>
        <v>7.6986681874103874E-2</v>
      </c>
      <c r="W184" s="23">
        <f t="shared" si="220"/>
        <v>7.5396825396825379E-2</v>
      </c>
      <c r="X184" s="322">
        <v>249157734.88</v>
      </c>
      <c r="Y184" s="326">
        <v>11.08</v>
      </c>
      <c r="Z184" s="23">
        <f t="shared" si="221"/>
        <v>3.5021617694963675E-2</v>
      </c>
      <c r="AA184" s="23">
        <f t="shared" si="222"/>
        <v>2.2140221402214041E-2</v>
      </c>
      <c r="AB184" s="322">
        <v>244398156.22</v>
      </c>
      <c r="AC184" s="326">
        <v>10.87</v>
      </c>
      <c r="AD184" s="23">
        <f t="shared" si="223"/>
        <v>-1.9102672699654769E-2</v>
      </c>
      <c r="AE184" s="23">
        <f t="shared" si="224"/>
        <v>-1.895306859205784E-2</v>
      </c>
      <c r="AF184" s="322">
        <v>251661465.49000001</v>
      </c>
      <c r="AG184" s="326">
        <v>11.2</v>
      </c>
      <c r="AH184" s="23">
        <f t="shared" si="225"/>
        <v>2.9719165571207479E-2</v>
      </c>
      <c r="AI184" s="23">
        <f t="shared" si="226"/>
        <v>3.0358785648574065E-2</v>
      </c>
      <c r="AJ184" s="24">
        <f t="shared" si="233"/>
        <v>3.4772036268364032E-2</v>
      </c>
      <c r="AK184" s="24">
        <f t="shared" si="234"/>
        <v>3.2719125996071727E-2</v>
      </c>
      <c r="AL184" s="25">
        <f t="shared" si="235"/>
        <v>0.27646354994072647</v>
      </c>
      <c r="AM184" s="25">
        <f t="shared" si="236"/>
        <v>0.25701459034792357</v>
      </c>
      <c r="AN184" s="378">
        <f t="shared" si="237"/>
        <v>4.4756069660814163E-2</v>
      </c>
      <c r="AO184" s="379">
        <f t="shared" si="238"/>
        <v>4.3614480476768192E-2</v>
      </c>
    </row>
    <row r="185" spans="1:41">
      <c r="A185" s="201" t="s">
        <v>59</v>
      </c>
      <c r="B185" s="75">
        <v>576424197.48000002</v>
      </c>
      <c r="C185" s="326">
        <v>6.93</v>
      </c>
      <c r="D185" s="75">
        <v>564654288.44000006</v>
      </c>
      <c r="E185" s="326">
        <v>6.78</v>
      </c>
      <c r="F185" s="23">
        <f t="shared" si="211"/>
        <v>-2.0418832331216174E-2</v>
      </c>
      <c r="G185" s="23">
        <f t="shared" si="212"/>
        <v>-2.1645021645021568E-2</v>
      </c>
      <c r="H185" s="75">
        <v>571169548.72000003</v>
      </c>
      <c r="I185" s="326">
        <v>6.87</v>
      </c>
      <c r="J185" s="23">
        <f t="shared" si="213"/>
        <v>1.1538494284706527E-2</v>
      </c>
      <c r="K185" s="23">
        <f t="shared" si="214"/>
        <v>1.327433628318582E-2</v>
      </c>
      <c r="L185" s="75">
        <v>559942467.96000004</v>
      </c>
      <c r="M185" s="326">
        <v>6.73</v>
      </c>
      <c r="N185" s="23">
        <f t="shared" si="215"/>
        <v>-1.9656301329719093E-2</v>
      </c>
      <c r="O185" s="23">
        <f t="shared" si="216"/>
        <v>-2.0378457059679719E-2</v>
      </c>
      <c r="P185" s="75">
        <v>540966994.87</v>
      </c>
      <c r="Q185" s="326">
        <v>6.49</v>
      </c>
      <c r="R185" s="23">
        <f t="shared" si="217"/>
        <v>-3.3888254911494879E-2</v>
      </c>
      <c r="S185" s="23">
        <f t="shared" si="218"/>
        <v>-3.5661218424962879E-2</v>
      </c>
      <c r="T185" s="75">
        <v>566676527.20000005</v>
      </c>
      <c r="U185" s="326">
        <v>6.82</v>
      </c>
      <c r="V185" s="23">
        <f t="shared" si="219"/>
        <v>4.7525140302096085E-2</v>
      </c>
      <c r="W185" s="23">
        <f t="shared" si="220"/>
        <v>5.0847457627118654E-2</v>
      </c>
      <c r="X185" s="75">
        <v>595799387.82000005</v>
      </c>
      <c r="Y185" s="326">
        <v>7.19</v>
      </c>
      <c r="Z185" s="23">
        <f t="shared" si="221"/>
        <v>5.1392389171117943E-2</v>
      </c>
      <c r="AA185" s="23">
        <f t="shared" si="222"/>
        <v>5.425219941348975E-2</v>
      </c>
      <c r="AB185" s="75">
        <v>577269462.83000004</v>
      </c>
      <c r="AC185" s="326">
        <v>6.96</v>
      </c>
      <c r="AD185" s="23">
        <f t="shared" si="223"/>
        <v>-3.110094667569242E-2</v>
      </c>
      <c r="AE185" s="23">
        <f t="shared" si="224"/>
        <v>-3.1988873435326901E-2</v>
      </c>
      <c r="AF185" s="75">
        <v>581595539.76999998</v>
      </c>
      <c r="AG185" s="326">
        <v>7</v>
      </c>
      <c r="AH185" s="23">
        <f t="shared" si="225"/>
        <v>7.4940339279195916E-3</v>
      </c>
      <c r="AI185" s="23">
        <f t="shared" si="226"/>
        <v>5.7471264367816143E-3</v>
      </c>
      <c r="AJ185" s="24">
        <f t="shared" si="233"/>
        <v>1.6107153047146979E-3</v>
      </c>
      <c r="AK185" s="24">
        <f t="shared" si="234"/>
        <v>1.8059436494480966E-3</v>
      </c>
      <c r="AL185" s="25">
        <f t="shared" si="235"/>
        <v>3.0002873752724708E-2</v>
      </c>
      <c r="AM185" s="25">
        <f t="shared" si="236"/>
        <v>3.2448377581120909E-2</v>
      </c>
      <c r="AN185" s="378">
        <f t="shared" si="237"/>
        <v>3.3779411292306424E-2</v>
      </c>
      <c r="AO185" s="379">
        <f t="shared" si="238"/>
        <v>3.5519381649539175E-2</v>
      </c>
    </row>
    <row r="186" spans="1:41">
      <c r="A186" s="201" t="s">
        <v>92</v>
      </c>
      <c r="B186" s="322">
        <v>507339964.98000002</v>
      </c>
      <c r="C186" s="326">
        <v>145.12</v>
      </c>
      <c r="D186" s="322">
        <v>506037376.98000002</v>
      </c>
      <c r="E186" s="326">
        <v>144.75</v>
      </c>
      <c r="F186" s="23">
        <f t="shared" si="211"/>
        <v>-2.56748549279249E-3</v>
      </c>
      <c r="G186" s="23">
        <f t="shared" si="212"/>
        <v>-2.549614112458686E-3</v>
      </c>
      <c r="H186" s="322">
        <v>504256502.29000002</v>
      </c>
      <c r="I186" s="326">
        <v>144.24</v>
      </c>
      <c r="J186" s="23">
        <f t="shared" si="213"/>
        <v>-3.5192552388682201E-3</v>
      </c>
      <c r="K186" s="23">
        <f t="shared" si="214"/>
        <v>-3.5233160621761031E-3</v>
      </c>
      <c r="L186" s="322">
        <v>500949975.83999997</v>
      </c>
      <c r="M186" s="326">
        <v>141.30000000000001</v>
      </c>
      <c r="N186" s="23">
        <f t="shared" si="215"/>
        <v>-6.5572311610935866E-3</v>
      </c>
      <c r="O186" s="23">
        <f t="shared" si="216"/>
        <v>-2.0382695507487503E-2</v>
      </c>
      <c r="P186" s="322">
        <v>496224413.14999998</v>
      </c>
      <c r="Q186" s="326">
        <v>141.96</v>
      </c>
      <c r="R186" s="23">
        <f t="shared" si="217"/>
        <v>-9.4332027505862389E-3</v>
      </c>
      <c r="S186" s="23">
        <f t="shared" si="218"/>
        <v>4.6709129511677038E-3</v>
      </c>
      <c r="T186" s="322">
        <v>498263793.85000002</v>
      </c>
      <c r="U186" s="326">
        <v>142.54</v>
      </c>
      <c r="V186" s="23">
        <f t="shared" si="219"/>
        <v>4.1097951772549705E-3</v>
      </c>
      <c r="W186" s="23">
        <f t="shared" si="220"/>
        <v>4.0856579318116655E-3</v>
      </c>
      <c r="X186" s="322">
        <v>496447067.19999999</v>
      </c>
      <c r="Y186" s="326">
        <v>142.02000000000001</v>
      </c>
      <c r="Z186" s="23">
        <f t="shared" si="221"/>
        <v>-3.6461141114880057E-3</v>
      </c>
      <c r="AA186" s="23">
        <f t="shared" si="222"/>
        <v>-3.6480987792898963E-3</v>
      </c>
      <c r="AB186" s="322">
        <v>493812313.94</v>
      </c>
      <c r="AC186" s="326">
        <v>141.27000000000001</v>
      </c>
      <c r="AD186" s="23">
        <f t="shared" si="223"/>
        <v>-5.3072189042433137E-3</v>
      </c>
      <c r="AE186" s="23">
        <f t="shared" si="224"/>
        <v>-5.2809463455851281E-3</v>
      </c>
      <c r="AF186" s="322">
        <v>494643556.45999998</v>
      </c>
      <c r="AG186" s="326">
        <v>141.51</v>
      </c>
      <c r="AH186" s="23">
        <f t="shared" si="225"/>
        <v>1.6833167106905722E-3</v>
      </c>
      <c r="AI186" s="23">
        <f t="shared" si="226"/>
        <v>1.6988744956464971E-3</v>
      </c>
      <c r="AJ186" s="24">
        <f t="shared" si="233"/>
        <v>-3.1546744713907889E-3</v>
      </c>
      <c r="AK186" s="24">
        <f t="shared" si="234"/>
        <v>-3.1161531785464315E-3</v>
      </c>
      <c r="AL186" s="25">
        <f t="shared" si="235"/>
        <v>-2.2515768673052692E-2</v>
      </c>
      <c r="AM186" s="25">
        <f t="shared" si="236"/>
        <v>-2.2383419689119236E-2</v>
      </c>
      <c r="AN186" s="378">
        <f t="shared" si="237"/>
        <v>4.3511682802463807E-3</v>
      </c>
      <c r="AO186" s="379">
        <f t="shared" si="238"/>
        <v>7.9227777836252591E-3</v>
      </c>
    </row>
    <row r="187" spans="1:41">
      <c r="A187" s="201" t="s">
        <v>30</v>
      </c>
      <c r="B187" s="322">
        <v>3453776496.79</v>
      </c>
      <c r="C187" s="326">
        <v>24.14</v>
      </c>
      <c r="D187" s="322">
        <v>3458506493.6799998</v>
      </c>
      <c r="E187" s="326">
        <v>24.18</v>
      </c>
      <c r="F187" s="23">
        <f t="shared" si="211"/>
        <v>1.3695144704343226E-3</v>
      </c>
      <c r="G187" s="23">
        <f t="shared" si="212"/>
        <v>1.6570008285003788E-3</v>
      </c>
      <c r="H187" s="322">
        <v>3467794816.6300001</v>
      </c>
      <c r="I187" s="326">
        <v>24.24</v>
      </c>
      <c r="J187" s="23">
        <f t="shared" si="213"/>
        <v>2.6856456586025115E-3</v>
      </c>
      <c r="K187" s="23">
        <f t="shared" si="214"/>
        <v>2.4813895781637188E-3</v>
      </c>
      <c r="L187" s="322">
        <v>3464666966.0700002</v>
      </c>
      <c r="M187" s="326">
        <v>24.06</v>
      </c>
      <c r="N187" s="23">
        <f t="shared" si="215"/>
        <v>-9.0197105809148919E-4</v>
      </c>
      <c r="O187" s="23">
        <f t="shared" si="216"/>
        <v>-7.4257425742574141E-3</v>
      </c>
      <c r="P187" s="322">
        <v>3537957378.96</v>
      </c>
      <c r="Q187" s="326">
        <v>24.56</v>
      </c>
      <c r="R187" s="23">
        <f t="shared" si="217"/>
        <v>2.1153667468690008E-2</v>
      </c>
      <c r="S187" s="23">
        <f t="shared" si="218"/>
        <v>2.0781379883624274E-2</v>
      </c>
      <c r="T187" s="322">
        <v>3649788764.3600001</v>
      </c>
      <c r="U187" s="326">
        <v>25.34</v>
      </c>
      <c r="V187" s="23">
        <f t="shared" si="219"/>
        <v>3.160902561038581E-2</v>
      </c>
      <c r="W187" s="23">
        <f t="shared" si="220"/>
        <v>3.1758957654723176E-2</v>
      </c>
      <c r="X187" s="322">
        <v>3677564501.5900002</v>
      </c>
      <c r="Y187" s="326">
        <v>25.33</v>
      </c>
      <c r="Z187" s="23">
        <f t="shared" si="221"/>
        <v>7.6102314471535081E-3</v>
      </c>
      <c r="AA187" s="23">
        <f t="shared" si="222"/>
        <v>-3.9463299131813588E-4</v>
      </c>
      <c r="AB187" s="322">
        <v>3644999523.2199998</v>
      </c>
      <c r="AC187" s="326">
        <v>25.26</v>
      </c>
      <c r="AD187" s="23">
        <f t="shared" si="223"/>
        <v>-8.8550393489824179E-3</v>
      </c>
      <c r="AE187" s="23">
        <f t="shared" si="224"/>
        <v>-2.7635215159888169E-3</v>
      </c>
      <c r="AF187" s="322">
        <v>3640501585.79</v>
      </c>
      <c r="AG187" s="326">
        <v>25.26</v>
      </c>
      <c r="AH187" s="23">
        <f t="shared" si="225"/>
        <v>-1.2340021998209596E-3</v>
      </c>
      <c r="AI187" s="23">
        <f t="shared" si="226"/>
        <v>0</v>
      </c>
      <c r="AJ187" s="24">
        <f t="shared" si="233"/>
        <v>6.679634006046411E-3</v>
      </c>
      <c r="AK187" s="24">
        <f t="shared" si="234"/>
        <v>5.7618538579308973E-3</v>
      </c>
      <c r="AL187" s="25">
        <f t="shared" si="235"/>
        <v>5.2622452044711797E-2</v>
      </c>
      <c r="AM187" s="25">
        <f t="shared" si="236"/>
        <v>4.4665012406947965E-2</v>
      </c>
      <c r="AN187" s="378">
        <f t="shared" si="237"/>
        <v>1.3295649041453132E-2</v>
      </c>
      <c r="AO187" s="379">
        <f t="shared" si="238"/>
        <v>1.4056396944038985E-2</v>
      </c>
    </row>
    <row r="188" spans="1:41">
      <c r="A188" s="201" t="s">
        <v>51</v>
      </c>
      <c r="B188" s="75">
        <v>296989283.70999998</v>
      </c>
      <c r="C188" s="326">
        <v>28.55</v>
      </c>
      <c r="D188" s="75">
        <v>297502295.94999999</v>
      </c>
      <c r="E188" s="326">
        <v>28.55</v>
      </c>
      <c r="F188" s="23">
        <f t="shared" si="211"/>
        <v>1.7273762662121798E-3</v>
      </c>
      <c r="G188" s="23">
        <f t="shared" si="212"/>
        <v>0</v>
      </c>
      <c r="H188" s="75">
        <v>296254914.07999998</v>
      </c>
      <c r="I188" s="326">
        <v>28.51</v>
      </c>
      <c r="J188" s="23">
        <f t="shared" si="213"/>
        <v>-4.1928478770787278E-3</v>
      </c>
      <c r="K188" s="23">
        <f t="shared" si="214"/>
        <v>-1.4010507880910384E-3</v>
      </c>
      <c r="L188" s="75">
        <v>299854466.44999999</v>
      </c>
      <c r="M188" s="326">
        <v>28.61</v>
      </c>
      <c r="N188" s="23">
        <f t="shared" si="215"/>
        <v>1.2150186204263232E-2</v>
      </c>
      <c r="O188" s="23">
        <f t="shared" si="216"/>
        <v>3.5075412136091849E-3</v>
      </c>
      <c r="P188" s="75">
        <v>299661540.26999998</v>
      </c>
      <c r="Q188" s="326">
        <v>28.61</v>
      </c>
      <c r="R188" s="23">
        <f t="shared" si="217"/>
        <v>-6.433993873230404E-4</v>
      </c>
      <c r="S188" s="23">
        <f t="shared" si="218"/>
        <v>0</v>
      </c>
      <c r="T188" s="75">
        <v>305064197.12</v>
      </c>
      <c r="U188" s="326">
        <v>29.17</v>
      </c>
      <c r="V188" s="23">
        <f t="shared" si="219"/>
        <v>1.8029196690146292E-2</v>
      </c>
      <c r="W188" s="23">
        <f t="shared" si="220"/>
        <v>1.9573575672841743E-2</v>
      </c>
      <c r="X188" s="75">
        <v>303525475.61000001</v>
      </c>
      <c r="Y188" s="326">
        <v>29.03</v>
      </c>
      <c r="Z188" s="23">
        <f t="shared" si="221"/>
        <v>-5.0439268997361864E-3</v>
      </c>
      <c r="AA188" s="23">
        <f t="shared" si="222"/>
        <v>-4.7994514912581615E-3</v>
      </c>
      <c r="AB188" s="75">
        <v>302641865.83999997</v>
      </c>
      <c r="AC188" s="326">
        <v>28.95</v>
      </c>
      <c r="AD188" s="23">
        <f t="shared" si="223"/>
        <v>-2.9111552110221914E-3</v>
      </c>
      <c r="AE188" s="23">
        <f t="shared" si="224"/>
        <v>-2.7557698932139801E-3</v>
      </c>
      <c r="AF188" s="75">
        <v>289745068.94</v>
      </c>
      <c r="AG188" s="326">
        <v>27.56</v>
      </c>
      <c r="AH188" s="23">
        <f t="shared" si="225"/>
        <v>-4.2614054285596517E-2</v>
      </c>
      <c r="AI188" s="23">
        <f t="shared" si="226"/>
        <v>-4.8013816925734046E-2</v>
      </c>
      <c r="AJ188" s="24">
        <f t="shared" si="233"/>
        <v>-2.9373280625168701E-3</v>
      </c>
      <c r="AK188" s="24">
        <f t="shared" si="234"/>
        <v>-4.2361215264807867E-3</v>
      </c>
      <c r="AL188" s="25">
        <f t="shared" si="235"/>
        <v>-2.6074511409161415E-2</v>
      </c>
      <c r="AM188" s="25">
        <f t="shared" si="236"/>
        <v>-3.4676007005254007E-2</v>
      </c>
      <c r="AN188" s="378">
        <f t="shared" si="237"/>
        <v>1.8025803725535763E-2</v>
      </c>
      <c r="AO188" s="379">
        <f t="shared" si="238"/>
        <v>1.9232968507981583E-2</v>
      </c>
    </row>
    <row r="189" spans="1:41" ht="15.75" thickBot="1">
      <c r="A189" s="202" t="s">
        <v>33</v>
      </c>
      <c r="B189" s="77">
        <f>SUM(B177:B188)</f>
        <v>9221542882.8766327</v>
      </c>
      <c r="C189" s="305"/>
      <c r="D189" s="77">
        <f>SUM(D177:D188)</f>
        <v>9177790077.7088909</v>
      </c>
      <c r="E189" s="305"/>
      <c r="F189" s="23">
        <f>((D189-B189)/B189)</f>
        <v>-4.7446295835142527E-3</v>
      </c>
      <c r="G189" s="208"/>
      <c r="H189" s="77">
        <f>SUM(H177:H188)</f>
        <v>9128705530.4407215</v>
      </c>
      <c r="I189" s="305"/>
      <c r="J189" s="23">
        <f>((H189-D189)/D189)</f>
        <v>-5.3481880553562068E-3</v>
      </c>
      <c r="K189" s="208"/>
      <c r="L189" s="77">
        <f>SUM(L177:L188)</f>
        <v>9026975170.9909229</v>
      </c>
      <c r="M189" s="305"/>
      <c r="N189" s="23">
        <f>((L189-H189)/H189)</f>
        <v>-1.1144007122430116E-2</v>
      </c>
      <c r="O189" s="208"/>
      <c r="P189" s="77">
        <f>SUM(P177:P188)</f>
        <v>9140755301.5800018</v>
      </c>
      <c r="Q189" s="305"/>
      <c r="R189" s="23">
        <f>((P189-L189)/L189)</f>
        <v>1.2604458130639663E-2</v>
      </c>
      <c r="S189" s="208"/>
      <c r="T189" s="77">
        <f>SUM(T177:T188)</f>
        <v>9428299368.073988</v>
      </c>
      <c r="U189" s="305"/>
      <c r="V189" s="23">
        <f>((T189-P189)/P189)</f>
        <v>3.1457363971255571E-2</v>
      </c>
      <c r="W189" s="208"/>
      <c r="X189" s="77">
        <f>SUM(X177:X188)</f>
        <v>9491073054.3852577</v>
      </c>
      <c r="Y189" s="305"/>
      <c r="Z189" s="23">
        <f>((X189-T189)/T189)</f>
        <v>6.6580073309756562E-3</v>
      </c>
      <c r="AA189" s="208"/>
      <c r="AB189" s="77">
        <f>SUM(AB177:AB188)</f>
        <v>9456116110.3399506</v>
      </c>
      <c r="AC189" s="305"/>
      <c r="AD189" s="23">
        <f>((AB189-X189)/X189)</f>
        <v>-3.683139287306997E-3</v>
      </c>
      <c r="AE189" s="208"/>
      <c r="AF189" s="77">
        <f>SUM(AF177:AF188)</f>
        <v>9402718935.5864506</v>
      </c>
      <c r="AG189" s="305"/>
      <c r="AH189" s="23">
        <f>((AF189-AB189)/AB189)</f>
        <v>-5.6468400060265692E-3</v>
      </c>
      <c r="AI189" s="208"/>
      <c r="AJ189" s="24">
        <f t="shared" si="233"/>
        <v>2.5191281722795936E-3</v>
      </c>
      <c r="AK189" s="24"/>
      <c r="AL189" s="25">
        <f t="shared" si="235"/>
        <v>2.4507954090589753E-2</v>
      </c>
      <c r="AM189" s="25"/>
      <c r="AN189" s="378">
        <f t="shared" si="237"/>
        <v>1.3952751687584747E-2</v>
      </c>
      <c r="AO189" s="379"/>
    </row>
    <row r="190" spans="1:41" ht="15.75" thickBot="1">
      <c r="A190" s="63" t="s">
        <v>43</v>
      </c>
      <c r="B190" s="221">
        <f>SUM(B169,B174,B189)</f>
        <v>2029098408141.9399</v>
      </c>
      <c r="C190" s="306"/>
      <c r="D190" s="221">
        <f>SUM(D169,D174,D189)</f>
        <v>2019862555518.3599</v>
      </c>
      <c r="E190" s="306"/>
      <c r="F190" s="208">
        <f>((D190-B190)/B190)</f>
        <v>-4.5517026609061383E-3</v>
      </c>
      <c r="G190" s="304"/>
      <c r="H190" s="221">
        <f>SUM(H169,H174,H189)</f>
        <v>2022742035234.8157</v>
      </c>
      <c r="I190" s="306"/>
      <c r="J190" s="208">
        <f>((H190-D190)/D190)</f>
        <v>1.425582007344478E-3</v>
      </c>
      <c r="K190" s="304"/>
      <c r="L190" s="221">
        <f>SUM(L169,L174,L189)</f>
        <v>2021078665008.1536</v>
      </c>
      <c r="M190" s="306"/>
      <c r="N190" s="208">
        <f>((L190-H190)/H190)</f>
        <v>-8.2233433511901693E-4</v>
      </c>
      <c r="O190" s="304"/>
      <c r="P190" s="221">
        <f>SUM(P169,P174,P189)</f>
        <v>2047059629930.6086</v>
      </c>
      <c r="Q190" s="306"/>
      <c r="R190" s="208">
        <f>((P190-L190)/L190)</f>
        <v>1.2854999348751358E-2</v>
      </c>
      <c r="S190" s="304"/>
      <c r="T190" s="221">
        <f>SUM(T169,T174,T189)</f>
        <v>2026903255616.8345</v>
      </c>
      <c r="U190" s="306"/>
      <c r="V190" s="208">
        <f>((T190-P190)/P190)</f>
        <v>-9.8465008146623612E-3</v>
      </c>
      <c r="W190" s="304"/>
      <c r="X190" s="221">
        <f>SUM(X169,X174,X189)</f>
        <v>2009579399929.2915</v>
      </c>
      <c r="Y190" s="306"/>
      <c r="Z190" s="208">
        <f>((X190-T190)/T190)</f>
        <v>-8.5469573545437477E-3</v>
      </c>
      <c r="AA190" s="304"/>
      <c r="AB190" s="221">
        <f>SUM(AB169,AB174,AB189)</f>
        <v>2034041060421.5012</v>
      </c>
      <c r="AC190" s="306"/>
      <c r="AD190" s="208">
        <f>((AB190-X190)/X190)</f>
        <v>1.217252749160865E-2</v>
      </c>
      <c r="AE190" s="304"/>
      <c r="AF190" s="221">
        <f>SUM(AF169,AF174,AF189)</f>
        <v>2031524247517.2651</v>
      </c>
      <c r="AG190" s="306"/>
      <c r="AH190" s="208">
        <f>((AF190-AB190)/AB190)</f>
        <v>-1.2373461643466238E-3</v>
      </c>
      <c r="AI190" s="304"/>
      <c r="AJ190" s="24">
        <f t="shared" si="233"/>
        <v>1.8103343976582476E-4</v>
      </c>
      <c r="AK190" s="24"/>
      <c r="AL190" s="25">
        <f t="shared" si="235"/>
        <v>5.7735076909292563E-3</v>
      </c>
      <c r="AM190" s="25"/>
      <c r="AN190" s="378">
        <f t="shared" si="237"/>
        <v>8.519899795818341E-3</v>
      </c>
      <c r="AO190" s="379"/>
    </row>
  </sheetData>
  <protectedRanges>
    <protectedRange password="CADF" sqref="B9" name="Fund Name_1_1_1_3_1_1_2"/>
    <protectedRange password="CADF" sqref="B16" name="Yield_2_1_2_5_6"/>
    <protectedRange password="CADF" sqref="C9" name="Fund Name_1_1_1_1_1_1_2"/>
    <protectedRange password="CADF" sqref="B46" name="Yield_2_1_2_3_1"/>
    <protectedRange password="CADF" sqref="B51" name="Yield_2_1_2_4_1"/>
    <protectedRange password="CADF" sqref="B76" name="Yield_2_1_2_1_1_6"/>
    <protectedRange password="CADF" sqref="C76" name="Fund Name_2_2_1_1_2"/>
    <protectedRange password="CADF" sqref="C75" name="BidOffer Prices_2_1_1_1_1_1_1_1_1_1_7"/>
    <protectedRange password="CADF" sqref="B92:B93" name="Yield_2_1_2_6_3_6"/>
    <protectedRange password="CADF" sqref="B135 B143:B144" name="Fund Name_1_1_1_2_8"/>
    <protectedRange password="CADF" sqref="C135 C143:C144" name="Fund Name_1_1_1_1_2_2"/>
    <protectedRange password="CADF" sqref="D9" name="Fund Name_1_1_1_3_1_1_3"/>
    <protectedRange password="CADF" sqref="D16" name="Yield_2_1_2_5_7"/>
    <protectedRange password="CADF" sqref="E9" name="Fund Name_1_1_1_1_1_1_3"/>
    <protectedRange password="CADF" sqref="D46" name="Yield_2_1_2_3_1_2"/>
    <protectedRange password="CADF" sqref="D51" name="Yield_2_1_2_4_1_2"/>
    <protectedRange password="CADF" sqref="D92:D93" name="Yield_2_1_2_6_3_7"/>
    <protectedRange password="CADF" sqref="D135 D143:D144" name="Fund Name_1_1_1_2_3"/>
    <protectedRange password="CADF" sqref="E135 E143:E144" name="Fund Name_1_1_1_1_2_3"/>
    <protectedRange password="CADF" sqref="D76" name="Yield_2_1_2_1_1_7"/>
    <protectedRange password="CADF" sqref="E76" name="Fund Name_2_2_1_1_8"/>
    <protectedRange password="CADF" sqref="E75" name="BidOffer Prices_2_1_1_1_1_1_1_1_1_1_8"/>
    <protectedRange password="CADF" sqref="H9" name="Fund Name_1_1_1_3_1_1_8"/>
    <protectedRange password="CADF" sqref="H16" name="Yield_2_1_2_5_8"/>
    <protectedRange password="CADF" sqref="I9" name="Fund Name_1_1_1_1_1_1_7"/>
    <protectedRange password="CADF" sqref="H46" name="Yield_2_1_2_3_1_8"/>
    <protectedRange password="CADF" sqref="H51" name="Yield_2_1_2_4_1_8"/>
    <protectedRange password="CADF" sqref="H76" name="Yield_2_1_2_1_1_8"/>
    <protectedRange password="CADF" sqref="I76" name="Fund Name_2_2_1_1_9"/>
    <protectedRange password="CADF" sqref="I75" name="BidOffer Prices_2_1_1_1_1_1_1_1_1_1_9"/>
    <protectedRange password="CADF" sqref="H92:H93" name="Yield_2_1_2_6_3_8"/>
    <protectedRange password="CADF" sqref="H135 H143:H144" name="Fund Name_1_1_1_2_7"/>
    <protectedRange password="CADF" sqref="I135 I143:I144" name="Fund Name_1_1_1_1_2_8"/>
    <protectedRange password="CADF" sqref="L9" name="Fund Name_1_1_1_3_1_1_4"/>
    <protectedRange password="CADF" sqref="L16" name="Yield_2_1_2_5_9"/>
    <protectedRange password="CADF" sqref="M9" name="Fund Name_1_1_1_1_1_1_4"/>
    <protectedRange password="CADF" sqref="L46" name="Yield_2_1_2_3_1_3"/>
    <protectedRange password="CADF" sqref="L51" name="Yield_2_1_2_4_1_3"/>
    <protectedRange password="CADF" sqref="L76" name="Yield_2_1_2_1_1_2"/>
    <protectedRange password="CADF" sqref="M76" name="Fund Name_2_2_1_1_3"/>
    <protectedRange password="CADF" sqref="M75" name="BidOffer Prices_2_1_1_1_1_1_1_1_1_1"/>
    <protectedRange password="CADF" sqref="L135 L143:L144" name="Fund Name_1_1_1_2"/>
    <protectedRange password="CADF" sqref="M135 M143:M144" name="Fund Name_1_1_1_1_2_4"/>
    <protectedRange password="CADF" sqref="L92:L93" name="Yield_2_1_2_6_3"/>
    <protectedRange password="CADF" sqref="P9" name="Fund Name_1_1_1_3_1_1"/>
    <protectedRange password="CADF" sqref="P16" name="Yield_2_1_2_5"/>
    <protectedRange password="CADF" sqref="Q9" name="Fund Name_1_1_1_1_1_1"/>
    <protectedRange password="CADF" sqref="P46" name="Yield_2_1_2_3_1_4"/>
    <protectedRange password="CADF" sqref="P51" name="Yield_2_1_2_4_1_4"/>
    <protectedRange password="CADF" sqref="P76" name="Yield_2_1_2_1_1_3"/>
    <protectedRange password="CADF" sqref="Q76" name="Fund Name_2_2_1_1_4"/>
    <protectedRange password="CADF" sqref="Q75" name="BidOffer Prices_2_1_1_1_1_1_1_1_1_1_3"/>
    <protectedRange password="CADF" sqref="P92:P93" name="Yield_2_1_2_6_3_1"/>
    <protectedRange password="CADF" sqref="P135 P143:P144" name="Fund Name_1_1_1_2_4"/>
    <protectedRange password="CADF" sqref="Q135 Q143:Q144" name="Fund Name_1_1_1_1_2_5"/>
    <protectedRange password="CADF" sqref="T9" name="Fund Name_1_1_1_3_1_1_10"/>
    <protectedRange password="CADF" sqref="T16" name="Yield_2_1_2_5_10"/>
    <protectedRange password="CADF" sqref="U9" name="Fund Name_1_1_1_1_1_1_9"/>
    <protectedRange password="CADF" sqref="T46" name="Yield_2_1_2_3_1_9"/>
    <protectedRange password="CADF" sqref="T51" name="Yield_2_1_2_4_1_9"/>
    <protectedRange password="CADF" sqref="T76" name="Yield_2_1_2_1_1_9"/>
    <protectedRange password="CADF" sqref="U76" name="Fund Name_2_2_1_1_5"/>
    <protectedRange password="CADF" sqref="U75" name="BidOffer Prices_2_1_1_1_1_1_1_1_1_1_4"/>
    <protectedRange password="CADF" sqref="T92:T93" name="Yield_2_1_2_6_3_9"/>
    <protectedRange password="CADF" sqref="T135 T143:T144" name="Fund Name_1_1_1_2_9"/>
    <protectedRange password="CADF" sqref="U135 U143:U144" name="Fund Name_1_1_1_1_2_9"/>
    <protectedRange password="CADF" sqref="X9" name="Fund Name_1_1_1_3_1_1_5"/>
    <protectedRange password="CADF" sqref="X16" name="Yield_2_1_2_5_1"/>
    <protectedRange password="CADF" sqref="Y9" name="Fund Name_1_1_1_1_1_1_5"/>
    <protectedRange password="CADF" sqref="X46" name="Yield_2_1_2_3_1_5"/>
    <protectedRange password="CADF" sqref="X51" name="Yield_2_1_2_4_1_5"/>
    <protectedRange password="CADF" sqref="X76" name="Yield_2_1_2_1_1_4"/>
    <protectedRange password="CADF" sqref="Y76" name="Fund Name_2_2_1_1_6"/>
    <protectedRange password="CADF" sqref="Y75" name="BidOffer Prices_2_1_1_1_1_1_1_1_1_1_5"/>
    <protectedRange password="CADF" sqref="X92:X93" name="Yield_2_1_2_6_3_2"/>
    <protectedRange password="CADF" sqref="X135 X143:X144" name="Fund Name_1_1_1_2_5"/>
    <protectedRange password="CADF" sqref="Y135 Y143:Y144" name="Fund Name_1_1_1_1_2_6"/>
    <protectedRange password="CADF" sqref="AB9" name="Fund Name_1_1_1_3_1_1_6"/>
    <protectedRange password="CADF" sqref="AB16" name="Yield_2_1_2_5_2"/>
    <protectedRange password="CADF" sqref="AC9" name="Fund Name_1_1_1_1_1_1_6"/>
    <protectedRange password="CADF" sqref="AB46" name="Yield_2_1_2_3_1_6"/>
    <protectedRange password="CADF" sqref="AB51" name="Yield_2_1_2_4_1_6"/>
    <protectedRange password="CADF" sqref="AB76" name="Yield_2_1_2_1_1_5"/>
    <protectedRange password="CADF" sqref="AC76" name="Fund Name_2_2_1_1_7"/>
    <protectedRange password="CADF" sqref="AC75" name="BidOffer Prices_2_1_1_1_1_1_1_1_1_1_6"/>
    <protectedRange password="CADF" sqref="AB92:AB93" name="Yield_2_1_2_6_3_3"/>
    <protectedRange password="CADF" sqref="AB135 AB143:AB144" name="Fund Name_1_1_1_2_6"/>
    <protectedRange password="CADF" sqref="AC135 AC143:AC144" name="Fund Name_1_1_1_1_2_7"/>
    <protectedRange password="CADF" sqref="AF9" name="Fund Name_1_1_1_3_1_1_1"/>
    <protectedRange password="CADF" sqref="AF16" name="Yield_2_1_2_5_3"/>
    <protectedRange password="CADF" sqref="AG9" name="Fund Name_1_1_1_1_1_1_1"/>
    <protectedRange password="CADF" sqref="AF46" name="Yield_2_1_2_3_1_1"/>
    <protectedRange password="CADF" sqref="AF51" name="Yield_2_1_2_4_1_1"/>
    <protectedRange password="CADF" sqref="AF76" name="Yield_2_1_2_1_1_1"/>
    <protectedRange password="CADF" sqref="AG76" name="Fund Name_2_2_1_1"/>
    <protectedRange password="CADF" sqref="AG75" name="BidOffer Prices_2_1_1_1_1_1_1_1_1_1_1"/>
    <protectedRange password="CADF" sqref="AF92:AF93" name="Yield_2_1_2_6_3_4"/>
    <protectedRange password="CADF" sqref="AF135 AF143:AF144" name="Fund Name_1_1_1_2_1"/>
    <protectedRange password="CADF" sqref="AG135 AG143:AG144" name="Fund Name_1_1_1_1_2"/>
  </protectedRanges>
  <sortState ref="A174:AO185">
    <sortCondition ref="A174:A185"/>
  </sortState>
  <mergeCells count="32">
    <mergeCell ref="AQ2:AR2"/>
    <mergeCell ref="AQ127:AR127"/>
    <mergeCell ref="D2:E2"/>
    <mergeCell ref="F2:G2"/>
    <mergeCell ref="D176:E176"/>
    <mergeCell ref="H2:I2"/>
    <mergeCell ref="J2:K2"/>
    <mergeCell ref="H176:I176"/>
    <mergeCell ref="L2:M2"/>
    <mergeCell ref="L176:M176"/>
    <mergeCell ref="N2:O2"/>
    <mergeCell ref="P2:Q2"/>
    <mergeCell ref="R2:S2"/>
    <mergeCell ref="P176:Q176"/>
    <mergeCell ref="T176:U176"/>
    <mergeCell ref="X176:Y176"/>
    <mergeCell ref="A1:AO1"/>
    <mergeCell ref="AN2:AO2"/>
    <mergeCell ref="AL2:AM2"/>
    <mergeCell ref="AJ2:AK2"/>
    <mergeCell ref="T2:U2"/>
    <mergeCell ref="V2:W2"/>
    <mergeCell ref="X2:Y2"/>
    <mergeCell ref="Z2:AA2"/>
    <mergeCell ref="B2:C2"/>
    <mergeCell ref="B176:C176"/>
    <mergeCell ref="AF2:AG2"/>
    <mergeCell ref="AH2:AI2"/>
    <mergeCell ref="AF176:AG176"/>
    <mergeCell ref="AB2:AC2"/>
    <mergeCell ref="AD2:AE2"/>
    <mergeCell ref="AB176:AC17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Market Share</vt:lpstr>
      <vt:lpstr>NAV Trend</vt:lpstr>
      <vt:lpstr>Volatility Measure</vt:lpstr>
      <vt:lpstr>NAV COMPARISON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2023-09-28T15:07:01Z</dcterms:modified>
</cp:coreProperties>
</file>